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40" yWindow="15" windowWidth="19995" windowHeight="8190"/>
  </bookViews>
  <sheets>
    <sheet name="Úvod" sheetId="4" r:id="rId1"/>
    <sheet name="zľava_A" sheetId="1" r:id="rId2"/>
    <sheet name="zľava_B" sheetId="2" r:id="rId3"/>
    <sheet name="prechodný_nedostatok" sheetId="3" r:id="rId4"/>
  </sheets>
  <calcPr calcId="125725"/>
</workbook>
</file>

<file path=xl/calcChain.xml><?xml version="1.0" encoding="utf-8"?>
<calcChain xmlns="http://schemas.openxmlformats.org/spreadsheetml/2006/main">
  <c r="C14" i="2"/>
  <c r="C13"/>
  <c r="F13" s="1"/>
  <c r="C15" i="1"/>
  <c r="C14"/>
  <c r="C13"/>
  <c r="G8" i="3"/>
  <c r="H8" s="1"/>
  <c r="G6"/>
  <c r="G5"/>
  <c r="H5" s="1"/>
  <c r="G4"/>
  <c r="G7" s="1"/>
  <c r="H7" s="1"/>
  <c r="H12" i="2"/>
  <c r="I12" s="1"/>
  <c r="F14"/>
  <c r="F12"/>
  <c r="H13" i="1"/>
  <c r="H14"/>
  <c r="H15"/>
  <c r="H12"/>
  <c r="F13"/>
  <c r="G13" s="1"/>
  <c r="I13" s="1"/>
  <c r="F14"/>
  <c r="G14" s="1"/>
  <c r="F15"/>
  <c r="G15" s="1"/>
  <c r="J15" s="1"/>
  <c r="F12"/>
  <c r="G12" s="1"/>
  <c r="I12" s="1"/>
  <c r="G9" i="3" l="1"/>
  <c r="H9" s="1"/>
  <c r="H4"/>
  <c r="H6"/>
  <c r="L14" i="1"/>
  <c r="G14" i="2"/>
  <c r="L12" i="1"/>
  <c r="L13"/>
  <c r="L15"/>
  <c r="G13" i="2"/>
  <c r="H14" s="1"/>
  <c r="K14" s="1"/>
  <c r="J13" i="1"/>
  <c r="K13" s="1"/>
  <c r="G10" i="3"/>
  <c r="H10" s="1"/>
  <c r="K12" i="2"/>
  <c r="G12"/>
  <c r="H13" s="1"/>
  <c r="J12"/>
  <c r="J12" i="1"/>
  <c r="K15"/>
  <c r="I14"/>
  <c r="J14" s="1"/>
  <c r="O12" i="2" l="1"/>
  <c r="I14"/>
  <c r="J14" s="1"/>
  <c r="O14" s="1"/>
  <c r="L18" i="1"/>
  <c r="L19" s="1"/>
  <c r="K14"/>
  <c r="J18"/>
  <c r="J19" s="1"/>
  <c r="K12"/>
  <c r="K13" i="2"/>
  <c r="K15" s="1"/>
  <c r="N12" s="1"/>
  <c r="I13"/>
  <c r="J13" s="1"/>
  <c r="O13" l="1"/>
  <c r="O16" s="1"/>
  <c r="O17" s="1"/>
  <c r="L14"/>
  <c r="M14" s="1"/>
  <c r="N13"/>
  <c r="N14"/>
  <c r="L12"/>
  <c r="K18" i="1"/>
  <c r="K19" s="1"/>
  <c r="L13" i="2"/>
  <c r="N16" l="1"/>
  <c r="N17" s="1"/>
  <c r="M12"/>
  <c r="L16"/>
  <c r="L17" s="1"/>
  <c r="M13"/>
  <c r="M16" l="1"/>
  <c r="M17" s="1"/>
</calcChain>
</file>

<file path=xl/sharedStrings.xml><?xml version="1.0" encoding="utf-8"?>
<sst xmlns="http://schemas.openxmlformats.org/spreadsheetml/2006/main" count="89" uniqueCount="56">
  <si>
    <t>Spotreba</t>
  </si>
  <si>
    <t>interval</t>
  </si>
  <si>
    <t>cena</t>
  </si>
  <si>
    <t>N(Qopt)</t>
  </si>
  <si>
    <t>Q(i-1)</t>
  </si>
  <si>
    <t>Q(i)</t>
  </si>
  <si>
    <t>ci</t>
  </si>
  <si>
    <t>(Qi-Qi-1)ci</t>
  </si>
  <si>
    <t>Fi</t>
  </si>
  <si>
    <t>optimum v intervale</t>
  </si>
  <si>
    <t>je v intervale?</t>
  </si>
  <si>
    <t>spotreba</t>
  </si>
  <si>
    <t>predstih</t>
  </si>
  <si>
    <t>strata</t>
  </si>
  <si>
    <t>q0=</t>
  </si>
  <si>
    <t>N0=</t>
  </si>
  <si>
    <t>t0=</t>
  </si>
  <si>
    <t>s0=</t>
  </si>
  <si>
    <t>β=</t>
  </si>
  <si>
    <t>t1=</t>
  </si>
  <si>
    <t>r0=</t>
  </si>
  <si>
    <t>Zľava A:</t>
  </si>
  <si>
    <t>Objednávacie náklady</t>
  </si>
  <si>
    <t>Vstupné dáta:</t>
  </si>
  <si>
    <t>Náklady na udržiavanie</t>
  </si>
  <si>
    <t>Dĺžka obdobia</t>
  </si>
  <si>
    <t>Cenník:</t>
  </si>
  <si>
    <t>náklady</t>
  </si>
  <si>
    <t>Náklady</t>
  </si>
  <si>
    <t>Zľava B:</t>
  </si>
  <si>
    <t>Cenník</t>
  </si>
  <si>
    <t>dolná medza</t>
  </si>
  <si>
    <t>horná medza</t>
  </si>
  <si>
    <t>Qd</t>
  </si>
  <si>
    <t>Qh</t>
  </si>
  <si>
    <t>Kč/jednotku</t>
  </si>
  <si>
    <t>%/100 za sledované obdobie</t>
  </si>
  <si>
    <t>dní</t>
  </si>
  <si>
    <t>jednotiek</t>
  </si>
  <si>
    <t>Q opt</t>
  </si>
  <si>
    <t>jednotky</t>
  </si>
  <si>
    <t>tisíce Kč</t>
  </si>
  <si>
    <t>dni</t>
  </si>
  <si>
    <t>Objednávací cyklus</t>
  </si>
  <si>
    <t>optimálna objednávka</t>
  </si>
  <si>
    <t>Náklady hranica</t>
  </si>
  <si>
    <t>Optimálna objednávka</t>
  </si>
  <si>
    <t>Qi optimálne</t>
  </si>
  <si>
    <t>Ai</t>
  </si>
  <si>
    <t>Prechodný nedostatok zásob na sklade:</t>
  </si>
  <si>
    <t>Kč</t>
  </si>
  <si>
    <t>mesiace</t>
  </si>
  <si>
    <t>fixné náklady</t>
  </si>
  <si>
    <t>skladovacie náklady</t>
  </si>
  <si>
    <t>0,2</t>
  </si>
  <si>
    <t>0,38</t>
  </si>
</sst>
</file>

<file path=xl/styles.xml><?xml version="1.0" encoding="utf-8"?>
<styleSheet xmlns="http://schemas.openxmlformats.org/spreadsheetml/2006/main">
  <numFmts count="3">
    <numFmt numFmtId="43" formatCode="_-* #,##0.00\ _S_k_-;\-* #,##0.00\ _S_k_-;_-* &quot;-&quot;??\ _S_k_-;_-@_-"/>
    <numFmt numFmtId="164" formatCode="0.0"/>
    <numFmt numFmtId="165" formatCode="_-* #,##0\ _S_k_-;\-* #,##0\ _S_k_-;_-* &quot;-&quot;??\ _S_k_-;_-@_-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2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/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/>
    </xf>
    <xf numFmtId="1" fontId="0" fillId="2" borderId="0" xfId="0" applyNumberFormat="1" applyFill="1"/>
    <xf numFmtId="165" fontId="0" fillId="2" borderId="0" xfId="1" applyNumberFormat="1" applyFont="1" applyFill="1"/>
    <xf numFmtId="165" fontId="0" fillId="0" borderId="0" xfId="1" applyNumberFormat="1" applyFont="1"/>
    <xf numFmtId="1" fontId="0" fillId="0" borderId="0" xfId="0" applyNumberFormat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400049</xdr:colOff>
      <xdr:row>2</xdr:row>
      <xdr:rowOff>9525</xdr:rowOff>
    </xdr:from>
    <xdr:to>
      <xdr:col>18</xdr:col>
      <xdr:colOff>355640</xdr:colOff>
      <xdr:row>38</xdr:row>
      <xdr:rowOff>38101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49" y="390525"/>
          <a:ext cx="10318791" cy="68865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"/>
  <sheetViews>
    <sheetView tabSelected="1" topLeftCell="A7" workbookViewId="0">
      <selection activeCell="U44" sqref="U44"/>
    </sheetView>
  </sheetViews>
  <sheetFormatPr defaultRowHeight="15"/>
  <sheetData/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L60"/>
  <sheetViews>
    <sheetView workbookViewId="0">
      <selection activeCell="D15" sqref="D15"/>
    </sheetView>
  </sheetViews>
  <sheetFormatPr defaultRowHeight="15"/>
  <cols>
    <col min="1" max="1" width="1.5703125" customWidth="1"/>
    <col min="2" max="2" width="10.7109375" customWidth="1"/>
    <col min="3" max="3" width="11.7109375" customWidth="1"/>
    <col min="4" max="4" width="11" customWidth="1"/>
    <col min="5" max="6" width="13" customWidth="1"/>
    <col min="7" max="7" width="14" customWidth="1"/>
    <col min="8" max="8" width="11" customWidth="1"/>
    <col min="9" max="9" width="10.85546875" customWidth="1"/>
    <col min="10" max="10" width="11.7109375" customWidth="1"/>
    <col min="11" max="11" width="12.7109375" customWidth="1"/>
    <col min="12" max="12" width="9.140625" customWidth="1"/>
  </cols>
  <sheetData>
    <row r="2" spans="2:12">
      <c r="B2" s="31" t="s">
        <v>21</v>
      </c>
      <c r="C2" s="31"/>
      <c r="D2" s="31"/>
    </row>
    <row r="3" spans="2:12">
      <c r="B3" s="4"/>
      <c r="C3" s="4"/>
    </row>
    <row r="4" spans="2:12">
      <c r="B4" s="38" t="s">
        <v>23</v>
      </c>
      <c r="C4" s="38"/>
      <c r="D4" s="38"/>
    </row>
    <row r="5" spans="2:12">
      <c r="B5" s="33" t="s">
        <v>22</v>
      </c>
      <c r="C5" s="34"/>
      <c r="D5" s="5">
        <v>1500</v>
      </c>
      <c r="E5" t="s">
        <v>35</v>
      </c>
    </row>
    <row r="6" spans="2:12">
      <c r="B6" s="29" t="s">
        <v>24</v>
      </c>
      <c r="C6" s="35"/>
      <c r="D6" s="6" t="s">
        <v>54</v>
      </c>
      <c r="E6" s="29" t="s">
        <v>36</v>
      </c>
      <c r="F6" s="30"/>
    </row>
    <row r="7" spans="2:12">
      <c r="B7" s="29" t="s">
        <v>25</v>
      </c>
      <c r="C7" s="35"/>
      <c r="D7" s="6">
        <v>365</v>
      </c>
      <c r="E7" t="s">
        <v>37</v>
      </c>
    </row>
    <row r="8" spans="2:12">
      <c r="B8" s="36" t="s">
        <v>0</v>
      </c>
      <c r="C8" s="37"/>
      <c r="D8" s="7">
        <v>5000</v>
      </c>
      <c r="E8" t="s">
        <v>38</v>
      </c>
    </row>
    <row r="10" spans="2:12">
      <c r="B10" s="4" t="s">
        <v>26</v>
      </c>
      <c r="C10" s="1"/>
      <c r="D10" s="1"/>
      <c r="E10" s="1"/>
      <c r="F10" s="31" t="s">
        <v>9</v>
      </c>
      <c r="G10" s="31"/>
      <c r="H10" s="1" t="s">
        <v>27</v>
      </c>
      <c r="I10" s="32" t="s">
        <v>45</v>
      </c>
      <c r="J10" s="32" t="s">
        <v>44</v>
      </c>
      <c r="K10" s="32" t="s">
        <v>43</v>
      </c>
      <c r="L10" s="18" t="s">
        <v>27</v>
      </c>
    </row>
    <row r="11" spans="2:12">
      <c r="B11" s="4" t="s">
        <v>1</v>
      </c>
      <c r="C11" s="4" t="s">
        <v>33</v>
      </c>
      <c r="D11" s="4" t="s">
        <v>34</v>
      </c>
      <c r="E11" s="4" t="s">
        <v>2</v>
      </c>
      <c r="F11" s="4" t="s">
        <v>39</v>
      </c>
      <c r="G11" s="4" t="s">
        <v>10</v>
      </c>
      <c r="H11" s="1" t="s">
        <v>3</v>
      </c>
      <c r="I11" s="32"/>
      <c r="J11" s="32"/>
      <c r="K11" s="32"/>
      <c r="L11" s="1" t="s">
        <v>3</v>
      </c>
    </row>
    <row r="12" spans="2:12" ht="15" customHeight="1">
      <c r="B12" s="10">
        <v>1</v>
      </c>
      <c r="C12" s="10">
        <v>0</v>
      </c>
      <c r="D12" s="10">
        <v>150</v>
      </c>
      <c r="E12" s="10">
        <v>450</v>
      </c>
      <c r="F12" s="15">
        <f>SQRT((2*$D$5*$D$8)/($D$6*E12))</f>
        <v>408.24829046386299</v>
      </c>
      <c r="G12" s="11" t="str">
        <f>IF(AND(F12&gt;C12,F12&lt;D12),"áno","nie")</f>
        <v>nie</v>
      </c>
      <c r="H12" s="15">
        <f>($D$8*E12+0.5*$D$5*$D$6+SQRT(2*$D$5*$D$6*$D$8*E12))/1000</f>
        <v>2286.8923461417476</v>
      </c>
      <c r="I12" s="10">
        <f>IF(G12="nie",10^6,(($D$8/D12)*($D$5+E13*D12)+0.5*$D$6*($D$5+E13*D12))/1000)</f>
        <v>1000000</v>
      </c>
      <c r="J12" s="11" t="str">
        <f>IF(G12="nie","-",IF(H12&gt;I12,D12,F12))</f>
        <v>-</v>
      </c>
      <c r="K12" s="11" t="str">
        <f>IF(J12="-","-",$D$7/($D$8/J12))</f>
        <v>-</v>
      </c>
      <c r="L12" s="11" t="str">
        <f>IF(G12="áno",H12,"-")</f>
        <v>-</v>
      </c>
    </row>
    <row r="13" spans="2:12" ht="15" customHeight="1">
      <c r="B13" s="10">
        <v>2</v>
      </c>
      <c r="C13" s="10">
        <f>D12</f>
        <v>150</v>
      </c>
      <c r="D13" s="10">
        <v>300</v>
      </c>
      <c r="E13" s="10">
        <v>425</v>
      </c>
      <c r="F13" s="15">
        <f t="shared" ref="F13:F15" si="0">SQRT((2*$D$5*$D$8)/($D$6*E13))</f>
        <v>420.08402520840298</v>
      </c>
      <c r="G13" s="11" t="str">
        <f t="shared" ref="G13:G15" si="1">IF(AND(F13&gt;C13,F13&lt;D13),"áno","nie")</f>
        <v>nie</v>
      </c>
      <c r="H13" s="15">
        <f>($D$8*E13+0.5*$D$5*$D$6+SQRT(2*$D$5*$D$6*$D$8*E13))/1000</f>
        <v>2160.8571421427146</v>
      </c>
      <c r="I13" s="10">
        <f>IF(G13="nie",10^6,(($D$8/D13)*($D$5+E14*D13)+0.5*$D$6*($D$5+E14*D13))/1000)</f>
        <v>1000000</v>
      </c>
      <c r="J13" s="11" t="str">
        <f t="shared" ref="J13:J14" si="2">IF(G13="nie","-",IF(H13&gt;I13,D13,F13))</f>
        <v>-</v>
      </c>
      <c r="K13" s="11" t="str">
        <f t="shared" ref="K13:K15" si="3">IF(J13="-","-",$D$7/($D$8/J13))</f>
        <v>-</v>
      </c>
      <c r="L13" s="11" t="str">
        <f t="shared" ref="L13:L15" si="4">IF(G13="áno",H13,"-")</f>
        <v>-</v>
      </c>
    </row>
    <row r="14" spans="2:12" ht="15" customHeight="1">
      <c r="B14" s="10">
        <v>3</v>
      </c>
      <c r="C14" s="10">
        <f>D13</f>
        <v>300</v>
      </c>
      <c r="D14" s="10">
        <v>450</v>
      </c>
      <c r="E14" s="10">
        <v>400</v>
      </c>
      <c r="F14" s="15">
        <f t="shared" si="0"/>
        <v>433.0127018922193</v>
      </c>
      <c r="G14" s="11" t="str">
        <f t="shared" si="1"/>
        <v>áno</v>
      </c>
      <c r="H14" s="15">
        <f>($D$8*E14+0.5*$D$5*$D$6+SQRT(2*$D$5*$D$6*$D$8*E14))/1000</f>
        <v>2034.7910161513776</v>
      </c>
      <c r="I14" s="10">
        <f>IF(G14="nie",10^6,(($D$8/D14)*($D$5+E15*D14)+0.5*$D$6*($D$5+E15*D14))/1000)</f>
        <v>1908.6916666666666</v>
      </c>
      <c r="J14" s="11">
        <f t="shared" si="2"/>
        <v>450</v>
      </c>
      <c r="K14" s="16">
        <f t="shared" si="3"/>
        <v>32.85</v>
      </c>
      <c r="L14" s="16">
        <f t="shared" si="4"/>
        <v>2034.7910161513776</v>
      </c>
    </row>
    <row r="15" spans="2:12" ht="15" customHeight="1">
      <c r="B15" s="10">
        <v>4</v>
      </c>
      <c r="C15" s="10">
        <f>D14</f>
        <v>450</v>
      </c>
      <c r="D15" s="10">
        <v>2000</v>
      </c>
      <c r="E15" s="10">
        <v>375</v>
      </c>
      <c r="F15" s="15">
        <f t="shared" si="0"/>
        <v>447.21359549995793</v>
      </c>
      <c r="G15" s="11" t="str">
        <f t="shared" si="1"/>
        <v>nie</v>
      </c>
      <c r="H15" s="15">
        <f>($D$8*E15+0.5*$D$5*$D$6+SQRT(2*$D$5*$D$6*$D$8*E15))/1000</f>
        <v>1908.691019662497</v>
      </c>
      <c r="I15" s="10"/>
      <c r="J15" s="16" t="str">
        <f>IF(G15="áno",F15,"-")</f>
        <v>-</v>
      </c>
      <c r="K15" s="16" t="str">
        <f t="shared" si="3"/>
        <v>-</v>
      </c>
      <c r="L15" s="11" t="str">
        <f t="shared" si="4"/>
        <v>-</v>
      </c>
    </row>
    <row r="16" spans="2:12">
      <c r="C16" s="3" t="s">
        <v>40</v>
      </c>
      <c r="D16" s="3" t="s">
        <v>40</v>
      </c>
      <c r="E16" s="3" t="s">
        <v>35</v>
      </c>
      <c r="F16" s="3" t="s">
        <v>40</v>
      </c>
      <c r="G16" s="3"/>
      <c r="H16" s="3" t="s">
        <v>41</v>
      </c>
      <c r="I16" s="3" t="s">
        <v>41</v>
      </c>
      <c r="J16" s="3" t="s">
        <v>40</v>
      </c>
      <c r="K16" s="3" t="s">
        <v>42</v>
      </c>
    </row>
    <row r="18" spans="2:12">
      <c r="H18" s="17"/>
      <c r="I18" s="14"/>
      <c r="J18" s="19">
        <f>MAX(J12:J15)</f>
        <v>450</v>
      </c>
      <c r="K18" s="19">
        <f>MAX(K12:K15)</f>
        <v>32.85</v>
      </c>
      <c r="L18" s="20">
        <f>MIN(L12:L15)</f>
        <v>2034.7910161513776</v>
      </c>
    </row>
    <row r="19" spans="2:12">
      <c r="J19" s="23">
        <f>ROUND(J18,0)</f>
        <v>450</v>
      </c>
      <c r="K19" s="23">
        <f t="shared" ref="K19:L19" si="5">ROUND(K18,0)</f>
        <v>33</v>
      </c>
      <c r="L19" s="23">
        <f t="shared" si="5"/>
        <v>2035</v>
      </c>
    </row>
    <row r="24" spans="2:12">
      <c r="B24" s="1"/>
    </row>
    <row r="52" spans="2:5">
      <c r="B52" s="1"/>
      <c r="C52" s="1"/>
      <c r="D52" s="1"/>
    </row>
    <row r="58" spans="2:5">
      <c r="E58" s="2"/>
    </row>
    <row r="59" spans="2:5">
      <c r="E59" s="2"/>
    </row>
    <row r="60" spans="2:5">
      <c r="E60" s="2"/>
    </row>
  </sheetData>
  <mergeCells count="11">
    <mergeCell ref="B2:D2"/>
    <mergeCell ref="B5:C5"/>
    <mergeCell ref="B6:C6"/>
    <mergeCell ref="B7:C7"/>
    <mergeCell ref="B8:C8"/>
    <mergeCell ref="B4:D4"/>
    <mergeCell ref="E6:F6"/>
    <mergeCell ref="F10:G10"/>
    <mergeCell ref="K10:K11"/>
    <mergeCell ref="J10:J11"/>
    <mergeCell ref="I10:I1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O17"/>
  <sheetViews>
    <sheetView topLeftCell="A3" workbookViewId="0">
      <selection activeCell="D26" sqref="D26"/>
    </sheetView>
  </sheetViews>
  <sheetFormatPr defaultRowHeight="15"/>
  <cols>
    <col min="1" max="1" width="7.28515625" customWidth="1"/>
    <col min="2" max="2" width="9.140625" customWidth="1"/>
    <col min="3" max="3" width="13.28515625" customWidth="1"/>
    <col min="4" max="4" width="12.5703125" customWidth="1"/>
    <col min="5" max="5" width="11.85546875" customWidth="1"/>
    <col min="6" max="6" width="14.5703125" customWidth="1"/>
    <col min="7" max="7" width="8.5703125" customWidth="1"/>
    <col min="8" max="8" width="9.85546875" customWidth="1"/>
    <col min="9" max="9" width="13.5703125" customWidth="1"/>
    <col min="10" max="10" width="14" customWidth="1"/>
    <col min="11" max="11" width="9.5703125" customWidth="1"/>
    <col min="12" max="12" width="11" customWidth="1"/>
    <col min="13" max="13" width="12.5703125" customWidth="1"/>
    <col min="14" max="14" width="12.28515625" customWidth="1"/>
    <col min="15" max="15" width="12.5703125" customWidth="1"/>
  </cols>
  <sheetData>
    <row r="2" spans="1:15">
      <c r="B2" s="31" t="s">
        <v>29</v>
      </c>
      <c r="C2" s="31"/>
      <c r="D2" s="31"/>
    </row>
    <row r="4" spans="1:15">
      <c r="A4" s="8"/>
      <c r="B4" s="40" t="s">
        <v>23</v>
      </c>
      <c r="C4" s="40"/>
      <c r="D4" s="40"/>
    </row>
    <row r="5" spans="1:15">
      <c r="B5" s="33" t="s">
        <v>22</v>
      </c>
      <c r="C5" s="34"/>
      <c r="D5" s="5">
        <v>50</v>
      </c>
      <c r="E5" t="s">
        <v>35</v>
      </c>
    </row>
    <row r="6" spans="1:15">
      <c r="B6" s="29" t="s">
        <v>24</v>
      </c>
      <c r="C6" s="35"/>
      <c r="D6" s="6" t="s">
        <v>55</v>
      </c>
      <c r="E6" s="29" t="s">
        <v>36</v>
      </c>
      <c r="F6" s="30"/>
    </row>
    <row r="7" spans="1:15">
      <c r="B7" s="29" t="s">
        <v>25</v>
      </c>
      <c r="C7" s="35"/>
      <c r="D7" s="6">
        <v>365</v>
      </c>
      <c r="E7" t="s">
        <v>37</v>
      </c>
    </row>
    <row r="8" spans="1:15">
      <c r="B8" s="36" t="s">
        <v>0</v>
      </c>
      <c r="C8" s="37"/>
      <c r="D8" s="7">
        <v>1500</v>
      </c>
      <c r="E8" t="s">
        <v>38</v>
      </c>
    </row>
    <row r="9" spans="1:15">
      <c r="B9" s="9"/>
      <c r="C9" s="9"/>
      <c r="D9" s="8"/>
    </row>
    <row r="10" spans="1:15">
      <c r="B10" s="1" t="s">
        <v>30</v>
      </c>
      <c r="C10" s="1" t="s">
        <v>31</v>
      </c>
      <c r="D10" s="1" t="s">
        <v>32</v>
      </c>
      <c r="E10" s="1" t="s">
        <v>2</v>
      </c>
      <c r="F10" s="39" t="s">
        <v>7</v>
      </c>
      <c r="G10" s="13" t="s">
        <v>8</v>
      </c>
      <c r="H10" s="13" t="s">
        <v>48</v>
      </c>
      <c r="I10" s="31" t="s">
        <v>9</v>
      </c>
      <c r="J10" s="31"/>
      <c r="K10" s="1" t="s">
        <v>28</v>
      </c>
      <c r="L10" s="32" t="s">
        <v>46</v>
      </c>
      <c r="M10" s="32" t="s">
        <v>43</v>
      </c>
      <c r="N10" s="24" t="s">
        <v>28</v>
      </c>
    </row>
    <row r="11" spans="1:15">
      <c r="B11" s="1" t="s">
        <v>1</v>
      </c>
      <c r="C11" s="1" t="s">
        <v>4</v>
      </c>
      <c r="D11" s="1" t="s">
        <v>5</v>
      </c>
      <c r="E11" s="1" t="s">
        <v>6</v>
      </c>
      <c r="F11" s="39"/>
      <c r="G11" s="1">
        <v>0</v>
      </c>
      <c r="H11" s="1"/>
      <c r="I11" s="1" t="s">
        <v>47</v>
      </c>
      <c r="J11" s="1" t="s">
        <v>10</v>
      </c>
      <c r="K11" s="1" t="s">
        <v>3</v>
      </c>
      <c r="L11" s="32"/>
      <c r="M11" s="32"/>
      <c r="N11" s="24" t="s">
        <v>3</v>
      </c>
    </row>
    <row r="12" spans="1:15">
      <c r="B12" s="10">
        <v>1</v>
      </c>
      <c r="C12" s="10">
        <v>0</v>
      </c>
      <c r="D12" s="10">
        <v>125</v>
      </c>
      <c r="E12" s="10">
        <v>87</v>
      </c>
      <c r="F12" s="10">
        <f>(D12-C12)*E12</f>
        <v>10875</v>
      </c>
      <c r="G12" s="10">
        <f>SUM($F12:F$12)</f>
        <v>10875</v>
      </c>
      <c r="H12" s="10">
        <f>$D$5+G11-C12*E12</f>
        <v>50</v>
      </c>
      <c r="I12" s="15">
        <f>SQRT((2*$D$8*H12)/(1*$D$6*E12))</f>
        <v>67.358778801799033</v>
      </c>
      <c r="J12" s="11" t="str">
        <f>IF(AND(I12&gt;C12,I12&lt;D12),"áno","nie")</f>
        <v>áno</v>
      </c>
      <c r="K12" s="15">
        <f>$D$8*E12+SQRT(2*$D$8*$D$6*E12*H12)</f>
        <v>132726.88122718746</v>
      </c>
      <c r="L12" s="16" t="str">
        <f>IF(AND(J12="áno",K12=$K$15),I12,"-")</f>
        <v>-</v>
      </c>
      <c r="M12" s="16" t="str">
        <f>IF(L12="-","-",$D$7/($D$8/L12))</f>
        <v>-</v>
      </c>
      <c r="N12" s="11" t="str">
        <f>IF(AND(J12="áno",K12=$K$15),K12,"-")</f>
        <v>-</v>
      </c>
      <c r="O12" s="28">
        <f>IF(J12="áno",K12,"-")</f>
        <v>132726.88122718746</v>
      </c>
    </row>
    <row r="13" spans="1:15">
      <c r="B13" s="10">
        <v>2</v>
      </c>
      <c r="C13" s="10">
        <f>D12</f>
        <v>125</v>
      </c>
      <c r="D13" s="10">
        <v>250</v>
      </c>
      <c r="E13" s="10">
        <v>83</v>
      </c>
      <c r="F13" s="10">
        <f>(D13-C13)*E13</f>
        <v>10375</v>
      </c>
      <c r="G13" s="10">
        <f>SUM($F12:F$13)</f>
        <v>21250</v>
      </c>
      <c r="H13" s="10">
        <f t="shared" ref="H13:H14" si="0">$D$5+G12-C13*E13</f>
        <v>550</v>
      </c>
      <c r="I13" s="15">
        <f t="shared" ref="I13:I14" si="1">SQRT((2*$D$8*H13)/(1*$D$6*E13))</f>
        <v>228.72367879794652</v>
      </c>
      <c r="J13" s="11" t="str">
        <f>IF(AND(I13&gt;C13,I13&lt;D13),"áno","nie")</f>
        <v>áno</v>
      </c>
      <c r="K13" s="15">
        <f>$D$8*E13+SQRT(2*$D$8*$D$6*E13*H13)+0.5*$D$6*(G12-C13*E13)</f>
        <v>131808.94482928724</v>
      </c>
      <c r="L13" s="16" t="str">
        <f t="shared" ref="L13" si="2">IF(AND(J13="áno",K13=$K$15),I13,"-")</f>
        <v>-</v>
      </c>
      <c r="M13" s="16" t="str">
        <f t="shared" ref="M13:M14" si="3">IF(L13="-","-",$D$7/($D$8/L13))</f>
        <v>-</v>
      </c>
      <c r="N13" s="11" t="str">
        <f t="shared" ref="N13:N14" si="4">IF(AND(J13="áno",K13=$K$15),K13,"-")</f>
        <v>-</v>
      </c>
      <c r="O13" s="28">
        <f t="shared" ref="O13:O14" si="5">IF(J13="áno",K13,"-")</f>
        <v>131808.94482928724</v>
      </c>
    </row>
    <row r="14" spans="1:15">
      <c r="B14" s="10">
        <v>3</v>
      </c>
      <c r="C14" s="10">
        <f>D13</f>
        <v>250</v>
      </c>
      <c r="D14" s="10">
        <v>1000</v>
      </c>
      <c r="E14" s="10">
        <v>78</v>
      </c>
      <c r="F14" s="10">
        <f>(D14-C14)*E14</f>
        <v>58500</v>
      </c>
      <c r="G14" s="10">
        <f>SUM($F12:F$14)</f>
        <v>79750</v>
      </c>
      <c r="H14" s="10">
        <f t="shared" si="0"/>
        <v>1800</v>
      </c>
      <c r="I14" s="15">
        <f t="shared" si="1"/>
        <v>426.83279491835413</v>
      </c>
      <c r="J14" s="11" t="str">
        <f>IF(AND(I14&gt;C14,I14&lt;D14),"áno","nie")</f>
        <v>áno</v>
      </c>
      <c r="K14" s="15">
        <f>$D$8*E14+SQRT(2*$D$8*$D$6*E14*H14)+0.5*$D$6*(G13-C14*E14)</f>
        <v>129983.82404138002</v>
      </c>
      <c r="L14" s="16">
        <f>IF(AND(J14="áno",K14=$K$15),I14,"-")</f>
        <v>426.83279491835413</v>
      </c>
      <c r="M14" s="16">
        <f t="shared" si="3"/>
        <v>103.86264676346617</v>
      </c>
      <c r="N14" s="16">
        <f t="shared" si="4"/>
        <v>129983.82404138002</v>
      </c>
      <c r="O14" s="3">
        <f t="shared" si="5"/>
        <v>129983.82404138002</v>
      </c>
    </row>
    <row r="15" spans="1:15">
      <c r="C15" s="3" t="s">
        <v>40</v>
      </c>
      <c r="D15" s="3" t="s">
        <v>40</v>
      </c>
      <c r="E15" s="3" t="s">
        <v>35</v>
      </c>
      <c r="F15" s="3"/>
      <c r="G15" s="3"/>
      <c r="H15" s="3"/>
      <c r="I15" s="3" t="s">
        <v>40</v>
      </c>
      <c r="K15" s="12">
        <f>MIN(K12:K14)</f>
        <v>129983.82404138002</v>
      </c>
      <c r="L15" s="3" t="s">
        <v>40</v>
      </c>
      <c r="M15" s="3" t="s">
        <v>37</v>
      </c>
    </row>
    <row r="16" spans="1:15">
      <c r="J16" s="3"/>
      <c r="K16" s="3"/>
      <c r="L16" s="23">
        <f>MIN(L12:L14)</f>
        <v>426.83279491835413</v>
      </c>
      <c r="M16" s="23">
        <f>MIN(M12:M14)</f>
        <v>103.86264676346617</v>
      </c>
      <c r="N16" s="23">
        <f>MIN(N12:N14)</f>
        <v>129983.82404138002</v>
      </c>
      <c r="O16" s="27">
        <f>MIN(O12:O14)</f>
        <v>129983.82404138002</v>
      </c>
    </row>
    <row r="17" spans="12:15">
      <c r="L17" s="25">
        <f>ROUND(L16,0)</f>
        <v>427</v>
      </c>
      <c r="M17" s="25">
        <f>ROUND(M16,0)</f>
        <v>104</v>
      </c>
      <c r="N17">
        <f>ROUND(N16,0)</f>
        <v>129984</v>
      </c>
      <c r="O17" s="26">
        <f>ROUND(O16,0)</f>
        <v>129984</v>
      </c>
    </row>
  </sheetData>
  <mergeCells count="11">
    <mergeCell ref="B2:D2"/>
    <mergeCell ref="B5:C5"/>
    <mergeCell ref="B6:C6"/>
    <mergeCell ref="B7:C7"/>
    <mergeCell ref="B8:C8"/>
    <mergeCell ref="B4:D4"/>
    <mergeCell ref="E6:F6"/>
    <mergeCell ref="F10:F11"/>
    <mergeCell ref="I10:J10"/>
    <mergeCell ref="L10:L11"/>
    <mergeCell ref="M10:M1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H10"/>
  <sheetViews>
    <sheetView workbookViewId="0"/>
  </sheetViews>
  <sheetFormatPr defaultRowHeight="15"/>
  <cols>
    <col min="1" max="1" width="9.140625" customWidth="1"/>
    <col min="2" max="2" width="19" customWidth="1"/>
    <col min="3" max="5" width="9.140625" customWidth="1"/>
    <col min="7" max="7" width="11.85546875" customWidth="1"/>
  </cols>
  <sheetData>
    <row r="2" spans="2:8">
      <c r="B2" s="31" t="s">
        <v>49</v>
      </c>
      <c r="C2" s="31"/>
      <c r="D2" s="31"/>
      <c r="E2" s="31"/>
      <c r="F2" s="31"/>
      <c r="G2" s="31"/>
    </row>
    <row r="4" spans="2:8">
      <c r="B4" t="s">
        <v>11</v>
      </c>
      <c r="C4">
        <v>18000</v>
      </c>
      <c r="D4" t="s">
        <v>40</v>
      </c>
      <c r="F4" t="s">
        <v>14</v>
      </c>
      <c r="G4" s="23">
        <f>SQRT(C8*C4*C5/C6)*SQRT((C6+C7)/C7)</f>
        <v>6196.773353931866</v>
      </c>
      <c r="H4" s="23">
        <f>ROUND(G4,0)</f>
        <v>6197</v>
      </c>
    </row>
    <row r="5" spans="2:8">
      <c r="B5" t="s">
        <v>52</v>
      </c>
      <c r="C5">
        <v>1000</v>
      </c>
      <c r="D5" t="s">
        <v>50</v>
      </c>
      <c r="F5" t="s">
        <v>15</v>
      </c>
      <c r="G5" s="23">
        <f>SQRT(C8*C4*C5/C6)*SQRT(C7/(C6+C7))</f>
        <v>5809.4750193111258</v>
      </c>
      <c r="H5" s="23">
        <f t="shared" ref="H5:H10" si="0">ROUND(G5,0)</f>
        <v>5809</v>
      </c>
    </row>
    <row r="6" spans="2:8">
      <c r="B6" t="s">
        <v>53</v>
      </c>
      <c r="C6">
        <v>1</v>
      </c>
      <c r="D6" t="s">
        <v>50</v>
      </c>
      <c r="F6" t="s">
        <v>16</v>
      </c>
      <c r="G6" s="22">
        <f>SQRT(C8*C4*C5/1)/C4*SQRT((C6+C7)/C7)*12</f>
        <v>4.1311822359545776</v>
      </c>
      <c r="H6" s="22">
        <f>ROUND(G6,1)</f>
        <v>4.0999999999999996</v>
      </c>
    </row>
    <row r="7" spans="2:8">
      <c r="B7" t="s">
        <v>13</v>
      </c>
      <c r="C7">
        <v>15</v>
      </c>
      <c r="D7" t="s">
        <v>50</v>
      </c>
      <c r="F7" t="s">
        <v>17</v>
      </c>
      <c r="G7" s="23">
        <f>G4*(C7/(C6+C7))</f>
        <v>5809.475019311124</v>
      </c>
      <c r="H7" s="23">
        <f t="shared" si="0"/>
        <v>5809</v>
      </c>
    </row>
    <row r="8" spans="2:8">
      <c r="B8" t="s">
        <v>12</v>
      </c>
      <c r="C8">
        <v>2</v>
      </c>
      <c r="D8" t="s">
        <v>51</v>
      </c>
      <c r="F8" s="2" t="s">
        <v>18</v>
      </c>
      <c r="G8" s="21">
        <f>C6/(C6+C7)*100</f>
        <v>6.25</v>
      </c>
      <c r="H8" s="22">
        <f>ROUND(G8,1)</f>
        <v>6.3</v>
      </c>
    </row>
    <row r="9" spans="2:8">
      <c r="F9" s="2" t="s">
        <v>19</v>
      </c>
      <c r="G9" s="22">
        <f>G6*(1-G8/100)</f>
        <v>3.8729833462074166</v>
      </c>
      <c r="H9" s="22">
        <f>ROUND(G9,1)</f>
        <v>3.9</v>
      </c>
    </row>
    <row r="10" spans="2:8">
      <c r="F10" s="2" t="s">
        <v>20</v>
      </c>
      <c r="G10" s="23">
        <f>C4*(C8/12)-(G4-G7)</f>
        <v>2612.701665379258</v>
      </c>
      <c r="H10" s="23">
        <f t="shared" si="0"/>
        <v>2613</v>
      </c>
    </row>
  </sheetData>
  <mergeCells count="1">
    <mergeCell ref="B2:G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zľava_A</vt:lpstr>
      <vt:lpstr>zľava_B</vt:lpstr>
      <vt:lpstr>prechodný_nedostatok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</dc:creator>
  <cp:lastModifiedBy>Fabian</cp:lastModifiedBy>
  <dcterms:created xsi:type="dcterms:W3CDTF">2012-03-26T10:11:12Z</dcterms:created>
  <dcterms:modified xsi:type="dcterms:W3CDTF">2012-05-27T17:40:35Z</dcterms:modified>
</cp:coreProperties>
</file>