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o\Desktop\VŠE\Bakalářská práce\"/>
    </mc:Choice>
  </mc:AlternateContent>
  <bookViews>
    <workbookView xWindow="0" yWindow="0" windowWidth="23040" windowHeight="9216"/>
  </bookViews>
  <sheets>
    <sheet name="DM-ČR" sheetId="3" r:id="rId1"/>
    <sheet name="DM-Nizozemsko" sheetId="4" r:id="rId2"/>
    <sheet name="SpD-ČR" sheetId="5" r:id="rId3"/>
    <sheet name="SpD-Nizozemsko" sheetId="6" r:id="rId4"/>
    <sheet name="P1-zaměstnanec" sheetId="1" r:id="rId5"/>
    <sheet name="P2-podnikatel" sheetId="2" r:id="rId6"/>
  </sheets>
  <externalReferences>
    <externalReference r:id="rId7"/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C15" i="4" s="1"/>
  <c r="D7" i="4"/>
  <c r="C2" i="4"/>
  <c r="C6" i="4" l="1"/>
  <c r="C7" i="4" s="1"/>
  <c r="C9" i="4"/>
  <c r="C3" i="4"/>
  <c r="C4" i="4"/>
  <c r="D10" i="4"/>
  <c r="C5" i="4"/>
  <c r="C8" i="4"/>
  <c r="B5" i="3" l="1"/>
  <c r="B8" i="3" s="1"/>
  <c r="L15" i="2" l="1"/>
  <c r="H13" i="2"/>
  <c r="H12" i="2"/>
  <c r="L10" i="2"/>
  <c r="C10" i="2"/>
  <c r="E9" i="2"/>
  <c r="E10" i="2" s="1"/>
  <c r="D9" i="2"/>
  <c r="D10" i="2" s="1"/>
  <c r="Q8" i="2"/>
  <c r="E8" i="2"/>
  <c r="D8" i="2"/>
  <c r="C8" i="2"/>
  <c r="B8" i="2"/>
  <c r="B10" i="2" s="1"/>
  <c r="Q7" i="2"/>
  <c r="Q9" i="2" s="1"/>
  <c r="Q6" i="2"/>
  <c r="Q5" i="2"/>
  <c r="Q16" i="2" s="1"/>
  <c r="O5" i="2"/>
  <c r="D5" i="2"/>
  <c r="Q4" i="2"/>
  <c r="S4" i="2" s="1"/>
  <c r="S5" i="2" s="1"/>
  <c r="E4" i="2"/>
  <c r="D4" i="2"/>
  <c r="C4" i="2"/>
  <c r="B4" i="2"/>
  <c r="S3" i="2"/>
  <c r="Q3" i="2"/>
  <c r="O3" i="2"/>
  <c r="O4" i="2" s="1"/>
  <c r="E3" i="2"/>
  <c r="E5" i="2" s="1"/>
  <c r="D3" i="2"/>
  <c r="C3" i="2"/>
  <c r="C5" i="2" s="1"/>
  <c r="B3" i="2"/>
  <c r="B5" i="2" s="1"/>
  <c r="L36" i="1"/>
  <c r="H32" i="1"/>
  <c r="H27" i="1"/>
  <c r="I13" i="1"/>
  <c r="I10" i="1"/>
  <c r="I12" i="1" s="1"/>
  <c r="I18" i="1" s="1"/>
  <c r="I9" i="1"/>
  <c r="P6" i="1"/>
  <c r="Q6" i="1" s="1"/>
  <c r="Q5" i="1"/>
  <c r="M5" i="1" s="1"/>
  <c r="M6" i="1" s="1"/>
  <c r="M14" i="1" s="1"/>
  <c r="P5" i="1"/>
  <c r="M3" i="1"/>
  <c r="L3" i="1"/>
  <c r="I3" i="1"/>
  <c r="I15" i="1" s="1"/>
  <c r="I17" i="1" s="1"/>
  <c r="I21" i="1" s="1"/>
  <c r="I22" i="1" s="1"/>
  <c r="G3" i="1"/>
  <c r="G9" i="1" s="1"/>
  <c r="D3" i="1"/>
  <c r="D6" i="1" s="1"/>
  <c r="B3" i="1"/>
  <c r="B9" i="1" s="1"/>
  <c r="Q18" i="2" l="1"/>
  <c r="O6" i="2"/>
  <c r="Q11" i="2"/>
  <c r="Q10" i="2"/>
  <c r="Q12" i="2" s="1"/>
  <c r="Q13" i="2" s="1"/>
  <c r="O18" i="2"/>
  <c r="O7" i="2"/>
  <c r="B14" i="1"/>
  <c r="B10" i="1"/>
  <c r="B12" i="1"/>
  <c r="H29" i="1"/>
  <c r="H30" i="1" s="1"/>
  <c r="D8" i="1"/>
  <c r="D12" i="1"/>
  <c r="D16" i="1" s="1"/>
  <c r="D17" i="1" s="1"/>
  <c r="M7" i="1"/>
  <c r="M8" i="1" s="1"/>
  <c r="H33" i="1"/>
  <c r="I14" i="1" s="1"/>
  <c r="G13" i="1"/>
  <c r="G10" i="1"/>
  <c r="G17" i="1"/>
  <c r="I19" i="1"/>
  <c r="I20" i="1" s="1"/>
  <c r="I23" i="1" s="1"/>
  <c r="D5" i="1"/>
  <c r="B4" i="1"/>
  <c r="B6" i="1" s="1"/>
  <c r="F29" i="1"/>
  <c r="H28" i="1" s="1"/>
  <c r="G4" i="1"/>
  <c r="G6" i="1" s="1"/>
  <c r="G8" i="1" s="1"/>
  <c r="Q17" i="2" l="1"/>
  <c r="Q19" i="2" s="1"/>
  <c r="Q15" i="2"/>
  <c r="Q21" i="2" s="1"/>
  <c r="Q14" i="2"/>
  <c r="O9" i="2"/>
  <c r="O8" i="2"/>
  <c r="O12" i="2" s="1"/>
  <c r="G11" i="1"/>
  <c r="G15" i="1"/>
  <c r="G21" i="1" s="1"/>
  <c r="G22" i="1" s="1"/>
  <c r="D13" i="1"/>
  <c r="D14" i="1" s="1"/>
  <c r="D15" i="1" s="1"/>
  <c r="D19" i="1" s="1"/>
  <c r="B11" i="1"/>
  <c r="B15" i="1" s="1"/>
  <c r="B16" i="1" s="1"/>
  <c r="G18" i="1"/>
  <c r="M11" i="1"/>
  <c r="M12" i="1" s="1"/>
  <c r="M9" i="1"/>
  <c r="M10" i="1" s="1"/>
  <c r="M13" i="1" s="1"/>
  <c r="M15" i="1" s="1"/>
  <c r="M16" i="1" s="1"/>
  <c r="O13" i="2" l="1"/>
  <c r="Q20" i="2"/>
  <c r="Q22" i="2" s="1"/>
  <c r="L4" i="1"/>
  <c r="L6" i="1" s="1"/>
  <c r="G20" i="1"/>
  <c r="G23" i="1" s="1"/>
  <c r="B13" i="1"/>
  <c r="B17" i="1" s="1"/>
  <c r="B18" i="1" s="1"/>
  <c r="B19" i="1" s="1"/>
  <c r="O17" i="2" l="1"/>
  <c r="O19" i="2" s="1"/>
  <c r="O20" i="2"/>
  <c r="O15" i="2"/>
  <c r="O14" i="2"/>
  <c r="L14" i="1"/>
  <c r="L7" i="1"/>
  <c r="L8" i="1" s="1"/>
  <c r="O24" i="2" l="1"/>
  <c r="O25" i="2" s="1"/>
  <c r="O21" i="2"/>
  <c r="O22" i="2" s="1"/>
  <c r="L11" i="1"/>
  <c r="L12" i="1" s="1"/>
  <c r="L9" i="1"/>
  <c r="L10" i="1" s="1"/>
  <c r="L13" i="1" s="1"/>
  <c r="L15" i="1" s="1"/>
  <c r="L16" i="1" s="1"/>
</calcChain>
</file>

<file path=xl/sharedStrings.xml><?xml version="1.0" encoding="utf-8"?>
<sst xmlns="http://schemas.openxmlformats.org/spreadsheetml/2006/main" count="326" uniqueCount="210">
  <si>
    <t>Česká republika</t>
  </si>
  <si>
    <t>Nizozemsko</t>
  </si>
  <si>
    <t>Měsíční mzda</t>
  </si>
  <si>
    <t>Roční mzda</t>
  </si>
  <si>
    <t xml:space="preserve">Superhrubá mzda </t>
  </si>
  <si>
    <t>Sazba DPFO</t>
  </si>
  <si>
    <t xml:space="preserve">Sazba DPFO 1 </t>
  </si>
  <si>
    <t>Zaměstnanec zaplatí</t>
  </si>
  <si>
    <t>Daň</t>
  </si>
  <si>
    <t>Max</t>
  </si>
  <si>
    <t>Daňové zvýhodnění na dítě</t>
  </si>
  <si>
    <t>Daň před slevami</t>
  </si>
  <si>
    <t>VZ</t>
  </si>
  <si>
    <t>Sazba DPFO 2</t>
  </si>
  <si>
    <t>Přímé daně celkem</t>
  </si>
  <si>
    <t>Základní sleva</t>
  </si>
  <si>
    <t>Sazba zaměstnance SP</t>
  </si>
  <si>
    <t>Disponibilní příjem</t>
  </si>
  <si>
    <t>SP zaměstnanec</t>
  </si>
  <si>
    <t>Sazba DPFO 3</t>
  </si>
  <si>
    <t>Celková spotřeba</t>
  </si>
  <si>
    <t>Produkty podléhající základní sazbě DPH</t>
  </si>
  <si>
    <t>VZP 13,5 %</t>
  </si>
  <si>
    <t>Zaměstnanecká sleva</t>
  </si>
  <si>
    <t>VZ zaměstnance</t>
  </si>
  <si>
    <t>DPH základní sazba</t>
  </si>
  <si>
    <t>VZP</t>
  </si>
  <si>
    <t>Zaměsnavatel sazba VZP</t>
  </si>
  <si>
    <t>Produkty podléhající snížené sazbě DPH</t>
  </si>
  <si>
    <t>SZ</t>
  </si>
  <si>
    <t>Zamětsnavatel VZP</t>
  </si>
  <si>
    <t>Sazba SZ zam</t>
  </si>
  <si>
    <t>DPH snížená sazba</t>
  </si>
  <si>
    <t xml:space="preserve">Zamětsnavatel VZP </t>
  </si>
  <si>
    <t>Zaměstnanec daň i SP</t>
  </si>
  <si>
    <t>Nepřímé daně celkem</t>
  </si>
  <si>
    <t>Zamětsnavatel SZ 25%</t>
  </si>
  <si>
    <t>Zatížení přímých daní</t>
  </si>
  <si>
    <t>Daňové zatížení v %</t>
  </si>
  <si>
    <t>VZ zaměstnavatele</t>
  </si>
  <si>
    <t>Zatížení nepřímých daní</t>
  </si>
  <si>
    <t>Zaměstnavatel zaplatí</t>
  </si>
  <si>
    <t>Zaměstnavatel sazba SZ</t>
  </si>
  <si>
    <t>Celkové zatížení</t>
  </si>
  <si>
    <t>Zatížení zaměstnavatele</t>
  </si>
  <si>
    <t>Zamětsnavatel SZ</t>
  </si>
  <si>
    <t>Celkové zatížení ze mzdy</t>
  </si>
  <si>
    <t>Kategorie</t>
  </si>
  <si>
    <t>Podíl v roce 2015</t>
  </si>
  <si>
    <t>Bydlení, voda, energie, paliva</t>
  </si>
  <si>
    <t>Potraviny a nealkoholické nápoje</t>
  </si>
  <si>
    <t>Doprava</t>
  </si>
  <si>
    <t>Rekreace a kultura</t>
  </si>
  <si>
    <t>Bytové vybavení, zařízení domácnosti, opravy</t>
  </si>
  <si>
    <t>Stravování a ubytování</t>
  </si>
  <si>
    <t>Odívání a obuv</t>
  </si>
  <si>
    <t>Pošty a telekomunikace</t>
  </si>
  <si>
    <t>Alkoholické nápoje a tabák</t>
  </si>
  <si>
    <t>Zdraví</t>
  </si>
  <si>
    <t>Vzdělávání</t>
  </si>
  <si>
    <t>Ostatní zboží a služby</t>
  </si>
  <si>
    <t>Název</t>
  </si>
  <si>
    <t>Tullamore dew CZ</t>
  </si>
  <si>
    <t>Tullamore dew NL</t>
  </si>
  <si>
    <t>Marlboro CZ</t>
  </si>
  <si>
    <t>Marlboro NL</t>
  </si>
  <si>
    <t>Cena za jednotku</t>
  </si>
  <si>
    <t>DPH za jednotku</t>
  </si>
  <si>
    <t>Příjmy</t>
  </si>
  <si>
    <t>Cena celkem</t>
  </si>
  <si>
    <t>Výdaje</t>
  </si>
  <si>
    <t>DPH celkem</t>
  </si>
  <si>
    <t>Účetní zisk</t>
  </si>
  <si>
    <t>Sazba %</t>
  </si>
  <si>
    <t>Paušální výdaje</t>
  </si>
  <si>
    <t xml:space="preserve">Odpočet </t>
  </si>
  <si>
    <t>Sazba pevná</t>
  </si>
  <si>
    <t>28 500 Kč/hl</t>
  </si>
  <si>
    <t>1686 €/hl</t>
  </si>
  <si>
    <t>1,39 Kč/ks</t>
  </si>
  <si>
    <t>0,17828 €/ks</t>
  </si>
  <si>
    <t>Zisk před daní</t>
  </si>
  <si>
    <t>Spotřební pevná</t>
  </si>
  <si>
    <t>Spotřební z %</t>
  </si>
  <si>
    <t>SP celkem</t>
  </si>
  <si>
    <t>Spotřební celkem</t>
  </si>
  <si>
    <t xml:space="preserve">Sleva </t>
  </si>
  <si>
    <t>Sleva</t>
  </si>
  <si>
    <t>Daň + SP</t>
  </si>
  <si>
    <t>Čistý zisk</t>
  </si>
  <si>
    <t>Celkové daňové zatížení</t>
  </si>
  <si>
    <t>Zatížení přímých</t>
  </si>
  <si>
    <t>Zatížení nepřímých</t>
  </si>
  <si>
    <t xml:space="preserve">Celkové zatížení </t>
  </si>
  <si>
    <t>DPFO</t>
  </si>
  <si>
    <t>DPPO</t>
  </si>
  <si>
    <t>Sociální pojištění</t>
  </si>
  <si>
    <t>Majetkové daně</t>
  </si>
  <si>
    <t>Spotřební daně</t>
  </si>
  <si>
    <t>DPH</t>
  </si>
  <si>
    <t>Další</t>
  </si>
  <si>
    <t>Celkem</t>
  </si>
  <si>
    <t>Daně z majetku</t>
  </si>
  <si>
    <t>Ostatní</t>
  </si>
  <si>
    <t>Taxes on goods and services</t>
  </si>
  <si>
    <t xml:space="preserve">Sazba daně v Kč/hl za každé celé procento </t>
  </si>
  <si>
    <t>Základní sazba</t>
  </si>
  <si>
    <t>Snížené sazby pro malé nezávislé pivovary</t>
  </si>
  <si>
    <t>Velikostní skupina podle výroby v hl ročně</t>
  </si>
  <si>
    <t>&lt;10 000</t>
  </si>
  <si>
    <t>10 000 - 50 000</t>
  </si>
  <si>
    <t>50 000 - 100 000</t>
  </si>
  <si>
    <t>100 000 - 150 000</t>
  </si>
  <si>
    <t>150 000 - 200 000</t>
  </si>
  <si>
    <t>Text</t>
  </si>
  <si>
    <t>Sazba daně</t>
  </si>
  <si>
    <t>Šumivá vína</t>
  </si>
  <si>
    <t>2 340 Kč / hl</t>
  </si>
  <si>
    <t>Tichá vína</t>
  </si>
  <si>
    <t>0 Kč / hl</t>
  </si>
  <si>
    <t>Meziprodukty</t>
  </si>
  <si>
    <t>benzín a letecký benzín s obsahem olov do 0,013 g/l</t>
  </si>
  <si>
    <t>12 840 Kč / 1000 l</t>
  </si>
  <si>
    <t>benzín a letecký benzín s obsahem olov nad 0,013 g/l</t>
  </si>
  <si>
    <t>13 710 Kč / 1000 l</t>
  </si>
  <si>
    <t>střední oleje a těžké plynové oleje</t>
  </si>
  <si>
    <t>10 950 Kč / 1000 l</t>
  </si>
  <si>
    <t xml:space="preserve">líh </t>
  </si>
  <si>
    <t>28 500 Kč / hl etanolu</t>
  </si>
  <si>
    <t xml:space="preserve">těžké topné oleje </t>
  </si>
  <si>
    <t>472 Kč / t</t>
  </si>
  <si>
    <t xml:space="preserve">líh obsažený v ovocných destilátech </t>
  </si>
  <si>
    <t>14 300 Kč / hl etanolu</t>
  </si>
  <si>
    <t xml:space="preserve">odpadní oleje </t>
  </si>
  <si>
    <t>660 Kč / 1000 l</t>
  </si>
  <si>
    <t>zkapalněné ropné plyny a zkapalněný bioplyn </t>
  </si>
  <si>
    <t>3 933 Kč / t</t>
  </si>
  <si>
    <t xml:space="preserve">zkapalněné ropné plyny a zkapalněný bioplyn </t>
  </si>
  <si>
    <t>0 Kč / t</t>
  </si>
  <si>
    <t>zkapalněné ropné plyny a zkapalněný bioplyn</t>
  </si>
  <si>
    <t>1 290 Kč / t</t>
  </si>
  <si>
    <t>Procentní část</t>
  </si>
  <si>
    <t>Pevná část</t>
  </si>
  <si>
    <t>Minimální</t>
  </si>
  <si>
    <t>cigarety</t>
  </si>
  <si>
    <t>1,39 Kč / kus</t>
  </si>
  <si>
    <t> celkem nejméně však 2,52 Kč / kus</t>
  </si>
  <si>
    <t>doutníky, cigarillos</t>
  </si>
  <si>
    <t>1,64 Kč / kus</t>
  </si>
  <si>
    <t>předmět daně</t>
  </si>
  <si>
    <t>sazba daně</t>
  </si>
  <si>
    <t>tabák ke kouření</t>
  </si>
  <si>
    <t>2 142 Kč / kg</t>
  </si>
  <si>
    <t>zemní plyn</t>
  </si>
  <si>
    <t>68,40 Kč/MWh</t>
  </si>
  <si>
    <t>spalné teplo pro plyn</t>
  </si>
  <si>
    <t>30,60 Kč/MWh</t>
  </si>
  <si>
    <t xml:space="preserve">pevná paliva </t>
  </si>
  <si>
    <t>8,50 Kč/GJ</t>
  </si>
  <si>
    <t xml:space="preserve">elektřina </t>
  </si>
  <si>
    <t>28,30 Kč/MWh</t>
  </si>
  <si>
    <t>Beer</t>
  </si>
  <si>
    <t>Standartní</t>
  </si>
  <si>
    <t>Snížená</t>
  </si>
  <si>
    <t>Benzín</t>
  </si>
  <si>
    <t>Uhlí</t>
  </si>
  <si>
    <t>&lt;7°</t>
  </si>
  <si>
    <t>Olovnatý</t>
  </si>
  <si>
    <t>&gt;7°&lt;11°</t>
  </si>
  <si>
    <t>Neolovnatý</t>
  </si>
  <si>
    <t>&lt;11°&gt;15°</t>
  </si>
  <si>
    <t>&gt;15°</t>
  </si>
  <si>
    <t>euro za 1000 l</t>
  </si>
  <si>
    <t>euro za Gigajoule</t>
  </si>
  <si>
    <t>euro za 1000 kg</t>
  </si>
  <si>
    <t>euro za hl</t>
  </si>
  <si>
    <t>&lt;jak 200000 hl</t>
  </si>
  <si>
    <t>Gas oil+petrolej</t>
  </si>
  <si>
    <t>Elektřina</t>
  </si>
  <si>
    <t>Podnikání</t>
  </si>
  <si>
    <t>Nepodnikání</t>
  </si>
  <si>
    <t>Víno a ostatní kvašené nápoje</t>
  </si>
  <si>
    <t>0- 10.000 kWh</t>
  </si>
  <si>
    <t>Obě</t>
  </si>
  <si>
    <t>Těžký topný olej</t>
  </si>
  <si>
    <t>10.000 - 50.000 kWh</t>
  </si>
  <si>
    <t>Tiché</t>
  </si>
  <si>
    <t>50.000 - 10.000. 000 kWh</t>
  </si>
  <si>
    <t>Šumivé</t>
  </si>
  <si>
    <t>&gt;10.00 0.000 kWh</t>
  </si>
  <si>
    <t>&lt;8,35% alkoholu</t>
  </si>
  <si>
    <t>euro za MWh</t>
  </si>
  <si>
    <t>Zkapalněný ropný plyn</t>
  </si>
  <si>
    <t xml:space="preserve"> odpadní sběr, vysoušení kanálů a čištění ulic</t>
  </si>
  <si>
    <t>Cigarety</t>
  </si>
  <si>
    <t>Still &gt;15%-22%</t>
  </si>
  <si>
    <t>kusy</t>
  </si>
  <si>
    <t>Sparkling &gt;15%-22%</t>
  </si>
  <si>
    <t>Still &lt;=15%</t>
  </si>
  <si>
    <t>euro za 1000 kusů</t>
  </si>
  <si>
    <t>Zemní plyn</t>
  </si>
  <si>
    <t>zahradnictví</t>
  </si>
  <si>
    <t>0-170.000 m</t>
  </si>
  <si>
    <t>Doutníky</t>
  </si>
  <si>
    <t>170.000-1000.000 m</t>
  </si>
  <si>
    <t>Ethyl alkohol</t>
  </si>
  <si>
    <t>1000.000-10.000.000 m</t>
  </si>
  <si>
    <t>&gt;10.000.000 m</t>
  </si>
  <si>
    <t>Tabák</t>
  </si>
  <si>
    <t>euro za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</si>
</sst>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č&quot;;[Red]\-#,##0.00\ &quot;Kč&quot;"/>
    <numFmt numFmtId="164" formatCode="[$€-2]\ #,##0.00"/>
    <numFmt numFmtId="165" formatCode="#,##0.00\ &quot;Kč&quot;"/>
    <numFmt numFmtId="166" formatCode="[$€-426]\ #,##0.00"/>
    <numFmt numFmtId="167" formatCode="#,##0\ [$€-1];[Red]\-#,##0\ [$€-1]"/>
    <numFmt numFmtId="168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7"/>
      <color rgb="FF1111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/>
    <xf numFmtId="164" fontId="2" fillId="0" borderId="4" xfId="0" applyNumberFormat="1" applyFont="1" applyBorder="1" applyAlignment="1"/>
    <xf numFmtId="0" fontId="3" fillId="0" borderId="5" xfId="0" applyFont="1" applyBorder="1" applyAlignment="1">
      <alignment horizontal="left"/>
    </xf>
    <xf numFmtId="165" fontId="4" fillId="0" borderId="6" xfId="0" applyNumberFormat="1" applyFont="1" applyBorder="1"/>
    <xf numFmtId="0" fontId="3" fillId="0" borderId="7" xfId="0" applyFont="1" applyBorder="1" applyAlignment="1">
      <alignment horizontal="left"/>
    </xf>
    <xf numFmtId="166" fontId="4" fillId="0" borderId="6" xfId="0" applyNumberFormat="1" applyFont="1" applyBorder="1"/>
    <xf numFmtId="165" fontId="3" fillId="0" borderId="6" xfId="0" applyNumberFormat="1" applyFont="1" applyBorder="1"/>
    <xf numFmtId="0" fontId="3" fillId="0" borderId="7" xfId="0" applyFont="1" applyBorder="1"/>
    <xf numFmtId="164" fontId="3" fillId="0" borderId="6" xfId="0" applyNumberFormat="1" applyFont="1" applyBorder="1"/>
    <xf numFmtId="165" fontId="3" fillId="0" borderId="4" xfId="0" applyNumberFormat="1" applyFont="1" applyBorder="1"/>
    <xf numFmtId="164" fontId="3" fillId="0" borderId="4" xfId="0" applyNumberFormat="1" applyFont="1" applyBorder="1"/>
    <xf numFmtId="0" fontId="3" fillId="0" borderId="8" xfId="0" applyFont="1" applyBorder="1" applyAlignment="1">
      <alignment horizontal="left"/>
    </xf>
    <xf numFmtId="165" fontId="4" fillId="0" borderId="9" xfId="0" applyNumberFormat="1" applyFont="1" applyBorder="1"/>
    <xf numFmtId="0" fontId="3" fillId="0" borderId="10" xfId="0" applyFont="1" applyBorder="1" applyAlignment="1">
      <alignment horizontal="left"/>
    </xf>
    <xf numFmtId="166" fontId="4" fillId="0" borderId="9" xfId="0" applyNumberFormat="1" applyFont="1" applyBorder="1"/>
    <xf numFmtId="165" fontId="3" fillId="0" borderId="9" xfId="0" applyNumberFormat="1" applyFont="1" applyBorder="1"/>
    <xf numFmtId="0" fontId="3" fillId="0" borderId="10" xfId="0" applyFont="1" applyBorder="1"/>
    <xf numFmtId="164" fontId="3" fillId="0" borderId="9" xfId="0" applyNumberFormat="1" applyFont="1" applyBorder="1"/>
    <xf numFmtId="9" fontId="3" fillId="0" borderId="10" xfId="0" applyNumberFormat="1" applyFont="1" applyBorder="1" applyAlignment="1">
      <alignment horizontal="left"/>
    </xf>
    <xf numFmtId="10" fontId="4" fillId="0" borderId="9" xfId="1" applyNumberFormat="1" applyFont="1" applyBorder="1"/>
    <xf numFmtId="9" fontId="3" fillId="0" borderId="10" xfId="0" applyNumberFormat="1" applyFont="1" applyBorder="1"/>
    <xf numFmtId="10" fontId="3" fillId="0" borderId="9" xfId="1" applyNumberFormat="1" applyFont="1" applyBorder="1"/>
    <xf numFmtId="165" fontId="2" fillId="0" borderId="10" xfId="0" applyNumberFormat="1" applyFont="1" applyBorder="1" applyAlignment="1">
      <alignment horizontal="left"/>
    </xf>
    <xf numFmtId="166" fontId="5" fillId="0" borderId="9" xfId="0" applyNumberFormat="1" applyFont="1" applyBorder="1"/>
    <xf numFmtId="9" fontId="3" fillId="0" borderId="9" xfId="0" applyNumberFormat="1" applyFont="1" applyBorder="1"/>
    <xf numFmtId="167" fontId="3" fillId="0" borderId="0" xfId="0" applyNumberFormat="1" applyFont="1"/>
    <xf numFmtId="164" fontId="0" fillId="0" borderId="0" xfId="0" applyNumberFormat="1"/>
    <xf numFmtId="165" fontId="3" fillId="0" borderId="10" xfId="0" applyNumberFormat="1" applyFont="1" applyBorder="1" applyAlignment="1">
      <alignment horizontal="left"/>
    </xf>
    <xf numFmtId="0" fontId="2" fillId="0" borderId="4" xfId="0" applyFont="1" applyBorder="1"/>
    <xf numFmtId="165" fontId="2" fillId="0" borderId="4" xfId="0" applyNumberFormat="1" applyFont="1" applyBorder="1"/>
    <xf numFmtId="164" fontId="2" fillId="0" borderId="4" xfId="0" applyNumberFormat="1" applyFont="1" applyBorder="1"/>
    <xf numFmtId="0" fontId="2" fillId="0" borderId="8" xfId="0" applyFont="1" applyBorder="1" applyAlignment="1">
      <alignment horizontal="left"/>
    </xf>
    <xf numFmtId="165" fontId="5" fillId="0" borderId="9" xfId="0" applyNumberFormat="1" applyFont="1" applyBorder="1"/>
    <xf numFmtId="165" fontId="2" fillId="0" borderId="9" xfId="0" applyNumberFormat="1" applyFont="1" applyBorder="1"/>
    <xf numFmtId="168" fontId="3" fillId="0" borderId="10" xfId="1" applyNumberFormat="1" applyFont="1" applyBorder="1" applyAlignment="1">
      <alignment horizontal="left"/>
    </xf>
    <xf numFmtId="165" fontId="2" fillId="0" borderId="10" xfId="0" applyNumberFormat="1" applyFont="1" applyBorder="1"/>
    <xf numFmtId="164" fontId="2" fillId="0" borderId="9" xfId="0" applyNumberFormat="1" applyFont="1" applyBorder="1"/>
    <xf numFmtId="165" fontId="0" fillId="0" borderId="0" xfId="0" applyNumberFormat="1"/>
    <xf numFmtId="165" fontId="3" fillId="0" borderId="10" xfId="0" applyNumberFormat="1" applyFont="1" applyBorder="1"/>
    <xf numFmtId="10" fontId="2" fillId="0" borderId="9" xfId="1" applyNumberFormat="1" applyFont="1" applyBorder="1"/>
    <xf numFmtId="168" fontId="3" fillId="0" borderId="9" xfId="1" applyNumberFormat="1" applyFont="1" applyBorder="1"/>
    <xf numFmtId="168" fontId="3" fillId="0" borderId="10" xfId="1" applyNumberFormat="1" applyFont="1" applyBorder="1"/>
    <xf numFmtId="0" fontId="2" fillId="0" borderId="10" xfId="0" applyFont="1" applyBorder="1" applyAlignment="1">
      <alignment horizontal="left"/>
    </xf>
    <xf numFmtId="10" fontId="3" fillId="0" borderId="4" xfId="1" applyNumberFormat="1" applyFont="1" applyBorder="1"/>
    <xf numFmtId="10" fontId="5" fillId="0" borderId="9" xfId="1" applyNumberFormat="1" applyFont="1" applyBorder="1"/>
    <xf numFmtId="10" fontId="2" fillId="0" borderId="4" xfId="1" applyNumberFormat="1" applyFont="1" applyBorder="1"/>
    <xf numFmtId="0" fontId="2" fillId="0" borderId="11" xfId="0" applyFont="1" applyFill="1" applyBorder="1" applyAlignment="1">
      <alignment horizontal="left"/>
    </xf>
    <xf numFmtId="10" fontId="5" fillId="0" borderId="12" xfId="0" applyNumberFormat="1" applyFont="1" applyBorder="1"/>
    <xf numFmtId="0" fontId="2" fillId="0" borderId="13" xfId="0" applyFont="1" applyFill="1" applyBorder="1" applyAlignment="1">
      <alignment horizontal="left"/>
    </xf>
    <xf numFmtId="0" fontId="2" fillId="0" borderId="10" xfId="0" applyFont="1" applyBorder="1"/>
    <xf numFmtId="10" fontId="0" fillId="0" borderId="12" xfId="0" applyNumberFormat="1" applyBorder="1"/>
    <xf numFmtId="0" fontId="6" fillId="2" borderId="1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10" fontId="7" fillId="2" borderId="14" xfId="0" applyNumberFormat="1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9" fontId="7" fillId="2" borderId="14" xfId="0" applyNumberFormat="1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10" fontId="7" fillId="2" borderId="15" xfId="0" applyNumberFormat="1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10" fontId="0" fillId="0" borderId="0" xfId="0" applyNumberForma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/>
    <xf numFmtId="0" fontId="2" fillId="0" borderId="4" xfId="0" applyFont="1" applyBorder="1" applyAlignment="1">
      <alignment horizontal="right" vertical="center"/>
    </xf>
    <xf numFmtId="10" fontId="2" fillId="0" borderId="4" xfId="0" applyNumberFormat="1" applyFont="1" applyBorder="1"/>
    <xf numFmtId="9" fontId="0" fillId="0" borderId="0" xfId="1" applyFont="1"/>
    <xf numFmtId="0" fontId="0" fillId="0" borderId="0" xfId="0" applyAlignment="1"/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vertical="top"/>
    </xf>
    <xf numFmtId="0" fontId="7" fillId="3" borderId="22" xfId="0" applyFont="1" applyFill="1" applyBorder="1" applyAlignment="1">
      <alignment vertical="top" wrapText="1"/>
    </xf>
    <xf numFmtId="8" fontId="7" fillId="3" borderId="22" xfId="0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8" fillId="3" borderId="19" xfId="0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9" fontId="7" fillId="3" borderId="4" xfId="0" applyNumberFormat="1" applyFont="1" applyFill="1" applyBorder="1" applyAlignment="1">
      <alignment vertical="top"/>
    </xf>
    <xf numFmtId="0" fontId="7" fillId="3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/>
    <xf numFmtId="0" fontId="10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wrapText="1"/>
    </xf>
    <xf numFmtId="9" fontId="0" fillId="0" borderId="0" xfId="0" applyNumberForma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Daňový mix ČR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282560706401765E-2"/>
          <c:y val="0.16364537766112569"/>
          <c:w val="0.82939962802662914"/>
          <c:h val="0.8363546223388742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3E7-49EA-91F0-C624C243DCD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3E7-49EA-91F0-C624C243DCD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3E7-49EA-91F0-C624C243DCDD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3E7-49EA-91F0-C624C243DCD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3E7-49EA-91F0-C624C243DCDD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A3E7-49EA-91F0-C624C243DCDD}"/>
              </c:ext>
            </c:extLst>
          </c:dPt>
          <c:dPt>
            <c:idx val="6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A3E7-49EA-91F0-C624C243DCD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[2]List1!$A$1:$A$7</c:f>
              <c:strCache>
                <c:ptCount val="7"/>
                <c:pt idx="0">
                  <c:v>DPFO</c:v>
                </c:pt>
                <c:pt idx="1">
                  <c:v>DPPO</c:v>
                </c:pt>
                <c:pt idx="2">
                  <c:v>Sociální pojištění</c:v>
                </c:pt>
                <c:pt idx="3">
                  <c:v>Majetkové daně</c:v>
                </c:pt>
                <c:pt idx="4">
                  <c:v>Spotřební daně</c:v>
                </c:pt>
                <c:pt idx="5">
                  <c:v>DPH</c:v>
                </c:pt>
                <c:pt idx="6">
                  <c:v>Další</c:v>
                </c:pt>
              </c:strCache>
            </c:strRef>
          </c:cat>
          <c:val>
            <c:numRef>
              <c:f>[2]List1!$B$1:$B$7</c:f>
              <c:numCache>
                <c:formatCode>General</c:formatCode>
                <c:ptCount val="7"/>
                <c:pt idx="0">
                  <c:v>149831</c:v>
                </c:pt>
                <c:pt idx="1">
                  <c:v>140432</c:v>
                </c:pt>
                <c:pt idx="2">
                  <c:v>603072</c:v>
                </c:pt>
                <c:pt idx="3">
                  <c:v>19210</c:v>
                </c:pt>
                <c:pt idx="4">
                  <c:v>169564</c:v>
                </c:pt>
                <c:pt idx="5">
                  <c:v>308822</c:v>
                </c:pt>
                <c:pt idx="6">
                  <c:v>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3E7-49EA-91F0-C624C243DC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Tax</a:t>
            </a:r>
            <a:r>
              <a:rPr lang="cs-CZ" baseline="0"/>
              <a:t> revenue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AD0-4C78-BD05-E1EDAD8469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AD0-4C78-BD05-E1EDAD84698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AD0-4C78-BD05-E1EDAD84698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AD0-4C78-BD05-E1EDAD84698B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AD0-4C78-BD05-E1EDAD84698B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DAD0-4C78-BD05-E1EDAD84698B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DAD0-4C78-BD05-E1EDAD84698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[3]List1!$B$2:$B$8</c:f>
              <c:strCache>
                <c:ptCount val="7"/>
                <c:pt idx="0">
                  <c:v>DPFO</c:v>
                </c:pt>
                <c:pt idx="1">
                  <c:v>DPPO</c:v>
                </c:pt>
                <c:pt idx="2">
                  <c:v>Sociální pojištění</c:v>
                </c:pt>
                <c:pt idx="3">
                  <c:v>Daně z majetku</c:v>
                </c:pt>
                <c:pt idx="4">
                  <c:v>DPH</c:v>
                </c:pt>
                <c:pt idx="5">
                  <c:v>Spotřební daně</c:v>
                </c:pt>
                <c:pt idx="6">
                  <c:v>Ostatní</c:v>
                </c:pt>
              </c:strCache>
            </c:strRef>
          </c:cat>
          <c:val>
            <c:numRef>
              <c:f>[3]List1!$C$2:$C$8</c:f>
              <c:numCache>
                <c:formatCode>General</c:formatCode>
                <c:ptCount val="7"/>
                <c:pt idx="0">
                  <c:v>0.19535631856509156</c:v>
                </c:pt>
                <c:pt idx="1">
                  <c:v>5.2137743839351915E-2</c:v>
                </c:pt>
                <c:pt idx="2">
                  <c:v>0.40845630893089768</c:v>
                </c:pt>
                <c:pt idx="3">
                  <c:v>3.3857908207076522E-2</c:v>
                </c:pt>
                <c:pt idx="4">
                  <c:v>0.17770479992292645</c:v>
                </c:pt>
                <c:pt idx="5">
                  <c:v>0.1185257170144052</c:v>
                </c:pt>
                <c:pt idx="6">
                  <c:v>1.3961203520250657E-2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D0-4C78-BD05-E1EDAD84698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DAD0-4C78-BD05-E1EDAD8469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DAD0-4C78-BD05-E1EDAD8469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DAD0-4C78-BD05-E1EDAD8469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DAD0-4C78-BD05-E1EDAD8469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DAD0-4C78-BD05-E1EDAD8469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DAD0-4C78-BD05-E1EDAD8469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C-DAD0-4C78-BD05-E1EDAD84698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[3]List1!$B$2:$B$8</c:f>
              <c:strCache>
                <c:ptCount val="7"/>
                <c:pt idx="0">
                  <c:v>DPFO</c:v>
                </c:pt>
                <c:pt idx="1">
                  <c:v>DPPO</c:v>
                </c:pt>
                <c:pt idx="2">
                  <c:v>Sociální pojištění</c:v>
                </c:pt>
                <c:pt idx="3">
                  <c:v>Daně z majetku</c:v>
                </c:pt>
                <c:pt idx="4">
                  <c:v>DPH</c:v>
                </c:pt>
                <c:pt idx="5">
                  <c:v>Spotřební daně</c:v>
                </c:pt>
                <c:pt idx="6">
                  <c:v>Ostatní</c:v>
                </c:pt>
              </c:strCache>
            </c:strRef>
          </c:cat>
          <c:val>
            <c:numRef>
              <c:f>[3]List1!$D$2:$D$8</c:f>
              <c:numCache>
                <c:formatCode>General</c:formatCode>
                <c:ptCount val="7"/>
                <c:pt idx="0">
                  <c:v>46638</c:v>
                </c:pt>
                <c:pt idx="1">
                  <c:v>12447</c:v>
                </c:pt>
                <c:pt idx="2">
                  <c:v>97512</c:v>
                </c:pt>
                <c:pt idx="3">
                  <c:v>8083</c:v>
                </c:pt>
                <c:pt idx="4">
                  <c:v>42424</c:v>
                </c:pt>
                <c:pt idx="5">
                  <c:v>28296</c:v>
                </c:pt>
                <c:pt idx="6">
                  <c:v>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AD0-4C78-BD05-E1EDAD8469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563880</xdr:colOff>
      <xdr:row>7</xdr:row>
      <xdr:rowOff>163830</xdr:rowOff>
    </xdr:from>
    <xdr:to>
      <xdr:col>14</xdr:col>
      <xdr:colOff>220980</xdr:colOff>
      <xdr:row>25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1</xdr:row>
      <xdr:rowOff>125730</xdr:rowOff>
    </xdr:from>
    <xdr:to>
      <xdr:col>13</xdr:col>
      <xdr:colOff>579120</xdr:colOff>
      <xdr:row>18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P%20p&#345;&#237;klad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&#328;ov&#253;%20v&#253;nos%20&#268;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&#328;ov&#253;%20v&#253;nos%20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zaměstnanec"/>
      <sheetName val="2.podnikatel"/>
      <sheetName val="XX"/>
      <sheetName val="XXX"/>
      <sheetName val="XXXX"/>
    </sheetNames>
    <sheetDataSet>
      <sheetData sheetId="0">
        <row r="29">
          <cell r="H29">
            <v>1160.9716571428571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A1" t="str">
            <v>DPFO</v>
          </cell>
          <cell r="B1">
            <v>149831</v>
          </cell>
        </row>
        <row r="2">
          <cell r="A2" t="str">
            <v>DPPO</v>
          </cell>
          <cell r="B2">
            <v>140432</v>
          </cell>
        </row>
        <row r="3">
          <cell r="A3" t="str">
            <v>Sociální pojištění</v>
          </cell>
          <cell r="B3">
            <v>603072</v>
          </cell>
        </row>
        <row r="4">
          <cell r="A4" t="str">
            <v>Majetkové daně</v>
          </cell>
          <cell r="B4">
            <v>19210</v>
          </cell>
        </row>
        <row r="5">
          <cell r="A5" t="str">
            <v>Spotřební daně</v>
          </cell>
          <cell r="B5">
            <v>169564</v>
          </cell>
        </row>
        <row r="6">
          <cell r="A6" t="str">
            <v>DPH</v>
          </cell>
          <cell r="B6">
            <v>308822</v>
          </cell>
        </row>
        <row r="7">
          <cell r="A7" t="str">
            <v>Další</v>
          </cell>
          <cell r="B7">
            <v>5752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">
          <cell r="B2" t="str">
            <v>DPFO</v>
          </cell>
          <cell r="C2">
            <v>0.19535631856509156</v>
          </cell>
          <cell r="D2">
            <v>46638</v>
          </cell>
        </row>
        <row r="3">
          <cell r="B3" t="str">
            <v>DPPO</v>
          </cell>
          <cell r="C3">
            <v>5.2137743839351915E-2</v>
          </cell>
          <cell r="D3">
            <v>12447</v>
          </cell>
        </row>
        <row r="4">
          <cell r="B4" t="str">
            <v>Sociální pojištění</v>
          </cell>
          <cell r="C4">
            <v>0.40845630893089768</v>
          </cell>
          <cell r="D4">
            <v>97512</v>
          </cell>
        </row>
        <row r="5">
          <cell r="B5" t="str">
            <v>Daně z majetku</v>
          </cell>
          <cell r="C5">
            <v>3.3857908207076522E-2</v>
          </cell>
          <cell r="D5">
            <v>8083</v>
          </cell>
        </row>
        <row r="6">
          <cell r="B6" t="str">
            <v>DPH</v>
          </cell>
          <cell r="C6">
            <v>0.17770479992292645</v>
          </cell>
          <cell r="D6">
            <v>42424</v>
          </cell>
        </row>
        <row r="7">
          <cell r="B7" t="str">
            <v>Spotřební daně</v>
          </cell>
          <cell r="C7">
            <v>0.1185257170144052</v>
          </cell>
          <cell r="D7">
            <v>28296</v>
          </cell>
        </row>
        <row r="8">
          <cell r="B8" t="str">
            <v>Ostatní</v>
          </cell>
          <cell r="C8">
            <v>1.3961203520250657E-2</v>
          </cell>
          <cell r="D8">
            <v>3333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9" sqref="D19"/>
    </sheetView>
  </sheetViews>
  <sheetFormatPr defaultRowHeight="14.4" x14ac:dyDescent="0.3"/>
  <cols>
    <col min="1" max="1" width="14.6640625" bestFit="1" customWidth="1"/>
  </cols>
  <sheetData>
    <row r="1" spans="1:4" x14ac:dyDescent="0.3">
      <c r="A1" t="s">
        <v>94</v>
      </c>
      <c r="B1">
        <v>149831</v>
      </c>
    </row>
    <row r="2" spans="1:4" x14ac:dyDescent="0.3">
      <c r="A2" t="s">
        <v>95</v>
      </c>
      <c r="B2">
        <v>140432</v>
      </c>
    </row>
    <row r="3" spans="1:4" x14ac:dyDescent="0.3">
      <c r="A3" t="s">
        <v>96</v>
      </c>
      <c r="B3">
        <v>603072</v>
      </c>
    </row>
    <row r="4" spans="1:4" x14ac:dyDescent="0.3">
      <c r="A4" t="s">
        <v>97</v>
      </c>
      <c r="B4">
        <v>19210</v>
      </c>
    </row>
    <row r="5" spans="1:4" x14ac:dyDescent="0.3">
      <c r="A5" t="s">
        <v>98</v>
      </c>
      <c r="B5">
        <f>D5-B6</f>
        <v>169564</v>
      </c>
      <c r="D5">
        <v>478386</v>
      </c>
    </row>
    <row r="6" spans="1:4" x14ac:dyDescent="0.3">
      <c r="A6" t="s">
        <v>99</v>
      </c>
      <c r="B6">
        <v>308822</v>
      </c>
    </row>
    <row r="7" spans="1:4" x14ac:dyDescent="0.3">
      <c r="A7" t="s">
        <v>100</v>
      </c>
      <c r="B7">
        <v>5752</v>
      </c>
    </row>
    <row r="8" spans="1:4" x14ac:dyDescent="0.3">
      <c r="A8" t="s">
        <v>101</v>
      </c>
      <c r="B8">
        <f>SUM(B1:B7)</f>
        <v>1396683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selection activeCell="G26" sqref="G26"/>
    </sheetView>
  </sheetViews>
  <sheetFormatPr defaultRowHeight="14.4" x14ac:dyDescent="0.3"/>
  <cols>
    <col min="2" max="2" width="24.21875" bestFit="1" customWidth="1"/>
  </cols>
  <sheetData>
    <row r="2" spans="2:4" x14ac:dyDescent="0.3">
      <c r="B2" t="s">
        <v>94</v>
      </c>
      <c r="C2" s="79">
        <f>D2/$D$9</f>
        <v>0.19535631856509156</v>
      </c>
      <c r="D2">
        <v>46638</v>
      </c>
    </row>
    <row r="3" spans="2:4" x14ac:dyDescent="0.3">
      <c r="B3" t="s">
        <v>95</v>
      </c>
      <c r="C3" s="79">
        <f>D3/$D$9</f>
        <v>5.2137743839351915E-2</v>
      </c>
      <c r="D3">
        <v>12447</v>
      </c>
    </row>
    <row r="4" spans="2:4" x14ac:dyDescent="0.3">
      <c r="B4" t="s">
        <v>96</v>
      </c>
      <c r="C4" s="79">
        <f>D4/$D$9</f>
        <v>0.40845630893089768</v>
      </c>
      <c r="D4">
        <v>97512</v>
      </c>
    </row>
    <row r="5" spans="2:4" x14ac:dyDescent="0.3">
      <c r="B5" t="s">
        <v>102</v>
      </c>
      <c r="C5" s="79">
        <f>D5/$D$9</f>
        <v>3.3857908207076522E-2</v>
      </c>
      <c r="D5">
        <v>8083</v>
      </c>
    </row>
    <row r="6" spans="2:4" x14ac:dyDescent="0.3">
      <c r="B6" t="s">
        <v>99</v>
      </c>
      <c r="C6" s="79">
        <f>D6/D9</f>
        <v>0.17770479992292645</v>
      </c>
      <c r="D6">
        <v>42424</v>
      </c>
    </row>
    <row r="7" spans="2:4" x14ac:dyDescent="0.3">
      <c r="B7" t="s">
        <v>98</v>
      </c>
      <c r="C7" s="79">
        <f>C15-C6</f>
        <v>0.1185257170144052</v>
      </c>
      <c r="D7">
        <f>D15-D6</f>
        <v>28296</v>
      </c>
    </row>
    <row r="8" spans="2:4" x14ac:dyDescent="0.3">
      <c r="B8" t="s">
        <v>103</v>
      </c>
      <c r="C8" s="79">
        <f>D8/$D$9</f>
        <v>1.3961203520250657E-2</v>
      </c>
      <c r="D8">
        <v>3333</v>
      </c>
    </row>
    <row r="9" spans="2:4" x14ac:dyDescent="0.3">
      <c r="C9" s="79">
        <f>D9/$D$9</f>
        <v>1</v>
      </c>
      <c r="D9">
        <f>SUM(D2:D8)</f>
        <v>238733</v>
      </c>
    </row>
    <row r="10" spans="2:4" x14ac:dyDescent="0.3">
      <c r="D10">
        <f>D9*27.04</f>
        <v>6455340.3199999994</v>
      </c>
    </row>
    <row r="15" spans="2:4" x14ac:dyDescent="0.3">
      <c r="B15" t="s">
        <v>104</v>
      </c>
      <c r="C15" s="79">
        <f>D15/$D$9</f>
        <v>0.29623051693733166</v>
      </c>
      <c r="D15">
        <v>70720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D25" sqref="D25"/>
    </sheetView>
  </sheetViews>
  <sheetFormatPr defaultRowHeight="14.4" x14ac:dyDescent="0.3"/>
  <cols>
    <col min="1" max="1" width="33.88671875" bestFit="1" customWidth="1"/>
    <col min="2" max="2" width="20.77734375" bestFit="1" customWidth="1"/>
    <col min="3" max="3" width="12.88671875" bestFit="1" customWidth="1"/>
    <col min="4" max="4" width="32.88671875" bestFit="1" customWidth="1"/>
    <col min="5" max="5" width="9.109375" bestFit="1" customWidth="1"/>
    <col min="6" max="6" width="48.6640625" bestFit="1" customWidth="1"/>
    <col min="7" max="7" width="17.88671875" bestFit="1" customWidth="1"/>
  </cols>
  <sheetData>
    <row r="1" spans="1:14" x14ac:dyDescent="0.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.6" x14ac:dyDescent="0.3">
      <c r="A2" s="81" t="s">
        <v>105</v>
      </c>
      <c r="B2" s="82"/>
      <c r="C2" s="82"/>
      <c r="D2" s="82"/>
      <c r="E2" s="82"/>
      <c r="F2" s="83"/>
      <c r="G2" s="80"/>
      <c r="H2" s="80"/>
      <c r="I2" s="80"/>
      <c r="J2" s="80"/>
      <c r="K2" s="80"/>
      <c r="L2" s="80"/>
      <c r="M2" s="80"/>
      <c r="N2" s="80"/>
    </row>
    <row r="3" spans="1:14" ht="15.6" x14ac:dyDescent="0.3">
      <c r="A3" s="84" t="s">
        <v>106</v>
      </c>
      <c r="B3" s="81" t="s">
        <v>107</v>
      </c>
      <c r="C3" s="82"/>
      <c r="D3" s="82"/>
      <c r="E3" s="82"/>
      <c r="F3" s="83"/>
      <c r="G3" s="80"/>
      <c r="H3" s="80"/>
      <c r="I3" s="80"/>
      <c r="J3" s="80"/>
      <c r="K3" s="80"/>
      <c r="L3" s="80"/>
      <c r="M3" s="80"/>
      <c r="N3" s="80"/>
    </row>
    <row r="4" spans="1:14" ht="15.6" x14ac:dyDescent="0.3">
      <c r="A4" s="85"/>
      <c r="B4" s="81" t="s">
        <v>108</v>
      </c>
      <c r="C4" s="82"/>
      <c r="D4" s="82"/>
      <c r="E4" s="82"/>
      <c r="F4" s="83"/>
      <c r="G4" s="80"/>
      <c r="H4" s="80"/>
      <c r="I4" s="80"/>
      <c r="J4" s="80"/>
      <c r="K4" s="80"/>
      <c r="L4" s="80"/>
      <c r="M4" s="80"/>
      <c r="N4" s="80"/>
    </row>
    <row r="5" spans="1:14" ht="31.2" x14ac:dyDescent="0.3">
      <c r="A5" s="86"/>
      <c r="B5" s="87" t="s">
        <v>109</v>
      </c>
      <c r="C5" s="88" t="s">
        <v>110</v>
      </c>
      <c r="D5" s="88" t="s">
        <v>111</v>
      </c>
      <c r="E5" s="88" t="s">
        <v>112</v>
      </c>
      <c r="F5" s="88" t="s">
        <v>113</v>
      </c>
      <c r="G5" s="80"/>
      <c r="H5" s="80"/>
      <c r="I5" s="80"/>
      <c r="J5" s="80"/>
      <c r="K5" s="80"/>
      <c r="L5" s="80"/>
      <c r="M5" s="80"/>
      <c r="N5" s="80"/>
    </row>
    <row r="6" spans="1:14" ht="15.6" x14ac:dyDescent="0.3">
      <c r="A6" s="89">
        <v>32</v>
      </c>
      <c r="B6" s="89">
        <v>16</v>
      </c>
      <c r="C6" s="89">
        <v>19.2</v>
      </c>
      <c r="D6" s="89">
        <v>22.4</v>
      </c>
      <c r="E6" s="89">
        <v>25.6</v>
      </c>
      <c r="F6" s="89">
        <v>28.8</v>
      </c>
      <c r="G6" s="80"/>
      <c r="H6" s="80"/>
      <c r="I6" s="80"/>
      <c r="J6" s="80"/>
      <c r="K6" s="80"/>
      <c r="L6" s="80"/>
      <c r="M6" s="80"/>
      <c r="N6" s="80"/>
    </row>
    <row r="7" spans="1:14" x14ac:dyDescent="0.3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5.6" x14ac:dyDescent="0.3">
      <c r="A8" s="90" t="s">
        <v>114</v>
      </c>
      <c r="B8" s="90" t="s">
        <v>115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5.6" x14ac:dyDescent="0.3">
      <c r="A9" s="5" t="s">
        <v>116</v>
      </c>
      <c r="B9" s="91" t="s">
        <v>117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5.6" x14ac:dyDescent="0.3">
      <c r="A10" s="5" t="s">
        <v>118</v>
      </c>
      <c r="B10" s="91" t="s">
        <v>119</v>
      </c>
      <c r="C10" s="80"/>
      <c r="D10" s="80"/>
      <c r="E10" s="80"/>
      <c r="F10" s="92" t="s">
        <v>114</v>
      </c>
      <c r="G10" s="92" t="s">
        <v>115</v>
      </c>
      <c r="H10" s="80"/>
      <c r="I10" s="80"/>
      <c r="J10" s="80"/>
      <c r="K10" s="80"/>
      <c r="L10" s="80"/>
      <c r="M10" s="80"/>
      <c r="N10" s="80"/>
    </row>
    <row r="11" spans="1:14" ht="15.6" x14ac:dyDescent="0.3">
      <c r="A11" s="5" t="s">
        <v>120</v>
      </c>
      <c r="B11" s="91" t="s">
        <v>117</v>
      </c>
      <c r="C11" s="80"/>
      <c r="D11" s="80"/>
      <c r="E11" s="80"/>
      <c r="F11" s="5" t="s">
        <v>121</v>
      </c>
      <c r="G11" s="93" t="s">
        <v>122</v>
      </c>
      <c r="H11" s="80"/>
      <c r="I11" s="80"/>
      <c r="J11" s="80"/>
      <c r="K11" s="80"/>
      <c r="L11" s="80"/>
      <c r="M11" s="80"/>
      <c r="N11" s="80"/>
    </row>
    <row r="12" spans="1:14" ht="15.6" x14ac:dyDescent="0.3">
      <c r="A12" s="80"/>
      <c r="B12" s="80"/>
      <c r="C12" s="80"/>
      <c r="D12" s="80"/>
      <c r="E12" s="80"/>
      <c r="F12" s="5" t="s">
        <v>123</v>
      </c>
      <c r="G12" s="93" t="s">
        <v>124</v>
      </c>
      <c r="H12" s="80"/>
      <c r="I12" s="80"/>
      <c r="J12" s="80"/>
      <c r="K12" s="80"/>
      <c r="L12" s="80"/>
      <c r="M12" s="80"/>
      <c r="N12" s="80"/>
    </row>
    <row r="13" spans="1:14" ht="15.6" x14ac:dyDescent="0.3">
      <c r="A13" s="90" t="s">
        <v>114</v>
      </c>
      <c r="B13" s="90" t="s">
        <v>115</v>
      </c>
      <c r="C13" s="80"/>
      <c r="D13" s="80"/>
      <c r="E13" s="80"/>
      <c r="F13" s="5" t="s">
        <v>125</v>
      </c>
      <c r="G13" s="93" t="s">
        <v>126</v>
      </c>
      <c r="H13" s="80"/>
      <c r="I13" s="80"/>
      <c r="J13" s="80"/>
      <c r="K13" s="80"/>
      <c r="L13" s="80"/>
      <c r="M13" s="80"/>
      <c r="N13" s="80"/>
    </row>
    <row r="14" spans="1:14" ht="15.6" x14ac:dyDescent="0.3">
      <c r="A14" s="91" t="s">
        <v>127</v>
      </c>
      <c r="B14" s="91" t="s">
        <v>128</v>
      </c>
      <c r="C14" s="80"/>
      <c r="D14" s="80"/>
      <c r="E14" s="80"/>
      <c r="F14" s="5" t="s">
        <v>129</v>
      </c>
      <c r="G14" s="93" t="s">
        <v>130</v>
      </c>
      <c r="H14" s="80"/>
      <c r="I14" s="80"/>
      <c r="J14" s="80"/>
      <c r="K14" s="80"/>
      <c r="L14" s="80"/>
      <c r="M14" s="80"/>
      <c r="N14" s="80"/>
    </row>
    <row r="15" spans="1:14" ht="15.6" x14ac:dyDescent="0.3">
      <c r="A15" s="91" t="s">
        <v>131</v>
      </c>
      <c r="B15" s="91" t="s">
        <v>132</v>
      </c>
      <c r="C15" s="80"/>
      <c r="D15" s="80"/>
      <c r="E15" s="80"/>
      <c r="F15" s="5" t="s">
        <v>133</v>
      </c>
      <c r="G15" s="93" t="s">
        <v>134</v>
      </c>
      <c r="H15" s="80"/>
      <c r="I15" s="80"/>
      <c r="J15" s="80"/>
      <c r="K15" s="80"/>
      <c r="L15" s="80"/>
      <c r="M15" s="80"/>
      <c r="N15" s="80"/>
    </row>
    <row r="16" spans="1:14" ht="15.6" x14ac:dyDescent="0.3">
      <c r="A16" s="80"/>
      <c r="B16" s="80"/>
      <c r="C16" s="80"/>
      <c r="D16" s="80"/>
      <c r="E16" s="80"/>
      <c r="F16" s="5" t="s">
        <v>135</v>
      </c>
      <c r="G16" s="93" t="s">
        <v>136</v>
      </c>
      <c r="H16" s="80"/>
      <c r="I16" s="80"/>
      <c r="J16" s="80"/>
      <c r="K16" s="80"/>
      <c r="L16" s="80"/>
      <c r="M16" s="80"/>
      <c r="N16" s="80"/>
    </row>
    <row r="17" spans="1:14" ht="15.6" x14ac:dyDescent="0.3">
      <c r="A17" s="80"/>
      <c r="B17" s="80"/>
      <c r="C17" s="80"/>
      <c r="D17" s="80"/>
      <c r="E17" s="80"/>
      <c r="F17" s="5" t="s">
        <v>137</v>
      </c>
      <c r="G17" s="93" t="s">
        <v>138</v>
      </c>
      <c r="H17" s="80"/>
      <c r="I17" s="80"/>
      <c r="J17" s="80"/>
      <c r="K17" s="80"/>
      <c r="L17" s="80"/>
      <c r="M17" s="80"/>
      <c r="N17" s="80"/>
    </row>
    <row r="18" spans="1:14" ht="15.6" x14ac:dyDescent="0.3">
      <c r="A18" s="94" t="s">
        <v>114</v>
      </c>
      <c r="B18" s="94" t="s">
        <v>115</v>
      </c>
      <c r="C18" s="94"/>
      <c r="D18" s="94"/>
      <c r="E18" s="80"/>
      <c r="F18" s="5" t="s">
        <v>139</v>
      </c>
      <c r="G18" s="93" t="s">
        <v>140</v>
      </c>
      <c r="H18" s="80"/>
      <c r="I18" s="80"/>
      <c r="J18" s="80"/>
      <c r="K18" s="80"/>
      <c r="L18" s="80"/>
      <c r="M18" s="80"/>
      <c r="N18" s="80"/>
    </row>
    <row r="19" spans="1:14" ht="15.6" x14ac:dyDescent="0.3">
      <c r="A19" s="94"/>
      <c r="B19" s="90" t="s">
        <v>141</v>
      </c>
      <c r="C19" s="90" t="s">
        <v>142</v>
      </c>
      <c r="D19" s="90" t="s">
        <v>143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15.6" x14ac:dyDescent="0.3">
      <c r="A20" s="91" t="s">
        <v>144</v>
      </c>
      <c r="B20" s="95">
        <v>0.27</v>
      </c>
      <c r="C20" s="91" t="s">
        <v>145</v>
      </c>
      <c r="D20" s="96" t="s">
        <v>146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5.6" x14ac:dyDescent="0.3">
      <c r="A21" s="91" t="s">
        <v>147</v>
      </c>
      <c r="B21" s="91"/>
      <c r="C21" s="91" t="s">
        <v>148</v>
      </c>
      <c r="D21" s="96"/>
      <c r="E21" s="80"/>
      <c r="F21" s="97" t="s">
        <v>149</v>
      </c>
      <c r="G21" s="98" t="s">
        <v>150</v>
      </c>
      <c r="H21" s="80"/>
      <c r="I21" s="80"/>
      <c r="J21" s="80"/>
      <c r="K21" s="80"/>
      <c r="L21" s="80"/>
      <c r="M21" s="80"/>
      <c r="N21" s="80"/>
    </row>
    <row r="22" spans="1:14" ht="15.6" x14ac:dyDescent="0.3">
      <c r="A22" s="91" t="s">
        <v>151</v>
      </c>
      <c r="B22" s="91"/>
      <c r="C22" s="91" t="s">
        <v>152</v>
      </c>
      <c r="D22" s="96"/>
      <c r="E22" s="80"/>
      <c r="F22" s="99" t="s">
        <v>153</v>
      </c>
      <c r="G22" s="99" t="s">
        <v>154</v>
      </c>
      <c r="H22" s="80"/>
      <c r="I22" s="80"/>
      <c r="J22" s="80"/>
      <c r="K22" s="80"/>
      <c r="L22" s="80"/>
      <c r="M22" s="80"/>
      <c r="N22" s="80"/>
    </row>
    <row r="23" spans="1:14" ht="15.6" x14ac:dyDescent="0.3">
      <c r="A23" s="80"/>
      <c r="B23" s="80"/>
      <c r="C23" s="80"/>
      <c r="D23" s="80"/>
      <c r="E23" s="80"/>
      <c r="F23" s="99" t="s">
        <v>155</v>
      </c>
      <c r="G23" s="99" t="s">
        <v>156</v>
      </c>
      <c r="H23" s="80"/>
      <c r="I23" s="80"/>
      <c r="J23" s="80"/>
      <c r="K23" s="80"/>
      <c r="L23" s="80"/>
      <c r="M23" s="80"/>
      <c r="N23" s="80"/>
    </row>
    <row r="24" spans="1:14" ht="15.6" x14ac:dyDescent="0.3">
      <c r="A24" s="80"/>
      <c r="B24" s="80"/>
      <c r="C24" s="80"/>
      <c r="D24" s="80"/>
      <c r="E24" s="80"/>
      <c r="F24" s="100" t="s">
        <v>157</v>
      </c>
      <c r="G24" s="99" t="s">
        <v>158</v>
      </c>
      <c r="H24" s="80"/>
      <c r="I24" s="80"/>
      <c r="J24" s="80"/>
      <c r="K24" s="80"/>
      <c r="L24" s="80"/>
      <c r="M24" s="80"/>
      <c r="N24" s="80"/>
    </row>
    <row r="25" spans="1:14" ht="15.6" x14ac:dyDescent="0.3">
      <c r="A25" s="80"/>
      <c r="B25" s="80"/>
      <c r="C25" s="80"/>
      <c r="D25" s="80"/>
      <c r="E25" s="80"/>
      <c r="F25" s="100" t="s">
        <v>159</v>
      </c>
      <c r="G25" s="99" t="s">
        <v>160</v>
      </c>
      <c r="H25" s="80"/>
      <c r="I25" s="80"/>
      <c r="J25" s="80"/>
      <c r="K25" s="80"/>
      <c r="L25" s="80"/>
      <c r="M25" s="80"/>
      <c r="N25" s="80"/>
    </row>
    <row r="26" spans="1:14" x14ac:dyDescent="0.3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x14ac:dyDescent="0.3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x14ac:dyDescent="0.3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x14ac:dyDescent="0.3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x14ac:dyDescent="0.3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x14ac:dyDescent="0.3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</sheetData>
  <mergeCells count="6">
    <mergeCell ref="A2:F2"/>
    <mergeCell ref="A3:A5"/>
    <mergeCell ref="B3:F3"/>
    <mergeCell ref="B4:F4"/>
    <mergeCell ref="A18:A19"/>
    <mergeCell ref="B18:D1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L28" sqref="L28"/>
    </sheetView>
  </sheetViews>
  <sheetFormatPr defaultRowHeight="14.4" x14ac:dyDescent="0.3"/>
  <cols>
    <col min="2" max="2" width="25.6640625" bestFit="1" customWidth="1"/>
    <col min="3" max="3" width="9.33203125" bestFit="1" customWidth="1"/>
    <col min="4" max="4" width="14.44140625" bestFit="1" customWidth="1"/>
    <col min="7" max="7" width="21.6640625" bestFit="1" customWidth="1"/>
    <col min="8" max="8" width="15.109375" bestFit="1" customWidth="1"/>
    <col min="9" max="9" width="7.109375" bestFit="1" customWidth="1"/>
    <col min="13" max="13" width="22.109375" bestFit="1" customWidth="1"/>
    <col min="14" max="14" width="15.6640625" bestFit="1" customWidth="1"/>
    <col min="15" max="15" width="11.21875" bestFit="1" customWidth="1"/>
  </cols>
  <sheetData>
    <row r="1" spans="1:15" x14ac:dyDescent="0.3">
      <c r="B1" t="s">
        <v>161</v>
      </c>
      <c r="C1" t="s">
        <v>162</v>
      </c>
      <c r="D1" t="s">
        <v>163</v>
      </c>
      <c r="G1" t="s">
        <v>164</v>
      </c>
      <c r="H1" t="s">
        <v>162</v>
      </c>
      <c r="I1" t="s">
        <v>163</v>
      </c>
      <c r="M1" t="s">
        <v>165</v>
      </c>
      <c r="N1" t="s">
        <v>162</v>
      </c>
    </row>
    <row r="2" spans="1:15" x14ac:dyDescent="0.3">
      <c r="A2" s="101"/>
      <c r="B2" t="s">
        <v>166</v>
      </c>
      <c r="C2">
        <v>8.83</v>
      </c>
      <c r="D2">
        <v>8.83</v>
      </c>
      <c r="G2" t="s">
        <v>167</v>
      </c>
      <c r="H2">
        <v>857.39</v>
      </c>
      <c r="N2">
        <v>0.54</v>
      </c>
    </row>
    <row r="3" spans="1:15" x14ac:dyDescent="0.3">
      <c r="A3" s="101"/>
      <c r="B3" t="s">
        <v>168</v>
      </c>
      <c r="C3">
        <v>28.49</v>
      </c>
      <c r="D3">
        <v>26.35</v>
      </c>
      <c r="G3" t="s">
        <v>169</v>
      </c>
      <c r="I3">
        <v>769.9</v>
      </c>
      <c r="N3">
        <v>14.47</v>
      </c>
    </row>
    <row r="4" spans="1:15" x14ac:dyDescent="0.3">
      <c r="A4" s="101"/>
      <c r="B4" t="s">
        <v>170</v>
      </c>
      <c r="C4">
        <v>37.96</v>
      </c>
      <c r="D4">
        <v>35.11</v>
      </c>
    </row>
    <row r="5" spans="1:15" x14ac:dyDescent="0.3">
      <c r="A5" s="101"/>
      <c r="B5" t="s">
        <v>171</v>
      </c>
      <c r="C5">
        <v>47.48</v>
      </c>
      <c r="D5">
        <v>43.92</v>
      </c>
      <c r="H5" t="s">
        <v>172</v>
      </c>
      <c r="N5" t="s">
        <v>173</v>
      </c>
    </row>
    <row r="6" spans="1:15" x14ac:dyDescent="0.3">
      <c r="N6" t="s">
        <v>174</v>
      </c>
    </row>
    <row r="7" spans="1:15" x14ac:dyDescent="0.3">
      <c r="C7" t="s">
        <v>175</v>
      </c>
      <c r="D7" t="s">
        <v>176</v>
      </c>
      <c r="G7" t="s">
        <v>177</v>
      </c>
      <c r="H7" t="s">
        <v>162</v>
      </c>
    </row>
    <row r="8" spans="1:15" x14ac:dyDescent="0.3">
      <c r="H8">
        <v>484.47</v>
      </c>
      <c r="M8" t="s">
        <v>178</v>
      </c>
      <c r="N8" t="s">
        <v>179</v>
      </c>
      <c r="O8" t="s">
        <v>180</v>
      </c>
    </row>
    <row r="9" spans="1:15" x14ac:dyDescent="0.3">
      <c r="B9" t="s">
        <v>181</v>
      </c>
      <c r="C9" t="s">
        <v>162</v>
      </c>
      <c r="D9" t="s">
        <v>163</v>
      </c>
      <c r="M9" t="s">
        <v>182</v>
      </c>
      <c r="N9">
        <v>100.7</v>
      </c>
      <c r="O9">
        <v>100.7</v>
      </c>
    </row>
    <row r="10" spans="1:15" x14ac:dyDescent="0.3">
      <c r="B10" t="s">
        <v>183</v>
      </c>
      <c r="C10">
        <v>88.36</v>
      </c>
      <c r="G10" t="s">
        <v>184</v>
      </c>
      <c r="H10" t="s">
        <v>162</v>
      </c>
      <c r="M10" t="s">
        <v>185</v>
      </c>
      <c r="N10">
        <v>49.96</v>
      </c>
      <c r="O10">
        <v>49.96</v>
      </c>
    </row>
    <row r="11" spans="1:15" x14ac:dyDescent="0.3">
      <c r="B11" t="s">
        <v>186</v>
      </c>
      <c r="D11">
        <v>44.18</v>
      </c>
      <c r="H11">
        <v>36.33</v>
      </c>
      <c r="M11" t="s">
        <v>187</v>
      </c>
      <c r="N11">
        <v>13.31</v>
      </c>
      <c r="O11">
        <v>13.31</v>
      </c>
    </row>
    <row r="12" spans="1:15" x14ac:dyDescent="0.3">
      <c r="B12" t="s">
        <v>188</v>
      </c>
      <c r="D12">
        <v>48.25</v>
      </c>
      <c r="M12" t="s">
        <v>189</v>
      </c>
      <c r="N12">
        <v>0.53</v>
      </c>
      <c r="O12">
        <v>1.07</v>
      </c>
    </row>
    <row r="13" spans="1:15" x14ac:dyDescent="0.3">
      <c r="H13" t="s">
        <v>174</v>
      </c>
    </row>
    <row r="14" spans="1:15" x14ac:dyDescent="0.3">
      <c r="C14" t="s">
        <v>175</v>
      </c>
      <c r="D14" t="s">
        <v>190</v>
      </c>
      <c r="N14" t="s">
        <v>191</v>
      </c>
    </row>
    <row r="15" spans="1:15" x14ac:dyDescent="0.3">
      <c r="G15" t="s">
        <v>192</v>
      </c>
      <c r="H15" t="s">
        <v>162</v>
      </c>
      <c r="I15" t="s">
        <v>163</v>
      </c>
      <c r="J15" s="102" t="s">
        <v>193</v>
      </c>
      <c r="K15" s="102"/>
    </row>
    <row r="16" spans="1:15" x14ac:dyDescent="0.3">
      <c r="B16" t="s">
        <v>120</v>
      </c>
      <c r="C16" t="s">
        <v>162</v>
      </c>
      <c r="D16" t="s">
        <v>163</v>
      </c>
      <c r="H16">
        <v>336.34</v>
      </c>
      <c r="I16">
        <v>284.92</v>
      </c>
      <c r="J16" s="102"/>
      <c r="K16" s="102"/>
      <c r="M16" t="s">
        <v>194</v>
      </c>
      <c r="N16" t="s">
        <v>162</v>
      </c>
    </row>
    <row r="17" spans="2:14" x14ac:dyDescent="0.3">
      <c r="B17" t="s">
        <v>195</v>
      </c>
      <c r="C17">
        <v>149.29</v>
      </c>
      <c r="J17" s="102"/>
      <c r="K17" s="102"/>
      <c r="M17" t="s">
        <v>196</v>
      </c>
      <c r="N17">
        <v>178.28</v>
      </c>
    </row>
    <row r="18" spans="2:14" x14ac:dyDescent="0.3">
      <c r="B18" t="s">
        <v>197</v>
      </c>
      <c r="C18">
        <v>254.41</v>
      </c>
      <c r="H18" t="s">
        <v>174</v>
      </c>
      <c r="N18" s="67">
        <v>0.60599999999999998</v>
      </c>
    </row>
    <row r="19" spans="2:14" x14ac:dyDescent="0.3">
      <c r="B19" t="s">
        <v>198</v>
      </c>
      <c r="D19">
        <v>105.98</v>
      </c>
      <c r="N19" t="s">
        <v>199</v>
      </c>
    </row>
    <row r="20" spans="2:14" x14ac:dyDescent="0.3">
      <c r="G20" t="s">
        <v>200</v>
      </c>
      <c r="H20" t="s">
        <v>162</v>
      </c>
      <c r="I20" t="s">
        <v>163</v>
      </c>
      <c r="J20" t="s">
        <v>201</v>
      </c>
    </row>
    <row r="21" spans="2:14" x14ac:dyDescent="0.3">
      <c r="C21" t="s">
        <v>175</v>
      </c>
      <c r="G21" t="s">
        <v>202</v>
      </c>
      <c r="H21">
        <v>7.16</v>
      </c>
      <c r="I21">
        <v>1.1499999999999999</v>
      </c>
      <c r="M21" t="s">
        <v>203</v>
      </c>
      <c r="N21" t="s">
        <v>162</v>
      </c>
    </row>
    <row r="22" spans="2:14" x14ac:dyDescent="0.3">
      <c r="G22" t="s">
        <v>204</v>
      </c>
      <c r="H22">
        <v>1.98</v>
      </c>
      <c r="I22">
        <v>0.65</v>
      </c>
      <c r="N22" s="103">
        <v>0.05</v>
      </c>
    </row>
    <row r="23" spans="2:14" x14ac:dyDescent="0.3">
      <c r="B23" t="s">
        <v>205</v>
      </c>
      <c r="C23" t="s">
        <v>162</v>
      </c>
      <c r="G23" t="s">
        <v>206</v>
      </c>
      <c r="H23">
        <v>0.72</v>
      </c>
      <c r="I23">
        <v>0.72</v>
      </c>
    </row>
    <row r="24" spans="2:14" x14ac:dyDescent="0.3">
      <c r="C24">
        <v>1686</v>
      </c>
      <c r="G24" t="s">
        <v>207</v>
      </c>
      <c r="H24">
        <v>0.34</v>
      </c>
      <c r="I24">
        <v>0.34</v>
      </c>
      <c r="M24" t="s">
        <v>208</v>
      </c>
      <c r="N24" t="s">
        <v>162</v>
      </c>
    </row>
    <row r="25" spans="2:14" x14ac:dyDescent="0.3">
      <c r="N25">
        <v>78.680000000000007</v>
      </c>
    </row>
    <row r="26" spans="2:14" x14ac:dyDescent="0.3">
      <c r="H26" t="s">
        <v>173</v>
      </c>
      <c r="N26" s="67">
        <v>4.5999999999999999E-2</v>
      </c>
    </row>
    <row r="27" spans="2:14" x14ac:dyDescent="0.3">
      <c r="N27" t="s">
        <v>209</v>
      </c>
    </row>
  </sheetData>
  <mergeCells count="1">
    <mergeCell ref="J15:K1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E19" workbookViewId="0">
      <selection activeCell="L36" sqref="L36"/>
    </sheetView>
  </sheetViews>
  <sheetFormatPr defaultRowHeight="14.4" x14ac:dyDescent="0.3"/>
  <cols>
    <col min="1" max="1" width="25.6640625" bestFit="1" customWidth="1"/>
    <col min="2" max="2" width="13.6640625" bestFit="1" customWidth="1"/>
    <col min="3" max="3" width="25.6640625" bestFit="1" customWidth="1"/>
    <col min="4" max="4" width="11.5546875" bestFit="1" customWidth="1"/>
    <col min="6" max="6" width="25.6640625" bestFit="1" customWidth="1"/>
    <col min="7" max="7" width="14.21875" bestFit="1" customWidth="1"/>
    <col min="8" max="8" width="25.6640625" bestFit="1" customWidth="1"/>
    <col min="9" max="9" width="11.5546875" bestFit="1" customWidth="1"/>
    <col min="11" max="11" width="38.33203125" bestFit="1" customWidth="1"/>
    <col min="12" max="12" width="16.33203125" bestFit="1" customWidth="1"/>
    <col min="13" max="13" width="12.44140625" bestFit="1" customWidth="1"/>
  </cols>
  <sheetData>
    <row r="1" spans="1:17" ht="16.2" thickBot="1" x14ac:dyDescent="0.35">
      <c r="A1" s="1" t="s">
        <v>0</v>
      </c>
      <c r="B1" s="2"/>
      <c r="C1" s="3" t="s">
        <v>1</v>
      </c>
      <c r="D1" s="4"/>
      <c r="F1" s="1" t="s">
        <v>0</v>
      </c>
      <c r="G1" s="2"/>
      <c r="H1" s="3" t="s">
        <v>1</v>
      </c>
      <c r="I1" s="4"/>
      <c r="K1" s="5"/>
      <c r="L1" s="6" t="s">
        <v>0</v>
      </c>
      <c r="M1" s="7" t="s">
        <v>1</v>
      </c>
    </row>
    <row r="2" spans="1:17" ht="15.6" x14ac:dyDescent="0.3">
      <c r="A2" s="8" t="s">
        <v>2</v>
      </c>
      <c r="B2" s="9">
        <v>9900</v>
      </c>
      <c r="C2" s="10" t="s">
        <v>2</v>
      </c>
      <c r="D2" s="11">
        <v>1524.6</v>
      </c>
      <c r="F2" s="8" t="s">
        <v>2</v>
      </c>
      <c r="G2" s="12">
        <v>27006</v>
      </c>
      <c r="H2" s="13" t="s">
        <v>2</v>
      </c>
      <c r="I2" s="14">
        <v>3073</v>
      </c>
      <c r="K2" s="5" t="s">
        <v>2</v>
      </c>
      <c r="L2" s="15">
        <v>27006</v>
      </c>
      <c r="M2" s="16">
        <v>3073</v>
      </c>
    </row>
    <row r="3" spans="1:17" ht="15.6" x14ac:dyDescent="0.3">
      <c r="A3" s="17" t="s">
        <v>3</v>
      </c>
      <c r="B3" s="18">
        <f>B2*12</f>
        <v>118800</v>
      </c>
      <c r="C3" s="19" t="s">
        <v>3</v>
      </c>
      <c r="D3" s="20">
        <f>D2*12</f>
        <v>18295.199999999997</v>
      </c>
      <c r="F3" s="17" t="s">
        <v>3</v>
      </c>
      <c r="G3" s="21">
        <f>G2*12</f>
        <v>324072</v>
      </c>
      <c r="H3" s="22" t="s">
        <v>3</v>
      </c>
      <c r="I3" s="23">
        <f>I2*12</f>
        <v>36876</v>
      </c>
      <c r="K3" s="5" t="s">
        <v>3</v>
      </c>
      <c r="L3" s="15">
        <f>L2*12</f>
        <v>324072</v>
      </c>
      <c r="M3" s="16">
        <f>M2*12</f>
        <v>36876</v>
      </c>
    </row>
    <row r="4" spans="1:17" ht="15.6" x14ac:dyDescent="0.3">
      <c r="A4" s="17" t="s">
        <v>4</v>
      </c>
      <c r="B4" s="18">
        <f>B3*1.34</f>
        <v>159192</v>
      </c>
      <c r="C4" s="24" t="s">
        <v>5</v>
      </c>
      <c r="D4" s="25">
        <v>8.4000000000000005E-2</v>
      </c>
      <c r="F4" s="17" t="s">
        <v>4</v>
      </c>
      <c r="G4" s="21">
        <f>G3*1.34</f>
        <v>434256.48000000004</v>
      </c>
      <c r="H4" s="26" t="s">
        <v>6</v>
      </c>
      <c r="I4" s="27">
        <v>8.4000000000000005E-2</v>
      </c>
      <c r="K4" s="5" t="s">
        <v>7</v>
      </c>
      <c r="L4" s="15">
        <f>G18</f>
        <v>75946.391999999993</v>
      </c>
      <c r="M4" s="16">
        <v>11363.12</v>
      </c>
    </row>
    <row r="5" spans="1:17" ht="15.6" x14ac:dyDescent="0.3">
      <c r="A5" s="17" t="s">
        <v>5</v>
      </c>
      <c r="B5" s="25">
        <v>0.15</v>
      </c>
      <c r="C5" s="28" t="s">
        <v>8</v>
      </c>
      <c r="D5" s="29">
        <f>D3*D4</f>
        <v>1536.7967999999998</v>
      </c>
      <c r="F5" s="17" t="s">
        <v>5</v>
      </c>
      <c r="G5" s="30">
        <v>0.15</v>
      </c>
      <c r="H5" s="26" t="s">
        <v>9</v>
      </c>
      <c r="I5" s="23">
        <v>19922</v>
      </c>
      <c r="K5" s="5" t="s">
        <v>10</v>
      </c>
      <c r="L5" s="15">
        <v>13404</v>
      </c>
      <c r="M5" s="16">
        <f>Q5</f>
        <v>534.39908571428566</v>
      </c>
      <c r="O5" s="31">
        <v>1032</v>
      </c>
      <c r="P5">
        <f>O5/(55000-20000)</f>
        <v>2.9485714285714285E-2</v>
      </c>
      <c r="Q5" s="32">
        <f>P5*(55000-$M$3)</f>
        <v>534.39908571428566</v>
      </c>
    </row>
    <row r="6" spans="1:17" ht="15.6" x14ac:dyDescent="0.3">
      <c r="A6" s="17" t="s">
        <v>11</v>
      </c>
      <c r="B6" s="18">
        <f>B4*B5</f>
        <v>23878.799999999999</v>
      </c>
      <c r="C6" s="33" t="s">
        <v>12</v>
      </c>
      <c r="D6" s="20">
        <f>D3</f>
        <v>18295.199999999997</v>
      </c>
      <c r="F6" s="17" t="s">
        <v>11</v>
      </c>
      <c r="G6" s="21">
        <f>G4*G5</f>
        <v>65138.472000000002</v>
      </c>
      <c r="H6" s="26" t="s">
        <v>13</v>
      </c>
      <c r="I6" s="27">
        <v>0.1225</v>
      </c>
      <c r="K6" s="34" t="s">
        <v>14</v>
      </c>
      <c r="L6" s="35">
        <f>L4-L5</f>
        <v>62542.391999999993</v>
      </c>
      <c r="M6" s="36">
        <f>M4-M5</f>
        <v>10828.720914285715</v>
      </c>
      <c r="O6" s="31">
        <v>1519</v>
      </c>
      <c r="P6">
        <f>O6/(55000-20000)</f>
        <v>4.3400000000000001E-2</v>
      </c>
      <c r="Q6" s="32">
        <f>P6*(55000-$M$3)</f>
        <v>786.58159999999998</v>
      </c>
    </row>
    <row r="7" spans="1:17" ht="15.6" x14ac:dyDescent="0.3">
      <c r="A7" s="17" t="s">
        <v>15</v>
      </c>
      <c r="B7" s="18">
        <v>24840</v>
      </c>
      <c r="C7" s="33" t="s">
        <v>16</v>
      </c>
      <c r="D7" s="25">
        <v>0.28149999999999997</v>
      </c>
      <c r="F7" s="17" t="s">
        <v>15</v>
      </c>
      <c r="G7" s="21">
        <v>24840</v>
      </c>
      <c r="H7" s="26" t="s">
        <v>9</v>
      </c>
      <c r="I7" s="23">
        <v>33715</v>
      </c>
      <c r="K7" s="34" t="s">
        <v>17</v>
      </c>
      <c r="L7" s="35">
        <f>L3-L6</f>
        <v>261529.60800000001</v>
      </c>
      <c r="M7" s="36">
        <f>M3-M6</f>
        <v>26047.279085714283</v>
      </c>
    </row>
    <row r="8" spans="1:17" ht="15.6" x14ac:dyDescent="0.3">
      <c r="A8" s="37" t="s">
        <v>8</v>
      </c>
      <c r="B8" s="38">
        <v>0</v>
      </c>
      <c r="C8" s="28" t="s">
        <v>18</v>
      </c>
      <c r="D8" s="29">
        <f>D6*D7</f>
        <v>5150.0987999999988</v>
      </c>
      <c r="F8" s="37" t="s">
        <v>8</v>
      </c>
      <c r="G8" s="39">
        <f>G6-G7</f>
        <v>40298.472000000002</v>
      </c>
      <c r="H8" s="26" t="s">
        <v>19</v>
      </c>
      <c r="I8" s="27">
        <v>0.40400000000000003</v>
      </c>
      <c r="K8" s="34" t="s">
        <v>20</v>
      </c>
      <c r="L8" s="35">
        <f>0.9*L7</f>
        <v>235376.64720000001</v>
      </c>
      <c r="M8" s="36">
        <f>M7*0.9</f>
        <v>23442.551177142854</v>
      </c>
    </row>
    <row r="9" spans="1:17" ht="15.6" x14ac:dyDescent="0.3">
      <c r="A9" s="17" t="s">
        <v>12</v>
      </c>
      <c r="B9" s="18">
        <f>B3</f>
        <v>118800</v>
      </c>
      <c r="C9" s="40" t="s">
        <v>15</v>
      </c>
      <c r="D9" s="20">
        <v>2242</v>
      </c>
      <c r="F9" s="17" t="s">
        <v>12</v>
      </c>
      <c r="G9" s="21">
        <f>G3</f>
        <v>324072</v>
      </c>
      <c r="H9" s="41" t="s">
        <v>8</v>
      </c>
      <c r="I9" s="42">
        <f>I5*I4+(I7-I5)*I6+(I3-I7)*I8</f>
        <v>4640.1345000000001</v>
      </c>
      <c r="K9" s="5" t="s">
        <v>21</v>
      </c>
      <c r="L9" s="15">
        <f>L8*($L$26/2+$L$28+$L$30+$L$31+$L$32+$L$35+$L$27/2+$L$29/2)</f>
        <v>101094.2699724</v>
      </c>
      <c r="M9" s="16">
        <f>M8*($L$26/2+$L$28+$L$30+$L$31+$L$32+$L$35+$L$27/2+$L$29/2)</f>
        <v>10068.575730582856</v>
      </c>
      <c r="O9" s="43"/>
    </row>
    <row r="10" spans="1:17" ht="15.6" x14ac:dyDescent="0.3">
      <c r="A10" s="17" t="s">
        <v>22</v>
      </c>
      <c r="B10" s="18">
        <f>B9*0.135</f>
        <v>16038.000000000002</v>
      </c>
      <c r="C10" s="33" t="s">
        <v>23</v>
      </c>
      <c r="D10" s="20">
        <v>3103</v>
      </c>
      <c r="F10" s="17" t="s">
        <v>22</v>
      </c>
      <c r="G10" s="21">
        <f>G9*0.135</f>
        <v>43749.72</v>
      </c>
      <c r="H10" s="44" t="s">
        <v>24</v>
      </c>
      <c r="I10" s="23">
        <f>I7</f>
        <v>33715</v>
      </c>
      <c r="K10" s="5" t="s">
        <v>25</v>
      </c>
      <c r="L10" s="15">
        <f>L9*21/121</f>
        <v>17545.286524135539</v>
      </c>
      <c r="M10" s="16">
        <f>M9*6/106</f>
        <v>569.91938097638808</v>
      </c>
    </row>
    <row r="11" spans="1:17" ht="15.6" x14ac:dyDescent="0.3">
      <c r="A11" s="37" t="s">
        <v>26</v>
      </c>
      <c r="B11" s="38">
        <f>B10/3</f>
        <v>5346.0000000000009</v>
      </c>
      <c r="C11" s="19" t="s">
        <v>27</v>
      </c>
      <c r="D11" s="25">
        <v>6.9500000000000006E-2</v>
      </c>
      <c r="F11" s="37" t="s">
        <v>26</v>
      </c>
      <c r="G11" s="39">
        <f>G10/3</f>
        <v>14583.24</v>
      </c>
      <c r="H11" s="41" t="s">
        <v>16</v>
      </c>
      <c r="I11" s="45">
        <v>0.28149999999999997</v>
      </c>
      <c r="K11" s="5" t="s">
        <v>28</v>
      </c>
      <c r="L11" s="15">
        <f>L8*($L$25+$L$33+$L$34+$L$27/2+$L$29/2+L26/2)</f>
        <v>84617.904668400006</v>
      </c>
      <c r="M11" s="16">
        <f>M8*($L$25+$L$33+$L$34+$L$27/2+$L$29/2+L26/2)</f>
        <v>8427.5971481828565</v>
      </c>
    </row>
    <row r="12" spans="1:17" ht="15.6" x14ac:dyDescent="0.3">
      <c r="A12" s="37" t="s">
        <v>29</v>
      </c>
      <c r="B12" s="38">
        <f>B9*0.09</f>
        <v>10692</v>
      </c>
      <c r="C12" s="19" t="s">
        <v>30</v>
      </c>
      <c r="D12" s="20">
        <f>D6*D11</f>
        <v>1271.5164</v>
      </c>
      <c r="F12" s="17" t="s">
        <v>31</v>
      </c>
      <c r="G12" s="46">
        <v>6.5000000000000002E-2</v>
      </c>
      <c r="H12" s="44" t="s">
        <v>18</v>
      </c>
      <c r="I12" s="23">
        <f>I10*I11</f>
        <v>9490.7724999999991</v>
      </c>
      <c r="K12" s="5" t="s">
        <v>32</v>
      </c>
      <c r="L12" s="15">
        <f>L11*0.15/1.15</f>
        <v>11037.118000226088</v>
      </c>
      <c r="M12" s="16">
        <f>M11*0.06/1.06</f>
        <v>477.03380084053896</v>
      </c>
    </row>
    <row r="13" spans="1:17" ht="15.6" x14ac:dyDescent="0.3">
      <c r="A13" s="17" t="s">
        <v>33</v>
      </c>
      <c r="B13" s="18">
        <f>B10-B11</f>
        <v>10692</v>
      </c>
      <c r="C13" s="28" t="s">
        <v>34</v>
      </c>
      <c r="D13" s="29">
        <f>D8+D5</f>
        <v>6686.8955999999989</v>
      </c>
      <c r="F13" s="37" t="s">
        <v>29</v>
      </c>
      <c r="G13" s="39">
        <f>G9*G12</f>
        <v>21064.68</v>
      </c>
      <c r="H13" s="47" t="s">
        <v>15</v>
      </c>
      <c r="I13" s="23">
        <f>'[1] 1.zaměstnanec'!H29</f>
        <v>1160.9716571428571</v>
      </c>
      <c r="K13" s="34" t="s">
        <v>35</v>
      </c>
      <c r="L13" s="35">
        <f>L10+L12</f>
        <v>28582.404524361627</v>
      </c>
      <c r="M13" s="36">
        <f>M10+M12</f>
        <v>1046.9531818169271</v>
      </c>
    </row>
    <row r="14" spans="1:17" ht="15.6" x14ac:dyDescent="0.3">
      <c r="A14" s="17" t="s">
        <v>36</v>
      </c>
      <c r="B14" s="18">
        <f>B9*0.25</f>
        <v>29700</v>
      </c>
      <c r="C14" s="48" t="s">
        <v>7</v>
      </c>
      <c r="D14" s="29">
        <f>D13-D10-D9</f>
        <v>1341.8955999999989</v>
      </c>
      <c r="F14" s="17" t="s">
        <v>27</v>
      </c>
      <c r="G14" s="30">
        <v>0.09</v>
      </c>
      <c r="H14" s="44" t="s">
        <v>23</v>
      </c>
      <c r="I14" s="23">
        <f>H33</f>
        <v>1606.8220571428569</v>
      </c>
      <c r="K14" s="5" t="s">
        <v>37</v>
      </c>
      <c r="L14" s="49">
        <f>L6/L3</f>
        <v>0.19298918758794339</v>
      </c>
      <c r="M14" s="49">
        <f>M6/M3</f>
        <v>0.29365226473277239</v>
      </c>
    </row>
    <row r="15" spans="1:17" ht="15.6" x14ac:dyDescent="0.3">
      <c r="A15" s="37" t="s">
        <v>7</v>
      </c>
      <c r="B15" s="38">
        <f>B8+B11+B12</f>
        <v>16038</v>
      </c>
      <c r="C15" s="48" t="s">
        <v>38</v>
      </c>
      <c r="D15" s="25">
        <f>D14/D3</f>
        <v>7.3346866937775979E-2</v>
      </c>
      <c r="F15" s="17" t="s">
        <v>30</v>
      </c>
      <c r="G15" s="21">
        <f>G10-G11</f>
        <v>29166.480000000003</v>
      </c>
      <c r="H15" s="44" t="s">
        <v>39</v>
      </c>
      <c r="I15" s="23">
        <f>I3</f>
        <v>36876</v>
      </c>
      <c r="K15" s="5" t="s">
        <v>40</v>
      </c>
      <c r="L15" s="49">
        <f>L13/L3</f>
        <v>8.8197698426157239E-2</v>
      </c>
      <c r="M15" s="49">
        <f>M13/M3</f>
        <v>2.8391180763014619E-2</v>
      </c>
    </row>
    <row r="16" spans="1:17" ht="15.6" x14ac:dyDescent="0.3">
      <c r="A16" s="37" t="s">
        <v>38</v>
      </c>
      <c r="B16" s="50">
        <f>B15/B3</f>
        <v>0.13500000000000001</v>
      </c>
      <c r="C16" s="19" t="s">
        <v>41</v>
      </c>
      <c r="D16" s="20">
        <f>D12</f>
        <v>1271.5164</v>
      </c>
      <c r="F16" s="17" t="s">
        <v>42</v>
      </c>
      <c r="G16" s="30">
        <v>0.25</v>
      </c>
      <c r="H16" s="22" t="s">
        <v>27</v>
      </c>
      <c r="I16" s="27">
        <v>6.9500000000000006E-2</v>
      </c>
      <c r="K16" s="34" t="s">
        <v>43</v>
      </c>
      <c r="L16" s="51">
        <f>L15+L14</f>
        <v>0.28118688601410063</v>
      </c>
      <c r="M16" s="51">
        <f>M15+M14</f>
        <v>0.32204344549578701</v>
      </c>
    </row>
    <row r="17" spans="1:13" ht="15.6" x14ac:dyDescent="0.3">
      <c r="A17" s="17" t="s">
        <v>41</v>
      </c>
      <c r="B17" s="18">
        <f>B14+B13</f>
        <v>40392</v>
      </c>
      <c r="C17" s="19" t="s">
        <v>44</v>
      </c>
      <c r="D17" s="25">
        <f>D16/D3</f>
        <v>6.9500000000000006E-2</v>
      </c>
      <c r="F17" s="17" t="s">
        <v>45</v>
      </c>
      <c r="G17" s="21">
        <f>G9*G16</f>
        <v>81018</v>
      </c>
      <c r="H17" s="22" t="s">
        <v>30</v>
      </c>
      <c r="I17" s="23">
        <f>I15*I16</f>
        <v>2562.8820000000001</v>
      </c>
    </row>
    <row r="18" spans="1:13" ht="15.6" x14ac:dyDescent="0.3">
      <c r="A18" s="17" t="s">
        <v>44</v>
      </c>
      <c r="B18" s="25">
        <f>B17/B3</f>
        <v>0.34</v>
      </c>
      <c r="C18" s="19"/>
      <c r="D18" s="20"/>
      <c r="F18" s="37" t="s">
        <v>7</v>
      </c>
      <c r="G18" s="39">
        <f>G8+G11+G13</f>
        <v>75946.391999999993</v>
      </c>
      <c r="H18" s="41" t="s">
        <v>34</v>
      </c>
      <c r="I18" s="42">
        <f>I12+I9</f>
        <v>14130.906999999999</v>
      </c>
    </row>
    <row r="19" spans="1:13" ht="16.2" thickBot="1" x14ac:dyDescent="0.35">
      <c r="A19" s="52" t="s">
        <v>46</v>
      </c>
      <c r="B19" s="53">
        <f>B18+B16</f>
        <v>0.47500000000000003</v>
      </c>
      <c r="C19" s="54" t="s">
        <v>46</v>
      </c>
      <c r="D19" s="53">
        <f>D17+D15</f>
        <v>0.14284686693777598</v>
      </c>
      <c r="F19" s="37"/>
      <c r="G19" s="39"/>
      <c r="H19" s="55" t="s">
        <v>7</v>
      </c>
      <c r="I19" s="42">
        <f>I18-I13-I14</f>
        <v>11363.113285714284</v>
      </c>
      <c r="K19" s="34"/>
      <c r="L19" s="6"/>
      <c r="M19" s="7"/>
    </row>
    <row r="20" spans="1:13" ht="15.6" x14ac:dyDescent="0.3">
      <c r="F20" s="37" t="s">
        <v>38</v>
      </c>
      <c r="G20" s="45">
        <f>G18/G3</f>
        <v>0.23435036658520325</v>
      </c>
      <c r="H20" s="55" t="s">
        <v>38</v>
      </c>
      <c r="I20" s="45">
        <f>I19/I3</f>
        <v>0.30814386825345169</v>
      </c>
      <c r="K20" s="5"/>
      <c r="L20" s="15"/>
      <c r="M20" s="16"/>
    </row>
    <row r="21" spans="1:13" ht="15.6" x14ac:dyDescent="0.3">
      <c r="F21" s="17" t="s">
        <v>41</v>
      </c>
      <c r="G21" s="21">
        <f>G17+G15</f>
        <v>110184.48000000001</v>
      </c>
      <c r="H21" s="22" t="s">
        <v>41</v>
      </c>
      <c r="I21" s="23">
        <f>I17</f>
        <v>2562.8820000000001</v>
      </c>
      <c r="K21" s="5"/>
      <c r="L21" s="15"/>
      <c r="M21" s="16"/>
    </row>
    <row r="22" spans="1:13" ht="16.2" thickBot="1" x14ac:dyDescent="0.35">
      <c r="F22" s="17" t="s">
        <v>44</v>
      </c>
      <c r="G22" s="27">
        <f>G21/G3</f>
        <v>0.34</v>
      </c>
      <c r="H22" s="22" t="s">
        <v>44</v>
      </c>
      <c r="I22" s="27">
        <f>I21/I3</f>
        <v>6.9500000000000006E-2</v>
      </c>
      <c r="K22" s="5"/>
      <c r="L22" s="15"/>
      <c r="M22" s="16"/>
    </row>
    <row r="23" spans="1:13" ht="31.8" thickBot="1" x14ac:dyDescent="0.35">
      <c r="F23" s="52" t="s">
        <v>46</v>
      </c>
      <c r="G23" s="56">
        <f>G20+G22</f>
        <v>0.57435036658520322</v>
      </c>
      <c r="H23" s="54" t="s">
        <v>46</v>
      </c>
      <c r="I23" s="56">
        <f>I22+I20</f>
        <v>0.3776438682534517</v>
      </c>
      <c r="K23" s="57" t="s">
        <v>47</v>
      </c>
      <c r="L23" s="57" t="s">
        <v>48</v>
      </c>
      <c r="M23" s="49"/>
    </row>
    <row r="24" spans="1:13" ht="16.2" thickBot="1" x14ac:dyDescent="0.35">
      <c r="K24" s="58" t="s">
        <v>49</v>
      </c>
      <c r="L24" s="59">
        <v>0.21099999999999999</v>
      </c>
      <c r="M24" s="36"/>
    </row>
    <row r="25" spans="1:13" ht="16.2" thickBot="1" x14ac:dyDescent="0.35">
      <c r="K25" s="60" t="s">
        <v>50</v>
      </c>
      <c r="L25" s="61">
        <v>0.2</v>
      </c>
      <c r="M25" s="51"/>
    </row>
    <row r="26" spans="1:13" ht="16.2" thickBot="1" x14ac:dyDescent="0.35">
      <c r="K26" s="62" t="s">
        <v>51</v>
      </c>
      <c r="L26" s="63">
        <v>0.106</v>
      </c>
      <c r="M26" s="51"/>
    </row>
    <row r="27" spans="1:13" ht="16.2" thickBot="1" x14ac:dyDescent="0.35">
      <c r="F27">
        <v>20000</v>
      </c>
      <c r="G27">
        <v>2242</v>
      </c>
      <c r="H27">
        <f>G27/(F28-F27)</f>
        <v>6.4057142857142854E-2</v>
      </c>
      <c r="K27" s="64" t="s">
        <v>52</v>
      </c>
      <c r="L27" s="59">
        <v>9.2999999999999999E-2</v>
      </c>
      <c r="M27" s="51"/>
    </row>
    <row r="28" spans="1:13" ht="31.8" thickBot="1" x14ac:dyDescent="0.35">
      <c r="F28">
        <v>55000</v>
      </c>
      <c r="G28">
        <v>0</v>
      </c>
      <c r="H28">
        <f>H27*(F29-F27)</f>
        <v>1081.0283428571429</v>
      </c>
      <c r="K28" s="65" t="s">
        <v>53</v>
      </c>
      <c r="L28" s="61">
        <v>0.06</v>
      </c>
    </row>
    <row r="29" spans="1:13" ht="16.2" thickBot="1" x14ac:dyDescent="0.35">
      <c r="F29" s="32">
        <f>I3</f>
        <v>36876</v>
      </c>
      <c r="H29">
        <f>H27*(F28-F29)</f>
        <v>1160.9716571428571</v>
      </c>
      <c r="K29" s="64" t="s">
        <v>54</v>
      </c>
      <c r="L29" s="59">
        <v>5.6000000000000001E-2</v>
      </c>
    </row>
    <row r="30" spans="1:13" ht="16.2" thickBot="1" x14ac:dyDescent="0.35">
      <c r="H30">
        <f>H29+H28</f>
        <v>2242</v>
      </c>
      <c r="K30" s="65" t="s">
        <v>55</v>
      </c>
      <c r="L30" s="61">
        <v>0.05</v>
      </c>
    </row>
    <row r="31" spans="1:13" ht="16.2" thickBot="1" x14ac:dyDescent="0.35">
      <c r="K31" s="65" t="s">
        <v>56</v>
      </c>
      <c r="L31" s="59">
        <v>4.2000000000000003E-2</v>
      </c>
    </row>
    <row r="32" spans="1:13" ht="16.2" thickBot="1" x14ac:dyDescent="0.35">
      <c r="G32">
        <v>3103</v>
      </c>
      <c r="H32">
        <f>G32/(F28-F27)</f>
        <v>8.8657142857142851E-2</v>
      </c>
      <c r="K32" s="65" t="s">
        <v>57</v>
      </c>
      <c r="L32" s="59">
        <v>2.9000000000000001E-2</v>
      </c>
    </row>
    <row r="33" spans="1:12" ht="16.2" thickBot="1" x14ac:dyDescent="0.35">
      <c r="H33">
        <f>H32*(F28-F29)</f>
        <v>1606.8220571428569</v>
      </c>
      <c r="K33" s="60" t="s">
        <v>58</v>
      </c>
      <c r="L33" s="59">
        <v>2.5999999999999999E-2</v>
      </c>
    </row>
    <row r="34" spans="1:12" ht="16.2" thickBot="1" x14ac:dyDescent="0.35">
      <c r="K34" s="60" t="s">
        <v>59</v>
      </c>
      <c r="L34" s="59">
        <v>6.0000000000000001E-3</v>
      </c>
    </row>
    <row r="35" spans="1:12" ht="15.6" customHeight="1" thickBot="1" x14ac:dyDescent="0.35">
      <c r="A35" s="57" t="s">
        <v>47</v>
      </c>
      <c r="B35" s="57" t="s">
        <v>48</v>
      </c>
      <c r="K35" s="65" t="s">
        <v>60</v>
      </c>
      <c r="L35" s="59">
        <v>0.121</v>
      </c>
    </row>
    <row r="36" spans="1:12" ht="18.600000000000001" customHeight="1" thickBot="1" x14ac:dyDescent="0.35">
      <c r="A36" s="66" t="s">
        <v>49</v>
      </c>
      <c r="B36" s="59">
        <v>0.21099999999999999</v>
      </c>
      <c r="L36" s="67">
        <f>SUM(L24:L35)</f>
        <v>1</v>
      </c>
    </row>
  </sheetData>
  <mergeCells count="4">
    <mergeCell ref="A1:B1"/>
    <mergeCell ref="C1:D1"/>
    <mergeCell ref="F1:G1"/>
    <mergeCell ref="H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M8" sqref="M8"/>
    </sheetView>
  </sheetViews>
  <sheetFormatPr defaultRowHeight="14.4" x14ac:dyDescent="0.3"/>
  <cols>
    <col min="1" max="1" width="17.5546875" bestFit="1" customWidth="1"/>
    <col min="2" max="2" width="12.5546875" bestFit="1" customWidth="1"/>
    <col min="3" max="3" width="13.109375" customWidth="1"/>
    <col min="4" max="4" width="10.5546875" bestFit="1" customWidth="1"/>
    <col min="5" max="5" width="12.44140625" bestFit="1" customWidth="1"/>
    <col min="14" max="14" width="24.33203125" bestFit="1" customWidth="1"/>
    <col min="15" max="15" width="14.21875" bestFit="1" customWidth="1"/>
    <col min="16" max="16" width="24.33203125" bestFit="1" customWidth="1"/>
    <col min="17" max="17" width="11.5546875" bestFit="1" customWidth="1"/>
  </cols>
  <sheetData>
    <row r="1" spans="1:19" ht="31.2" x14ac:dyDescent="0.3">
      <c r="A1" s="68" t="s">
        <v>61</v>
      </c>
      <c r="B1" s="69" t="s">
        <v>62</v>
      </c>
      <c r="C1" s="69" t="s">
        <v>63</v>
      </c>
      <c r="D1" s="69" t="s">
        <v>64</v>
      </c>
      <c r="E1" s="69" t="s">
        <v>65</v>
      </c>
    </row>
    <row r="2" spans="1:19" ht="15.6" x14ac:dyDescent="0.3">
      <c r="A2" s="70" t="s">
        <v>66</v>
      </c>
      <c r="B2" s="71">
        <v>500</v>
      </c>
      <c r="C2" s="71">
        <v>30</v>
      </c>
      <c r="D2" s="71">
        <v>95</v>
      </c>
      <c r="E2" s="71">
        <v>6</v>
      </c>
      <c r="N2" s="72" t="s">
        <v>0</v>
      </c>
      <c r="O2" s="72"/>
      <c r="P2" s="72" t="s">
        <v>1</v>
      </c>
      <c r="Q2" s="72"/>
    </row>
    <row r="3" spans="1:19" ht="15.6" x14ac:dyDescent="0.3">
      <c r="A3" s="70" t="s">
        <v>67</v>
      </c>
      <c r="B3" s="73">
        <f>B2*21/121</f>
        <v>86.776859504132233</v>
      </c>
      <c r="C3" s="73">
        <f>C2*21/121</f>
        <v>5.2066115702479339</v>
      </c>
      <c r="D3" s="73">
        <f t="shared" ref="D3:E3" si="0">D2*21/121</f>
        <v>16.487603305785125</v>
      </c>
      <c r="E3" s="73">
        <f t="shared" si="0"/>
        <v>1.0413223140495869</v>
      </c>
      <c r="H3" s="43"/>
      <c r="N3" s="5" t="s">
        <v>68</v>
      </c>
      <c r="O3" s="15">
        <f>O5/0.4</f>
        <v>810180</v>
      </c>
      <c r="P3" s="5" t="s">
        <v>68</v>
      </c>
      <c r="Q3" s="16">
        <f>Q5/0.4</f>
        <v>92190</v>
      </c>
      <c r="S3" s="32">
        <f>Q3*21/121</f>
        <v>15999.917355371901</v>
      </c>
    </row>
    <row r="4" spans="1:19" ht="15.6" x14ac:dyDescent="0.3">
      <c r="A4" s="70" t="s">
        <v>69</v>
      </c>
      <c r="B4" s="71">
        <f>12*B2</f>
        <v>6000</v>
      </c>
      <c r="C4" s="71">
        <f t="shared" ref="C4:C5" si="1">12*C2</f>
        <v>360</v>
      </c>
      <c r="D4" s="71">
        <f>91*D2</f>
        <v>8645</v>
      </c>
      <c r="E4" s="71">
        <f>91*E2</f>
        <v>546</v>
      </c>
      <c r="H4" s="43"/>
      <c r="N4" s="5" t="s">
        <v>70</v>
      </c>
      <c r="O4" s="15">
        <f>O3-O5</f>
        <v>486108</v>
      </c>
      <c r="P4" s="5" t="s">
        <v>70</v>
      </c>
      <c r="Q4" s="16">
        <f>Q3-Q5</f>
        <v>55314</v>
      </c>
      <c r="S4" s="32">
        <f>Q4*21/121</f>
        <v>9599.9504132231414</v>
      </c>
    </row>
    <row r="5" spans="1:19" ht="15.6" x14ac:dyDescent="0.3">
      <c r="A5" s="68" t="s">
        <v>71</v>
      </c>
      <c r="B5" s="74">
        <f>12*B3</f>
        <v>1041.3223140495868</v>
      </c>
      <c r="C5" s="74">
        <f t="shared" si="1"/>
        <v>62.47933884297521</v>
      </c>
      <c r="D5" s="74">
        <f>91*D3</f>
        <v>1500.3719008264463</v>
      </c>
      <c r="E5" s="74">
        <f>91*E3</f>
        <v>94.760330578512409</v>
      </c>
      <c r="H5" s="43"/>
      <c r="N5" s="5" t="s">
        <v>72</v>
      </c>
      <c r="O5" s="15">
        <f>27006*12</f>
        <v>324072</v>
      </c>
      <c r="P5" s="5" t="s">
        <v>72</v>
      </c>
      <c r="Q5" s="16">
        <f>36876</f>
        <v>36876</v>
      </c>
      <c r="S5" s="32">
        <f>S3-S4</f>
        <v>6399.9669421487597</v>
      </c>
    </row>
    <row r="6" spans="1:19" ht="15.6" x14ac:dyDescent="0.3">
      <c r="A6" s="70" t="s">
        <v>73</v>
      </c>
      <c r="B6" s="71"/>
      <c r="C6" s="71"/>
      <c r="D6" s="71">
        <v>27</v>
      </c>
      <c r="E6" s="71">
        <v>60.6</v>
      </c>
      <c r="N6" s="5" t="s">
        <v>74</v>
      </c>
      <c r="O6" s="15">
        <f>0.6*O3</f>
        <v>486108</v>
      </c>
      <c r="P6" s="5" t="s">
        <v>75</v>
      </c>
      <c r="Q6" s="16">
        <f>7280</f>
        <v>7280</v>
      </c>
    </row>
    <row r="7" spans="1:19" ht="15.6" x14ac:dyDescent="0.3">
      <c r="A7" s="70" t="s">
        <v>76</v>
      </c>
      <c r="B7" s="71" t="s">
        <v>77</v>
      </c>
      <c r="C7" s="71" t="s">
        <v>78</v>
      </c>
      <c r="D7" s="71" t="s">
        <v>79</v>
      </c>
      <c r="E7" s="71" t="s">
        <v>80</v>
      </c>
      <c r="N7" s="5" t="s">
        <v>81</v>
      </c>
      <c r="O7" s="15">
        <f>O5</f>
        <v>324072</v>
      </c>
      <c r="P7" s="5" t="s">
        <v>81</v>
      </c>
      <c r="Q7" s="16">
        <f>Q5-Q6</f>
        <v>29596</v>
      </c>
    </row>
    <row r="8" spans="1:19" ht="15.6" x14ac:dyDescent="0.3">
      <c r="A8" s="70" t="s">
        <v>82</v>
      </c>
      <c r="B8" s="75">
        <f>28500/100*0.4*9</f>
        <v>1026</v>
      </c>
      <c r="C8" s="75">
        <f>1686/100*0.4*9</f>
        <v>60.695999999999998</v>
      </c>
      <c r="D8" s="75">
        <f>1.39*20*91</f>
        <v>2529.7999999999997</v>
      </c>
      <c r="E8" s="73">
        <f>178.28*91/1000</f>
        <v>16.223479999999999</v>
      </c>
      <c r="G8" s="76">
        <v>19992</v>
      </c>
      <c r="H8" s="76">
        <v>33715</v>
      </c>
      <c r="N8" s="5" t="s">
        <v>11</v>
      </c>
      <c r="O8" s="15">
        <f>O7*0.15</f>
        <v>48610.799999999996</v>
      </c>
      <c r="P8" s="5" t="s">
        <v>11</v>
      </c>
      <c r="Q8" s="16">
        <f>G8*0.084+(H8-G8)*0.1225</f>
        <v>3360.3955000000001</v>
      </c>
    </row>
    <row r="9" spans="1:19" ht="15.6" x14ac:dyDescent="0.3">
      <c r="A9" s="70" t="s">
        <v>83</v>
      </c>
      <c r="B9" s="75"/>
      <c r="C9" s="75"/>
      <c r="D9" s="75">
        <f>0.27*D2*91</f>
        <v>2334.15</v>
      </c>
      <c r="E9" s="73">
        <f>0.606*6*91</f>
        <v>330.87600000000003</v>
      </c>
      <c r="N9" s="5" t="s">
        <v>84</v>
      </c>
      <c r="O9" s="15">
        <f>O7*0.5*0.135+O7*0.25*0.292</f>
        <v>45532.115999999995</v>
      </c>
      <c r="P9" s="5" t="s">
        <v>84</v>
      </c>
      <c r="Q9" s="16">
        <f>Q7*0.2815</f>
        <v>8331.2739999999994</v>
      </c>
    </row>
    <row r="10" spans="1:19" ht="15.6" x14ac:dyDescent="0.3">
      <c r="A10" s="68" t="s">
        <v>85</v>
      </c>
      <c r="B10" s="77">
        <f>B9+B8</f>
        <v>1026</v>
      </c>
      <c r="C10" s="77">
        <f t="shared" ref="C10:E10" si="2">C9+C8</f>
        <v>60.695999999999998</v>
      </c>
      <c r="D10" s="77">
        <f t="shared" si="2"/>
        <v>4863.95</v>
      </c>
      <c r="E10" s="74">
        <f t="shared" si="2"/>
        <v>347.09948000000003</v>
      </c>
      <c r="J10">
        <v>20000</v>
      </c>
      <c r="K10">
        <v>2242</v>
      </c>
      <c r="L10">
        <f>K10/(J11-J10)</f>
        <v>6.4057142857142854E-2</v>
      </c>
      <c r="N10" s="5" t="s">
        <v>86</v>
      </c>
      <c r="O10" s="15">
        <v>24840</v>
      </c>
      <c r="P10" s="5" t="s">
        <v>87</v>
      </c>
      <c r="Q10" s="16">
        <f>L10*(55000-Q7)</f>
        <v>1627.3076571428571</v>
      </c>
    </row>
    <row r="11" spans="1:19" ht="15.6" x14ac:dyDescent="0.3">
      <c r="J11">
        <v>55000</v>
      </c>
      <c r="K11">
        <v>0</v>
      </c>
      <c r="L11" s="32"/>
      <c r="N11" s="5"/>
      <c r="O11" s="15"/>
      <c r="P11" s="5" t="s">
        <v>23</v>
      </c>
      <c r="Q11" s="16">
        <f>L15*(55000-Q7)</f>
        <v>2252.2460571428569</v>
      </c>
    </row>
    <row r="12" spans="1:19" ht="15.6" x14ac:dyDescent="0.3">
      <c r="G12" s="31">
        <v>1032</v>
      </c>
      <c r="H12">
        <f>G12/(55000-20000)</f>
        <v>2.9485714285714285E-2</v>
      </c>
      <c r="I12" s="32"/>
      <c r="J12" s="32"/>
      <c r="N12" s="5" t="s">
        <v>8</v>
      </c>
      <c r="O12" s="15">
        <f>O8-O10</f>
        <v>23770.799999999996</v>
      </c>
      <c r="P12" s="5" t="s">
        <v>8</v>
      </c>
      <c r="Q12" s="16">
        <f>Q8-Q10-Q11</f>
        <v>-519.15821428571394</v>
      </c>
    </row>
    <row r="13" spans="1:19" ht="15.6" x14ac:dyDescent="0.3">
      <c r="G13" s="31">
        <v>1519</v>
      </c>
      <c r="H13">
        <f>G13/(55000-20000)</f>
        <v>4.3400000000000001E-2</v>
      </c>
      <c r="I13" s="32"/>
      <c r="N13" s="34" t="s">
        <v>88</v>
      </c>
      <c r="O13" s="35">
        <f>O12+O9</f>
        <v>69302.915999999997</v>
      </c>
      <c r="P13" s="34" t="s">
        <v>88</v>
      </c>
      <c r="Q13" s="36">
        <f>Q12+Q9</f>
        <v>7812.1157857142853</v>
      </c>
    </row>
    <row r="14" spans="1:19" ht="15.6" x14ac:dyDescent="0.3">
      <c r="N14" s="34" t="s">
        <v>89</v>
      </c>
      <c r="O14" s="35">
        <f>O7-O13</f>
        <v>254769.084</v>
      </c>
      <c r="P14" s="34" t="s">
        <v>89</v>
      </c>
      <c r="Q14" s="36">
        <f>Q7-Q13</f>
        <v>21783.884214285714</v>
      </c>
    </row>
    <row r="15" spans="1:19" ht="15.6" x14ac:dyDescent="0.3">
      <c r="K15">
        <v>3103</v>
      </c>
      <c r="L15">
        <f>K15/(J11-J10)</f>
        <v>8.8657142857142851E-2</v>
      </c>
      <c r="N15" s="34" t="s">
        <v>17</v>
      </c>
      <c r="O15" s="35">
        <f>O5-O13</f>
        <v>254769.084</v>
      </c>
      <c r="P15" s="34" t="s">
        <v>17</v>
      </c>
      <c r="Q15" s="36">
        <f>Q5-Q13</f>
        <v>29063.884214285714</v>
      </c>
    </row>
    <row r="16" spans="1:19" ht="15.6" x14ac:dyDescent="0.3">
      <c r="L16" s="32"/>
      <c r="N16" s="34" t="s">
        <v>71</v>
      </c>
      <c r="O16" s="15">
        <v>0</v>
      </c>
      <c r="P16" s="34" t="s">
        <v>71</v>
      </c>
      <c r="Q16" s="16">
        <f>Q5*21/121</f>
        <v>6399.9669421487606</v>
      </c>
    </row>
    <row r="17" spans="14:17" ht="15.6" x14ac:dyDescent="0.3">
      <c r="N17" s="5" t="s">
        <v>37</v>
      </c>
      <c r="O17" s="49">
        <f>O13/O3</f>
        <v>8.5540146634081313E-2</v>
      </c>
      <c r="P17" s="5" t="s">
        <v>37</v>
      </c>
      <c r="Q17" s="49">
        <f>Q13/Q3</f>
        <v>8.4739296948847867E-2</v>
      </c>
    </row>
    <row r="18" spans="14:17" ht="15.6" x14ac:dyDescent="0.3">
      <c r="N18" s="5" t="s">
        <v>40</v>
      </c>
      <c r="O18" s="49">
        <f>O16/O3</f>
        <v>0</v>
      </c>
      <c r="P18" s="5" t="s">
        <v>40</v>
      </c>
      <c r="Q18" s="49">
        <f>Q16/Q3</f>
        <v>6.9421487603305784E-2</v>
      </c>
    </row>
    <row r="19" spans="14:17" ht="15.6" x14ac:dyDescent="0.3">
      <c r="N19" s="34" t="s">
        <v>90</v>
      </c>
      <c r="O19" s="51">
        <f>O18+O17</f>
        <v>8.5540146634081313E-2</v>
      </c>
      <c r="P19" s="34" t="s">
        <v>90</v>
      </c>
      <c r="Q19" s="51">
        <f>Q17+Q18</f>
        <v>0.15416078455215365</v>
      </c>
    </row>
    <row r="20" spans="14:17" ht="15.6" x14ac:dyDescent="0.3">
      <c r="N20" s="16" t="s">
        <v>37</v>
      </c>
      <c r="O20" s="49">
        <f>O13/O15</f>
        <v>0.27202247192598927</v>
      </c>
      <c r="P20" s="16" t="s">
        <v>91</v>
      </c>
      <c r="Q20" s="49">
        <f>Q13/Q15</f>
        <v>0.26879118180199779</v>
      </c>
    </row>
    <row r="21" spans="14:17" ht="15.6" x14ac:dyDescent="0.3">
      <c r="N21" s="16" t="s">
        <v>92</v>
      </c>
      <c r="O21" s="49">
        <f>O16/O15</f>
        <v>0</v>
      </c>
      <c r="P21" s="16" t="s">
        <v>92</v>
      </c>
      <c r="Q21" s="49">
        <f>Q16/Q15</f>
        <v>0.22020342824662772</v>
      </c>
    </row>
    <row r="22" spans="14:17" ht="15.6" x14ac:dyDescent="0.3">
      <c r="N22" s="34" t="s">
        <v>93</v>
      </c>
      <c r="O22" s="78">
        <f>O20+O21</f>
        <v>0.27202247192598927</v>
      </c>
      <c r="P22" s="34" t="s">
        <v>93</v>
      </c>
      <c r="Q22" s="78">
        <f>Q20+Q21</f>
        <v>0.48899461004862554</v>
      </c>
    </row>
    <row r="24" spans="14:17" x14ac:dyDescent="0.3">
      <c r="O24" s="43">
        <f>O15-13600*12-12*500-91*95-0.15*O15</f>
        <v>38708.721400000002</v>
      </c>
    </row>
    <row r="25" spans="14:17" x14ac:dyDescent="0.3">
      <c r="O25" s="43">
        <f>O24/12</f>
        <v>3225.7267833333335</v>
      </c>
    </row>
  </sheetData>
  <mergeCells count="2">
    <mergeCell ref="N2:O2"/>
    <mergeCell ref="P2:Q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DM-ČR</vt:lpstr>
      <vt:lpstr>DM-Nizozemsko</vt:lpstr>
      <vt:lpstr>SpD-ČR</vt:lpstr>
      <vt:lpstr>SpD-Nizozemsko</vt:lpstr>
      <vt:lpstr>P1-zaměstnanec</vt:lpstr>
      <vt:lpstr>P2-podnikatel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</dc:creator>
  <cp:lastModifiedBy>Maso</cp:lastModifiedBy>
  <dcterms:created xsi:type="dcterms:W3CDTF">2016-05-23T11:45:37Z</dcterms:created>
  <dcterms:modified xsi:type="dcterms:W3CDTF">2016-05-23T11:57:10Z</dcterms:modified>
</cp:coreProperties>
</file>