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19420" windowHeight="7950" tabRatio="945"/>
  </bookViews>
  <sheets>
    <sheet name="BS" sheetId="1" r:id="rId1"/>
    <sheet name="P&amp;L" sheetId="4" r:id="rId2"/>
    <sheet name="základní a poměrové ukazatele" sheetId="3" r:id="rId3"/>
    <sheet name="zlatá bilanční pravidla" sheetId="14" r:id="rId4"/>
    <sheet name="CF" sheetId="11" state="hidden" r:id="rId5"/>
    <sheet name="Du Pontův pyramidový rozklad" sheetId="5" state="hidden" r:id="rId6"/>
    <sheet name="Generátory hodnoty" sheetId="10" r:id="rId7"/>
    <sheet name="Finanční Plán" sheetId="12" r:id="rId8"/>
    <sheet name="FCF" sheetId="13" r:id="rId9"/>
    <sheet name="ukazatele finančního plánu" sheetId="15" r:id="rId10"/>
    <sheet name="ocenění substanční hodnotou" sheetId="17" r:id="rId11"/>
    <sheet name="analýza atraktivity odvětví" sheetId="16" r:id="rId12"/>
  </sheets>
  <calcPr calcId="124519"/>
</workbook>
</file>

<file path=xl/calcChain.xml><?xml version="1.0" encoding="utf-8"?>
<calcChain xmlns="http://schemas.openxmlformats.org/spreadsheetml/2006/main">
  <c r="X11" i="10"/>
  <c r="B1" i="17"/>
  <c r="E2" s="1"/>
  <c r="E3" s="1"/>
  <c r="B7"/>
  <c r="B4"/>
  <c r="L16" i="1"/>
  <c r="M16"/>
  <c r="N16"/>
  <c r="O16"/>
  <c r="H16"/>
  <c r="I16"/>
  <c r="J16"/>
  <c r="B15" i="17"/>
  <c r="B9"/>
  <c r="B22"/>
  <c r="B5"/>
  <c r="B3"/>
  <c r="I7" i="16"/>
  <c r="B8" i="17" l="1"/>
  <c r="B2"/>
  <c r="F9" i="15"/>
  <c r="F15" s="1"/>
  <c r="F21" s="1"/>
  <c r="F26" s="1"/>
  <c r="C1"/>
  <c r="C9" s="1"/>
  <c r="C15" s="1"/>
  <c r="C21" s="1"/>
  <c r="C26" s="1"/>
  <c r="D1"/>
  <c r="D9" s="1"/>
  <c r="D15" s="1"/>
  <c r="D21" s="1"/>
  <c r="D26" s="1"/>
  <c r="E1"/>
  <c r="E9" s="1"/>
  <c r="E15" s="1"/>
  <c r="E21" s="1"/>
  <c r="E26" s="1"/>
  <c r="F1"/>
  <c r="B1"/>
  <c r="B9" s="1"/>
  <c r="B15" s="1"/>
  <c r="B21" s="1"/>
  <c r="B26" s="1"/>
  <c r="I8" i="16"/>
  <c r="I6"/>
  <c r="I5"/>
  <c r="I4"/>
  <c r="B9"/>
  <c r="C12" s="1"/>
  <c r="I9" l="1"/>
  <c r="C13" s="1"/>
  <c r="C14" s="1"/>
  <c r="F58" i="1"/>
  <c r="E58"/>
  <c r="D58"/>
  <c r="C58"/>
  <c r="G25" i="12"/>
  <c r="F25"/>
  <c r="E25"/>
  <c r="D25"/>
  <c r="C25"/>
  <c r="F55" i="1"/>
  <c r="E55"/>
  <c r="D55"/>
  <c r="C55"/>
  <c r="D54"/>
  <c r="E54"/>
  <c r="F54"/>
  <c r="C54"/>
  <c r="AB17" i="10"/>
  <c r="AA17"/>
  <c r="Z17"/>
  <c r="K14"/>
  <c r="L14" s="1"/>
  <c r="M14" s="1"/>
  <c r="N14" s="1"/>
  <c r="C39" i="3"/>
  <c r="D39"/>
  <c r="E39"/>
  <c r="B39"/>
  <c r="R7" i="10" l="1"/>
  <c r="S7"/>
  <c r="T7"/>
  <c r="Q7"/>
  <c r="R6"/>
  <c r="S6"/>
  <c r="T6"/>
  <c r="Q6"/>
  <c r="R5"/>
  <c r="S5"/>
  <c r="T5"/>
  <c r="Q5"/>
  <c r="R4"/>
  <c r="S4"/>
  <c r="T4"/>
  <c r="Q4"/>
  <c r="R3"/>
  <c r="R8" s="1"/>
  <c r="S3"/>
  <c r="S8" s="1"/>
  <c r="T3"/>
  <c r="T8" s="1"/>
  <c r="Q3"/>
  <c r="Q8" s="1"/>
  <c r="K5"/>
  <c r="L5"/>
  <c r="M5"/>
  <c r="J5"/>
  <c r="D10"/>
  <c r="E10"/>
  <c r="F10"/>
  <c r="C10"/>
  <c r="D8"/>
  <c r="K4" s="1"/>
  <c r="E8"/>
  <c r="L4" s="1"/>
  <c r="F8"/>
  <c r="M4" s="1"/>
  <c r="C8"/>
  <c r="J4" s="1"/>
  <c r="D6"/>
  <c r="E6"/>
  <c r="F6"/>
  <c r="C6"/>
  <c r="D4"/>
  <c r="K7" s="1"/>
  <c r="E4"/>
  <c r="L7" s="1"/>
  <c r="F4"/>
  <c r="M7" s="1"/>
  <c r="C4"/>
  <c r="J7" s="1"/>
  <c r="D3"/>
  <c r="AF3" s="1"/>
  <c r="E3"/>
  <c r="AG3" s="1"/>
  <c r="F3"/>
  <c r="AH3" s="1"/>
  <c r="C3"/>
  <c r="AE3" s="1"/>
  <c r="AE8" s="1"/>
  <c r="AF8" s="1"/>
  <c r="AG8" s="1"/>
  <c r="AH8" s="1"/>
  <c r="AI8" s="1"/>
  <c r="K2" l="1"/>
  <c r="S2"/>
  <c r="S10" s="1"/>
  <c r="Q14"/>
  <c r="L2"/>
  <c r="T2"/>
  <c r="T10" s="1"/>
  <c r="Q13"/>
  <c r="M2"/>
  <c r="Q2"/>
  <c r="Q10" s="1"/>
  <c r="X10" s="1"/>
  <c r="Q12"/>
  <c r="C13"/>
  <c r="J2"/>
  <c r="R2"/>
  <c r="R10" s="1"/>
  <c r="D1" i="14"/>
  <c r="D12" s="1"/>
  <c r="E1"/>
  <c r="F1"/>
  <c r="F12" s="1"/>
  <c r="C1"/>
  <c r="C16" l="1"/>
  <c r="F8"/>
  <c r="E16"/>
  <c r="E8"/>
  <c r="C2" i="12"/>
  <c r="J13" i="10"/>
  <c r="D13"/>
  <c r="E12" i="14"/>
  <c r="D16"/>
  <c r="C8"/>
  <c r="C12"/>
  <c r="Y10" i="10"/>
  <c r="Y17" s="1"/>
  <c r="X17"/>
  <c r="D8" i="14"/>
  <c r="D4" i="11"/>
  <c r="E4"/>
  <c r="F4"/>
  <c r="E10"/>
  <c r="I1" i="3"/>
  <c r="N15" s="1"/>
  <c r="H1"/>
  <c r="M15" s="1"/>
  <c r="G1"/>
  <c r="L15" s="1"/>
  <c r="E32"/>
  <c r="D32"/>
  <c r="C32"/>
  <c r="B32"/>
  <c r="E26"/>
  <c r="D26"/>
  <c r="C26"/>
  <c r="B26"/>
  <c r="E20"/>
  <c r="D20"/>
  <c r="C20"/>
  <c r="B20"/>
  <c r="E15"/>
  <c r="D15"/>
  <c r="C15"/>
  <c r="B15"/>
  <c r="E9"/>
  <c r="D9"/>
  <c r="C9"/>
  <c r="B9"/>
  <c r="N2" i="4"/>
  <c r="O2"/>
  <c r="P2"/>
  <c r="M2"/>
  <c r="K2"/>
  <c r="J2"/>
  <c r="I2"/>
  <c r="G31"/>
  <c r="F31"/>
  <c r="E31"/>
  <c r="D31"/>
  <c r="D5"/>
  <c r="E5"/>
  <c r="F5"/>
  <c r="G5"/>
  <c r="E26"/>
  <c r="F26"/>
  <c r="G26"/>
  <c r="M3" i="10" s="1"/>
  <c r="M6" s="1"/>
  <c r="J3" i="1"/>
  <c r="I3"/>
  <c r="H3"/>
  <c r="E18" i="14"/>
  <c r="D18"/>
  <c r="C18"/>
  <c r="F14"/>
  <c r="E14"/>
  <c r="D14"/>
  <c r="C14"/>
  <c r="F13"/>
  <c r="E13"/>
  <c r="D13"/>
  <c r="C13"/>
  <c r="F10"/>
  <c r="E10"/>
  <c r="D10"/>
  <c r="F9"/>
  <c r="E9"/>
  <c r="D9"/>
  <c r="C10"/>
  <c r="C9"/>
  <c r="F5"/>
  <c r="E5"/>
  <c r="C5"/>
  <c r="D5"/>
  <c r="F4"/>
  <c r="E4"/>
  <c r="D4"/>
  <c r="C4"/>
  <c r="F3"/>
  <c r="E3"/>
  <c r="D3"/>
  <c r="C3"/>
  <c r="F2"/>
  <c r="E2"/>
  <c r="D2"/>
  <c r="C2"/>
  <c r="Q3" i="13"/>
  <c r="C28" i="12"/>
  <c r="D28"/>
  <c r="E28"/>
  <c r="F28"/>
  <c r="G28"/>
  <c r="J49"/>
  <c r="K49"/>
  <c r="L49"/>
  <c r="M49"/>
  <c r="N49"/>
  <c r="E42" i="4"/>
  <c r="F42"/>
  <c r="G42"/>
  <c r="D42"/>
  <c r="E41"/>
  <c r="F41"/>
  <c r="G41"/>
  <c r="D41"/>
  <c r="D26"/>
  <c r="J26"/>
  <c r="J36" i="12"/>
  <c r="J35" s="1"/>
  <c r="AH5" i="10"/>
  <c r="AG5"/>
  <c r="AF5"/>
  <c r="AE5"/>
  <c r="AH4"/>
  <c r="AG4"/>
  <c r="AF4"/>
  <c r="AE4"/>
  <c r="J8" i="12"/>
  <c r="K8" s="1"/>
  <c r="K39"/>
  <c r="L39"/>
  <c r="M39"/>
  <c r="N39"/>
  <c r="J39"/>
  <c r="K33"/>
  <c r="L33"/>
  <c r="M33"/>
  <c r="N33"/>
  <c r="J33"/>
  <c r="K31"/>
  <c r="L31"/>
  <c r="M31"/>
  <c r="N31"/>
  <c r="J31"/>
  <c r="R11" i="10"/>
  <c r="S11"/>
  <c r="T11"/>
  <c r="R12"/>
  <c r="S12"/>
  <c r="T12"/>
  <c r="R13"/>
  <c r="S13"/>
  <c r="T13"/>
  <c r="R14"/>
  <c r="S14"/>
  <c r="T14"/>
  <c r="R15"/>
  <c r="S15"/>
  <c r="T15"/>
  <c r="Q15"/>
  <c r="Q11"/>
  <c r="D18" i="12"/>
  <c r="E18"/>
  <c r="F18"/>
  <c r="G18"/>
  <c r="C18"/>
  <c r="K3" i="10"/>
  <c r="K6" s="1"/>
  <c r="C14"/>
  <c r="AE9" s="1"/>
  <c r="E11"/>
  <c r="D11"/>
  <c r="C11"/>
  <c r="E9"/>
  <c r="D9"/>
  <c r="C9"/>
  <c r="E7"/>
  <c r="D7"/>
  <c r="C7"/>
  <c r="C5"/>
  <c r="D5"/>
  <c r="E5"/>
  <c r="E33" i="3"/>
  <c r="D33"/>
  <c r="C33"/>
  <c r="B33"/>
  <c r="E34"/>
  <c r="D34"/>
  <c r="C34"/>
  <c r="B34"/>
  <c r="E35"/>
  <c r="D35"/>
  <c r="C35"/>
  <c r="B35"/>
  <c r="G39" i="4"/>
  <c r="J29" i="1"/>
  <c r="C4" i="11"/>
  <c r="C11" i="3"/>
  <c r="D11"/>
  <c r="E11"/>
  <c r="B11"/>
  <c r="C10"/>
  <c r="D10"/>
  <c r="E10"/>
  <c r="B10"/>
  <c r="E4"/>
  <c r="P3" i="4" s="1"/>
  <c r="D4" i="3"/>
  <c r="O6" i="4" s="1"/>
  <c r="C4" i="3"/>
  <c r="B4"/>
  <c r="M4" i="4" s="1"/>
  <c r="M4" i="1"/>
  <c r="N4"/>
  <c r="O4"/>
  <c r="M5"/>
  <c r="N5"/>
  <c r="O5"/>
  <c r="M6"/>
  <c r="N6"/>
  <c r="O6"/>
  <c r="M7"/>
  <c r="N7"/>
  <c r="O7"/>
  <c r="M8"/>
  <c r="N8"/>
  <c r="O8"/>
  <c r="M9"/>
  <c r="N9"/>
  <c r="O9"/>
  <c r="M10"/>
  <c r="N10"/>
  <c r="O10"/>
  <c r="M11"/>
  <c r="N11"/>
  <c r="O11"/>
  <c r="M12"/>
  <c r="N12"/>
  <c r="O12"/>
  <c r="M13"/>
  <c r="N13"/>
  <c r="O13"/>
  <c r="M14"/>
  <c r="N14"/>
  <c r="O14"/>
  <c r="M15"/>
  <c r="N15"/>
  <c r="O15"/>
  <c r="M17"/>
  <c r="N17"/>
  <c r="O17"/>
  <c r="M18"/>
  <c r="N18"/>
  <c r="O18"/>
  <c r="M19"/>
  <c r="N19"/>
  <c r="O19"/>
  <c r="M20"/>
  <c r="N20"/>
  <c r="O20"/>
  <c r="M21"/>
  <c r="N21"/>
  <c r="O21"/>
  <c r="M22"/>
  <c r="N22"/>
  <c r="O22"/>
  <c r="M23"/>
  <c r="N23"/>
  <c r="O23"/>
  <c r="M24"/>
  <c r="N24"/>
  <c r="O24"/>
  <c r="M25"/>
  <c r="N25"/>
  <c r="O25"/>
  <c r="M26"/>
  <c r="N26"/>
  <c r="O26"/>
  <c r="M27"/>
  <c r="N27"/>
  <c r="O27"/>
  <c r="M28"/>
  <c r="N28"/>
  <c r="O28"/>
  <c r="M29"/>
  <c r="N29"/>
  <c r="O29"/>
  <c r="M30"/>
  <c r="N30"/>
  <c r="O30"/>
  <c r="M31"/>
  <c r="N31"/>
  <c r="O31"/>
  <c r="M32"/>
  <c r="N32"/>
  <c r="O32"/>
  <c r="M33"/>
  <c r="N33"/>
  <c r="O33"/>
  <c r="M34"/>
  <c r="N34"/>
  <c r="O34"/>
  <c r="M35"/>
  <c r="N35"/>
  <c r="O35"/>
  <c r="M36"/>
  <c r="N36"/>
  <c r="O36"/>
  <c r="M37"/>
  <c r="N37"/>
  <c r="O37"/>
  <c r="M38"/>
  <c r="N38"/>
  <c r="O38"/>
  <c r="M39"/>
  <c r="N39"/>
  <c r="O39"/>
  <c r="M40"/>
  <c r="N40"/>
  <c r="O40"/>
  <c r="M41"/>
  <c r="N41"/>
  <c r="O41"/>
  <c r="M42"/>
  <c r="N42"/>
  <c r="O42"/>
  <c r="M43"/>
  <c r="N43"/>
  <c r="O43"/>
  <c r="M44"/>
  <c r="N44"/>
  <c r="O44"/>
  <c r="M45"/>
  <c r="N45"/>
  <c r="O45"/>
  <c r="M46"/>
  <c r="N46"/>
  <c r="O46"/>
  <c r="M47"/>
  <c r="N47"/>
  <c r="O47"/>
  <c r="M48"/>
  <c r="N48"/>
  <c r="O48"/>
  <c r="M49"/>
  <c r="N49"/>
  <c r="O49"/>
  <c r="M50"/>
  <c r="N50"/>
  <c r="O50"/>
  <c r="M51"/>
  <c r="N51"/>
  <c r="O51"/>
  <c r="M52"/>
  <c r="N52"/>
  <c r="O52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31"/>
  <c r="L5"/>
  <c r="L6"/>
  <c r="L7"/>
  <c r="L8"/>
  <c r="L9"/>
  <c r="L10"/>
  <c r="L11"/>
  <c r="L12"/>
  <c r="L13"/>
  <c r="L14"/>
  <c r="L15"/>
  <c r="L17"/>
  <c r="L18"/>
  <c r="L19"/>
  <c r="L20"/>
  <c r="L21"/>
  <c r="L22"/>
  <c r="L23"/>
  <c r="L24"/>
  <c r="L25"/>
  <c r="L26"/>
  <c r="L27"/>
  <c r="L28"/>
  <c r="L29"/>
  <c r="L30"/>
  <c r="L4"/>
  <c r="K4" i="4"/>
  <c r="K6"/>
  <c r="K7"/>
  <c r="K9"/>
  <c r="K10"/>
  <c r="K11"/>
  <c r="K12"/>
  <c r="K13"/>
  <c r="K14"/>
  <c r="K15"/>
  <c r="K16"/>
  <c r="K17"/>
  <c r="K18"/>
  <c r="K19"/>
  <c r="K20"/>
  <c r="K21"/>
  <c r="K22"/>
  <c r="K23"/>
  <c r="K24"/>
  <c r="K25"/>
  <c r="K27"/>
  <c r="K28"/>
  <c r="K29"/>
  <c r="K30"/>
  <c r="K32"/>
  <c r="K33"/>
  <c r="K34"/>
  <c r="K35"/>
  <c r="K36"/>
  <c r="K37"/>
  <c r="K3"/>
  <c r="E17" i="14" s="1"/>
  <c r="J4" i="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7"/>
  <c r="J28"/>
  <c r="J29"/>
  <c r="J30"/>
  <c r="J31"/>
  <c r="J32"/>
  <c r="J33"/>
  <c r="J34"/>
  <c r="J35"/>
  <c r="J36"/>
  <c r="J37"/>
  <c r="J3"/>
  <c r="D17" i="14" s="1"/>
  <c r="I4" i="4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7"/>
  <c r="I28"/>
  <c r="I29"/>
  <c r="I30"/>
  <c r="I32"/>
  <c r="I33"/>
  <c r="I34"/>
  <c r="I35"/>
  <c r="I36"/>
  <c r="I37"/>
  <c r="I3"/>
  <c r="C17" i="14" s="1"/>
  <c r="E17" i="3"/>
  <c r="D17"/>
  <c r="C17"/>
  <c r="B17"/>
  <c r="E16"/>
  <c r="E38" s="1"/>
  <c r="D16"/>
  <c r="D38" s="1"/>
  <c r="C16"/>
  <c r="C38" s="1"/>
  <c r="B16"/>
  <c r="B38" s="1"/>
  <c r="E3"/>
  <c r="D3"/>
  <c r="C3"/>
  <c r="B3"/>
  <c r="D2"/>
  <c r="C2"/>
  <c r="B2"/>
  <c r="J32" i="1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31"/>
  <c r="J5"/>
  <c r="J6"/>
  <c r="J7"/>
  <c r="J8"/>
  <c r="J9"/>
  <c r="J10"/>
  <c r="J11"/>
  <c r="J12"/>
  <c r="J13"/>
  <c r="J14"/>
  <c r="J15"/>
  <c r="J17"/>
  <c r="J18"/>
  <c r="J19"/>
  <c r="J20"/>
  <c r="J21"/>
  <c r="J22"/>
  <c r="J23"/>
  <c r="J24"/>
  <c r="J25"/>
  <c r="J26"/>
  <c r="J27"/>
  <c r="J28"/>
  <c r="J30"/>
  <c r="J4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31"/>
  <c r="I5"/>
  <c r="I6"/>
  <c r="I7"/>
  <c r="I8"/>
  <c r="I9"/>
  <c r="I10"/>
  <c r="I11"/>
  <c r="I12"/>
  <c r="I13"/>
  <c r="I14"/>
  <c r="I15"/>
  <c r="I17"/>
  <c r="I18"/>
  <c r="I19"/>
  <c r="I20"/>
  <c r="I21"/>
  <c r="I22"/>
  <c r="I23"/>
  <c r="I24"/>
  <c r="I25"/>
  <c r="I26"/>
  <c r="I27"/>
  <c r="I28"/>
  <c r="I29"/>
  <c r="I30"/>
  <c r="I4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1"/>
  <c r="H5"/>
  <c r="H6"/>
  <c r="H7"/>
  <c r="H8"/>
  <c r="H9"/>
  <c r="H10"/>
  <c r="H11"/>
  <c r="H12"/>
  <c r="H13"/>
  <c r="H14"/>
  <c r="H15"/>
  <c r="H17"/>
  <c r="H18"/>
  <c r="H19"/>
  <c r="H20"/>
  <c r="H21"/>
  <c r="H22"/>
  <c r="H23"/>
  <c r="H24"/>
  <c r="H25"/>
  <c r="H26"/>
  <c r="H27"/>
  <c r="H28"/>
  <c r="H29"/>
  <c r="H30"/>
  <c r="H4"/>
  <c r="C1" i="13" l="1"/>
  <c r="AE10" i="10"/>
  <c r="J6" i="12" s="1"/>
  <c r="J5" s="1"/>
  <c r="K31" i="4"/>
  <c r="I31"/>
  <c r="E18" i="3"/>
  <c r="B18"/>
  <c r="D14" i="10"/>
  <c r="J9" i="12"/>
  <c r="J7" s="1"/>
  <c r="C3"/>
  <c r="D2"/>
  <c r="K13" i="10"/>
  <c r="E13"/>
  <c r="D7" i="5"/>
  <c r="D41" i="3"/>
  <c r="C37"/>
  <c r="C1" i="5"/>
  <c r="E7"/>
  <c r="E41" i="3"/>
  <c r="B37"/>
  <c r="B1" i="5"/>
  <c r="B7"/>
  <c r="B41" i="3"/>
  <c r="B42" s="1"/>
  <c r="E37"/>
  <c r="E1" i="5"/>
  <c r="C7"/>
  <c r="C41" i="3"/>
  <c r="D37"/>
  <c r="D1" i="5"/>
  <c r="C18" i="3"/>
  <c r="I26" i="4"/>
  <c r="J3" i="10"/>
  <c r="J6" s="1"/>
  <c r="J10" s="1"/>
  <c r="X19"/>
  <c r="J17" i="12" s="1"/>
  <c r="H4" i="3"/>
  <c r="Q16" i="10"/>
  <c r="S16"/>
  <c r="L8" i="12"/>
  <c r="K26" i="4"/>
  <c r="L3" i="10"/>
  <c r="L6" s="1"/>
  <c r="L10" s="1"/>
  <c r="D18" i="3"/>
  <c r="J5" i="4"/>
  <c r="T16" i="10"/>
  <c r="R16"/>
  <c r="X12"/>
  <c r="J12" i="12" s="1"/>
  <c r="X13" i="10"/>
  <c r="J41" i="12" s="1"/>
  <c r="J24"/>
  <c r="J25" s="1"/>
  <c r="J26" s="1"/>
  <c r="C27" s="1"/>
  <c r="X14" i="10"/>
  <c r="J28" i="12" s="1"/>
  <c r="J27" s="1"/>
  <c r="J8" i="10"/>
  <c r="K10"/>
  <c r="K8"/>
  <c r="M10"/>
  <c r="M8"/>
  <c r="K5" i="4"/>
  <c r="G4" i="3"/>
  <c r="I4"/>
  <c r="N5" i="4"/>
  <c r="I5"/>
  <c r="D39"/>
  <c r="E39"/>
  <c r="F39"/>
  <c r="G3" i="3"/>
  <c r="H2"/>
  <c r="G2"/>
  <c r="H3"/>
  <c r="I3"/>
  <c r="D5" i="5"/>
  <c r="B5"/>
  <c r="E5"/>
  <c r="C5"/>
  <c r="E21" i="3"/>
  <c r="E6" i="5"/>
  <c r="C6"/>
  <c r="B6"/>
  <c r="D6"/>
  <c r="D3" s="1"/>
  <c r="L16" i="3"/>
  <c r="N23" i="4"/>
  <c r="C23" i="3"/>
  <c r="N36" i="4"/>
  <c r="N4"/>
  <c r="B21" i="3"/>
  <c r="N7" i="4"/>
  <c r="D21" i="3"/>
  <c r="D22"/>
  <c r="D2" i="5" s="1"/>
  <c r="N20" i="4"/>
  <c r="B28" i="3"/>
  <c r="B23"/>
  <c r="E27"/>
  <c r="E29"/>
  <c r="E23"/>
  <c r="P26" i="4"/>
  <c r="P10"/>
  <c r="B27" i="3"/>
  <c r="B29"/>
  <c r="P30" i="4"/>
  <c r="P14"/>
  <c r="E28" i="3"/>
  <c r="O32" i="4"/>
  <c r="O29"/>
  <c r="O13"/>
  <c r="O36"/>
  <c r="N24"/>
  <c r="N11"/>
  <c r="E22" i="3"/>
  <c r="E2" i="5" s="1"/>
  <c r="O37" i="4"/>
  <c r="P34"/>
  <c r="N31"/>
  <c r="N28"/>
  <c r="O24"/>
  <c r="O21"/>
  <c r="P18"/>
  <c r="N15"/>
  <c r="N12"/>
  <c r="O8"/>
  <c r="O5"/>
  <c r="B22" i="3"/>
  <c r="B2" i="5" s="1"/>
  <c r="C27" i="3"/>
  <c r="C28"/>
  <c r="C29"/>
  <c r="O16" i="4"/>
  <c r="D23" i="3"/>
  <c r="N17"/>
  <c r="O33" i="4"/>
  <c r="N27"/>
  <c r="O20"/>
  <c r="O17"/>
  <c r="N8"/>
  <c r="O4"/>
  <c r="N35"/>
  <c r="N32"/>
  <c r="O28"/>
  <c r="O25"/>
  <c r="P22"/>
  <c r="N19"/>
  <c r="N16"/>
  <c r="O12"/>
  <c r="O9"/>
  <c r="P6"/>
  <c r="N3"/>
  <c r="C21" i="3"/>
  <c r="C22"/>
  <c r="C2" i="5" s="1"/>
  <c r="D27" i="3"/>
  <c r="D28"/>
  <c r="D29"/>
  <c r="M3" i="4"/>
  <c r="M29"/>
  <c r="M21"/>
  <c r="M13"/>
  <c r="M5"/>
  <c r="M34"/>
  <c r="M26"/>
  <c r="M18"/>
  <c r="M10"/>
  <c r="P37"/>
  <c r="P17"/>
  <c r="P9"/>
  <c r="M35"/>
  <c r="M31"/>
  <c r="M27"/>
  <c r="M23"/>
  <c r="M19"/>
  <c r="M15"/>
  <c r="M11"/>
  <c r="M7"/>
  <c r="M37"/>
  <c r="P36"/>
  <c r="O35"/>
  <c r="N34"/>
  <c r="P32"/>
  <c r="O31"/>
  <c r="N30"/>
  <c r="P28"/>
  <c r="O27"/>
  <c r="N26"/>
  <c r="P24"/>
  <c r="O23"/>
  <c r="N22"/>
  <c r="P20"/>
  <c r="O19"/>
  <c r="N18"/>
  <c r="P16"/>
  <c r="O15"/>
  <c r="N14"/>
  <c r="P12"/>
  <c r="O11"/>
  <c r="N10"/>
  <c r="P8"/>
  <c r="O7"/>
  <c r="N6"/>
  <c r="P4"/>
  <c r="O3"/>
  <c r="M33"/>
  <c r="M25"/>
  <c r="M17"/>
  <c r="M9"/>
  <c r="M30"/>
  <c r="M22"/>
  <c r="M14"/>
  <c r="M6"/>
  <c r="P33"/>
  <c r="P29"/>
  <c r="P25"/>
  <c r="P21"/>
  <c r="P13"/>
  <c r="P5"/>
  <c r="M36"/>
  <c r="M32"/>
  <c r="M28"/>
  <c r="M24"/>
  <c r="M20"/>
  <c r="M16"/>
  <c r="M12"/>
  <c r="M8"/>
  <c r="N37"/>
  <c r="P35"/>
  <c r="O34"/>
  <c r="N33"/>
  <c r="P31"/>
  <c r="O30"/>
  <c r="N29"/>
  <c r="P27"/>
  <c r="O26"/>
  <c r="N25"/>
  <c r="P23"/>
  <c r="O22"/>
  <c r="N21"/>
  <c r="P19"/>
  <c r="O18"/>
  <c r="N17"/>
  <c r="P15"/>
  <c r="O14"/>
  <c r="N13"/>
  <c r="P11"/>
  <c r="O10"/>
  <c r="N9"/>
  <c r="P7"/>
  <c r="M17" i="3"/>
  <c r="L17"/>
  <c r="L18"/>
  <c r="N16"/>
  <c r="M16"/>
  <c r="Y12" i="10" l="1"/>
  <c r="K12" i="12" s="1"/>
  <c r="AF10" i="10"/>
  <c r="K6" i="12" s="1"/>
  <c r="K5" s="1"/>
  <c r="AF9" i="10"/>
  <c r="E42" i="3"/>
  <c r="D1" i="13"/>
  <c r="Y11" i="10"/>
  <c r="K24" i="12" s="1"/>
  <c r="K25" s="1"/>
  <c r="K26" s="1"/>
  <c r="D27" s="1"/>
  <c r="D31" s="1"/>
  <c r="Y14" i="10"/>
  <c r="K28" i="12" s="1"/>
  <c r="K27" s="1"/>
  <c r="Y19" i="10"/>
  <c r="K17" i="12" s="1"/>
  <c r="C4"/>
  <c r="C5" s="1"/>
  <c r="L8" i="10"/>
  <c r="Y13"/>
  <c r="K41" i="12" s="1"/>
  <c r="B22" i="15"/>
  <c r="K13" i="12"/>
  <c r="J13"/>
  <c r="J4"/>
  <c r="C10"/>
  <c r="C13"/>
  <c r="C9"/>
  <c r="C16"/>
  <c r="C7"/>
  <c r="C6" s="1"/>
  <c r="K45"/>
  <c r="K46"/>
  <c r="E14" i="10"/>
  <c r="K9" i="12"/>
  <c r="K7" s="1"/>
  <c r="D3"/>
  <c r="J47"/>
  <c r="J43"/>
  <c r="J44"/>
  <c r="J45"/>
  <c r="J46"/>
  <c r="J42"/>
  <c r="E2"/>
  <c r="F13" i="10"/>
  <c r="L13"/>
  <c r="C42" i="3"/>
  <c r="M18"/>
  <c r="D42"/>
  <c r="C26" i="12"/>
  <c r="X22" i="10"/>
  <c r="C7" i="13" s="1"/>
  <c r="K8" i="4"/>
  <c r="E2" i="3"/>
  <c r="I2" s="1"/>
  <c r="N18"/>
  <c r="B3" i="5"/>
  <c r="E3"/>
  <c r="C3"/>
  <c r="E30" i="3"/>
  <c r="D30"/>
  <c r="B30"/>
  <c r="C30"/>
  <c r="Y22" i="10" l="1"/>
  <c r="AG10"/>
  <c r="AG9"/>
  <c r="L9" i="12" s="1"/>
  <c r="L7" s="1"/>
  <c r="C22" i="15"/>
  <c r="C17" i="12"/>
  <c r="C5" i="13" s="1"/>
  <c r="C8"/>
  <c r="K38" i="12"/>
  <c r="K42"/>
  <c r="K47"/>
  <c r="B4" i="15"/>
  <c r="B16" s="1"/>
  <c r="E1" i="13"/>
  <c r="K43" i="12"/>
  <c r="C8"/>
  <c r="C11" s="1"/>
  <c r="D4"/>
  <c r="D5" s="1"/>
  <c r="K4"/>
  <c r="D26"/>
  <c r="L6"/>
  <c r="L5" s="1"/>
  <c r="K44"/>
  <c r="K48" s="1"/>
  <c r="J48"/>
  <c r="D10"/>
  <c r="D13"/>
  <c r="D9"/>
  <c r="D16"/>
  <c r="D7"/>
  <c r="D6" s="1"/>
  <c r="G13" i="10"/>
  <c r="F2" i="12"/>
  <c r="M13" i="10"/>
  <c r="F14"/>
  <c r="E3" i="12"/>
  <c r="Z12" i="10"/>
  <c r="L12" i="12" s="1"/>
  <c r="Z11" i="10"/>
  <c r="Z19"/>
  <c r="L17" i="12" s="1"/>
  <c r="Z13" i="10"/>
  <c r="L41" i="12" s="1"/>
  <c r="Z14" i="10"/>
  <c r="L28" i="12" s="1"/>
  <c r="L27" s="1"/>
  <c r="C14"/>
  <c r="C15"/>
  <c r="D7" i="13"/>
  <c r="C2"/>
  <c r="C3" s="1"/>
  <c r="C4" s="1"/>
  <c r="C6" s="1"/>
  <c r="D37" i="12"/>
  <c r="C5" i="15" s="1"/>
  <c r="C27" s="1"/>
  <c r="AH10" i="10" l="1"/>
  <c r="AH9"/>
  <c r="B18" i="15"/>
  <c r="D17" i="12"/>
  <c r="D5" i="13" s="1"/>
  <c r="D8" s="1"/>
  <c r="C9"/>
  <c r="F1"/>
  <c r="M9" i="12"/>
  <c r="M7" s="1"/>
  <c r="D2" i="13"/>
  <c r="D3" s="1"/>
  <c r="D4" s="1"/>
  <c r="C7" i="15"/>
  <c r="D32" i="12"/>
  <c r="D34" s="1"/>
  <c r="D33" s="1"/>
  <c r="C4" i="15"/>
  <c r="E4" i="12"/>
  <c r="E5" s="1"/>
  <c r="L13"/>
  <c r="C12"/>
  <c r="C39" s="1"/>
  <c r="L44"/>
  <c r="L45"/>
  <c r="L46"/>
  <c r="L42"/>
  <c r="L47"/>
  <c r="L43"/>
  <c r="L38"/>
  <c r="E13"/>
  <c r="E9"/>
  <c r="E16"/>
  <c r="E7"/>
  <c r="E6" s="1"/>
  <c r="E10"/>
  <c r="E26"/>
  <c r="G14" i="10"/>
  <c r="F3" i="12"/>
  <c r="AA11" i="10"/>
  <c r="AA14"/>
  <c r="M28" i="12" s="1"/>
  <c r="M27" s="1"/>
  <c r="AA13" i="10"/>
  <c r="M41" i="12" s="1"/>
  <c r="AA19" i="10"/>
  <c r="M17" i="12" s="1"/>
  <c r="M6"/>
  <c r="M5" s="1"/>
  <c r="AA12" i="10"/>
  <c r="M12" i="12" s="1"/>
  <c r="D14"/>
  <c r="D15"/>
  <c r="L24"/>
  <c r="L25" s="1"/>
  <c r="L26" s="1"/>
  <c r="E27" s="1"/>
  <c r="E31" s="1"/>
  <c r="Z22" i="10"/>
  <c r="G2" i="12"/>
  <c r="N13" i="10"/>
  <c r="L4" i="12"/>
  <c r="D8"/>
  <c r="D11" s="1"/>
  <c r="K20"/>
  <c r="K18" s="1"/>
  <c r="K16"/>
  <c r="K14" s="1"/>
  <c r="K11" s="1"/>
  <c r="AI10" i="10" l="1"/>
  <c r="AI9"/>
  <c r="N9" i="12" s="1"/>
  <c r="N7" s="1"/>
  <c r="D35"/>
  <c r="C6" i="15" s="1"/>
  <c r="C12" s="1"/>
  <c r="E7" i="13"/>
  <c r="E17" i="12"/>
  <c r="E5" i="13" s="1"/>
  <c r="E8" s="1"/>
  <c r="D6"/>
  <c r="D9" s="1"/>
  <c r="G1"/>
  <c r="D4" i="15"/>
  <c r="D16" s="1"/>
  <c r="C16"/>
  <c r="C18"/>
  <c r="D18"/>
  <c r="D22"/>
  <c r="D7"/>
  <c r="F4" i="12"/>
  <c r="F5" s="1"/>
  <c r="N6"/>
  <c r="N5" s="1"/>
  <c r="M13"/>
  <c r="K19"/>
  <c r="C17" i="15"/>
  <c r="K3" i="12"/>
  <c r="C2" i="15" s="1"/>
  <c r="C10" s="1"/>
  <c r="C24"/>
  <c r="C23"/>
  <c r="M4" i="12"/>
  <c r="L48"/>
  <c r="E15"/>
  <c r="E14"/>
  <c r="F9"/>
  <c r="F16"/>
  <c r="F7"/>
  <c r="F6" s="1"/>
  <c r="F10"/>
  <c r="F13"/>
  <c r="F26"/>
  <c r="D12"/>
  <c r="D39" s="1"/>
  <c r="E8"/>
  <c r="E11" s="1"/>
  <c r="M24"/>
  <c r="M25" s="1"/>
  <c r="M26" s="1"/>
  <c r="F27" s="1"/>
  <c r="F31" s="1"/>
  <c r="AA22" i="10"/>
  <c r="E2" i="13"/>
  <c r="E3" s="1"/>
  <c r="E4" s="1"/>
  <c r="E6" s="1"/>
  <c r="E32" i="12"/>
  <c r="E34" s="1"/>
  <c r="E33" s="1"/>
  <c r="E37"/>
  <c r="D5" i="15" s="1"/>
  <c r="D27" s="1"/>
  <c r="M44" i="12"/>
  <c r="M45"/>
  <c r="M46"/>
  <c r="M42"/>
  <c r="M47"/>
  <c r="M43"/>
  <c r="M38"/>
  <c r="AB14" i="10"/>
  <c r="N28" i="12" s="1"/>
  <c r="N27" s="1"/>
  <c r="G3"/>
  <c r="AB12" i="10"/>
  <c r="N12" i="12" s="1"/>
  <c r="AB11" i="10"/>
  <c r="AB13"/>
  <c r="N41" i="12" s="1"/>
  <c r="AB19" i="10"/>
  <c r="N17" i="12" s="1"/>
  <c r="D36"/>
  <c r="K37"/>
  <c r="C31"/>
  <c r="B7" i="15" s="1"/>
  <c r="F7" i="13" l="1"/>
  <c r="F17" i="12"/>
  <c r="F5" i="13" s="1"/>
  <c r="F8" s="1"/>
  <c r="E7" i="15"/>
  <c r="E4"/>
  <c r="E16" s="1"/>
  <c r="E22"/>
  <c r="C19"/>
  <c r="G4" i="12"/>
  <c r="G5" s="1"/>
  <c r="N13"/>
  <c r="M48"/>
  <c r="N4"/>
  <c r="E12"/>
  <c r="E39" s="1"/>
  <c r="N24"/>
  <c r="N25" s="1"/>
  <c r="N26" s="1"/>
  <c r="G27" s="1"/>
  <c r="G31" s="1"/>
  <c r="AB22" i="10"/>
  <c r="F2" i="13"/>
  <c r="F3" s="1"/>
  <c r="F4" s="1"/>
  <c r="F32" i="12"/>
  <c r="F34" s="1"/>
  <c r="F33" s="1"/>
  <c r="F37"/>
  <c r="E5" i="15" s="1"/>
  <c r="E27" s="1"/>
  <c r="L20" i="12"/>
  <c r="L18" s="1"/>
  <c r="E35"/>
  <c r="D6" i="15" s="1"/>
  <c r="L16" i="12"/>
  <c r="L14" s="1"/>
  <c r="L11" s="1"/>
  <c r="F14"/>
  <c r="F15"/>
  <c r="N46"/>
  <c r="N42"/>
  <c r="N47"/>
  <c r="N43"/>
  <c r="N44"/>
  <c r="N45"/>
  <c r="N38"/>
  <c r="G7"/>
  <c r="G6" s="1"/>
  <c r="G10"/>
  <c r="G13"/>
  <c r="G9"/>
  <c r="G16"/>
  <c r="G26"/>
  <c r="F8"/>
  <c r="F11" s="1"/>
  <c r="E9" i="13"/>
  <c r="C32" i="12"/>
  <c r="C37"/>
  <c r="B5" i="15" s="1"/>
  <c r="B27" s="1"/>
  <c r="J38" i="12"/>
  <c r="E18" i="15" l="1"/>
  <c r="G7" i="13"/>
  <c r="G17" i="12"/>
  <c r="G5" i="13" s="1"/>
  <c r="G8" s="1"/>
  <c r="F6"/>
  <c r="F9" s="1"/>
  <c r="F7" i="15"/>
  <c r="F4"/>
  <c r="F16" s="1"/>
  <c r="F12" i="12"/>
  <c r="F39" s="1"/>
  <c r="D12" i="15"/>
  <c r="F22"/>
  <c r="L19" i="12"/>
  <c r="D17" i="15"/>
  <c r="D19" s="1"/>
  <c r="L3" i="12"/>
  <c r="D2" i="15" s="1"/>
  <c r="D10" s="1"/>
  <c r="D24"/>
  <c r="D23"/>
  <c r="N48" i="12"/>
  <c r="G8"/>
  <c r="G11" s="1"/>
  <c r="M20"/>
  <c r="M18" s="1"/>
  <c r="F35"/>
  <c r="E6" i="15" s="1"/>
  <c r="M16" i="12"/>
  <c r="M14" s="1"/>
  <c r="M11" s="1"/>
  <c r="E36"/>
  <c r="L37"/>
  <c r="G14"/>
  <c r="G15"/>
  <c r="G2" i="13"/>
  <c r="G3" s="1"/>
  <c r="G4" s="1"/>
  <c r="G32" i="12"/>
  <c r="G34" s="1"/>
  <c r="G33" s="1"/>
  <c r="G37"/>
  <c r="F5" i="15" s="1"/>
  <c r="F27" s="1"/>
  <c r="J16" i="12"/>
  <c r="J14" s="1"/>
  <c r="J11" s="1"/>
  <c r="J20"/>
  <c r="J18" s="1"/>
  <c r="C35"/>
  <c r="C34"/>
  <c r="C33" s="1"/>
  <c r="G6" i="13" l="1"/>
  <c r="G9" s="1"/>
  <c r="H9" s="1"/>
  <c r="Q6" s="1"/>
  <c r="Q7" s="1"/>
  <c r="F18" i="15"/>
  <c r="C36" i="12"/>
  <c r="B6" i="15"/>
  <c r="E12"/>
  <c r="M19" i="12"/>
  <c r="E17" i="15"/>
  <c r="E19" s="1"/>
  <c r="M3" i="12"/>
  <c r="E2" i="15" s="1"/>
  <c r="E10" s="1"/>
  <c r="E23"/>
  <c r="E24"/>
  <c r="J19" i="12"/>
  <c r="B17" i="15"/>
  <c r="B19" s="1"/>
  <c r="J3" i="12"/>
  <c r="B2" i="15" s="1"/>
  <c r="B10" s="1"/>
  <c r="B23"/>
  <c r="B24"/>
  <c r="G12" i="12"/>
  <c r="G39" s="1"/>
  <c r="N16"/>
  <c r="N14" s="1"/>
  <c r="N11" s="1"/>
  <c r="N20"/>
  <c r="N18" s="1"/>
  <c r="G35"/>
  <c r="F6" i="15" s="1"/>
  <c r="F36" i="12"/>
  <c r="M37"/>
  <c r="K36"/>
  <c r="K35" s="1"/>
  <c r="K30" s="1"/>
  <c r="J37"/>
  <c r="J30" s="1"/>
  <c r="Q8" i="13" l="1"/>
  <c r="Q9" s="1"/>
  <c r="Q11" s="1"/>
  <c r="J29" i="12"/>
  <c r="B28" i="15" s="1"/>
  <c r="B3"/>
  <c r="B11" s="1"/>
  <c r="K29" i="12"/>
  <c r="C28" i="15" s="1"/>
  <c r="C3"/>
  <c r="C11" s="1"/>
  <c r="B12"/>
  <c r="F12"/>
  <c r="N3" i="12"/>
  <c r="F2" i="15" s="1"/>
  <c r="F10" s="1"/>
  <c r="F24"/>
  <c r="F23"/>
  <c r="N19" i="12"/>
  <c r="F17" i="15"/>
  <c r="F19" s="1"/>
  <c r="G36" i="12"/>
  <c r="N37"/>
  <c r="L36"/>
  <c r="L35" s="1"/>
  <c r="L30" s="1"/>
  <c r="C40" l="1"/>
  <c r="L29"/>
  <c r="D28" i="15" s="1"/>
  <c r="D3"/>
  <c r="D11" s="1"/>
  <c r="D40" i="12"/>
  <c r="M36"/>
  <c r="N36" s="1"/>
  <c r="N35" s="1"/>
  <c r="N30" s="1"/>
  <c r="E40" l="1"/>
  <c r="N29"/>
  <c r="F28" i="15" s="1"/>
  <c r="F3"/>
  <c r="F11" s="1"/>
  <c r="M35" i="12"/>
  <c r="M30" s="1"/>
  <c r="G40" l="1"/>
  <c r="M29"/>
  <c r="E28" i="15" s="1"/>
  <c r="E3"/>
  <c r="E11" s="1"/>
  <c r="F40" i="12" l="1"/>
</calcChain>
</file>

<file path=xl/sharedStrings.xml><?xml version="1.0" encoding="utf-8"?>
<sst xmlns="http://schemas.openxmlformats.org/spreadsheetml/2006/main" count="563" uniqueCount="329">
  <si>
    <t>Rozvaha</t>
  </si>
  <si>
    <t>Výkaz zisku a ztrát</t>
  </si>
  <si>
    <t>AKTIVA CELKEM</t>
  </si>
  <si>
    <t>Dlouhodobý majetek</t>
  </si>
  <si>
    <t>Dlouhodobý nehmotný majetek</t>
  </si>
  <si>
    <t>Software</t>
  </si>
  <si>
    <t>Dlouhodobý hmotný majetek</t>
  </si>
  <si>
    <t>Stavby</t>
  </si>
  <si>
    <t>Samostatné hmotné movité věci a soubory hm. mov. věcí</t>
  </si>
  <si>
    <t>Jiný dlouhodobý hmotný majetek</t>
  </si>
  <si>
    <t>Oběžná aktiva</t>
  </si>
  <si>
    <t>Zásoby</t>
  </si>
  <si>
    <t>Zboží</t>
  </si>
  <si>
    <t>Dlouhodobé pohledávky</t>
  </si>
  <si>
    <t>Dlouhodobé poskytnuté zálohy</t>
  </si>
  <si>
    <t>Odložená daňová pohledávka</t>
  </si>
  <si>
    <t>Krátkodobé pohledávky</t>
  </si>
  <si>
    <t>Pohledávky z obchodních vztahů</t>
  </si>
  <si>
    <t>Pohledávky - ovládaná nebo ovládající osoba</t>
  </si>
  <si>
    <t>Stát - daňové pohledávky</t>
  </si>
  <si>
    <t>Poskytnuté krátkodobé zálohy</t>
  </si>
  <si>
    <t>Dohadné účty aktivní</t>
  </si>
  <si>
    <t>Jiné pohledávky</t>
  </si>
  <si>
    <t>Krátkodobý finanční majetek</t>
  </si>
  <si>
    <t>Peníze</t>
  </si>
  <si>
    <t>Účty v bankách</t>
  </si>
  <si>
    <t>Časové rozlišení</t>
  </si>
  <si>
    <t>Náklady příštích období</t>
  </si>
  <si>
    <t>PASIVA CELKEM</t>
  </si>
  <si>
    <t>Vlastní kapitál</t>
  </si>
  <si>
    <t>Základní kapitál</t>
  </si>
  <si>
    <t>Fondy ze zisku</t>
  </si>
  <si>
    <t>Rezervní fond</t>
  </si>
  <si>
    <t>Výsledek hospodaření minulých let</t>
  </si>
  <si>
    <t>Nerozdělený zisk minulých let</t>
  </si>
  <si>
    <t>Výsledek hospodaření běžného účetního období (+/-)</t>
  </si>
  <si>
    <t>Cizí zdroje</t>
  </si>
  <si>
    <t>Rezervy</t>
  </si>
  <si>
    <t>Ostatní rezervy</t>
  </si>
  <si>
    <t>Krátkodobé závazky</t>
  </si>
  <si>
    <t>Závazky z obchodních vztahů</t>
  </si>
  <si>
    <t>Závazky k zaměstnancům</t>
  </si>
  <si>
    <t>Závazky ze soc. zabezpečení a zdrav. pojištění</t>
  </si>
  <si>
    <t>Stát - daňové závazky a dotace</t>
  </si>
  <si>
    <t>Krátkodobé přijaté zálohy</t>
  </si>
  <si>
    <t>Dohadné účty pasivní</t>
  </si>
  <si>
    <t>Jiné závazky</t>
  </si>
  <si>
    <t>Bankovní úvěry a výpomoci</t>
  </si>
  <si>
    <t>Krátkodobé bankovní úvěry</t>
  </si>
  <si>
    <t>Tržby za prodej zboží</t>
  </si>
  <si>
    <t>Náklady vynaložené na prodané zboží</t>
  </si>
  <si>
    <t>Obchodní marže</t>
  </si>
  <si>
    <t>Výkony</t>
  </si>
  <si>
    <t>Tržby za prodej vlastních výrobků a služeb</t>
  </si>
  <si>
    <t>Výkonová spotřeba</t>
  </si>
  <si>
    <t>Spotřeba materiálu a energie</t>
  </si>
  <si>
    <t>Služby</t>
  </si>
  <si>
    <t>Přidaná hodnota</t>
  </si>
  <si>
    <t>Osobní náklady</t>
  </si>
  <si>
    <t>Mzdové náklady</t>
  </si>
  <si>
    <t>Náklady na sociální zabezpečení a zdrav. poj.</t>
  </si>
  <si>
    <t>Sociální náklady</t>
  </si>
  <si>
    <t>Daně a poplatky</t>
  </si>
  <si>
    <t>Odpisy dlouhodobého nehmotného a hmotného majetku</t>
  </si>
  <si>
    <t>Tržby z prodeje dlouhodobého majetku a materiálu</t>
  </si>
  <si>
    <t>Tržby z prodeje dlouhodobého majetku</t>
  </si>
  <si>
    <t>Tržby z prodeje materiálu</t>
  </si>
  <si>
    <t>Zůstatková cena prodaného dlouhodobého majetku</t>
  </si>
  <si>
    <t>Zůstatková cena prodaného dlouhodobého majetku a materiálu</t>
  </si>
  <si>
    <t>Změna stavu rezerv a opravných položek v provozní oblasti a komplexních NPO</t>
  </si>
  <si>
    <t>Ostatní provozní výnosy</t>
  </si>
  <si>
    <t>Ostatní provozní náklady</t>
  </si>
  <si>
    <t>Provozní výsledek hospodaření</t>
  </si>
  <si>
    <t>Výnosové úroky</t>
  </si>
  <si>
    <t>Nákladové úroky</t>
  </si>
  <si>
    <t>Ostatní finanční výnosy</t>
  </si>
  <si>
    <t>Ostatní finanční náklady</t>
  </si>
  <si>
    <t>Finanční výsledek hospodaření</t>
  </si>
  <si>
    <t>Dan z příjmů za běžnou činnost</t>
  </si>
  <si>
    <t xml:space="preserve">     splatná</t>
  </si>
  <si>
    <t xml:space="preserve">     odložená</t>
  </si>
  <si>
    <t>Výsledek hospodaření za běžnou činnost</t>
  </si>
  <si>
    <t>Výsledek hospodaření za účetní období (+/-)</t>
  </si>
  <si>
    <t>Výsledek hospodaření před zdaněním</t>
  </si>
  <si>
    <t>Náklady</t>
  </si>
  <si>
    <t>Výnosy</t>
  </si>
  <si>
    <t>N</t>
  </si>
  <si>
    <t>V</t>
  </si>
  <si>
    <t>EBIT</t>
  </si>
  <si>
    <t>EAT</t>
  </si>
  <si>
    <t>EBT</t>
  </si>
  <si>
    <t>Horizontální analýza</t>
  </si>
  <si>
    <t>Vertikální analýza</t>
  </si>
  <si>
    <t>Tržby</t>
  </si>
  <si>
    <t>ROA</t>
  </si>
  <si>
    <t>ROE</t>
  </si>
  <si>
    <t>ROS</t>
  </si>
  <si>
    <t>Aktiva</t>
  </si>
  <si>
    <t>VK</t>
  </si>
  <si>
    <t>Doba obratu zásob</t>
  </si>
  <si>
    <t>Doba obratu krátkodob. pohl. z obch. vztahů</t>
  </si>
  <si>
    <t>Doba obratu závazků</t>
  </si>
  <si>
    <t>Obratový cyklus peněz</t>
  </si>
  <si>
    <t>Ukazatele aktivity (ve dnech)</t>
  </si>
  <si>
    <t>EAT/T</t>
  </si>
  <si>
    <t>T/A</t>
  </si>
  <si>
    <t>ROE-check</t>
  </si>
  <si>
    <t>A/VK - finanční páka</t>
  </si>
  <si>
    <t>C.</t>
  </si>
  <si>
    <t>B.</t>
  </si>
  <si>
    <t>B.I.</t>
  </si>
  <si>
    <t>B.I.3.</t>
  </si>
  <si>
    <t>B.II.</t>
  </si>
  <si>
    <t>B.II.2.</t>
  </si>
  <si>
    <t>B.II.3.</t>
  </si>
  <si>
    <t>B.II.6.</t>
  </si>
  <si>
    <t>C.I.</t>
  </si>
  <si>
    <t>C.I.5.</t>
  </si>
  <si>
    <t>C.II.</t>
  </si>
  <si>
    <t>C.II.5</t>
  </si>
  <si>
    <t>C.II.8.</t>
  </si>
  <si>
    <t>C.III.</t>
  </si>
  <si>
    <t>C.III.1.</t>
  </si>
  <si>
    <t>C.III.2</t>
  </si>
  <si>
    <t>C.III.6.</t>
  </si>
  <si>
    <t>C.III.7.</t>
  </si>
  <si>
    <t>C.III.8.</t>
  </si>
  <si>
    <t>C.III.9.</t>
  </si>
  <si>
    <t>C.IV.</t>
  </si>
  <si>
    <t>C.IV.1.</t>
  </si>
  <si>
    <t>C.IV.2.</t>
  </si>
  <si>
    <t>D.I.</t>
  </si>
  <si>
    <t>D.I.1.</t>
  </si>
  <si>
    <t>A.</t>
  </si>
  <si>
    <t>A.I.</t>
  </si>
  <si>
    <t>A.I.1.</t>
  </si>
  <si>
    <t>A.III.</t>
  </si>
  <si>
    <t>A.III.1.</t>
  </si>
  <si>
    <t>A.IV.</t>
  </si>
  <si>
    <t>A.IV.1.</t>
  </si>
  <si>
    <t>A.V.1.</t>
  </si>
  <si>
    <t>B.I.4.</t>
  </si>
  <si>
    <t>B.III.</t>
  </si>
  <si>
    <t>B.III.1.</t>
  </si>
  <si>
    <t>B.III.5.</t>
  </si>
  <si>
    <t>B.III.6.</t>
  </si>
  <si>
    <t>B.III.7.</t>
  </si>
  <si>
    <t>B.III.8</t>
  </si>
  <si>
    <t>B.III.10.</t>
  </si>
  <si>
    <t>B.III.11.</t>
  </si>
  <si>
    <t>B.IV.</t>
  </si>
  <si>
    <t>B.IV.2</t>
  </si>
  <si>
    <t>I.</t>
  </si>
  <si>
    <t>+</t>
  </si>
  <si>
    <t>II.</t>
  </si>
  <si>
    <t>II.1.</t>
  </si>
  <si>
    <t>B.1.</t>
  </si>
  <si>
    <t>B.2.</t>
  </si>
  <si>
    <t>C.1.</t>
  </si>
  <si>
    <t>C.3.</t>
  </si>
  <si>
    <t>C.4.</t>
  </si>
  <si>
    <t>D.</t>
  </si>
  <si>
    <t>E.</t>
  </si>
  <si>
    <t>III.</t>
  </si>
  <si>
    <t>III.1.</t>
  </si>
  <si>
    <t>III.2.</t>
  </si>
  <si>
    <t>F.</t>
  </si>
  <si>
    <t>F.1.</t>
  </si>
  <si>
    <t>G.</t>
  </si>
  <si>
    <t>IV.</t>
  </si>
  <si>
    <t>H.</t>
  </si>
  <si>
    <t>*</t>
  </si>
  <si>
    <t>X.</t>
  </si>
  <si>
    <t>N.</t>
  </si>
  <si>
    <t>XI.</t>
  </si>
  <si>
    <t>O.</t>
  </si>
  <si>
    <t>Q.</t>
  </si>
  <si>
    <t>Q.1.</t>
  </si>
  <si>
    <t>Q.2.</t>
  </si>
  <si>
    <t>**</t>
  </si>
  <si>
    <t>***</t>
  </si>
  <si>
    <t>****</t>
  </si>
  <si>
    <t>P.</t>
  </si>
  <si>
    <t>Počáteční stav peněžních prostředků a ekvivalentů</t>
  </si>
  <si>
    <t>Peněžní toky z hlavní výdělečné činnosti (provozní)</t>
  </si>
  <si>
    <t>Z.</t>
  </si>
  <si>
    <t>Výsledek hospodaření za běžnou činnost před zdaněním</t>
  </si>
  <si>
    <t>A.1.</t>
  </si>
  <si>
    <t>Úpravy o nepeněžní operace</t>
  </si>
  <si>
    <t>A.1.1.</t>
  </si>
  <si>
    <t>Odpisy stálých aktiv</t>
  </si>
  <si>
    <t>A.1.2.</t>
  </si>
  <si>
    <t>Změna stavu opravných položek a rezerv</t>
  </si>
  <si>
    <t>A.1.3.</t>
  </si>
  <si>
    <t>Zisk (ztráta) z prodeje stálých aktiv</t>
  </si>
  <si>
    <t>A.1.5.</t>
  </si>
  <si>
    <t>Nákladové a výnosové úroky</t>
  </si>
  <si>
    <t>A*</t>
  </si>
  <si>
    <t>Čistý provozní peněžní tok před změnami prac. kapit.</t>
  </si>
  <si>
    <t>A.2.</t>
  </si>
  <si>
    <t>Změna stavu pracovního kapitálu</t>
  </si>
  <si>
    <t>A.2.1.</t>
  </si>
  <si>
    <t>Změna stavu pohledávek a časového rozlišení aktiv</t>
  </si>
  <si>
    <t>A.2.2.</t>
  </si>
  <si>
    <t>Změna stavu závazků a časového rozlišení pasiv</t>
  </si>
  <si>
    <t>A.2.3.</t>
  </si>
  <si>
    <t>Změna stavu zásob</t>
  </si>
  <si>
    <t>A**</t>
  </si>
  <si>
    <t>Čistý peněžní tok z provozní činnosti</t>
  </si>
  <si>
    <t>Čistý peněžní tok před zdaněním a mimořádnými polož.</t>
  </si>
  <si>
    <t>A.3.</t>
  </si>
  <si>
    <t>Vyplacené úroky</t>
  </si>
  <si>
    <t xml:space="preserve">A.4. </t>
  </si>
  <si>
    <t>Přijaté úroky</t>
  </si>
  <si>
    <t>A.5.</t>
  </si>
  <si>
    <t>Zaplacená daň z příjmů za běžnou činnost</t>
  </si>
  <si>
    <t>A***</t>
  </si>
  <si>
    <t>Peněžní toky z investiční činnosti</t>
  </si>
  <si>
    <t>Výdaje spojené s nabytím stálých aktiv</t>
  </si>
  <si>
    <t xml:space="preserve">B.2. </t>
  </si>
  <si>
    <t>Příjmy z prodeje stálých aktiv</t>
  </si>
  <si>
    <t>B.3.</t>
  </si>
  <si>
    <t>Zápůjčky a úvěry spřízněným osobám</t>
  </si>
  <si>
    <t>B***</t>
  </si>
  <si>
    <t>Čistý peněžní tok z investiční činnosti</t>
  </si>
  <si>
    <t>Peněžní toky z finanční činnosti</t>
  </si>
  <si>
    <t>Čistá změna pěněžních prostředků a ekvivalentů</t>
  </si>
  <si>
    <t>R.</t>
  </si>
  <si>
    <t>Konečný stav peněžních prostředků a ekvivalentů</t>
  </si>
  <si>
    <t>CASH FLOW</t>
  </si>
  <si>
    <t>% marže</t>
  </si>
  <si>
    <t>Ukazatele likvidity</t>
  </si>
  <si>
    <t>Okamžitá likvidita</t>
  </si>
  <si>
    <t>Pohotová likvidita</t>
  </si>
  <si>
    <t>Běžná likvidita</t>
  </si>
  <si>
    <t>Ukazatele rentability</t>
  </si>
  <si>
    <t>Tržby za prodej zboží - nárůst proti min. roku</t>
  </si>
  <si>
    <t>Tržby za prodej vlastních výrobků a služeb - nárůst proti min. roku</t>
  </si>
  <si>
    <t>Tržby z prodeje dlouhodobého majetku - nárůst proti min. roku</t>
  </si>
  <si>
    <t>Tržby z prodeje materiálu - nárůst proti min. roku</t>
  </si>
  <si>
    <t>Provozní zisková marže</t>
  </si>
  <si>
    <t>KPVH</t>
  </si>
  <si>
    <t>Tržby z prodeje dlouhodobého majetku a materiálu (-)</t>
  </si>
  <si>
    <t>Zůstatková cena prodaného dlouhodobého majetku a materiálu (+)</t>
  </si>
  <si>
    <t>Tržby z prodeje zboží</t>
  </si>
  <si>
    <t>KPVH - odpisy</t>
  </si>
  <si>
    <t>Pracovní kapitál</t>
  </si>
  <si>
    <t>podíl na tržbách</t>
  </si>
  <si>
    <t>Investice do dlouhodobého majetku</t>
  </si>
  <si>
    <t>Koeficient náročnosti tržeb na software</t>
  </si>
  <si>
    <t>Koeficient náročnosti tržeb na samostatné mov. věci a SMV</t>
  </si>
  <si>
    <t>Samostatné movité věci a soubory movitých věcí</t>
  </si>
  <si>
    <t>Zůstatková cena prodaného dlouhodobého maj. a mater.</t>
  </si>
  <si>
    <t>Změna stavu rezerv a opr. položek v provozní oblasti a komplexních NPO</t>
  </si>
  <si>
    <t>check</t>
  </si>
  <si>
    <t>check 2 (A=P)</t>
  </si>
  <si>
    <t>1.</t>
  </si>
  <si>
    <t>2.</t>
  </si>
  <si>
    <t>3.</t>
  </si>
  <si>
    <t>4.</t>
  </si>
  <si>
    <t>5.</t>
  </si>
  <si>
    <t>6.</t>
  </si>
  <si>
    <t>7.</t>
  </si>
  <si>
    <t>8.</t>
  </si>
  <si>
    <t>+ Korigovaný provozný výsledek hospodaření před daněmi (KPVH před zdaněním)</t>
  </si>
  <si>
    <t>- Upravená daň z příjmů (= KPVH před zdaněním x daňová sazba)</t>
  </si>
  <si>
    <t>= KPVH</t>
  </si>
  <si>
    <t>+ Odpisy</t>
  </si>
  <si>
    <t>= Předběžný provozní tok z provozu</t>
  </si>
  <si>
    <t>- Investice do provozně nutného pracovního kapitálu</t>
  </si>
  <si>
    <t>- Investice do pořízení dlouhodobého majetku</t>
  </si>
  <si>
    <t>Volný peněžní tok (FCF)</t>
  </si>
  <si>
    <t>*Pracovní kapitál</t>
  </si>
  <si>
    <t>1Q</t>
  </si>
  <si>
    <t>2Q</t>
  </si>
  <si>
    <t>3Q</t>
  </si>
  <si>
    <t>4Q</t>
  </si>
  <si>
    <t>%y/y</t>
  </si>
  <si>
    <t>2. fáze</t>
  </si>
  <si>
    <t>g:</t>
  </si>
  <si>
    <t>ik:</t>
  </si>
  <si>
    <t>PH (tis Kč):</t>
  </si>
  <si>
    <t>Výnosová hodnota první fáze (tis. Kč):</t>
  </si>
  <si>
    <t>Výnosová hodnota celkem (tis. Kč):</t>
  </si>
  <si>
    <t>SH PH = Výnosová hodnota druhé fáze  (tis. Kč):</t>
  </si>
  <si>
    <t>1. zlaté bilanční pravidlo</t>
  </si>
  <si>
    <t>2. zlaté pravidlo vyrovnání rizika</t>
  </si>
  <si>
    <t>Cizí kapitál</t>
  </si>
  <si>
    <t>Dlouhodobé zdroje</t>
  </si>
  <si>
    <t>Krátkodobý majetek</t>
  </si>
  <si>
    <t>Krátkodobé zdroje</t>
  </si>
  <si>
    <t>3. zlaté pari pravidlo</t>
  </si>
  <si>
    <t>4. zlaté poměrové pravidlo</t>
  </si>
  <si>
    <t>Tempo růstu tržeb</t>
  </si>
  <si>
    <t>Tempo růstu investic</t>
  </si>
  <si>
    <t>C.***</t>
  </si>
  <si>
    <t>Změna stavu závazků z financování</t>
  </si>
  <si>
    <t>Čistý peněžní tok z finanční činnosti</t>
  </si>
  <si>
    <t>počet poboček</t>
  </si>
  <si>
    <t>Ukazatele zadluženosti</t>
  </si>
  <si>
    <t>Ukazatel věřitelského rizika</t>
  </si>
  <si>
    <t>Finanční páka</t>
  </si>
  <si>
    <t>Ziskový účinek finanční páky</t>
  </si>
  <si>
    <t>Úrokové krytí</t>
  </si>
  <si>
    <t>poměr odložená daňová pohledávka / výsledek hospodaření před zdaněním</t>
  </si>
  <si>
    <t>poměr stát - daňové pohledávky / výsledek hospodaření před zdaněním</t>
  </si>
  <si>
    <t>podíl nákladů na prodané zboží na tržbách</t>
  </si>
  <si>
    <t>Vývoj HDP v ČR v roce 2015</t>
  </si>
  <si>
    <t>Kritérium</t>
  </si>
  <si>
    <t>Velikost trhu</t>
  </si>
  <si>
    <t>Substituty</t>
  </si>
  <si>
    <t>Bariéry vstupu</t>
  </si>
  <si>
    <t>Struktura zákazníků</t>
  </si>
  <si>
    <t>Intenzita přímé konkurence</t>
  </si>
  <si>
    <t>Váha</t>
  </si>
  <si>
    <t>Bodové hodnocení kritéria atraktivity</t>
  </si>
  <si>
    <t>Negativní</t>
  </si>
  <si>
    <t>Průměr</t>
  </si>
  <si>
    <t>Pozitivní</t>
  </si>
  <si>
    <t>Váha        x        Body</t>
  </si>
  <si>
    <t>Celkem</t>
  </si>
  <si>
    <t>x</t>
  </si>
  <si>
    <t>maximum</t>
  </si>
  <si>
    <t>hodnocení</t>
  </si>
  <si>
    <t>počet bodů</t>
  </si>
  <si>
    <t>Ukazatel</t>
  </si>
  <si>
    <t>C.II.1.</t>
  </si>
  <si>
    <t>hodnota brutto</t>
  </si>
  <si>
    <t>hodnota netto</t>
  </si>
</sst>
</file>

<file path=xl/styles.xml><?xml version="1.0" encoding="utf-8"?>
<styleSheet xmlns="http://schemas.openxmlformats.org/spreadsheetml/2006/main">
  <numFmts count="5">
    <numFmt numFmtId="43" formatCode="_-* #,##0.00\ _K_č_-;\-* #,##0.00\ _K_č_-;_-* &quot;-&quot;??\ _K_č_-;_-@_-"/>
    <numFmt numFmtId="164" formatCode="_-* #,##0\ _K_č_-;\-* #,##0\ _K_č_-;_-* &quot;-&quot;??\ _K_č_-;_-@_-"/>
    <numFmt numFmtId="165" formatCode="0.0%"/>
    <numFmt numFmtId="166" formatCode="_-* #,##0.000\ _K_č_-;\-* #,##0.000\ _K_č_-;_-* &quot;-&quot;??\ _K_č_-;_-@_-"/>
    <numFmt numFmtId="167" formatCode="_-* #,##0.0000\ _K_č_-;\-* #,##0.0000\ _K_č_-;_-* &quot;-&quot;??\ _K_č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12"/>
      <color rgb="FF000000"/>
      <name val="Open Sans"/>
      <family val="2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3">
    <xf numFmtId="0" fontId="0" fillId="0" borderId="0" xfId="0"/>
    <xf numFmtId="0" fontId="1" fillId="0" borderId="0" xfId="0" applyFont="1"/>
    <xf numFmtId="164" fontId="0" fillId="0" borderId="0" xfId="1" applyNumberFormat="1" applyFont="1"/>
    <xf numFmtId="0" fontId="1" fillId="0" borderId="0" xfId="0" applyFont="1" applyAlignment="1">
      <alignment horizontal="centerContinuous"/>
    </xf>
    <xf numFmtId="10" fontId="0" fillId="0" borderId="0" xfId="2" applyNumberFormat="1" applyFont="1"/>
    <xf numFmtId="0" fontId="1" fillId="0" borderId="0" xfId="0" applyFont="1" applyAlignment="1">
      <alignment horizontal="center" vertical="center"/>
    </xf>
    <xf numFmtId="2" fontId="0" fillId="0" borderId="0" xfId="0" applyNumberFormat="1"/>
    <xf numFmtId="10" fontId="0" fillId="0" borderId="0" xfId="0" applyNumberFormat="1"/>
    <xf numFmtId="0" fontId="4" fillId="0" borderId="0" xfId="0" applyFont="1" applyBorder="1"/>
    <xf numFmtId="0" fontId="3" fillId="0" borderId="11" xfId="0" applyFont="1" applyBorder="1"/>
    <xf numFmtId="164" fontId="3" fillId="0" borderId="1" xfId="1" applyNumberFormat="1" applyFont="1" applyBorder="1"/>
    <xf numFmtId="0" fontId="3" fillId="0" borderId="5" xfId="0" applyFont="1" applyBorder="1"/>
    <xf numFmtId="0" fontId="3" fillId="0" borderId="1" xfId="0" applyFont="1" applyBorder="1"/>
    <xf numFmtId="0" fontId="5" fillId="0" borderId="5" xfId="0" applyFont="1" applyBorder="1"/>
    <xf numFmtId="0" fontId="5" fillId="0" borderId="1" xfId="0" applyFont="1" applyBorder="1"/>
    <xf numFmtId="164" fontId="5" fillId="0" borderId="1" xfId="1" applyNumberFormat="1" applyFont="1" applyBorder="1"/>
    <xf numFmtId="0" fontId="4" fillId="0" borderId="5" xfId="0" applyFont="1" applyBorder="1"/>
    <xf numFmtId="0" fontId="4" fillId="0" borderId="1" xfId="0" applyFont="1" applyBorder="1"/>
    <xf numFmtId="164" fontId="4" fillId="0" borderId="1" xfId="1" applyNumberFormat="1" applyFont="1" applyBorder="1"/>
    <xf numFmtId="164" fontId="4" fillId="0" borderId="6" xfId="1" applyNumberFormat="1" applyFont="1" applyBorder="1"/>
    <xf numFmtId="0" fontId="4" fillId="0" borderId="7" xfId="0" applyFont="1" applyBorder="1"/>
    <xf numFmtId="0" fontId="4" fillId="0" borderId="8" xfId="0" applyFont="1" applyBorder="1"/>
    <xf numFmtId="164" fontId="4" fillId="0" borderId="8" xfId="1" applyNumberFormat="1" applyFont="1" applyBorder="1"/>
    <xf numFmtId="164" fontId="4" fillId="0" borderId="9" xfId="1" applyNumberFormat="1" applyFont="1" applyBorder="1"/>
    <xf numFmtId="0" fontId="4" fillId="0" borderId="0" xfId="0" applyFont="1"/>
    <xf numFmtId="14" fontId="3" fillId="0" borderId="0" xfId="0" applyNumberFormat="1" applyFont="1"/>
    <xf numFmtId="0" fontId="3" fillId="0" borderId="0" xfId="0" applyFont="1"/>
    <xf numFmtId="164" fontId="3" fillId="0" borderId="0" xfId="1" applyNumberFormat="1" applyFont="1"/>
    <xf numFmtId="164" fontId="4" fillId="0" borderId="0" xfId="1" applyNumberFormat="1" applyFont="1"/>
    <xf numFmtId="164" fontId="5" fillId="0" borderId="0" xfId="1" applyNumberFormat="1" applyFont="1"/>
    <xf numFmtId="0" fontId="5" fillId="0" borderId="0" xfId="0" applyFont="1"/>
    <xf numFmtId="10" fontId="4" fillId="0" borderId="0" xfId="2" applyNumberFormat="1" applyFont="1"/>
    <xf numFmtId="0" fontId="4" fillId="0" borderId="0" xfId="0" applyFont="1" applyFill="1" applyAlignment="1">
      <alignment horizontal="centerContinuous"/>
    </xf>
    <xf numFmtId="0" fontId="4" fillId="0" borderId="0" xfId="0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3" fillId="0" borderId="8" xfId="0" applyFont="1" applyBorder="1" applyAlignment="1">
      <alignment horizontal="left"/>
    </xf>
    <xf numFmtId="164" fontId="3" fillId="0" borderId="8" xfId="1" applyNumberFormat="1" applyFont="1" applyBorder="1"/>
    <xf numFmtId="0" fontId="4" fillId="0" borderId="1" xfId="0" applyFont="1" applyBorder="1" applyAlignment="1">
      <alignment horizontal="left" wrapText="1"/>
    </xf>
    <xf numFmtId="164" fontId="4" fillId="0" borderId="19" xfId="1" applyNumberFormat="1" applyFont="1" applyBorder="1"/>
    <xf numFmtId="164" fontId="4" fillId="0" borderId="20" xfId="1" applyNumberFormat="1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10" fontId="3" fillId="0" borderId="1" xfId="2" applyNumberFormat="1" applyFont="1" applyBorder="1"/>
    <xf numFmtId="10" fontId="5" fillId="0" borderId="1" xfId="2" applyNumberFormat="1" applyFont="1" applyBorder="1"/>
    <xf numFmtId="10" fontId="4" fillId="0" borderId="1" xfId="2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1" applyNumberFormat="1" applyFont="1" applyBorder="1"/>
    <xf numFmtId="0" fontId="0" fillId="0" borderId="1" xfId="0" applyBorder="1"/>
    <xf numFmtId="164" fontId="0" fillId="0" borderId="1" xfId="1" applyNumberFormat="1" applyFont="1" applyBorder="1"/>
    <xf numFmtId="164" fontId="4" fillId="0" borderId="0" xfId="0" applyNumberFormat="1" applyFont="1"/>
    <xf numFmtId="9" fontId="0" fillId="0" borderId="0" xfId="2" applyFont="1"/>
    <xf numFmtId="165" fontId="0" fillId="0" borderId="0" xfId="2" applyNumberFormat="1" applyFont="1"/>
    <xf numFmtId="10" fontId="4" fillId="0" borderId="0" xfId="0" applyNumberFormat="1" applyFont="1"/>
    <xf numFmtId="0" fontId="6" fillId="0" borderId="0" xfId="0" applyFont="1"/>
    <xf numFmtId="0" fontId="7" fillId="0" borderId="0" xfId="0" applyFont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164" fontId="4" fillId="0" borderId="26" xfId="1" applyNumberFormat="1" applyFont="1" applyBorder="1" applyAlignment="1">
      <alignment horizontal="right"/>
    </xf>
    <xf numFmtId="164" fontId="4" fillId="0" borderId="27" xfId="1" applyNumberFormat="1" applyFont="1" applyBorder="1" applyAlignment="1">
      <alignment horizontal="right"/>
    </xf>
    <xf numFmtId="165" fontId="4" fillId="0" borderId="8" xfId="2" applyNumberFormat="1" applyFont="1" applyBorder="1"/>
    <xf numFmtId="165" fontId="4" fillId="0" borderId="9" xfId="2" applyNumberFormat="1" applyFont="1" applyBorder="1"/>
    <xf numFmtId="0" fontId="4" fillId="0" borderId="25" xfId="0" applyFont="1" applyFill="1" applyBorder="1"/>
    <xf numFmtId="165" fontId="4" fillId="0" borderId="1" xfId="2" applyNumberFormat="1" applyFont="1" applyBorder="1"/>
    <xf numFmtId="165" fontId="4" fillId="0" borderId="6" xfId="2" applyNumberFormat="1" applyFont="1" applyBorder="1"/>
    <xf numFmtId="164" fontId="4" fillId="0" borderId="3" xfId="1" applyNumberFormat="1" applyFont="1" applyBorder="1"/>
    <xf numFmtId="164" fontId="4" fillId="0" borderId="4" xfId="1" applyNumberFormat="1" applyFont="1" applyBorder="1"/>
    <xf numFmtId="164" fontId="5" fillId="0" borderId="0" xfId="0" applyNumberFormat="1" applyFont="1"/>
    <xf numFmtId="10" fontId="4" fillId="0" borderId="6" xfId="2" applyNumberFormat="1" applyFont="1" applyBorder="1"/>
    <xf numFmtId="10" fontId="4" fillId="0" borderId="8" xfId="2" applyNumberFormat="1" applyFont="1" applyBorder="1"/>
    <xf numFmtId="10" fontId="4" fillId="0" borderId="9" xfId="2" applyNumberFormat="1" applyFont="1" applyBorder="1"/>
    <xf numFmtId="9" fontId="5" fillId="0" borderId="0" xfId="2" applyFont="1"/>
    <xf numFmtId="9" fontId="4" fillId="0" borderId="0" xfId="2" applyFont="1"/>
    <xf numFmtId="165" fontId="4" fillId="0" borderId="0" xfId="2" applyNumberFormat="1" applyFont="1"/>
    <xf numFmtId="164" fontId="4" fillId="0" borderId="0" xfId="2" applyNumberFormat="1" applyFont="1"/>
    <xf numFmtId="164" fontId="0" fillId="0" borderId="0" xfId="0" applyNumberFormat="1"/>
    <xf numFmtId="0" fontId="4" fillId="0" borderId="11" xfId="0" applyFont="1" applyBorder="1" applyAlignment="1">
      <alignment horizontal="left"/>
    </xf>
    <xf numFmtId="10" fontId="4" fillId="0" borderId="29" xfId="2" applyNumberFormat="1" applyFont="1" applyFill="1" applyBorder="1"/>
    <xf numFmtId="164" fontId="0" fillId="0" borderId="0" xfId="2" applyNumberFormat="1" applyFont="1"/>
    <xf numFmtId="0" fontId="0" fillId="0" borderId="30" xfId="0" quotePrefix="1" applyBorder="1"/>
    <xf numFmtId="164" fontId="0" fillId="0" borderId="30" xfId="1" applyNumberFormat="1" applyFont="1" applyBorder="1"/>
    <xf numFmtId="164" fontId="0" fillId="0" borderId="31" xfId="1" applyNumberFormat="1" applyFont="1" applyBorder="1"/>
    <xf numFmtId="164" fontId="0" fillId="0" borderId="12" xfId="1" applyNumberFormat="1" applyFont="1" applyBorder="1"/>
    <xf numFmtId="0" fontId="0" fillId="0" borderId="11" xfId="0" applyBorder="1"/>
    <xf numFmtId="164" fontId="0" fillId="0" borderId="21" xfId="1" applyNumberFormat="1" applyFont="1" applyBorder="1"/>
    <xf numFmtId="0" fontId="0" fillId="0" borderId="14" xfId="0" applyBorder="1"/>
    <xf numFmtId="164" fontId="0" fillId="0" borderId="0" xfId="1" applyNumberFormat="1" applyFont="1" applyBorder="1"/>
    <xf numFmtId="164" fontId="0" fillId="0" borderId="32" xfId="1" applyNumberFormat="1" applyFont="1" applyBorder="1"/>
    <xf numFmtId="0" fontId="0" fillId="0" borderId="33" xfId="0" applyBorder="1"/>
    <xf numFmtId="164" fontId="0" fillId="0" borderId="35" xfId="1" applyNumberFormat="1" applyFont="1" applyBorder="1"/>
    <xf numFmtId="164" fontId="0" fillId="0" borderId="36" xfId="1" applyNumberFormat="1" applyFont="1" applyBorder="1"/>
    <xf numFmtId="0" fontId="0" fillId="0" borderId="37" xfId="0" applyBorder="1"/>
    <xf numFmtId="0" fontId="0" fillId="0" borderId="0" xfId="0" quotePrefix="1" applyBorder="1"/>
    <xf numFmtId="0" fontId="1" fillId="0" borderId="3" xfId="0" applyFont="1" applyBorder="1" applyAlignment="1">
      <alignment horizontal="center"/>
    </xf>
    <xf numFmtId="0" fontId="0" fillId="0" borderId="38" xfId="0" applyBorder="1"/>
    <xf numFmtId="164" fontId="0" fillId="0" borderId="39" xfId="1" applyNumberFormat="1" applyFont="1" applyBorder="1"/>
    <xf numFmtId="0" fontId="0" fillId="0" borderId="31" xfId="0" quotePrefix="1" applyBorder="1"/>
    <xf numFmtId="0" fontId="0" fillId="0" borderId="35" xfId="0" quotePrefix="1" applyBorder="1"/>
    <xf numFmtId="0" fontId="0" fillId="0" borderId="12" xfId="0" quotePrefix="1" applyBorder="1"/>
    <xf numFmtId="0" fontId="1" fillId="0" borderId="8" xfId="0" applyFont="1" applyBorder="1"/>
    <xf numFmtId="164" fontId="1" fillId="0" borderId="26" xfId="1" applyNumberFormat="1" applyFont="1" applyBorder="1"/>
    <xf numFmtId="164" fontId="1" fillId="0" borderId="34" xfId="1" applyNumberFormat="1" applyFont="1" applyBorder="1"/>
    <xf numFmtId="0" fontId="4" fillId="0" borderId="0" xfId="0" applyFont="1" applyFill="1" applyBorder="1"/>
    <xf numFmtId="0" fontId="0" fillId="0" borderId="7" xfId="0" applyBorder="1"/>
    <xf numFmtId="165" fontId="0" fillId="0" borderId="8" xfId="0" applyNumberFormat="1" applyBorder="1"/>
    <xf numFmtId="165" fontId="0" fillId="0" borderId="9" xfId="0" applyNumberFormat="1" applyBorder="1"/>
    <xf numFmtId="166" fontId="0" fillId="0" borderId="0" xfId="0" applyNumberFormat="1"/>
    <xf numFmtId="10" fontId="0" fillId="0" borderId="1" xfId="2" applyNumberFormat="1" applyFont="1" applyBorder="1"/>
    <xf numFmtId="10" fontId="4" fillId="0" borderId="1" xfId="2" applyNumberFormat="1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10" fontId="5" fillId="0" borderId="1" xfId="2" applyNumberFormat="1" applyFont="1" applyFill="1" applyBorder="1"/>
    <xf numFmtId="164" fontId="4" fillId="0" borderId="1" xfId="1" applyNumberFormat="1" applyFont="1" applyFill="1" applyBorder="1"/>
    <xf numFmtId="164" fontId="5" fillId="0" borderId="1" xfId="1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0" fontId="0" fillId="0" borderId="1" xfId="2" applyNumberFormat="1" applyFont="1" applyBorder="1" applyAlignment="1">
      <alignment horizontal="right" indent="2"/>
    </xf>
    <xf numFmtId="10" fontId="0" fillId="0" borderId="1" xfId="2" applyNumberFormat="1" applyFont="1" applyBorder="1" applyAlignment="1">
      <alignment horizontal="center" vertical="center"/>
    </xf>
    <xf numFmtId="4" fontId="0" fillId="0" borderId="1" xfId="2" applyNumberFormat="1" applyFont="1" applyBorder="1" applyAlignment="1">
      <alignment horizontal="center" vertical="center"/>
    </xf>
    <xf numFmtId="167" fontId="5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Continuous"/>
    </xf>
    <xf numFmtId="0" fontId="3" fillId="2" borderId="17" xfId="0" applyFont="1" applyFill="1" applyBorder="1" applyAlignment="1">
      <alignment horizontal="centerContinuous"/>
    </xf>
    <xf numFmtId="0" fontId="4" fillId="2" borderId="13" xfId="0" applyFont="1" applyFill="1" applyBorder="1" applyAlignment="1">
      <alignment horizontal="centerContinuous"/>
    </xf>
    <xf numFmtId="14" fontId="3" fillId="2" borderId="10" xfId="0" applyNumberFormat="1" applyFont="1" applyFill="1" applyBorder="1" applyAlignment="1">
      <alignment horizontal="centerContinuous"/>
    </xf>
    <xf numFmtId="14" fontId="3" fillId="2" borderId="3" xfId="0" applyNumberFormat="1" applyFont="1" applyFill="1" applyBorder="1"/>
    <xf numFmtId="0" fontId="4" fillId="2" borderId="2" xfId="0" applyFont="1" applyFill="1" applyBorder="1"/>
    <xf numFmtId="0" fontId="3" fillId="2" borderId="40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0" fontId="3" fillId="2" borderId="41" xfId="0" applyFont="1" applyFill="1" applyBorder="1" applyAlignment="1">
      <alignment horizontal="centerContinuous"/>
    </xf>
    <xf numFmtId="0" fontId="4" fillId="0" borderId="42" xfId="0" applyFont="1" applyBorder="1" applyAlignment="1">
      <alignment horizontal="left"/>
    </xf>
    <xf numFmtId="0" fontId="3" fillId="2" borderId="11" xfId="0" applyFont="1" applyFill="1" applyBorder="1"/>
    <xf numFmtId="164" fontId="4" fillId="0" borderId="5" xfId="1" applyNumberFormat="1" applyFont="1" applyBorder="1"/>
    <xf numFmtId="0" fontId="3" fillId="2" borderId="12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4" fillId="2" borderId="10" xfId="0" applyFont="1" applyFill="1" applyBorder="1"/>
    <xf numFmtId="0" fontId="4" fillId="2" borderId="43" xfId="0" applyFont="1" applyFill="1" applyBorder="1" applyAlignment="1">
      <alignment horizontal="centerContinuous"/>
    </xf>
    <xf numFmtId="0" fontId="4" fillId="2" borderId="41" xfId="0" applyFont="1" applyFill="1" applyBorder="1"/>
    <xf numFmtId="0" fontId="3" fillId="2" borderId="1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4" fillId="0" borderId="12" xfId="1" applyNumberFormat="1" applyFont="1" applyFill="1" applyBorder="1" applyAlignment="1">
      <alignment horizontal="right"/>
    </xf>
    <xf numFmtId="164" fontId="4" fillId="0" borderId="21" xfId="1" applyNumberFormat="1" applyFont="1" applyFill="1" applyBorder="1" applyAlignment="1">
      <alignment horizontal="right"/>
    </xf>
    <xf numFmtId="165" fontId="4" fillId="0" borderId="1" xfId="2" applyNumberFormat="1" applyFont="1" applyFill="1" applyBorder="1" applyAlignment="1">
      <alignment horizontal="right"/>
    </xf>
    <xf numFmtId="164" fontId="4" fillId="0" borderId="6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165" fontId="4" fillId="0" borderId="8" xfId="2" applyNumberFormat="1" applyFont="1" applyFill="1" applyBorder="1" applyAlignment="1">
      <alignment horizontal="right"/>
    </xf>
    <xf numFmtId="164" fontId="4" fillId="0" borderId="9" xfId="1" applyNumberFormat="1" applyFont="1" applyFill="1" applyBorder="1" applyAlignment="1">
      <alignment horizontal="righ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164" fontId="4" fillId="0" borderId="6" xfId="1" applyNumberFormat="1" applyFont="1" applyFill="1" applyBorder="1"/>
    <xf numFmtId="10" fontId="0" fillId="0" borderId="0" xfId="0" applyNumberFormat="1" applyFill="1"/>
    <xf numFmtId="164" fontId="4" fillId="0" borderId="23" xfId="1" applyNumberFormat="1" applyFont="1" applyFill="1" applyBorder="1"/>
    <xf numFmtId="10" fontId="4" fillId="0" borderId="8" xfId="2" applyNumberFormat="1" applyFont="1" applyFill="1" applyBorder="1" applyAlignment="1">
      <alignment horizontal="right" indent="2"/>
    </xf>
    <xf numFmtId="10" fontId="4" fillId="0" borderId="9" xfId="2" applyNumberFormat="1" applyFont="1" applyFill="1" applyBorder="1" applyAlignment="1">
      <alignment horizontal="right" indent="2"/>
    </xf>
    <xf numFmtId="164" fontId="4" fillId="0" borderId="8" xfId="1" applyNumberFormat="1" applyFont="1" applyFill="1" applyBorder="1"/>
    <xf numFmtId="164" fontId="4" fillId="0" borderId="9" xfId="1" applyNumberFormat="1" applyFont="1" applyFill="1" applyBorder="1"/>
    <xf numFmtId="164" fontId="4" fillId="0" borderId="24" xfId="1" applyNumberFormat="1" applyFont="1" applyFill="1" applyBorder="1"/>
    <xf numFmtId="10" fontId="4" fillId="0" borderId="24" xfId="2" applyNumberFormat="1" applyFont="1" applyBorder="1"/>
    <xf numFmtId="0" fontId="3" fillId="2" borderId="16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center"/>
    </xf>
    <xf numFmtId="165" fontId="4" fillId="0" borderId="3" xfId="2" applyNumberFormat="1" applyFont="1" applyBorder="1" applyAlignment="1">
      <alignment horizontal="right" indent="1"/>
    </xf>
    <xf numFmtId="165" fontId="4" fillId="0" borderId="1" xfId="2" applyNumberFormat="1" applyFont="1" applyBorder="1" applyAlignment="1">
      <alignment horizontal="right" indent="1"/>
    </xf>
    <xf numFmtId="165" fontId="4" fillId="0" borderId="8" xfId="2" applyNumberFormat="1" applyFont="1" applyBorder="1" applyAlignment="1">
      <alignment horizontal="right" indent="1"/>
    </xf>
    <xf numFmtId="165" fontId="4" fillId="0" borderId="12" xfId="2" applyNumberFormat="1" applyFont="1" applyBorder="1" applyAlignment="1">
      <alignment horizontal="right" indent="1"/>
    </xf>
    <xf numFmtId="165" fontId="4" fillId="0" borderId="21" xfId="2" applyNumberFormat="1" applyFont="1" applyBorder="1" applyAlignment="1">
      <alignment horizontal="right" indent="1"/>
    </xf>
    <xf numFmtId="166" fontId="4" fillId="0" borderId="0" xfId="1" applyNumberFormat="1" applyFont="1"/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8" fillId="0" borderId="0" xfId="0" applyFont="1"/>
    <xf numFmtId="0" fontId="0" fillId="2" borderId="3" xfId="0" applyFill="1" applyBorder="1"/>
    <xf numFmtId="0" fontId="1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21" xfId="0" applyFill="1" applyBorder="1"/>
    <xf numFmtId="164" fontId="3" fillId="0" borderId="1" xfId="1" applyNumberFormat="1" applyFont="1" applyFill="1" applyBorder="1"/>
    <xf numFmtId="164" fontId="3" fillId="0" borderId="6" xfId="1" applyNumberFormat="1" applyFont="1" applyFill="1" applyBorder="1"/>
    <xf numFmtId="164" fontId="3" fillId="0" borderId="8" xfId="1" applyNumberFormat="1" applyFont="1" applyFill="1" applyBorder="1"/>
    <xf numFmtId="164" fontId="3" fillId="0" borderId="9" xfId="1" applyNumberFormat="1" applyFont="1" applyFill="1" applyBorder="1"/>
    <xf numFmtId="164" fontId="5" fillId="0" borderId="6" xfId="1" applyNumberFormat="1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2" borderId="10" xfId="0" applyNumberFormat="1" applyFont="1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0" xfId="0" applyAlignment="1">
      <alignment horizontal="center"/>
    </xf>
    <xf numFmtId="14" fontId="3" fillId="2" borderId="44" xfId="0" applyNumberFormat="1" applyFont="1" applyFill="1" applyBorder="1" applyAlignment="1">
      <alignment horizontal="centerContinuous"/>
    </xf>
    <xf numFmtId="0" fontId="4" fillId="2" borderId="18" xfId="0" applyFont="1" applyFill="1" applyBorder="1" applyAlignment="1">
      <alignment horizontal="centerContinuous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3">
    <cellStyle name="čárky" xfId="1" builtinId="3"/>
    <cellStyle name="normální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Změna struktury aktiv v čase v tis. Kč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BS!$B$5</c:f>
              <c:strCache>
                <c:ptCount val="1"/>
                <c:pt idx="0">
                  <c:v>Dlouhodobý majetek</c:v>
                </c:pt>
              </c:strCache>
            </c:strRef>
          </c:tx>
          <c:cat>
            <c:numRef>
              <c:f>BS!$C$3:$F$3</c:f>
              <c:numCache>
                <c:formatCode>dd/mm/yyyy</c:formatCode>
                <c:ptCount val="4"/>
                <c:pt idx="0">
                  <c:v>42369</c:v>
                </c:pt>
                <c:pt idx="1">
                  <c:v>42004</c:v>
                </c:pt>
                <c:pt idx="2">
                  <c:v>41639</c:v>
                </c:pt>
                <c:pt idx="3">
                  <c:v>41274</c:v>
                </c:pt>
              </c:numCache>
            </c:numRef>
          </c:cat>
          <c:val>
            <c:numRef>
              <c:f>BS!$C$5:$F$5</c:f>
              <c:numCache>
                <c:formatCode>_-* #,##0\ _K_č_-;\-* #,##0\ _K_č_-;_-* "-"??\ _K_č_-;_-@_-</c:formatCode>
                <c:ptCount val="4"/>
                <c:pt idx="0">
                  <c:v>93909</c:v>
                </c:pt>
                <c:pt idx="1">
                  <c:v>91193</c:v>
                </c:pt>
                <c:pt idx="2">
                  <c:v>87973</c:v>
                </c:pt>
                <c:pt idx="3">
                  <c:v>82125</c:v>
                </c:pt>
              </c:numCache>
            </c:numRef>
          </c:val>
        </c:ser>
        <c:ser>
          <c:idx val="1"/>
          <c:order val="1"/>
          <c:tx>
            <c:strRef>
              <c:f>BS!$B$12</c:f>
              <c:strCache>
                <c:ptCount val="1"/>
                <c:pt idx="0">
                  <c:v>Oběžná aktiva</c:v>
                </c:pt>
              </c:strCache>
            </c:strRef>
          </c:tx>
          <c:cat>
            <c:numRef>
              <c:f>BS!$C$3:$F$3</c:f>
              <c:numCache>
                <c:formatCode>dd/mm/yyyy</c:formatCode>
                <c:ptCount val="4"/>
                <c:pt idx="0">
                  <c:v>42369</c:v>
                </c:pt>
                <c:pt idx="1">
                  <c:v>42004</c:v>
                </c:pt>
                <c:pt idx="2">
                  <c:v>41639</c:v>
                </c:pt>
                <c:pt idx="3">
                  <c:v>41274</c:v>
                </c:pt>
              </c:numCache>
            </c:numRef>
          </c:cat>
          <c:val>
            <c:numRef>
              <c:f>BS!$C$12:$F$12</c:f>
              <c:numCache>
                <c:formatCode>_-* #,##0\ _K_č_-;\-* #,##0\ _K_č_-;_-* "-"??\ _K_č_-;_-@_-</c:formatCode>
                <c:ptCount val="4"/>
                <c:pt idx="0">
                  <c:v>1663983</c:v>
                </c:pt>
                <c:pt idx="1">
                  <c:v>1344222</c:v>
                </c:pt>
                <c:pt idx="2">
                  <c:v>1205781</c:v>
                </c:pt>
                <c:pt idx="3">
                  <c:v>985435</c:v>
                </c:pt>
              </c:numCache>
            </c:numRef>
          </c:val>
        </c:ser>
        <c:ser>
          <c:idx val="2"/>
          <c:order val="2"/>
          <c:tx>
            <c:strRef>
              <c:f>BS!$B$29</c:f>
              <c:strCache>
                <c:ptCount val="1"/>
                <c:pt idx="0">
                  <c:v>Časové rozlišení</c:v>
                </c:pt>
              </c:strCache>
            </c:strRef>
          </c:tx>
          <c:cat>
            <c:numRef>
              <c:f>BS!$C$3:$F$3</c:f>
              <c:numCache>
                <c:formatCode>dd/mm/yyyy</c:formatCode>
                <c:ptCount val="4"/>
                <c:pt idx="0">
                  <c:v>42369</c:v>
                </c:pt>
                <c:pt idx="1">
                  <c:v>42004</c:v>
                </c:pt>
                <c:pt idx="2">
                  <c:v>41639</c:v>
                </c:pt>
                <c:pt idx="3">
                  <c:v>41274</c:v>
                </c:pt>
              </c:numCache>
            </c:numRef>
          </c:cat>
          <c:val>
            <c:numRef>
              <c:f>BS!$C$29:$F$29</c:f>
              <c:numCache>
                <c:formatCode>_-* #,##0\ _K_č_-;\-* #,##0\ _K_č_-;_-* "-"??\ _K_č_-;_-@_-</c:formatCode>
                <c:ptCount val="4"/>
                <c:pt idx="0">
                  <c:v>14763</c:v>
                </c:pt>
                <c:pt idx="1">
                  <c:v>12091</c:v>
                </c:pt>
                <c:pt idx="2">
                  <c:v>11190</c:v>
                </c:pt>
                <c:pt idx="3">
                  <c:v>9913</c:v>
                </c:pt>
              </c:numCache>
            </c:numRef>
          </c:val>
        </c:ser>
        <c:shape val="cylinder"/>
        <c:axId val="105828352"/>
        <c:axId val="105829888"/>
        <c:axId val="0"/>
      </c:bar3DChart>
      <c:dateAx>
        <c:axId val="105828352"/>
        <c:scaling>
          <c:orientation val="minMax"/>
          <c:min val="40909"/>
        </c:scaling>
        <c:axPos val="b"/>
        <c:numFmt formatCode="dd/mm/yyyy" sourceLinked="1"/>
        <c:tickLblPos val="nextTo"/>
        <c:crossAx val="105829888"/>
        <c:crosses val="autoZero"/>
        <c:lblOffset val="100"/>
        <c:baseTimeUnit val="years"/>
      </c:dateAx>
      <c:valAx>
        <c:axId val="105829888"/>
        <c:scaling>
          <c:orientation val="minMax"/>
        </c:scaling>
        <c:axPos val="l"/>
        <c:majorGridlines/>
        <c:numFmt formatCode="_-* #,##0\ _K_č_-;\-* #,##0\ _K_č_-;_-* &quot;-&quot;??\ _K_č_-;_-@_-" sourceLinked="1"/>
        <c:tickLblPos val="nextTo"/>
        <c:crossAx val="10582835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Změna struktury pasiv v čase v tis. Kč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BS!$B$32</c:f>
              <c:strCache>
                <c:ptCount val="1"/>
                <c:pt idx="0">
                  <c:v>Vlastní kapitál</c:v>
                </c:pt>
              </c:strCache>
            </c:strRef>
          </c:tx>
          <c:cat>
            <c:numRef>
              <c:f>BS!$C$3:$F$3</c:f>
              <c:numCache>
                <c:formatCode>dd/mm/yyyy</c:formatCode>
                <c:ptCount val="4"/>
                <c:pt idx="0">
                  <c:v>42369</c:v>
                </c:pt>
                <c:pt idx="1">
                  <c:v>42004</c:v>
                </c:pt>
                <c:pt idx="2">
                  <c:v>41639</c:v>
                </c:pt>
                <c:pt idx="3">
                  <c:v>41274</c:v>
                </c:pt>
              </c:numCache>
            </c:numRef>
          </c:cat>
          <c:val>
            <c:numRef>
              <c:f>BS!$C$32:$F$32</c:f>
              <c:numCache>
                <c:formatCode>_-* #,##0\ _K_č_-;\-* #,##0\ _K_č_-;_-* "-"??\ _K_č_-;_-@_-</c:formatCode>
                <c:ptCount val="4"/>
                <c:pt idx="0">
                  <c:v>991372</c:v>
                </c:pt>
                <c:pt idx="1">
                  <c:v>815730</c:v>
                </c:pt>
                <c:pt idx="2">
                  <c:v>683360</c:v>
                </c:pt>
                <c:pt idx="3">
                  <c:v>572839</c:v>
                </c:pt>
              </c:numCache>
            </c:numRef>
          </c:val>
        </c:ser>
        <c:ser>
          <c:idx val="1"/>
          <c:order val="1"/>
          <c:tx>
            <c:strRef>
              <c:f>BS!$B$40</c:f>
              <c:strCache>
                <c:ptCount val="1"/>
                <c:pt idx="0">
                  <c:v>Cizí zdroje</c:v>
                </c:pt>
              </c:strCache>
            </c:strRef>
          </c:tx>
          <c:cat>
            <c:numRef>
              <c:f>BS!$C$3:$F$3</c:f>
              <c:numCache>
                <c:formatCode>dd/mm/yyyy</c:formatCode>
                <c:ptCount val="4"/>
                <c:pt idx="0">
                  <c:v>42369</c:v>
                </c:pt>
                <c:pt idx="1">
                  <c:v>42004</c:v>
                </c:pt>
                <c:pt idx="2">
                  <c:v>41639</c:v>
                </c:pt>
                <c:pt idx="3">
                  <c:v>41274</c:v>
                </c:pt>
              </c:numCache>
            </c:numRef>
          </c:cat>
          <c:val>
            <c:numRef>
              <c:f>BS!$C$40:$F$40</c:f>
              <c:numCache>
                <c:formatCode>_-* #,##0\ _K_č_-;\-* #,##0\ _K_č_-;_-* "-"??\ _K_č_-;_-@_-</c:formatCode>
                <c:ptCount val="4"/>
                <c:pt idx="0">
                  <c:v>781283</c:v>
                </c:pt>
                <c:pt idx="1">
                  <c:v>631776</c:v>
                </c:pt>
                <c:pt idx="2">
                  <c:v>621584</c:v>
                </c:pt>
                <c:pt idx="3">
                  <c:v>504634</c:v>
                </c:pt>
              </c:numCache>
            </c:numRef>
          </c:val>
        </c:ser>
        <c:shape val="cylinder"/>
        <c:axId val="106404864"/>
        <c:axId val="106410752"/>
        <c:axId val="0"/>
      </c:bar3DChart>
      <c:dateAx>
        <c:axId val="106404864"/>
        <c:scaling>
          <c:orientation val="minMax"/>
        </c:scaling>
        <c:axPos val="b"/>
        <c:numFmt formatCode="dd/mm/yyyy" sourceLinked="1"/>
        <c:tickLblPos val="nextTo"/>
        <c:crossAx val="106410752"/>
        <c:crosses val="autoZero"/>
        <c:lblOffset val="100"/>
        <c:baseTimeUnit val="years"/>
      </c:dateAx>
      <c:valAx>
        <c:axId val="106410752"/>
        <c:scaling>
          <c:orientation val="minMax"/>
        </c:scaling>
        <c:axPos val="l"/>
        <c:majorGridlines/>
        <c:numFmt formatCode="_-* #,##0\ _K_č_-;\-* #,##0\ _K_č_-;_-* &quot;-&quot;??\ _K_č_-;_-@_-" sourceLinked="1"/>
        <c:tickLblPos val="nextTo"/>
        <c:crossAx val="1064048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1"/>
          <c:order val="0"/>
          <c:tx>
            <c:strRef>
              <c:f>'P&amp;L'!$C$35</c:f>
              <c:strCache>
                <c:ptCount val="1"/>
                <c:pt idx="0">
                  <c:v>Výsledek hospodaření za běžnou činnost</c:v>
                </c:pt>
              </c:strCache>
            </c:strRef>
          </c:tx>
          <c:cat>
            <c:numRef>
              <c:f>'P&amp;L'!$D$2:$G$2</c:f>
              <c:numCache>
                <c:formatCode>General</c:formatCode>
                <c:ptCount val="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</c:numCache>
            </c:numRef>
          </c:cat>
          <c:val>
            <c:numRef>
              <c:f>'P&amp;L'!$D$35:$G$35</c:f>
              <c:numCache>
                <c:formatCode>_-* #,##0\ _K_č_-;\-* #,##0\ _K_č_-;_-* "-"??\ _K_č_-;_-@_-</c:formatCode>
                <c:ptCount val="4"/>
                <c:pt idx="0">
                  <c:v>175640</c:v>
                </c:pt>
                <c:pt idx="1">
                  <c:v>132370</c:v>
                </c:pt>
                <c:pt idx="2">
                  <c:v>110518</c:v>
                </c:pt>
                <c:pt idx="3">
                  <c:v>80299</c:v>
                </c:pt>
              </c:numCache>
            </c:numRef>
          </c:val>
        </c:ser>
        <c:shape val="cylinder"/>
        <c:axId val="106722816"/>
        <c:axId val="106724352"/>
        <c:axId val="0"/>
      </c:bar3DChart>
      <c:catAx>
        <c:axId val="106722816"/>
        <c:scaling>
          <c:orientation val="minMax"/>
        </c:scaling>
        <c:axPos val="b"/>
        <c:numFmt formatCode="General" sourceLinked="1"/>
        <c:tickLblPos val="nextTo"/>
        <c:crossAx val="106724352"/>
        <c:crosses val="autoZero"/>
        <c:auto val="1"/>
        <c:lblAlgn val="ctr"/>
        <c:lblOffset val="100"/>
      </c:catAx>
      <c:valAx>
        <c:axId val="106724352"/>
        <c:scaling>
          <c:orientation val="minMax"/>
        </c:scaling>
        <c:axPos val="l"/>
        <c:majorGridlines/>
        <c:numFmt formatCode="_-* #,##0\ _K_č_-;\-* #,##0\ _K_č_-;_-* &quot;-&quot;??\ _K_č_-;_-@_-" sourceLinked="1"/>
        <c:tickLblPos val="nextTo"/>
        <c:crossAx val="1067228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AngAx val="1"/>
    </c:view3D>
    <c:floor>
      <c:spPr>
        <a:noFill/>
        <a:ln w="9525">
          <a:noFill/>
        </a:ln>
      </c:spPr>
    </c:floor>
    <c:plotArea>
      <c:layout/>
      <c:bar3DChart>
        <c:barDir val="col"/>
        <c:grouping val="clustered"/>
        <c:ser>
          <c:idx val="0"/>
          <c:order val="0"/>
          <c:tx>
            <c:strRef>
              <c:f>'základní a poměrové ukazatele'!$A$2</c:f>
              <c:strCache>
                <c:ptCount val="1"/>
                <c:pt idx="0">
                  <c:v>Náklady</c:v>
                </c:pt>
              </c:strCache>
            </c:strRef>
          </c:tx>
          <c:cat>
            <c:numRef>
              <c:f>'základní a poměrové ukazatele'!$B$1:$E$1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</c:numCache>
            </c:numRef>
          </c:cat>
          <c:val>
            <c:numRef>
              <c:f>'základní a poměrové ukazatele'!$B$2:$E$2</c:f>
              <c:numCache>
                <c:formatCode>_-* #,##0\ _K_č_-;\-* #,##0\ _K_č_-;_-* "-"??\ _K_č_-;_-@_-</c:formatCode>
                <c:ptCount val="4"/>
                <c:pt idx="0">
                  <c:v>3750987</c:v>
                </c:pt>
                <c:pt idx="1">
                  <c:v>3098213</c:v>
                </c:pt>
                <c:pt idx="2">
                  <c:v>2788439</c:v>
                </c:pt>
                <c:pt idx="3">
                  <c:v>2444771</c:v>
                </c:pt>
              </c:numCache>
            </c:numRef>
          </c:val>
        </c:ser>
        <c:ser>
          <c:idx val="1"/>
          <c:order val="1"/>
          <c:tx>
            <c:strRef>
              <c:f>'základní a poměrové ukazatele'!$A$3</c:f>
              <c:strCache>
                <c:ptCount val="1"/>
                <c:pt idx="0">
                  <c:v>Výnosy</c:v>
                </c:pt>
              </c:strCache>
            </c:strRef>
          </c:tx>
          <c:cat>
            <c:numRef>
              <c:f>'základní a poměrové ukazatele'!$B$1:$E$1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</c:numCache>
            </c:numRef>
          </c:cat>
          <c:val>
            <c:numRef>
              <c:f>'základní a poměrové ukazatele'!$B$3:$E$3</c:f>
              <c:numCache>
                <c:formatCode>_-* #,##0\ _K_č_-;\-* #,##0\ _K_č_-;_-* "-"??\ _K_č_-;_-@_-</c:formatCode>
                <c:ptCount val="4"/>
                <c:pt idx="0">
                  <c:v>3926628</c:v>
                </c:pt>
                <c:pt idx="1">
                  <c:v>3230583</c:v>
                </c:pt>
                <c:pt idx="2">
                  <c:v>2898957</c:v>
                </c:pt>
                <c:pt idx="3">
                  <c:v>2525070</c:v>
                </c:pt>
              </c:numCache>
            </c:numRef>
          </c:val>
        </c:ser>
        <c:shape val="cylinder"/>
        <c:axId val="106828928"/>
        <c:axId val="106830464"/>
        <c:axId val="0"/>
      </c:bar3DChart>
      <c:catAx>
        <c:axId val="106828928"/>
        <c:scaling>
          <c:orientation val="minMax"/>
        </c:scaling>
        <c:axPos val="b"/>
        <c:numFmt formatCode="General" sourceLinked="1"/>
        <c:tickLblPos val="nextTo"/>
        <c:crossAx val="106830464"/>
        <c:crosses val="autoZero"/>
        <c:auto val="1"/>
        <c:lblAlgn val="ctr"/>
        <c:lblOffset val="100"/>
      </c:catAx>
      <c:valAx>
        <c:axId val="106830464"/>
        <c:scaling>
          <c:orientation val="minMax"/>
        </c:scaling>
        <c:axPos val="l"/>
        <c:majorGridlines/>
        <c:numFmt formatCode="_-* #,##0\ _K_č_-;\-* #,##0\ _K_č_-;_-* &quot;-&quot;??\ _K_č_-;_-@_-" sourceLinked="1"/>
        <c:tickLblPos val="nextTo"/>
        <c:crossAx val="1068289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'základní a poměrové ukazatele'!$A$16</c:f>
              <c:strCache>
                <c:ptCount val="1"/>
                <c:pt idx="0">
                  <c:v>EBIT</c:v>
                </c:pt>
              </c:strCache>
            </c:strRef>
          </c:tx>
          <c:cat>
            <c:numRef>
              <c:f>'základní a poměrové ukazatele'!$B$15:$E$15</c:f>
              <c:numCache>
                <c:formatCode>General</c:formatCode>
                <c:ptCount val="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</c:numCache>
            </c:numRef>
          </c:cat>
          <c:val>
            <c:numRef>
              <c:f>'základní a poměrové ukazatele'!$B$16:$E$16</c:f>
              <c:numCache>
                <c:formatCode>_-* #,##0\ _K_č_-;\-* #,##0\ _K_č_-;_-* "-"??\ _K_č_-;_-@_-</c:formatCode>
                <c:ptCount val="4"/>
                <c:pt idx="0">
                  <c:v>221076</c:v>
                </c:pt>
                <c:pt idx="1">
                  <c:v>167240</c:v>
                </c:pt>
                <c:pt idx="2">
                  <c:v>141899</c:v>
                </c:pt>
                <c:pt idx="3">
                  <c:v>102807</c:v>
                </c:pt>
              </c:numCache>
            </c:numRef>
          </c:val>
        </c:ser>
        <c:ser>
          <c:idx val="1"/>
          <c:order val="1"/>
          <c:tx>
            <c:strRef>
              <c:f>'základní a poměrové ukazatele'!$A$17</c:f>
              <c:strCache>
                <c:ptCount val="1"/>
                <c:pt idx="0">
                  <c:v>EAT</c:v>
                </c:pt>
              </c:strCache>
            </c:strRef>
          </c:tx>
          <c:cat>
            <c:numRef>
              <c:f>'základní a poměrové ukazatele'!$B$15:$E$15</c:f>
              <c:numCache>
                <c:formatCode>General</c:formatCode>
                <c:ptCount val="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</c:numCache>
            </c:numRef>
          </c:cat>
          <c:val>
            <c:numRef>
              <c:f>'základní a poměrové ukazatele'!$B$17:$E$17</c:f>
              <c:numCache>
                <c:formatCode>_-* #,##0\ _K_č_-;\-* #,##0\ _K_č_-;_-* "-"??\ _K_č_-;_-@_-</c:formatCode>
                <c:ptCount val="4"/>
                <c:pt idx="0">
                  <c:v>175640</c:v>
                </c:pt>
                <c:pt idx="1">
                  <c:v>132370</c:v>
                </c:pt>
                <c:pt idx="2">
                  <c:v>110518</c:v>
                </c:pt>
                <c:pt idx="3">
                  <c:v>80299</c:v>
                </c:pt>
              </c:numCache>
            </c:numRef>
          </c:val>
        </c:ser>
        <c:ser>
          <c:idx val="2"/>
          <c:order val="2"/>
          <c:tx>
            <c:strRef>
              <c:f>'základní a poměrové ukazatele'!$A$18</c:f>
              <c:strCache>
                <c:ptCount val="1"/>
                <c:pt idx="0">
                  <c:v>EBT</c:v>
                </c:pt>
              </c:strCache>
            </c:strRef>
          </c:tx>
          <c:cat>
            <c:numRef>
              <c:f>'základní a poměrové ukazatele'!$B$15:$E$15</c:f>
              <c:numCache>
                <c:formatCode>General</c:formatCode>
                <c:ptCount val="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</c:numCache>
            </c:numRef>
          </c:cat>
          <c:val>
            <c:numRef>
              <c:f>'základní a poměrové ukazatele'!$B$18:$E$18</c:f>
              <c:numCache>
                <c:formatCode>_-* #,##0\ _K_č_-;\-* #,##0\ _K_č_-;_-* "-"??\ _K_č_-;_-@_-</c:formatCode>
                <c:ptCount val="4"/>
                <c:pt idx="0">
                  <c:v>220868</c:v>
                </c:pt>
                <c:pt idx="1">
                  <c:v>166769</c:v>
                </c:pt>
                <c:pt idx="2">
                  <c:v>141462</c:v>
                </c:pt>
                <c:pt idx="3">
                  <c:v>102400</c:v>
                </c:pt>
              </c:numCache>
            </c:numRef>
          </c:val>
        </c:ser>
        <c:shape val="cylinder"/>
        <c:axId val="106878464"/>
        <c:axId val="106880000"/>
        <c:axId val="0"/>
      </c:bar3DChart>
      <c:catAx>
        <c:axId val="106878464"/>
        <c:scaling>
          <c:orientation val="minMax"/>
        </c:scaling>
        <c:axPos val="b"/>
        <c:numFmt formatCode="General" sourceLinked="1"/>
        <c:tickLblPos val="nextTo"/>
        <c:crossAx val="106880000"/>
        <c:crosses val="autoZero"/>
        <c:auto val="1"/>
        <c:lblAlgn val="ctr"/>
        <c:lblOffset val="100"/>
      </c:catAx>
      <c:valAx>
        <c:axId val="106880000"/>
        <c:scaling>
          <c:orientation val="minMax"/>
        </c:scaling>
        <c:axPos val="l"/>
        <c:majorGridlines/>
        <c:numFmt formatCode="_-* #,##0\ _K_č_-;\-* #,##0\ _K_č_-;_-* &quot;-&quot;??\ _K_č_-;_-@_-" sourceLinked="1"/>
        <c:tickLblPos val="nextTo"/>
        <c:crossAx val="1068784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Vývoj ukazatelů rentability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'základní a poměrové ukazatele'!$A$21</c:f>
              <c:strCache>
                <c:ptCount val="1"/>
                <c:pt idx="0">
                  <c:v>ROA</c:v>
                </c:pt>
              </c:strCache>
            </c:strRef>
          </c:tx>
          <c:cat>
            <c:numRef>
              <c:f>'základní a poměrové ukazatele'!$B$20:$E$20</c:f>
              <c:numCache>
                <c:formatCode>General</c:formatCode>
                <c:ptCount val="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</c:numCache>
            </c:numRef>
          </c:cat>
          <c:val>
            <c:numRef>
              <c:f>'základní a poměrové ukazatele'!$B$21:$E$21</c:f>
              <c:numCache>
                <c:formatCode>0.00%</c:formatCode>
                <c:ptCount val="4"/>
                <c:pt idx="0">
                  <c:v>0.12471391943768281</c:v>
                </c:pt>
                <c:pt idx="1">
                  <c:v>0.11553665407949949</c:v>
                </c:pt>
                <c:pt idx="2">
                  <c:v>0.10873953211785334</c:v>
                </c:pt>
                <c:pt idx="3">
                  <c:v>9.5414919909826049E-2</c:v>
                </c:pt>
              </c:numCache>
            </c:numRef>
          </c:val>
        </c:ser>
        <c:ser>
          <c:idx val="1"/>
          <c:order val="1"/>
          <c:tx>
            <c:strRef>
              <c:f>'základní a poměrové ukazatele'!$A$22</c:f>
              <c:strCache>
                <c:ptCount val="1"/>
                <c:pt idx="0">
                  <c:v>ROE</c:v>
                </c:pt>
              </c:strCache>
            </c:strRef>
          </c:tx>
          <c:cat>
            <c:numRef>
              <c:f>'základní a poměrové ukazatele'!$B$20:$E$20</c:f>
              <c:numCache>
                <c:formatCode>General</c:formatCode>
                <c:ptCount val="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</c:numCache>
            </c:numRef>
          </c:cat>
          <c:val>
            <c:numRef>
              <c:f>'základní a poměrové ukazatele'!$B$22:$E$22</c:f>
              <c:numCache>
                <c:formatCode>0.00%</c:formatCode>
                <c:ptCount val="4"/>
                <c:pt idx="0">
                  <c:v>0.17716861077375598</c:v>
                </c:pt>
                <c:pt idx="1">
                  <c:v>0.1622718301398747</c:v>
                </c:pt>
                <c:pt idx="2">
                  <c:v>0.16172734722547413</c:v>
                </c:pt>
                <c:pt idx="3">
                  <c:v>0.14017725748421458</c:v>
                </c:pt>
              </c:numCache>
            </c:numRef>
          </c:val>
        </c:ser>
        <c:ser>
          <c:idx val="2"/>
          <c:order val="2"/>
          <c:tx>
            <c:strRef>
              <c:f>'základní a poměrové ukazatele'!$A$23</c:f>
              <c:strCache>
                <c:ptCount val="1"/>
                <c:pt idx="0">
                  <c:v>ROS</c:v>
                </c:pt>
              </c:strCache>
            </c:strRef>
          </c:tx>
          <c:cat>
            <c:numRef>
              <c:f>'základní a poměrové ukazatele'!$B$20:$E$20</c:f>
              <c:numCache>
                <c:formatCode>General</c:formatCode>
                <c:ptCount val="4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</c:numCache>
            </c:numRef>
          </c:cat>
          <c:val>
            <c:numRef>
              <c:f>'základní a poměrové ukazatele'!$B$23:$E$23</c:f>
              <c:numCache>
                <c:formatCode>0.00%</c:formatCode>
                <c:ptCount val="4"/>
                <c:pt idx="0">
                  <c:v>4.5167508607131139E-2</c:v>
                </c:pt>
                <c:pt idx="1">
                  <c:v>4.1349111198715011E-2</c:v>
                </c:pt>
                <c:pt idx="2">
                  <c:v>3.9013985912773289E-2</c:v>
                </c:pt>
                <c:pt idx="3">
                  <c:v>3.2239686383842538E-2</c:v>
                </c:pt>
              </c:numCache>
            </c:numRef>
          </c:val>
        </c:ser>
        <c:axId val="106927232"/>
        <c:axId val="106928768"/>
      </c:barChart>
      <c:dateAx>
        <c:axId val="106927232"/>
        <c:scaling>
          <c:orientation val="minMax"/>
        </c:scaling>
        <c:axPos val="b"/>
        <c:numFmt formatCode="General" sourceLinked="1"/>
        <c:tickLblPos val="nextTo"/>
        <c:crossAx val="106928768"/>
        <c:crosses val="autoZero"/>
        <c:lblOffset val="80"/>
        <c:baseTimeUnit val="days"/>
      </c:dateAx>
      <c:valAx>
        <c:axId val="106928768"/>
        <c:scaling>
          <c:orientation val="minMax"/>
        </c:scaling>
        <c:axPos val="l"/>
        <c:majorGridlines/>
        <c:numFmt formatCode="0.00%" sourceLinked="1"/>
        <c:tickLblPos val="nextTo"/>
        <c:crossAx val="10692723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214312</xdr:colOff>
      <xdr:row>3</xdr:row>
      <xdr:rowOff>142876</xdr:rowOff>
    </xdr:from>
    <xdr:to>
      <xdr:col>22</xdr:col>
      <xdr:colOff>178594</xdr:colOff>
      <xdr:row>25</xdr:row>
      <xdr:rowOff>95251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230187</xdr:colOff>
      <xdr:row>27</xdr:row>
      <xdr:rowOff>103188</xdr:rowOff>
    </xdr:from>
    <xdr:to>
      <xdr:col>22</xdr:col>
      <xdr:colOff>194469</xdr:colOff>
      <xdr:row>48</xdr:row>
      <xdr:rowOff>55562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190500</xdr:colOff>
      <xdr:row>1</xdr:row>
      <xdr:rowOff>33620</xdr:rowOff>
    </xdr:from>
    <xdr:to>
      <xdr:col>24</xdr:col>
      <xdr:colOff>201705</xdr:colOff>
      <xdr:row>15</xdr:row>
      <xdr:rowOff>134471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11206</xdr:rowOff>
    </xdr:from>
    <xdr:to>
      <xdr:col>17</xdr:col>
      <xdr:colOff>22412</xdr:colOff>
      <xdr:row>12</xdr:row>
      <xdr:rowOff>56029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33618</xdr:colOff>
      <xdr:row>0</xdr:row>
      <xdr:rowOff>11207</xdr:rowOff>
    </xdr:from>
    <xdr:to>
      <xdr:col>24</xdr:col>
      <xdr:colOff>593912</xdr:colOff>
      <xdr:row>12</xdr:row>
      <xdr:rowOff>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508001</xdr:colOff>
      <xdr:row>19</xdr:row>
      <xdr:rowOff>23812</xdr:rowOff>
    </xdr:from>
    <xdr:to>
      <xdr:col>10</xdr:col>
      <xdr:colOff>595313</xdr:colOff>
      <xdr:row>34</xdr:row>
      <xdr:rowOff>15875</xdr:rowOff>
    </xdr:to>
    <xdr:graphicFrame macro="">
      <xdr:nvGraphicFramePr>
        <xdr:cNvPr id="6" name="Vývoj ukazatelů rentability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0.83168</cdr:x>
      <cdr:y>0.11058</cdr:y>
    </cdr:from>
    <cdr:to>
      <cdr:x>0.99505</cdr:x>
      <cdr:y>0.28846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765177" y="257735"/>
          <a:ext cx="739588" cy="414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AF61"/>
  <sheetViews>
    <sheetView tabSelected="1" zoomScale="80" zoomScaleNormal="80" workbookViewId="0">
      <pane xSplit="2" ySplit="3" topLeftCell="C4" activePane="bottomRight" state="frozen"/>
      <selection activeCell="C17" sqref="C17"/>
      <selection pane="topRight" activeCell="C17" sqref="C17"/>
      <selection pane="bottomLeft" activeCell="C17" sqref="C17"/>
      <selection pane="bottomRight"/>
    </sheetView>
  </sheetViews>
  <sheetFormatPr defaultColWidth="9.1796875" defaultRowHeight="12" outlineLevelCol="1"/>
  <cols>
    <col min="1" max="1" width="6.54296875" style="24" customWidth="1"/>
    <col min="2" max="2" width="45.81640625" style="24" bestFit="1" customWidth="1"/>
    <col min="3" max="6" width="11.1796875" style="24" customWidth="1" outlineLevel="1"/>
    <col min="7" max="7" width="3" style="24" customWidth="1"/>
    <col min="8" max="10" width="9.81640625" style="24" customWidth="1" outlineLevel="1"/>
    <col min="11" max="11" width="3" style="24" customWidth="1"/>
    <col min="12" max="15" width="7.81640625" style="24" customWidth="1" outlineLevel="1"/>
    <col min="16" max="16" width="14.453125" style="24" customWidth="1"/>
    <col min="17" max="16384" width="9.1796875" style="24"/>
  </cols>
  <sheetData>
    <row r="1" spans="1:32" ht="12.5" thickBot="1">
      <c r="A1" s="8"/>
      <c r="B1" s="8"/>
      <c r="C1" s="8"/>
      <c r="D1" s="8"/>
      <c r="E1" s="8"/>
      <c r="F1" s="8"/>
      <c r="H1" s="17"/>
      <c r="I1" s="17"/>
      <c r="J1" s="17"/>
      <c r="L1" s="17"/>
      <c r="M1" s="17"/>
      <c r="N1" s="17"/>
      <c r="O1" s="17"/>
    </row>
    <row r="2" spans="1:32" ht="12.5" thickBot="1">
      <c r="A2" s="130" t="s">
        <v>0</v>
      </c>
      <c r="B2" s="131"/>
      <c r="C2" s="132"/>
      <c r="D2" s="132"/>
      <c r="E2" s="132"/>
      <c r="F2" s="207"/>
      <c r="G2" s="32"/>
      <c r="H2" s="148" t="s">
        <v>91</v>
      </c>
      <c r="I2" s="149"/>
      <c r="J2" s="149"/>
      <c r="L2" s="148" t="s">
        <v>92</v>
      </c>
      <c r="M2" s="148"/>
      <c r="N2" s="148"/>
      <c r="O2" s="148"/>
    </row>
    <row r="3" spans="1:32" s="26" customFormat="1">
      <c r="A3" s="208"/>
      <c r="B3" s="209"/>
      <c r="C3" s="206">
        <v>42369</v>
      </c>
      <c r="D3" s="133">
        <v>42004</v>
      </c>
      <c r="E3" s="134">
        <v>41639</v>
      </c>
      <c r="F3" s="134">
        <v>41274</v>
      </c>
      <c r="G3" s="25"/>
      <c r="H3" s="150" t="str">
        <f>YEAR(C3)&amp;"/"&amp;YEAR(D3)</f>
        <v>2015/2014</v>
      </c>
      <c r="I3" s="150" t="str">
        <f>YEAR(D3)&amp;"/"&amp;YEAR(E3)</f>
        <v>2014/2013</v>
      </c>
      <c r="J3" s="150" t="str">
        <f>YEAR(E3)&amp;"/"&amp;YEAR(F3)</f>
        <v>2013/2012</v>
      </c>
      <c r="L3" s="150">
        <v>2015</v>
      </c>
      <c r="M3" s="150">
        <v>2014</v>
      </c>
      <c r="N3" s="150">
        <v>2013</v>
      </c>
      <c r="O3" s="150">
        <v>2012</v>
      </c>
      <c r="P3" s="24"/>
    </row>
    <row r="4" spans="1:32">
      <c r="A4" s="9"/>
      <c r="B4" s="12" t="s">
        <v>2</v>
      </c>
      <c r="C4" s="10">
        <v>1772665</v>
      </c>
      <c r="D4" s="10">
        <v>1447506</v>
      </c>
      <c r="E4" s="10">
        <v>1304944</v>
      </c>
      <c r="F4" s="10">
        <v>1077473</v>
      </c>
      <c r="G4" s="27"/>
      <c r="H4" s="45">
        <f>IFERROR(BS!C4/BS!D4-1,0)</f>
        <v>0.2246339566122697</v>
      </c>
      <c r="I4" s="45">
        <f>IFERROR(BS!D4/BS!E4-1,0)</f>
        <v>0.10924759989700705</v>
      </c>
      <c r="J4" s="45">
        <f>IFERROR(E4/F4-1,0)</f>
        <v>0.2111152669254821</v>
      </c>
      <c r="K4" s="28"/>
      <c r="L4" s="45">
        <f>C4/C$4</f>
        <v>1</v>
      </c>
      <c r="M4" s="45">
        <f t="shared" ref="M4:O20" si="0">D4/D$4</f>
        <v>1</v>
      </c>
      <c r="N4" s="45">
        <f t="shared" si="0"/>
        <v>1</v>
      </c>
      <c r="O4" s="45">
        <f t="shared" si="0"/>
        <v>1</v>
      </c>
    </row>
    <row r="5" spans="1:32">
      <c r="A5" s="11" t="s">
        <v>109</v>
      </c>
      <c r="B5" s="12" t="s">
        <v>3</v>
      </c>
      <c r="C5" s="10">
        <v>93909</v>
      </c>
      <c r="D5" s="10">
        <v>91193</v>
      </c>
      <c r="E5" s="10">
        <v>87973</v>
      </c>
      <c r="F5" s="10">
        <v>82125</v>
      </c>
      <c r="G5" s="27"/>
      <c r="H5" s="45">
        <f>IFERROR(BS!C5/BS!D5-1,0)</f>
        <v>2.978298772932142E-2</v>
      </c>
      <c r="I5" s="45">
        <f>IFERROR(BS!D5/BS!E5-1,0)</f>
        <v>3.660213929273759E-2</v>
      </c>
      <c r="J5" s="45">
        <f t="shared" ref="J5:J52" si="1">IFERROR(E5/F5-1,0)</f>
        <v>7.1208523592085182E-2</v>
      </c>
      <c r="K5" s="28"/>
      <c r="L5" s="45">
        <f t="shared" ref="L5:L30" si="2">C5/C$4</f>
        <v>5.2976168650026939E-2</v>
      </c>
      <c r="M5" s="45">
        <f t="shared" si="0"/>
        <v>6.300008428289762E-2</v>
      </c>
      <c r="N5" s="45">
        <f t="shared" si="0"/>
        <v>6.7415153447197729E-2</v>
      </c>
      <c r="O5" s="45">
        <f t="shared" si="0"/>
        <v>7.6220007369094164E-2</v>
      </c>
    </row>
    <row r="6" spans="1:32" s="30" customFormat="1">
      <c r="A6" s="13" t="s">
        <v>110</v>
      </c>
      <c r="B6" s="14" t="s">
        <v>4</v>
      </c>
      <c r="C6" s="15">
        <v>26516</v>
      </c>
      <c r="D6" s="15">
        <v>29805</v>
      </c>
      <c r="E6" s="15">
        <v>28661</v>
      </c>
      <c r="F6" s="15">
        <v>26079</v>
      </c>
      <c r="G6" s="29"/>
      <c r="H6" s="46">
        <f>IFERROR(BS!C6/BS!D6-1,0)</f>
        <v>-0.11035061231337029</v>
      </c>
      <c r="I6" s="46">
        <f>IFERROR(BS!D6/BS!E6-1,0)</f>
        <v>3.9914866892292622E-2</v>
      </c>
      <c r="J6" s="46">
        <f t="shared" si="1"/>
        <v>9.9006863760113584E-2</v>
      </c>
      <c r="K6" s="29"/>
      <c r="L6" s="46">
        <f t="shared" si="2"/>
        <v>1.4958269046887032E-2</v>
      </c>
      <c r="M6" s="46">
        <f t="shared" si="0"/>
        <v>2.0590588225541034E-2</v>
      </c>
      <c r="N6" s="46">
        <f t="shared" si="0"/>
        <v>2.1963394597775843E-2</v>
      </c>
      <c r="O6" s="46">
        <f t="shared" si="0"/>
        <v>2.4203854760165684E-2</v>
      </c>
    </row>
    <row r="7" spans="1:32">
      <c r="A7" s="16" t="s">
        <v>111</v>
      </c>
      <c r="B7" s="17" t="s">
        <v>5</v>
      </c>
      <c r="C7" s="18">
        <v>26516</v>
      </c>
      <c r="D7" s="18">
        <v>29805</v>
      </c>
      <c r="E7" s="18">
        <v>28661</v>
      </c>
      <c r="F7" s="18">
        <v>26079</v>
      </c>
      <c r="G7" s="28"/>
      <c r="H7" s="47">
        <f>IFERROR(BS!C7/BS!D7-1,0)</f>
        <v>-0.11035061231337029</v>
      </c>
      <c r="I7" s="47">
        <f>IFERROR(BS!D7/BS!E7-1,0)</f>
        <v>3.9914866892292622E-2</v>
      </c>
      <c r="J7" s="47">
        <f t="shared" si="1"/>
        <v>9.9006863760113584E-2</v>
      </c>
      <c r="K7" s="28"/>
      <c r="L7" s="47">
        <f t="shared" si="2"/>
        <v>1.4958269046887032E-2</v>
      </c>
      <c r="M7" s="47">
        <f t="shared" si="0"/>
        <v>2.0590588225541034E-2</v>
      </c>
      <c r="N7" s="47">
        <f t="shared" si="0"/>
        <v>2.1963394597775843E-2</v>
      </c>
      <c r="O7" s="47">
        <f t="shared" si="0"/>
        <v>2.4203854760165684E-2</v>
      </c>
    </row>
    <row r="8" spans="1:32" s="30" customFormat="1">
      <c r="A8" s="13" t="s">
        <v>112</v>
      </c>
      <c r="B8" s="14" t="s">
        <v>6</v>
      </c>
      <c r="C8" s="15">
        <v>67393</v>
      </c>
      <c r="D8" s="15">
        <v>61388</v>
      </c>
      <c r="E8" s="15">
        <v>59312</v>
      </c>
      <c r="F8" s="15">
        <v>56046</v>
      </c>
      <c r="G8" s="29"/>
      <c r="H8" s="46">
        <f>IFERROR(BS!C8/BS!D8-1,0)</f>
        <v>9.7820420929171759E-2</v>
      </c>
      <c r="I8" s="46">
        <f>IFERROR(BS!D8/BS!E8-1,0)</f>
        <v>3.5001348799568399E-2</v>
      </c>
      <c r="J8" s="46">
        <f t="shared" si="1"/>
        <v>5.8273561003461483E-2</v>
      </c>
      <c r="K8" s="29"/>
      <c r="L8" s="46">
        <f t="shared" si="2"/>
        <v>3.8017899603139907E-2</v>
      </c>
      <c r="M8" s="46">
        <f t="shared" si="0"/>
        <v>4.2409496057356583E-2</v>
      </c>
      <c r="N8" s="46">
        <f t="shared" si="0"/>
        <v>4.5451758849421889E-2</v>
      </c>
      <c r="O8" s="46">
        <f t="shared" si="0"/>
        <v>5.2016152608928487E-2</v>
      </c>
    </row>
    <row r="9" spans="1:32">
      <c r="A9" s="16" t="s">
        <v>113</v>
      </c>
      <c r="B9" s="17" t="s">
        <v>7</v>
      </c>
      <c r="C9" s="18">
        <v>446</v>
      </c>
      <c r="D9" s="18">
        <v>550</v>
      </c>
      <c r="E9" s="18">
        <v>673</v>
      </c>
      <c r="F9" s="18">
        <v>795</v>
      </c>
      <c r="G9" s="28"/>
      <c r="H9" s="47">
        <f>IFERROR(BS!C9/BS!D9-1,0)</f>
        <v>-0.18909090909090909</v>
      </c>
      <c r="I9" s="47">
        <f>IFERROR(BS!D9/BS!E9-1,0)</f>
        <v>-0.18276374442793464</v>
      </c>
      <c r="J9" s="47">
        <f t="shared" si="1"/>
        <v>-0.15345911949685531</v>
      </c>
      <c r="K9" s="28"/>
      <c r="L9" s="47">
        <f t="shared" si="2"/>
        <v>2.5159858179633492E-4</v>
      </c>
      <c r="M9" s="47">
        <f t="shared" si="0"/>
        <v>3.7996388270584026E-4</v>
      </c>
      <c r="N9" s="47">
        <f t="shared" si="0"/>
        <v>5.1573094324354148E-4</v>
      </c>
      <c r="O9" s="47">
        <f t="shared" si="0"/>
        <v>7.3783751425789785E-4</v>
      </c>
    </row>
    <row r="10" spans="1:32">
      <c r="A10" s="16" t="s">
        <v>114</v>
      </c>
      <c r="B10" s="17" t="s">
        <v>8</v>
      </c>
      <c r="C10" s="18">
        <v>66939</v>
      </c>
      <c r="D10" s="18">
        <v>60808</v>
      </c>
      <c r="E10" s="18">
        <v>58585</v>
      </c>
      <c r="F10" s="18">
        <v>55174</v>
      </c>
      <c r="G10" s="28"/>
      <c r="H10" s="47">
        <f>IFERROR(BS!C10/BS!D10-1,0)</f>
        <v>0.10082554926983289</v>
      </c>
      <c r="I10" s="47">
        <f>IFERROR(BS!D10/BS!E10-1,0)</f>
        <v>3.7944866433387459E-2</v>
      </c>
      <c r="J10" s="47">
        <f t="shared" si="1"/>
        <v>6.1822597600319051E-2</v>
      </c>
      <c r="K10" s="28"/>
      <c r="L10" s="47">
        <f t="shared" si="2"/>
        <v>3.7761788042297899E-2</v>
      </c>
      <c r="M10" s="47">
        <f t="shared" si="0"/>
        <v>4.2008806871957696E-2</v>
      </c>
      <c r="N10" s="47">
        <f t="shared" si="0"/>
        <v>4.4894646820093427E-2</v>
      </c>
      <c r="O10" s="47">
        <f t="shared" si="0"/>
        <v>5.1206851587000321E-2</v>
      </c>
    </row>
    <row r="11" spans="1:32">
      <c r="A11" s="16" t="s">
        <v>115</v>
      </c>
      <c r="B11" s="17" t="s">
        <v>9</v>
      </c>
      <c r="C11" s="18">
        <v>8</v>
      </c>
      <c r="D11" s="18">
        <v>30</v>
      </c>
      <c r="E11" s="18">
        <v>54</v>
      </c>
      <c r="F11" s="18">
        <v>77</v>
      </c>
      <c r="G11" s="28"/>
      <c r="H11" s="47">
        <f>IFERROR(BS!C11/BS!D11-1,0)</f>
        <v>-0.73333333333333339</v>
      </c>
      <c r="I11" s="47">
        <f>IFERROR(BS!D11/BS!E11-1,0)</f>
        <v>-0.44444444444444442</v>
      </c>
      <c r="J11" s="47">
        <f t="shared" si="1"/>
        <v>-0.29870129870129869</v>
      </c>
      <c r="K11" s="28"/>
      <c r="L11" s="47">
        <f t="shared" si="2"/>
        <v>4.5129790456741687E-6</v>
      </c>
      <c r="M11" s="47">
        <f t="shared" si="0"/>
        <v>2.0725302693045832E-5</v>
      </c>
      <c r="N11" s="47">
        <f t="shared" si="0"/>
        <v>4.1381086084920119E-5</v>
      </c>
      <c r="O11" s="47">
        <f t="shared" si="0"/>
        <v>7.1463507670261803E-5</v>
      </c>
    </row>
    <row r="12" spans="1:32">
      <c r="A12" s="11" t="s">
        <v>108</v>
      </c>
      <c r="B12" s="12" t="s">
        <v>10</v>
      </c>
      <c r="C12" s="10">
        <v>1663983</v>
      </c>
      <c r="D12" s="10">
        <v>1344222</v>
      </c>
      <c r="E12" s="10">
        <v>1205781</v>
      </c>
      <c r="F12" s="10">
        <v>985435</v>
      </c>
      <c r="G12" s="27"/>
      <c r="H12" s="45">
        <f>IFERROR(BS!C12/BS!D12-1,0)</f>
        <v>0.23787811834652306</v>
      </c>
      <c r="I12" s="45">
        <f>IFERROR(BS!D12/BS!E12-1,0)</f>
        <v>0.11481438171608271</v>
      </c>
      <c r="J12" s="45">
        <f t="shared" si="1"/>
        <v>0.22360277440927101</v>
      </c>
      <c r="K12" s="28"/>
      <c r="L12" s="45">
        <f t="shared" si="2"/>
        <v>0.93869005141975503</v>
      </c>
      <c r="M12" s="45">
        <f t="shared" si="0"/>
        <v>0.92864692788838177</v>
      </c>
      <c r="N12" s="45">
        <f t="shared" si="0"/>
        <v>0.92400976593631601</v>
      </c>
      <c r="O12" s="45">
        <f t="shared" si="0"/>
        <v>0.91457976209148628</v>
      </c>
    </row>
    <row r="13" spans="1:32" s="30" customFormat="1">
      <c r="A13" s="13" t="s">
        <v>116</v>
      </c>
      <c r="B13" s="14" t="s">
        <v>11</v>
      </c>
      <c r="C13" s="15">
        <v>761525</v>
      </c>
      <c r="D13" s="15">
        <v>592824</v>
      </c>
      <c r="E13" s="15">
        <v>540760</v>
      </c>
      <c r="F13" s="15">
        <v>498941</v>
      </c>
      <c r="G13" s="29"/>
      <c r="H13" s="46">
        <f>IFERROR(BS!C13/BS!D13-1,0)</f>
        <v>0.28457181220733307</v>
      </c>
      <c r="I13" s="46">
        <f>IFERROR(BS!D13/BS!E13-1,0)</f>
        <v>9.6279310599896473E-2</v>
      </c>
      <c r="J13" s="46">
        <f t="shared" si="1"/>
        <v>8.3815521274058558E-2</v>
      </c>
      <c r="K13" s="29"/>
      <c r="L13" s="46">
        <f t="shared" si="2"/>
        <v>0.42959329596962764</v>
      </c>
      <c r="M13" s="46">
        <f t="shared" si="0"/>
        <v>0.40954856145674007</v>
      </c>
      <c r="N13" s="46">
        <f t="shared" si="0"/>
        <v>0.41439326132002602</v>
      </c>
      <c r="O13" s="46">
        <f t="shared" si="0"/>
        <v>0.46306589585075447</v>
      </c>
    </row>
    <row r="14" spans="1:32">
      <c r="A14" s="16" t="s">
        <v>117</v>
      </c>
      <c r="B14" s="117" t="s">
        <v>12</v>
      </c>
      <c r="C14" s="120">
        <v>761525</v>
      </c>
      <c r="D14" s="18">
        <v>592824</v>
      </c>
      <c r="E14" s="18">
        <v>540760</v>
      </c>
      <c r="F14" s="18">
        <v>498941</v>
      </c>
      <c r="G14" s="28"/>
      <c r="H14" s="116">
        <f>IFERROR(BS!C14/BS!D14-1,0)</f>
        <v>0.28457181220733307</v>
      </c>
      <c r="I14" s="47">
        <f>IFERROR(BS!D14/BS!E14-1,0)</f>
        <v>9.6279310599896473E-2</v>
      </c>
      <c r="J14" s="47">
        <f t="shared" si="1"/>
        <v>8.3815521274058558E-2</v>
      </c>
      <c r="K14" s="28"/>
      <c r="L14" s="47">
        <f t="shared" si="2"/>
        <v>0.42959329596962764</v>
      </c>
      <c r="M14" s="47">
        <f t="shared" si="0"/>
        <v>0.40954856145674007</v>
      </c>
      <c r="N14" s="47">
        <f t="shared" si="0"/>
        <v>0.41439326132002602</v>
      </c>
      <c r="O14" s="47">
        <f t="shared" si="0"/>
        <v>0.46306589585075447</v>
      </c>
    </row>
    <row r="15" spans="1:32" s="30" customFormat="1">
      <c r="A15" s="13" t="s">
        <v>118</v>
      </c>
      <c r="B15" s="14" t="s">
        <v>13</v>
      </c>
      <c r="C15" s="15">
        <v>17453</v>
      </c>
      <c r="D15" s="15">
        <v>1657</v>
      </c>
      <c r="E15" s="15">
        <v>1237</v>
      </c>
      <c r="F15" s="15">
        <v>1129</v>
      </c>
      <c r="G15" s="29"/>
      <c r="H15" s="46">
        <f>IFERROR(BS!C15/BS!D15-1,0)</f>
        <v>9.5328907664453837</v>
      </c>
      <c r="I15" s="46">
        <f>IFERROR(BS!D15/BS!E15-1,0)</f>
        <v>0.33953112368633787</v>
      </c>
      <c r="J15" s="46">
        <f t="shared" si="1"/>
        <v>9.5659875996457089E-2</v>
      </c>
      <c r="K15" s="29"/>
      <c r="L15" s="46">
        <f t="shared" si="2"/>
        <v>9.8456279105189077E-3</v>
      </c>
      <c r="M15" s="46">
        <f t="shared" si="0"/>
        <v>1.1447275520792314E-3</v>
      </c>
      <c r="N15" s="46">
        <f t="shared" si="0"/>
        <v>9.4793339790826274E-4</v>
      </c>
      <c r="O15" s="46">
        <f t="shared" si="0"/>
        <v>1.047822079996436E-3</v>
      </c>
      <c r="AC15" s="79"/>
      <c r="AD15" s="79"/>
      <c r="AE15" s="79"/>
      <c r="AF15" s="79"/>
    </row>
    <row r="16" spans="1:32" s="30" customFormat="1">
      <c r="A16" s="16" t="s">
        <v>326</v>
      </c>
      <c r="B16" s="17" t="s">
        <v>17</v>
      </c>
      <c r="C16" s="18">
        <v>15853</v>
      </c>
      <c r="D16" s="15">
        <v>0</v>
      </c>
      <c r="E16" s="15">
        <v>0</v>
      </c>
      <c r="F16" s="15">
        <v>0</v>
      </c>
      <c r="G16" s="29"/>
      <c r="H16" s="46">
        <f>IFERROR(BS!C16/BS!D16-1,0)</f>
        <v>0</v>
      </c>
      <c r="I16" s="46">
        <f>IFERROR(BS!D16/BS!E16-1,0)</f>
        <v>0</v>
      </c>
      <c r="J16" s="46">
        <f t="shared" ref="J16" si="3">IFERROR(E16/F16-1,0)</f>
        <v>0</v>
      </c>
      <c r="K16" s="29"/>
      <c r="L16" s="46">
        <f t="shared" ref="L16" si="4">C16/C$4</f>
        <v>8.9430321013840748E-3</v>
      </c>
      <c r="M16" s="46">
        <f t="shared" ref="M16" si="5">D16/D$4</f>
        <v>0</v>
      </c>
      <c r="N16" s="46">
        <f t="shared" ref="N16" si="6">E16/E$4</f>
        <v>0</v>
      </c>
      <c r="O16" s="46">
        <f t="shared" ref="O16" si="7">F16/F$4</f>
        <v>0</v>
      </c>
      <c r="AC16" s="79"/>
      <c r="AD16" s="79"/>
      <c r="AE16" s="79"/>
      <c r="AF16" s="79"/>
    </row>
    <row r="17" spans="1:32">
      <c r="A17" s="16" t="s">
        <v>119</v>
      </c>
      <c r="B17" s="17" t="s">
        <v>14</v>
      </c>
      <c r="C17" s="18">
        <v>162</v>
      </c>
      <c r="D17" s="18">
        <v>162</v>
      </c>
      <c r="E17" s="18">
        <v>162</v>
      </c>
      <c r="F17" s="18">
        <v>161</v>
      </c>
      <c r="G17" s="28"/>
      <c r="H17" s="47">
        <f>IFERROR(BS!C17/BS!D17-1,0)</f>
        <v>0</v>
      </c>
      <c r="I17" s="47">
        <f>IFERROR(BS!D17/BS!E17-1,0)</f>
        <v>0</v>
      </c>
      <c r="J17" s="47">
        <f t="shared" si="1"/>
        <v>6.2111801242235032E-3</v>
      </c>
      <c r="K17" s="28"/>
      <c r="L17" s="47">
        <f t="shared" si="2"/>
        <v>9.1387825674901915E-5</v>
      </c>
      <c r="M17" s="47">
        <f t="shared" si="0"/>
        <v>1.1191663454244749E-4</v>
      </c>
      <c r="N17" s="47">
        <f t="shared" si="0"/>
        <v>1.2414325825476036E-4</v>
      </c>
      <c r="O17" s="47">
        <f t="shared" si="0"/>
        <v>1.4942369785600197E-4</v>
      </c>
      <c r="AC17" s="80"/>
      <c r="AD17" s="80"/>
      <c r="AE17" s="80"/>
      <c r="AF17" s="80"/>
    </row>
    <row r="18" spans="1:32">
      <c r="A18" s="16" t="s">
        <v>120</v>
      </c>
      <c r="B18" s="17" t="s">
        <v>15</v>
      </c>
      <c r="C18" s="18">
        <v>1438</v>
      </c>
      <c r="D18" s="18">
        <v>1495</v>
      </c>
      <c r="E18" s="18">
        <v>1075</v>
      </c>
      <c r="F18" s="18">
        <v>968</v>
      </c>
      <c r="G18" s="28"/>
      <c r="H18" s="47">
        <f>IFERROR(BS!C18/BS!D18-1,0)</f>
        <v>-3.8127090301003363E-2</v>
      </c>
      <c r="I18" s="47">
        <f>IFERROR(BS!D18/BS!E18-1,0)</f>
        <v>0.39069767441860459</v>
      </c>
      <c r="J18" s="47">
        <f t="shared" si="1"/>
        <v>0.11053719008264462</v>
      </c>
      <c r="K18" s="28"/>
      <c r="L18" s="47">
        <f t="shared" si="2"/>
        <v>8.1120798345993175E-4</v>
      </c>
      <c r="M18" s="47">
        <f t="shared" si="0"/>
        <v>1.0328109175367839E-3</v>
      </c>
      <c r="N18" s="47">
        <f t="shared" si="0"/>
        <v>8.2379013965350233E-4</v>
      </c>
      <c r="O18" s="47">
        <f t="shared" si="0"/>
        <v>8.9839838214043411E-4</v>
      </c>
    </row>
    <row r="19" spans="1:32" s="30" customFormat="1">
      <c r="A19" s="13" t="s">
        <v>121</v>
      </c>
      <c r="B19" s="14" t="s">
        <v>16</v>
      </c>
      <c r="C19" s="15">
        <v>735880</v>
      </c>
      <c r="D19" s="15">
        <v>644775</v>
      </c>
      <c r="E19" s="15">
        <v>557133</v>
      </c>
      <c r="F19" s="15">
        <v>408116</v>
      </c>
      <c r="G19" s="29"/>
      <c r="H19" s="119">
        <f>IFERROR(BS!C19/BS!D19-1,0)</f>
        <v>0.14129735178938385</v>
      </c>
      <c r="I19" s="46">
        <f>IFERROR(BS!D19/BS!E19-1,0)</f>
        <v>0.15730893700427018</v>
      </c>
      <c r="J19" s="46">
        <f t="shared" si="1"/>
        <v>0.36513393250938453</v>
      </c>
      <c r="K19" s="29"/>
      <c r="L19" s="46">
        <f t="shared" si="2"/>
        <v>0.41512637751633841</v>
      </c>
      <c r="M19" s="46">
        <f t="shared" si="0"/>
        <v>0.44543856813028754</v>
      </c>
      <c r="N19" s="46">
        <f t="shared" si="0"/>
        <v>0.42694015988425554</v>
      </c>
      <c r="O19" s="46">
        <f t="shared" si="0"/>
        <v>0.37877144021242298</v>
      </c>
    </row>
    <row r="20" spans="1:32">
      <c r="A20" s="16" t="s">
        <v>122</v>
      </c>
      <c r="B20" s="17" t="s">
        <v>17</v>
      </c>
      <c r="C20" s="18">
        <v>494673</v>
      </c>
      <c r="D20" s="18">
        <v>436100</v>
      </c>
      <c r="E20" s="18">
        <v>365630</v>
      </c>
      <c r="F20" s="18">
        <v>320329</v>
      </c>
      <c r="G20" s="28"/>
      <c r="H20" s="47">
        <f>IFERROR(BS!C20/BS!D20-1,0)</f>
        <v>0.1343109378582894</v>
      </c>
      <c r="I20" s="47">
        <f>IFERROR(BS!D20/BS!E20-1,0)</f>
        <v>0.19273582583486037</v>
      </c>
      <c r="J20" s="47">
        <f t="shared" si="1"/>
        <v>0.14142022732877768</v>
      </c>
      <c r="K20" s="28"/>
      <c r="L20" s="47">
        <f t="shared" si="2"/>
        <v>0.27905611043259726</v>
      </c>
      <c r="M20" s="47">
        <f t="shared" si="0"/>
        <v>0.30127681681457624</v>
      </c>
      <c r="N20" s="47">
        <f t="shared" si="0"/>
        <v>0.28018826861535823</v>
      </c>
      <c r="O20" s="47">
        <f t="shared" si="0"/>
        <v>0.29729654478580902</v>
      </c>
    </row>
    <row r="21" spans="1:32">
      <c r="A21" s="16" t="s">
        <v>123</v>
      </c>
      <c r="B21" s="117" t="s">
        <v>18</v>
      </c>
      <c r="C21" s="120">
        <v>136931</v>
      </c>
      <c r="D21" s="18">
        <v>123008</v>
      </c>
      <c r="E21" s="18">
        <v>101472</v>
      </c>
      <c r="F21" s="18">
        <v>37710</v>
      </c>
      <c r="G21" s="28"/>
      <c r="H21" s="116">
        <f>IFERROR(BS!C21/BS!D21-1,0)</f>
        <v>0.11318776014568166</v>
      </c>
      <c r="I21" s="47">
        <f>IFERROR(BS!D21/BS!E21-1,0)</f>
        <v>0.21223588773257651</v>
      </c>
      <c r="J21" s="47">
        <f t="shared" si="1"/>
        <v>1.6908512330946697</v>
      </c>
      <c r="K21" s="28"/>
      <c r="L21" s="47">
        <f t="shared" si="2"/>
        <v>7.7245841712901192E-2</v>
      </c>
      <c r="M21" s="47">
        <f t="shared" ref="M21:M30" si="8">D21/D$4</f>
        <v>8.4979267788872728E-2</v>
      </c>
      <c r="N21" s="47">
        <f t="shared" ref="N21:N30" si="9">E21/E$4</f>
        <v>7.7759658652018782E-2</v>
      </c>
      <c r="O21" s="47">
        <f t="shared" ref="O21:O30" si="10">F21/F$4</f>
        <v>3.4998556808384061E-2</v>
      </c>
    </row>
    <row r="22" spans="1:32">
      <c r="A22" s="16" t="s">
        <v>124</v>
      </c>
      <c r="B22" s="17" t="s">
        <v>19</v>
      </c>
      <c r="C22" s="18">
        <v>537</v>
      </c>
      <c r="D22" s="18">
        <v>468</v>
      </c>
      <c r="E22" s="18">
        <v>441</v>
      </c>
      <c r="F22" s="18">
        <v>387</v>
      </c>
      <c r="G22" s="28"/>
      <c r="H22" s="47">
        <f>IFERROR(BS!C22/BS!D22-1,0)</f>
        <v>0.14743589743589736</v>
      </c>
      <c r="I22" s="47">
        <f>IFERROR(BS!D22/BS!E22-1,0)</f>
        <v>6.1224489795918435E-2</v>
      </c>
      <c r="J22" s="47">
        <f t="shared" si="1"/>
        <v>0.13953488372093026</v>
      </c>
      <c r="K22" s="28"/>
      <c r="L22" s="47">
        <f t="shared" si="2"/>
        <v>3.0293371844087859E-4</v>
      </c>
      <c r="M22" s="47">
        <f t="shared" si="8"/>
        <v>3.2331472201151498E-4</v>
      </c>
      <c r="N22" s="47">
        <f t="shared" si="9"/>
        <v>3.3794553636018096E-4</v>
      </c>
      <c r="O22" s="47">
        <f t="shared" si="10"/>
        <v>3.5917373335573141E-4</v>
      </c>
    </row>
    <row r="23" spans="1:32">
      <c r="A23" s="16" t="s">
        <v>125</v>
      </c>
      <c r="B23" s="17" t="s">
        <v>20</v>
      </c>
      <c r="C23" s="18">
        <v>7128</v>
      </c>
      <c r="D23" s="18">
        <v>8872</v>
      </c>
      <c r="E23" s="18">
        <v>9095</v>
      </c>
      <c r="F23" s="18">
        <v>8131</v>
      </c>
      <c r="G23" s="28"/>
      <c r="H23" s="47">
        <f>IFERROR(BS!C23/BS!D23-1,0)</f>
        <v>-0.19657348963029753</v>
      </c>
      <c r="I23" s="47">
        <f>IFERROR(BS!D23/BS!E23-1,0)</f>
        <v>-2.4518966465090664E-2</v>
      </c>
      <c r="J23" s="47">
        <f t="shared" si="1"/>
        <v>0.1185586028778749</v>
      </c>
      <c r="K23" s="28"/>
      <c r="L23" s="47">
        <f t="shared" si="2"/>
        <v>4.0210643296956844E-3</v>
      </c>
      <c r="M23" s="47">
        <f t="shared" si="8"/>
        <v>6.1291628497567542E-3</v>
      </c>
      <c r="N23" s="47">
        <f t="shared" si="9"/>
        <v>6.9696477396731203E-3</v>
      </c>
      <c r="O23" s="47">
        <f t="shared" si="10"/>
        <v>7.5463607904792049E-3</v>
      </c>
    </row>
    <row r="24" spans="1:32">
      <c r="A24" s="16" t="s">
        <v>126</v>
      </c>
      <c r="B24" s="17" t="s">
        <v>21</v>
      </c>
      <c r="C24" s="18">
        <v>96539</v>
      </c>
      <c r="D24" s="18">
        <v>76301</v>
      </c>
      <c r="E24" s="18">
        <v>80035</v>
      </c>
      <c r="F24" s="18">
        <v>41507</v>
      </c>
      <c r="G24" s="28"/>
      <c r="H24" s="47">
        <f>IFERROR(BS!C24/BS!D24-1,0)</f>
        <v>0.26523898769347709</v>
      </c>
      <c r="I24" s="47">
        <f>IFERROR(BS!D24/BS!E24-1,0)</f>
        <v>-4.6654588617479842E-2</v>
      </c>
      <c r="J24" s="47">
        <f t="shared" si="1"/>
        <v>0.92822897342616906</v>
      </c>
      <c r="K24" s="28"/>
      <c r="L24" s="47">
        <f t="shared" si="2"/>
        <v>5.4459810511292318E-2</v>
      </c>
      <c r="M24" s="47">
        <f t="shared" si="8"/>
        <v>5.2712044026069667E-2</v>
      </c>
      <c r="N24" s="47">
        <f t="shared" si="9"/>
        <v>6.1332133792714474E-2</v>
      </c>
      <c r="O24" s="47">
        <f t="shared" si="10"/>
        <v>3.8522543024279959E-2</v>
      </c>
    </row>
    <row r="25" spans="1:32">
      <c r="A25" s="16" t="s">
        <v>127</v>
      </c>
      <c r="B25" s="17" t="s">
        <v>22</v>
      </c>
      <c r="C25" s="18">
        <v>72</v>
      </c>
      <c r="D25" s="18">
        <v>26</v>
      </c>
      <c r="E25" s="18">
        <v>460</v>
      </c>
      <c r="F25" s="18">
        <v>52</v>
      </c>
      <c r="G25" s="28"/>
      <c r="H25" s="47">
        <f>IFERROR(BS!C25/BS!D25-1,0)</f>
        <v>1.7692307692307692</v>
      </c>
      <c r="I25" s="47">
        <f>IFERROR(BS!D25/BS!E25-1,0)</f>
        <v>-0.94347826086956521</v>
      </c>
      <c r="J25" s="47">
        <f t="shared" si="1"/>
        <v>7.8461538461538467</v>
      </c>
      <c r="K25" s="28"/>
      <c r="L25" s="47">
        <f t="shared" si="2"/>
        <v>4.0616811411067519E-5</v>
      </c>
      <c r="M25" s="47">
        <f t="shared" si="8"/>
        <v>1.7961929000639721E-5</v>
      </c>
      <c r="N25" s="47">
        <f t="shared" si="9"/>
        <v>3.5250554813080103E-4</v>
      </c>
      <c r="O25" s="47">
        <f t="shared" si="10"/>
        <v>4.8261070114982001E-5</v>
      </c>
    </row>
    <row r="26" spans="1:32" s="30" customFormat="1">
      <c r="A26" s="13" t="s">
        <v>128</v>
      </c>
      <c r="B26" s="118" t="s">
        <v>23</v>
      </c>
      <c r="C26" s="121">
        <v>149125</v>
      </c>
      <c r="D26" s="15">
        <v>104966</v>
      </c>
      <c r="E26" s="15">
        <v>106651</v>
      </c>
      <c r="F26" s="15">
        <v>77249</v>
      </c>
      <c r="G26" s="29"/>
      <c r="H26" s="119">
        <f>IFERROR(BS!C26/BS!D26-1,0)</f>
        <v>0.4206981308233142</v>
      </c>
      <c r="I26" s="46">
        <f>IFERROR(BS!D26/BS!E26-1,0)</f>
        <v>-1.5799195506840058E-2</v>
      </c>
      <c r="J26" s="46">
        <f t="shared" si="1"/>
        <v>0.38061334127302615</v>
      </c>
      <c r="K26" s="29"/>
      <c r="L26" s="46">
        <f t="shared" si="2"/>
        <v>8.4124750023270051E-2</v>
      </c>
      <c r="M26" s="46">
        <f t="shared" si="8"/>
        <v>7.2515070749274962E-2</v>
      </c>
      <c r="N26" s="46">
        <f t="shared" si="9"/>
        <v>8.1728411334126214E-2</v>
      </c>
      <c r="O26" s="46">
        <f t="shared" si="10"/>
        <v>7.1694603948312396E-2</v>
      </c>
    </row>
    <row r="27" spans="1:32">
      <c r="A27" s="16" t="s">
        <v>129</v>
      </c>
      <c r="B27" s="17" t="s">
        <v>24</v>
      </c>
      <c r="C27" s="18">
        <v>9070</v>
      </c>
      <c r="D27" s="18">
        <v>9942</v>
      </c>
      <c r="E27" s="18">
        <v>7099</v>
      </c>
      <c r="F27" s="18">
        <v>7005</v>
      </c>
      <c r="G27" s="28"/>
      <c r="H27" s="47">
        <f>IFERROR(BS!C27/BS!D27-1,0)</f>
        <v>-8.7708710521021915E-2</v>
      </c>
      <c r="I27" s="47">
        <f>IFERROR(BS!D27/BS!E27-1,0)</f>
        <v>0.40047894069587264</v>
      </c>
      <c r="J27" s="47">
        <f t="shared" si="1"/>
        <v>1.341898643825834E-2</v>
      </c>
      <c r="K27" s="28"/>
      <c r="L27" s="47">
        <f t="shared" si="2"/>
        <v>5.1165899930330884E-3</v>
      </c>
      <c r="M27" s="47">
        <f t="shared" si="8"/>
        <v>6.8683653124753889E-3</v>
      </c>
      <c r="N27" s="47">
        <f t="shared" si="9"/>
        <v>5.4400801873490355E-3</v>
      </c>
      <c r="O27" s="47">
        <f t="shared" si="10"/>
        <v>6.501323002989402E-3</v>
      </c>
    </row>
    <row r="28" spans="1:32">
      <c r="A28" s="16" t="s">
        <v>130</v>
      </c>
      <c r="B28" s="117" t="s">
        <v>25</v>
      </c>
      <c r="C28" s="120">
        <v>140055</v>
      </c>
      <c r="D28" s="18">
        <v>95024</v>
      </c>
      <c r="E28" s="18">
        <v>99552</v>
      </c>
      <c r="F28" s="18">
        <v>70244</v>
      </c>
      <c r="G28" s="28"/>
      <c r="H28" s="116">
        <f>IFERROR(BS!C28/BS!D28-1,0)</f>
        <v>0.47389080653308646</v>
      </c>
      <c r="I28" s="47">
        <f>IFERROR(BS!D28/BS!E28-1,0)</f>
        <v>-4.5483767277402776E-2</v>
      </c>
      <c r="J28" s="47">
        <f t="shared" si="1"/>
        <v>0.41723136495643764</v>
      </c>
      <c r="K28" s="28"/>
      <c r="L28" s="47">
        <f t="shared" si="2"/>
        <v>7.900816003023696E-2</v>
      </c>
      <c r="M28" s="47">
        <f t="shared" si="8"/>
        <v>6.5646705436799568E-2</v>
      </c>
      <c r="N28" s="47">
        <f t="shared" si="9"/>
        <v>7.6288331146777175E-2</v>
      </c>
      <c r="O28" s="47">
        <f t="shared" si="10"/>
        <v>6.5193280945322993E-2</v>
      </c>
    </row>
    <row r="29" spans="1:32">
      <c r="A29" s="11" t="s">
        <v>131</v>
      </c>
      <c r="B29" s="12" t="s">
        <v>26</v>
      </c>
      <c r="C29" s="18">
        <v>14763</v>
      </c>
      <c r="D29" s="18">
        <v>12091</v>
      </c>
      <c r="E29" s="18">
        <v>11190</v>
      </c>
      <c r="F29" s="18">
        <v>9913</v>
      </c>
      <c r="G29" s="28"/>
      <c r="H29" s="47">
        <f>IFERROR(BS!C29/BS!D29-1,0)</f>
        <v>0.22099081961789757</v>
      </c>
      <c r="I29" s="47">
        <f>IFERROR(BS!D29/BS!E29-1,0)</f>
        <v>8.0518319928507553E-2</v>
      </c>
      <c r="J29" s="47">
        <f>IFERROR(E29/F29-1,0)</f>
        <v>0.12882074044184399</v>
      </c>
      <c r="K29" s="28"/>
      <c r="L29" s="47">
        <f t="shared" si="2"/>
        <v>8.3281387064109685E-3</v>
      </c>
      <c r="M29" s="47">
        <f t="shared" si="8"/>
        <v>8.3529878287205723E-3</v>
      </c>
      <c r="N29" s="47">
        <f t="shared" si="9"/>
        <v>8.5750806164862255E-3</v>
      </c>
      <c r="O29" s="47">
        <f t="shared" si="10"/>
        <v>9.2002305394195492E-3</v>
      </c>
    </row>
    <row r="30" spans="1:32">
      <c r="A30" s="16" t="s">
        <v>132</v>
      </c>
      <c r="B30" s="17" t="s">
        <v>27</v>
      </c>
      <c r="C30" s="18">
        <v>14763</v>
      </c>
      <c r="D30" s="18">
        <v>12091</v>
      </c>
      <c r="E30" s="18">
        <v>11190</v>
      </c>
      <c r="F30" s="18">
        <v>9913</v>
      </c>
      <c r="G30" s="28"/>
      <c r="H30" s="47">
        <f>IFERROR(BS!C30/BS!D30-1,0)</f>
        <v>0.22099081961789757</v>
      </c>
      <c r="I30" s="47">
        <f>IFERROR(BS!D30/BS!E30-1,0)</f>
        <v>8.0518319928507553E-2</v>
      </c>
      <c r="J30" s="47">
        <f t="shared" si="1"/>
        <v>0.12882074044184399</v>
      </c>
      <c r="K30" s="28"/>
      <c r="L30" s="47">
        <f t="shared" si="2"/>
        <v>8.3281387064109685E-3</v>
      </c>
      <c r="M30" s="47">
        <f t="shared" si="8"/>
        <v>8.3529878287205723E-3</v>
      </c>
      <c r="N30" s="47">
        <f t="shared" si="9"/>
        <v>8.5750806164862255E-3</v>
      </c>
      <c r="O30" s="47">
        <f t="shared" si="10"/>
        <v>9.2002305394195492E-3</v>
      </c>
    </row>
    <row r="31" spans="1:32">
      <c r="A31" s="11"/>
      <c r="B31" s="12" t="s">
        <v>28</v>
      </c>
      <c r="C31" s="10">
        <v>1772665</v>
      </c>
      <c r="D31" s="10">
        <v>1447506</v>
      </c>
      <c r="E31" s="10">
        <v>1304944</v>
      </c>
      <c r="F31" s="10">
        <v>1077473</v>
      </c>
      <c r="G31" s="27"/>
      <c r="H31" s="45">
        <f>IFERROR(BS!C31/BS!D31-1,0)</f>
        <v>0.2246339566122697</v>
      </c>
      <c r="I31" s="45">
        <f>IFERROR(BS!D31/BS!E31-1,0)</f>
        <v>0.10924759989700705</v>
      </c>
      <c r="J31" s="45">
        <f t="shared" si="1"/>
        <v>0.2111152669254821</v>
      </c>
      <c r="K31" s="28"/>
      <c r="L31" s="45">
        <f>C31/C$31</f>
        <v>1</v>
      </c>
      <c r="M31" s="45">
        <f t="shared" ref="M31:O46" si="11">D31/D$31</f>
        <v>1</v>
      </c>
      <c r="N31" s="45">
        <f t="shared" si="11"/>
        <v>1</v>
      </c>
      <c r="O31" s="45">
        <f t="shared" si="11"/>
        <v>1</v>
      </c>
    </row>
    <row r="32" spans="1:32">
      <c r="A32" s="11" t="s">
        <v>133</v>
      </c>
      <c r="B32" s="12" t="s">
        <v>29</v>
      </c>
      <c r="C32" s="10">
        <v>991372</v>
      </c>
      <c r="D32" s="10">
        <v>815730</v>
      </c>
      <c r="E32" s="10">
        <v>683360</v>
      </c>
      <c r="F32" s="10">
        <v>572839</v>
      </c>
      <c r="G32" s="27"/>
      <c r="H32" s="45">
        <f>IFERROR(BS!C32/BS!D32-1,0)</f>
        <v>0.21531879420886813</v>
      </c>
      <c r="I32" s="45">
        <f>IFERROR(BS!D32/BS!E32-1,0)</f>
        <v>0.19370463591664722</v>
      </c>
      <c r="J32" s="45">
        <f t="shared" si="1"/>
        <v>0.19293553686114251</v>
      </c>
      <c r="K32" s="28"/>
      <c r="L32" s="45">
        <f t="shared" ref="L32:L52" si="12">C32/C$31</f>
        <v>0.55925513280851147</v>
      </c>
      <c r="M32" s="45">
        <f t="shared" si="11"/>
        <v>0.5635417055266092</v>
      </c>
      <c r="N32" s="45">
        <f t="shared" si="11"/>
        <v>0.52366998124057429</v>
      </c>
      <c r="O32" s="45">
        <f t="shared" si="11"/>
        <v>0.53165044506915715</v>
      </c>
    </row>
    <row r="33" spans="1:24" s="30" customFormat="1">
      <c r="A33" s="13" t="s">
        <v>134</v>
      </c>
      <c r="B33" s="14" t="s">
        <v>30</v>
      </c>
      <c r="C33" s="15">
        <v>18750</v>
      </c>
      <c r="D33" s="15">
        <v>18750</v>
      </c>
      <c r="E33" s="15">
        <v>18750</v>
      </c>
      <c r="F33" s="15">
        <v>18750</v>
      </c>
      <c r="G33" s="29"/>
      <c r="H33" s="46">
        <f>IFERROR(BS!C33/BS!D33-1,0)</f>
        <v>0</v>
      </c>
      <c r="I33" s="46">
        <f>IFERROR(BS!D33/BS!E33-1,0)</f>
        <v>0</v>
      </c>
      <c r="J33" s="46">
        <f t="shared" si="1"/>
        <v>0</v>
      </c>
      <c r="K33" s="29"/>
      <c r="L33" s="46">
        <f t="shared" si="12"/>
        <v>1.0577294638298833E-2</v>
      </c>
      <c r="M33" s="46">
        <f t="shared" si="11"/>
        <v>1.2953314183153646E-2</v>
      </c>
      <c r="N33" s="46">
        <f t="shared" si="11"/>
        <v>1.4368432668375042E-2</v>
      </c>
      <c r="O33" s="46">
        <f t="shared" si="11"/>
        <v>1.7401828166459854E-2</v>
      </c>
    </row>
    <row r="34" spans="1:24">
      <c r="A34" s="16" t="s">
        <v>135</v>
      </c>
      <c r="B34" s="17" t="s">
        <v>30</v>
      </c>
      <c r="C34" s="18">
        <v>18750</v>
      </c>
      <c r="D34" s="18">
        <v>18750</v>
      </c>
      <c r="E34" s="18">
        <v>18750</v>
      </c>
      <c r="F34" s="18">
        <v>18750</v>
      </c>
      <c r="G34" s="28"/>
      <c r="H34" s="47">
        <f>IFERROR(BS!C34/BS!D34-1,0)</f>
        <v>0</v>
      </c>
      <c r="I34" s="47">
        <f>IFERROR(BS!D34/BS!E34-1,0)</f>
        <v>0</v>
      </c>
      <c r="J34" s="47">
        <f t="shared" si="1"/>
        <v>0</v>
      </c>
      <c r="K34" s="28"/>
      <c r="L34" s="47">
        <f t="shared" si="12"/>
        <v>1.0577294638298833E-2</v>
      </c>
      <c r="M34" s="47">
        <f t="shared" si="11"/>
        <v>1.2953314183153646E-2</v>
      </c>
      <c r="N34" s="47">
        <f t="shared" si="11"/>
        <v>1.4368432668375042E-2</v>
      </c>
      <c r="O34" s="47">
        <f t="shared" si="11"/>
        <v>1.7401828166459854E-2</v>
      </c>
    </row>
    <row r="35" spans="1:24" s="30" customFormat="1">
      <c r="A35" s="13" t="s">
        <v>136</v>
      </c>
      <c r="B35" s="14" t="s">
        <v>31</v>
      </c>
      <c r="C35" s="15">
        <v>1875</v>
      </c>
      <c r="D35" s="15">
        <v>1875</v>
      </c>
      <c r="E35" s="15">
        <v>1875</v>
      </c>
      <c r="F35" s="15">
        <v>1875</v>
      </c>
      <c r="G35" s="29"/>
      <c r="H35" s="46">
        <f>IFERROR(BS!C35/BS!D35-1,0)</f>
        <v>0</v>
      </c>
      <c r="I35" s="46">
        <f>IFERROR(BS!D35/BS!E35-1,0)</f>
        <v>0</v>
      </c>
      <c r="J35" s="46">
        <f t="shared" si="1"/>
        <v>0</v>
      </c>
      <c r="K35" s="29"/>
      <c r="L35" s="46">
        <f t="shared" si="12"/>
        <v>1.0577294638298832E-3</v>
      </c>
      <c r="M35" s="46">
        <f t="shared" si="11"/>
        <v>1.2953314183153646E-3</v>
      </c>
      <c r="N35" s="46">
        <f t="shared" si="11"/>
        <v>1.4368432668375041E-3</v>
      </c>
      <c r="O35" s="46">
        <f t="shared" si="11"/>
        <v>1.7401828166459855E-3</v>
      </c>
    </row>
    <row r="36" spans="1:24">
      <c r="A36" s="16" t="s">
        <v>137</v>
      </c>
      <c r="B36" s="17" t="s">
        <v>32</v>
      </c>
      <c r="C36" s="18">
        <v>1875</v>
      </c>
      <c r="D36" s="18">
        <v>1875</v>
      </c>
      <c r="E36" s="18">
        <v>1875</v>
      </c>
      <c r="F36" s="18">
        <v>1875</v>
      </c>
      <c r="G36" s="28"/>
      <c r="H36" s="47">
        <f>IFERROR(BS!C36/BS!D36-1,0)</f>
        <v>0</v>
      </c>
      <c r="I36" s="47">
        <f>IFERROR(BS!D36/BS!E36-1,0)</f>
        <v>0</v>
      </c>
      <c r="J36" s="47">
        <f t="shared" si="1"/>
        <v>0</v>
      </c>
      <c r="K36" s="28"/>
      <c r="L36" s="47">
        <f t="shared" si="12"/>
        <v>1.0577294638298832E-3</v>
      </c>
      <c r="M36" s="47">
        <f t="shared" si="11"/>
        <v>1.2953314183153646E-3</v>
      </c>
      <c r="N36" s="47">
        <f t="shared" si="11"/>
        <v>1.4368432668375041E-3</v>
      </c>
      <c r="O36" s="47">
        <f t="shared" si="11"/>
        <v>1.7401828166459855E-3</v>
      </c>
      <c r="U36" s="53"/>
      <c r="V36" s="53"/>
      <c r="W36" s="53"/>
      <c r="X36" s="53"/>
    </row>
    <row r="37" spans="1:24" s="30" customFormat="1">
      <c r="A37" s="13" t="s">
        <v>138</v>
      </c>
      <c r="B37" s="14" t="s">
        <v>33</v>
      </c>
      <c r="C37" s="15">
        <v>795106</v>
      </c>
      <c r="D37" s="15">
        <v>662735</v>
      </c>
      <c r="E37" s="15">
        <v>552217</v>
      </c>
      <c r="F37" s="15">
        <v>471915</v>
      </c>
      <c r="G37" s="29"/>
      <c r="H37" s="46">
        <f>IFERROR(BS!C37/BS!D37-1,0)</f>
        <v>0.19973443382347389</v>
      </c>
      <c r="I37" s="46">
        <f>IFERROR(BS!D37/BS!E37-1,0)</f>
        <v>0.20013509182078781</v>
      </c>
      <c r="J37" s="46">
        <f t="shared" si="1"/>
        <v>0.17016199951262401</v>
      </c>
      <c r="K37" s="29"/>
      <c r="L37" s="46">
        <f t="shared" si="12"/>
        <v>0.44853708963622568</v>
      </c>
      <c r="M37" s="46">
        <f t="shared" si="11"/>
        <v>0.45784611600919101</v>
      </c>
      <c r="N37" s="46">
        <f t="shared" si="11"/>
        <v>0.42317294841770986</v>
      </c>
      <c r="O37" s="46">
        <f t="shared" si="11"/>
        <v>0.43798313275599482</v>
      </c>
      <c r="P37" s="75"/>
      <c r="Q37" s="75"/>
      <c r="R37" s="75"/>
    </row>
    <row r="38" spans="1:24">
      <c r="A38" s="16" t="s">
        <v>139</v>
      </c>
      <c r="B38" s="17" t="s">
        <v>34</v>
      </c>
      <c r="C38" s="18">
        <v>795106</v>
      </c>
      <c r="D38" s="18">
        <v>662735</v>
      </c>
      <c r="E38" s="18">
        <v>552217</v>
      </c>
      <c r="F38" s="18">
        <v>471915</v>
      </c>
      <c r="G38" s="28"/>
      <c r="H38" s="47">
        <f>IFERROR(BS!C38/BS!D38-1,0)</f>
        <v>0.19973443382347389</v>
      </c>
      <c r="I38" s="47">
        <f>IFERROR(BS!D38/BS!E38-1,0)</f>
        <v>0.20013509182078781</v>
      </c>
      <c r="J38" s="47">
        <f t="shared" si="1"/>
        <v>0.17016199951262401</v>
      </c>
      <c r="K38" s="28"/>
      <c r="L38" s="47">
        <f t="shared" si="12"/>
        <v>0.44853708963622568</v>
      </c>
      <c r="M38" s="47">
        <f t="shared" si="11"/>
        <v>0.45784611600919101</v>
      </c>
      <c r="N38" s="47">
        <f t="shared" si="11"/>
        <v>0.42317294841770986</v>
      </c>
      <c r="O38" s="47">
        <f t="shared" si="11"/>
        <v>0.43798313275599482</v>
      </c>
    </row>
    <row r="39" spans="1:24">
      <c r="A39" s="13" t="s">
        <v>140</v>
      </c>
      <c r="B39" s="14" t="s">
        <v>35</v>
      </c>
      <c r="C39" s="18">
        <v>175640</v>
      </c>
      <c r="D39" s="18">
        <v>132370</v>
      </c>
      <c r="E39" s="18">
        <v>110518</v>
      </c>
      <c r="F39" s="18">
        <v>80299</v>
      </c>
      <c r="G39" s="28"/>
      <c r="H39" s="47">
        <f>IFERROR(BS!C39/BS!D39-1,0)</f>
        <v>0.32688675681801005</v>
      </c>
      <c r="I39" s="47">
        <f>IFERROR(BS!D39/BS!E39-1,0)</f>
        <v>0.19772344776416517</v>
      </c>
      <c r="J39" s="47">
        <f t="shared" si="1"/>
        <v>0.37633096302569147</v>
      </c>
      <c r="K39" s="28"/>
      <c r="L39" s="47">
        <f t="shared" si="12"/>
        <v>9.9082454947776372E-2</v>
      </c>
      <c r="M39" s="47">
        <f t="shared" si="11"/>
        <v>9.1446943915949222E-2</v>
      </c>
      <c r="N39" s="47">
        <f t="shared" si="11"/>
        <v>8.4691756887651889E-2</v>
      </c>
      <c r="O39" s="47">
        <f t="shared" si="11"/>
        <v>7.4525301330056526E-2</v>
      </c>
    </row>
    <row r="40" spans="1:24">
      <c r="A40" s="11" t="s">
        <v>109</v>
      </c>
      <c r="B40" s="12" t="s">
        <v>36</v>
      </c>
      <c r="C40" s="10">
        <v>781283</v>
      </c>
      <c r="D40" s="10">
        <v>631776</v>
      </c>
      <c r="E40" s="10">
        <v>621584</v>
      </c>
      <c r="F40" s="10">
        <v>504634</v>
      </c>
      <c r="G40" s="27"/>
      <c r="H40" s="45">
        <f>IFERROR(BS!C40/BS!D40-1,0)</f>
        <v>0.23664558324469431</v>
      </c>
      <c r="I40" s="45">
        <f>IFERROR(BS!D40/BS!E40-1,0)</f>
        <v>1.6396818450925332E-2</v>
      </c>
      <c r="J40" s="45">
        <f t="shared" si="1"/>
        <v>0.23175212133942624</v>
      </c>
      <c r="K40" s="28"/>
      <c r="L40" s="45">
        <f t="shared" si="12"/>
        <v>0.44073922596768145</v>
      </c>
      <c r="M40" s="45">
        <f t="shared" si="11"/>
        <v>0.4364582944733908</v>
      </c>
      <c r="N40" s="45">
        <f t="shared" si="11"/>
        <v>0.47633001875942571</v>
      </c>
      <c r="O40" s="45">
        <f t="shared" si="11"/>
        <v>0.46834955493084279</v>
      </c>
    </row>
    <row r="41" spans="1:24" s="30" customFormat="1">
      <c r="A41" s="13" t="s">
        <v>110</v>
      </c>
      <c r="B41" s="14" t="s">
        <v>37</v>
      </c>
      <c r="C41" s="15">
        <v>757</v>
      </c>
      <c r="D41" s="15">
        <v>350</v>
      </c>
      <c r="E41" s="15">
        <v>217</v>
      </c>
      <c r="F41" s="15">
        <v>361</v>
      </c>
      <c r="G41" s="29"/>
      <c r="H41" s="46">
        <f>IFERROR(BS!C41/BS!D41-1,0)</f>
        <v>1.1628571428571428</v>
      </c>
      <c r="I41" s="46">
        <f>IFERROR(BS!D41/BS!E41-1,0)</f>
        <v>0.61290322580645151</v>
      </c>
      <c r="J41" s="46">
        <f t="shared" si="1"/>
        <v>-0.39889196675900274</v>
      </c>
      <c r="K41" s="29"/>
      <c r="L41" s="46">
        <f t="shared" si="12"/>
        <v>4.2704064219691821E-4</v>
      </c>
      <c r="M41" s="46">
        <f t="shared" si="11"/>
        <v>2.4179519808553471E-4</v>
      </c>
      <c r="N41" s="46">
        <f t="shared" si="11"/>
        <v>1.6629066074866047E-4</v>
      </c>
      <c r="O41" s="46">
        <f t="shared" si="11"/>
        <v>3.3504319829824044E-4</v>
      </c>
    </row>
    <row r="42" spans="1:24">
      <c r="A42" s="16" t="s">
        <v>141</v>
      </c>
      <c r="B42" s="17" t="s">
        <v>38</v>
      </c>
      <c r="C42" s="18">
        <v>757</v>
      </c>
      <c r="D42" s="18">
        <v>350</v>
      </c>
      <c r="E42" s="18">
        <v>217</v>
      </c>
      <c r="F42" s="18">
        <v>361</v>
      </c>
      <c r="G42" s="28"/>
      <c r="H42" s="47">
        <f>IFERROR(BS!C42/BS!D42-1,0)</f>
        <v>1.1628571428571428</v>
      </c>
      <c r="I42" s="47">
        <f>IFERROR(BS!D42/BS!E42-1,0)</f>
        <v>0.61290322580645151</v>
      </c>
      <c r="J42" s="47">
        <f t="shared" si="1"/>
        <v>-0.39889196675900274</v>
      </c>
      <c r="K42" s="28"/>
      <c r="L42" s="47">
        <f t="shared" si="12"/>
        <v>4.2704064219691821E-4</v>
      </c>
      <c r="M42" s="47">
        <f t="shared" si="11"/>
        <v>2.4179519808553471E-4</v>
      </c>
      <c r="N42" s="47">
        <f t="shared" si="11"/>
        <v>1.6629066074866047E-4</v>
      </c>
      <c r="O42" s="47">
        <f t="shared" si="11"/>
        <v>3.3504319829824044E-4</v>
      </c>
    </row>
    <row r="43" spans="1:24" s="30" customFormat="1">
      <c r="A43" s="13" t="s">
        <v>142</v>
      </c>
      <c r="B43" s="14" t="s">
        <v>39</v>
      </c>
      <c r="C43" s="15">
        <v>780522</v>
      </c>
      <c r="D43" s="15">
        <v>631419</v>
      </c>
      <c r="E43" s="15">
        <v>595091</v>
      </c>
      <c r="F43" s="15">
        <v>504267</v>
      </c>
      <c r="G43" s="29"/>
      <c r="H43" s="46">
        <f>IFERROR(BS!C43/BS!D43-1,0)</f>
        <v>0.23613955234163053</v>
      </c>
      <c r="I43" s="46">
        <f>IFERROR(BS!D43/BS!E43-1,0)</f>
        <v>6.1046125718587474E-2</v>
      </c>
      <c r="J43" s="46">
        <f t="shared" si="1"/>
        <v>0.18011093329525818</v>
      </c>
      <c r="K43" s="128"/>
      <c r="L43" s="46">
        <f t="shared" si="12"/>
        <v>0.44030992883596165</v>
      </c>
      <c r="M43" s="46">
        <f t="shared" si="11"/>
        <v>0.43621166337134354</v>
      </c>
      <c r="N43" s="46">
        <f t="shared" si="11"/>
        <v>0.4560279981363185</v>
      </c>
      <c r="O43" s="46">
        <f t="shared" si="11"/>
        <v>0.46800894314753133</v>
      </c>
    </row>
    <row r="44" spans="1:24">
      <c r="A44" s="16" t="s">
        <v>143</v>
      </c>
      <c r="B44" s="17" t="s">
        <v>40</v>
      </c>
      <c r="C44" s="18">
        <v>667047</v>
      </c>
      <c r="D44" s="18">
        <v>528760</v>
      </c>
      <c r="E44" s="18">
        <v>499870</v>
      </c>
      <c r="F44" s="18">
        <v>421974</v>
      </c>
      <c r="G44" s="28"/>
      <c r="H44" s="47">
        <f>IFERROR(BS!C44/BS!D44-1,0)</f>
        <v>0.26153075119146685</v>
      </c>
      <c r="I44" s="47">
        <f>IFERROR(BS!D44/BS!E44-1,0)</f>
        <v>5.7795026706943808E-2</v>
      </c>
      <c r="J44" s="47">
        <f t="shared" si="1"/>
        <v>0.18459905112637265</v>
      </c>
      <c r="K44" s="28"/>
      <c r="L44" s="47">
        <f t="shared" si="12"/>
        <v>0.37629614168497716</v>
      </c>
      <c r="M44" s="47">
        <f t="shared" si="11"/>
        <v>0.36529036839916379</v>
      </c>
      <c r="N44" s="47">
        <f t="shared" si="11"/>
        <v>0.38305858335683368</v>
      </c>
      <c r="O44" s="47">
        <f t="shared" si="11"/>
        <v>0.39163301539806566</v>
      </c>
    </row>
    <row r="45" spans="1:24">
      <c r="A45" s="16" t="s">
        <v>144</v>
      </c>
      <c r="B45" s="17" t="s">
        <v>41</v>
      </c>
      <c r="C45" s="18">
        <v>15811</v>
      </c>
      <c r="D45" s="18">
        <v>13746</v>
      </c>
      <c r="E45" s="18">
        <v>15005</v>
      </c>
      <c r="F45" s="18">
        <v>11761</v>
      </c>
      <c r="G45" s="28"/>
      <c r="H45" s="47">
        <f>IFERROR(BS!C45/BS!D45-1,0)</f>
        <v>0.15022552015131674</v>
      </c>
      <c r="I45" s="47">
        <f>IFERROR(BS!D45/BS!E45-1,0)</f>
        <v>-8.3905364878373856E-2</v>
      </c>
      <c r="J45" s="47">
        <f t="shared" si="1"/>
        <v>0.27582688546892276</v>
      </c>
      <c r="K45" s="28"/>
      <c r="L45" s="47">
        <f t="shared" si="12"/>
        <v>8.9193389613942842E-3</v>
      </c>
      <c r="M45" s="47">
        <f t="shared" si="11"/>
        <v>9.4963336939536003E-3</v>
      </c>
      <c r="N45" s="47">
        <f t="shared" si="11"/>
        <v>1.1498577716744934E-2</v>
      </c>
      <c r="O45" s="47">
        <f t="shared" si="11"/>
        <v>1.0915354723505832E-2</v>
      </c>
    </row>
    <row r="46" spans="1:24">
      <c r="A46" s="16" t="s">
        <v>145</v>
      </c>
      <c r="B46" s="17" t="s">
        <v>42</v>
      </c>
      <c r="C46" s="18">
        <v>9302</v>
      </c>
      <c r="D46" s="18">
        <v>8085</v>
      </c>
      <c r="E46" s="18">
        <v>7810</v>
      </c>
      <c r="F46" s="18">
        <v>6628</v>
      </c>
      <c r="G46" s="28"/>
      <c r="H46" s="47">
        <f>IFERROR(BS!C46/BS!D46-1,0)</f>
        <v>0.15052566481137908</v>
      </c>
      <c r="I46" s="47">
        <f>IFERROR(BS!D46/BS!E46-1,0)</f>
        <v>3.5211267605633756E-2</v>
      </c>
      <c r="J46" s="47">
        <f t="shared" si="1"/>
        <v>0.17833433916716968</v>
      </c>
      <c r="K46" s="28"/>
      <c r="L46" s="47">
        <f t="shared" si="12"/>
        <v>5.2474663853576391E-3</v>
      </c>
      <c r="M46" s="47">
        <f t="shared" si="11"/>
        <v>5.5854690757758518E-3</v>
      </c>
      <c r="N46" s="47">
        <f t="shared" si="11"/>
        <v>5.9849311541338174E-3</v>
      </c>
      <c r="O46" s="47">
        <f t="shared" si="11"/>
        <v>6.1514302446557829E-3</v>
      </c>
    </row>
    <row r="47" spans="1:24">
      <c r="A47" s="16" t="s">
        <v>146</v>
      </c>
      <c r="B47" s="17" t="s">
        <v>43</v>
      </c>
      <c r="C47" s="18">
        <v>24035</v>
      </c>
      <c r="D47" s="18">
        <v>18503</v>
      </c>
      <c r="E47" s="18">
        <v>19436</v>
      </c>
      <c r="F47" s="18">
        <v>11287</v>
      </c>
      <c r="G47" s="28"/>
      <c r="H47" s="47">
        <f>IFERROR(BS!C47/BS!D47-1,0)</f>
        <v>0.29897854401988866</v>
      </c>
      <c r="I47" s="47">
        <f>IFERROR(BS!D47/BS!E47-1,0)</f>
        <v>-4.800370446593949E-2</v>
      </c>
      <c r="J47" s="47">
        <f t="shared" si="1"/>
        <v>0.72198104013466824</v>
      </c>
      <c r="K47" s="28"/>
      <c r="L47" s="47">
        <f t="shared" si="12"/>
        <v>1.3558681420347329E-2</v>
      </c>
      <c r="M47" s="47">
        <f t="shared" ref="M47:M52" si="13">D47/D$31</f>
        <v>1.2782675857647568E-2</v>
      </c>
      <c r="N47" s="47">
        <f t="shared" ref="N47:N52" si="14">E47/E$31</f>
        <v>1.4894125724935323E-2</v>
      </c>
      <c r="O47" s="47">
        <f t="shared" ref="O47:O52" si="15">F47/F$31</f>
        <v>1.0475436507457728E-2</v>
      </c>
    </row>
    <row r="48" spans="1:24">
      <c r="A48" s="16" t="s">
        <v>147</v>
      </c>
      <c r="B48" s="17" t="s">
        <v>44</v>
      </c>
      <c r="C48" s="18">
        <v>1465</v>
      </c>
      <c r="D48" s="18">
        <v>1465</v>
      </c>
      <c r="E48" s="18">
        <v>1465</v>
      </c>
      <c r="F48" s="18">
        <v>2382</v>
      </c>
      <c r="G48" s="28"/>
      <c r="H48" s="47">
        <f>IFERROR(BS!C48/BS!D48-1,0)</f>
        <v>0</v>
      </c>
      <c r="I48" s="47">
        <f>IFERROR(BS!D48/BS!E48-1,0)</f>
        <v>0</v>
      </c>
      <c r="J48" s="47">
        <f t="shared" si="1"/>
        <v>-0.38497061293031065</v>
      </c>
      <c r="K48" s="28"/>
      <c r="L48" s="47">
        <f t="shared" si="12"/>
        <v>8.2643928773908212E-4</v>
      </c>
      <c r="M48" s="47">
        <f t="shared" si="13"/>
        <v>1.0120856148437382E-3</v>
      </c>
      <c r="N48" s="47">
        <f t="shared" si="14"/>
        <v>1.1226535391557033E-3</v>
      </c>
      <c r="O48" s="47">
        <f t="shared" si="15"/>
        <v>2.21072825026706E-3</v>
      </c>
    </row>
    <row r="49" spans="1:15">
      <c r="A49" s="16" t="s">
        <v>148</v>
      </c>
      <c r="B49" s="17" t="s">
        <v>45</v>
      </c>
      <c r="C49" s="18">
        <v>62042</v>
      </c>
      <c r="D49" s="18">
        <v>60517</v>
      </c>
      <c r="E49" s="18">
        <v>51505</v>
      </c>
      <c r="F49" s="18">
        <v>50028</v>
      </c>
      <c r="G49" s="28"/>
      <c r="H49" s="47">
        <f>IFERROR(BS!C49/BS!D49-1,0)</f>
        <v>2.5199530710378948E-2</v>
      </c>
      <c r="I49" s="47">
        <f>IFERROR(BS!D49/BS!E49-1,0)</f>
        <v>0.17497330356276097</v>
      </c>
      <c r="J49" s="47">
        <f t="shared" si="1"/>
        <v>2.9523466858559111E-2</v>
      </c>
      <c r="K49" s="28"/>
      <c r="L49" s="47">
        <f t="shared" si="12"/>
        <v>3.4999280743964599E-2</v>
      </c>
      <c r="M49" s="47">
        <f t="shared" si="13"/>
        <v>4.1807771435835153E-2</v>
      </c>
      <c r="N49" s="47">
        <f t="shared" si="14"/>
        <v>3.9469126644515011E-2</v>
      </c>
      <c r="O49" s="47">
        <f t="shared" si="15"/>
        <v>4.6430861840621528E-2</v>
      </c>
    </row>
    <row r="50" spans="1:15">
      <c r="A50" s="16" t="s">
        <v>149</v>
      </c>
      <c r="B50" s="17" t="s">
        <v>46</v>
      </c>
      <c r="C50" s="18">
        <v>850</v>
      </c>
      <c r="D50" s="18">
        <v>343</v>
      </c>
      <c r="E50" s="18">
        <v>0</v>
      </c>
      <c r="F50" s="18">
        <v>207</v>
      </c>
      <c r="G50" s="28"/>
      <c r="H50" s="47">
        <f>IFERROR(BS!C50/BS!D50-1,0)</f>
        <v>1.4781341107871722</v>
      </c>
      <c r="I50" s="47">
        <f>IFERROR(BS!D50/BS!E50-1,0)</f>
        <v>0</v>
      </c>
      <c r="J50" s="47">
        <f t="shared" si="1"/>
        <v>-1</v>
      </c>
      <c r="K50" s="28"/>
      <c r="L50" s="47">
        <f t="shared" si="12"/>
        <v>4.795040236028804E-4</v>
      </c>
      <c r="M50" s="47">
        <f t="shared" si="13"/>
        <v>2.36959294123824E-4</v>
      </c>
      <c r="N50" s="47">
        <f t="shared" si="14"/>
        <v>0</v>
      </c>
      <c r="O50" s="47">
        <f t="shared" si="15"/>
        <v>1.9211618295771681E-4</v>
      </c>
    </row>
    <row r="51" spans="1:15" s="30" customFormat="1">
      <c r="A51" s="13" t="s">
        <v>150</v>
      </c>
      <c r="B51" s="14" t="s">
        <v>47</v>
      </c>
      <c r="C51" s="15">
        <v>5</v>
      </c>
      <c r="D51" s="15">
        <v>7</v>
      </c>
      <c r="E51" s="15">
        <v>26276</v>
      </c>
      <c r="F51" s="15">
        <v>6</v>
      </c>
      <c r="G51" s="29"/>
      <c r="H51" s="46">
        <f>IFERROR(BS!C51/BS!D51-1,0)</f>
        <v>-0.2857142857142857</v>
      </c>
      <c r="I51" s="46">
        <f>IFERROR(BS!D51/BS!E51-1,0)</f>
        <v>-0.99973359719896482</v>
      </c>
      <c r="J51" s="46">
        <f t="shared" si="1"/>
        <v>4378.333333333333</v>
      </c>
      <c r="K51" s="29"/>
      <c r="L51" s="46">
        <f t="shared" si="12"/>
        <v>2.8206119035463555E-6</v>
      </c>
      <c r="M51" s="46">
        <f t="shared" si="13"/>
        <v>4.8359039617106945E-6</v>
      </c>
      <c r="N51" s="46">
        <f t="shared" si="14"/>
        <v>2.0135729962358538E-2</v>
      </c>
      <c r="O51" s="46">
        <f t="shared" si="15"/>
        <v>5.5685850132671534E-6</v>
      </c>
    </row>
    <row r="52" spans="1:15" ht="12.5" thickBot="1">
      <c r="A52" s="20" t="s">
        <v>151</v>
      </c>
      <c r="B52" s="21" t="s">
        <v>48</v>
      </c>
      <c r="C52" s="22">
        <v>5</v>
      </c>
      <c r="D52" s="22">
        <v>7</v>
      </c>
      <c r="E52" s="22">
        <v>26276</v>
      </c>
      <c r="F52" s="22">
        <v>6</v>
      </c>
      <c r="G52" s="28"/>
      <c r="H52" s="47">
        <f>IFERROR(BS!C52/BS!D52-1,0)</f>
        <v>-0.2857142857142857</v>
      </c>
      <c r="I52" s="47">
        <f>IFERROR(BS!D52/BS!E52-1,0)</f>
        <v>-0.99973359719896482</v>
      </c>
      <c r="J52" s="47">
        <f t="shared" si="1"/>
        <v>4378.333333333333</v>
      </c>
      <c r="K52" s="28"/>
      <c r="L52" s="47">
        <f t="shared" si="12"/>
        <v>2.8206119035463555E-6</v>
      </c>
      <c r="M52" s="47">
        <f t="shared" si="13"/>
        <v>4.8359039617106945E-6</v>
      </c>
      <c r="N52" s="47">
        <f t="shared" si="14"/>
        <v>2.0135729962358538E-2</v>
      </c>
      <c r="O52" s="47">
        <f t="shared" si="15"/>
        <v>5.5685850132671534E-6</v>
      </c>
    </row>
    <row r="54" spans="1:15">
      <c r="B54" s="24" t="s">
        <v>304</v>
      </c>
      <c r="C54" s="31">
        <f>C18/'P&amp;L'!D37</f>
        <v>6.5106760599090863E-3</v>
      </c>
      <c r="D54" s="31">
        <f>D18/'P&amp;L'!E37</f>
        <v>8.9644957995790586E-3</v>
      </c>
      <c r="E54" s="31">
        <f>E18/'P&amp;L'!F37</f>
        <v>7.5992139231737142E-3</v>
      </c>
      <c r="F54" s="31">
        <f>F18/'P&amp;L'!G37</f>
        <v>9.4531249999999997E-3</v>
      </c>
    </row>
    <row r="55" spans="1:15">
      <c r="B55" s="24" t="s">
        <v>305</v>
      </c>
      <c r="C55" s="31">
        <f>C22/'P&amp;L'!D37</f>
        <v>2.4313164423999853E-3</v>
      </c>
      <c r="D55" s="31">
        <f>D22/'P&amp;L'!E37</f>
        <v>2.8062769459551835E-3</v>
      </c>
      <c r="E55" s="31">
        <f>E22/'P&amp;L'!F37</f>
        <v>3.117444967553124E-3</v>
      </c>
      <c r="F55" s="31">
        <f>F22/'P&amp;L'!G37</f>
        <v>3.7792968750000001E-3</v>
      </c>
    </row>
    <row r="56" spans="1:15">
      <c r="C56" s="82"/>
      <c r="D56" s="80"/>
      <c r="E56" s="80"/>
      <c r="F56" s="80"/>
    </row>
    <row r="57" spans="1:15">
      <c r="C57" s="80"/>
      <c r="D57" s="80"/>
      <c r="E57" s="80"/>
      <c r="F57" s="80"/>
    </row>
    <row r="58" spans="1:15">
      <c r="C58" s="81">
        <f>C18/'P&amp;L'!D37</f>
        <v>6.5106760599090863E-3</v>
      </c>
      <c r="D58" s="81">
        <f>D18/'P&amp;L'!E37</f>
        <v>8.9644957995790586E-3</v>
      </c>
      <c r="E58" s="81">
        <f>E18/'P&amp;L'!F37</f>
        <v>7.5992139231737142E-3</v>
      </c>
      <c r="F58" s="81">
        <f>F18/'P&amp;L'!G37</f>
        <v>9.4531249999999997E-3</v>
      </c>
    </row>
    <row r="59" spans="1:15">
      <c r="C59" s="81"/>
      <c r="D59" s="81"/>
      <c r="E59" s="80"/>
      <c r="F59" s="80"/>
    </row>
    <row r="60" spans="1:15">
      <c r="C60" s="80"/>
      <c r="D60" s="80"/>
      <c r="E60" s="80"/>
      <c r="F60" s="80"/>
    </row>
    <row r="61" spans="1:15">
      <c r="C61" s="81"/>
      <c r="D61" s="81"/>
      <c r="E61" s="80"/>
      <c r="F61" s="80"/>
    </row>
  </sheetData>
  <mergeCells count="1">
    <mergeCell ref="A3:B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8"/>
  <sheetViews>
    <sheetView zoomScale="75" zoomScaleNormal="75" workbookViewId="0"/>
  </sheetViews>
  <sheetFormatPr defaultRowHeight="14.5"/>
  <cols>
    <col min="1" max="1" width="39.453125" bestFit="1" customWidth="1"/>
    <col min="2" max="2" width="14.81640625" bestFit="1" customWidth="1"/>
    <col min="3" max="6" width="13.26953125" bestFit="1" customWidth="1"/>
  </cols>
  <sheetData>
    <row r="1" spans="1:6">
      <c r="A1" s="124" t="s">
        <v>325</v>
      </c>
      <c r="B1" s="123">
        <f>'Finanční Plán'!C2</f>
        <v>2016</v>
      </c>
      <c r="C1" s="123">
        <f>'Finanční Plán'!D2</f>
        <v>2017</v>
      </c>
      <c r="D1" s="123">
        <f>'Finanční Plán'!E2</f>
        <v>2018</v>
      </c>
      <c r="E1" s="123">
        <f>'Finanční Plán'!F2</f>
        <v>2019</v>
      </c>
      <c r="F1" s="123">
        <f>'Finanční Plán'!G2</f>
        <v>2020</v>
      </c>
    </row>
    <row r="2" spans="1:6">
      <c r="A2" s="51" t="s">
        <v>97</v>
      </c>
      <c r="B2" s="52">
        <f>'Finanční Plán'!J3</f>
        <v>1985872.5799233606</v>
      </c>
      <c r="C2" s="52">
        <f>'Finanční Plán'!K3</f>
        <v>2236996.4034367576</v>
      </c>
      <c r="D2" s="52">
        <f>'Finanční Plán'!L3</f>
        <v>2523300.7261668965</v>
      </c>
      <c r="E2" s="52">
        <f>'Finanční Plán'!M3</f>
        <v>2850386.0130119538</v>
      </c>
      <c r="F2" s="52">
        <f>'Finanční Plán'!N3</f>
        <v>3224580.7893068683</v>
      </c>
    </row>
    <row r="3" spans="1:6">
      <c r="A3" s="51" t="s">
        <v>98</v>
      </c>
      <c r="B3" s="52">
        <f>'Finanční Plán'!J30</f>
        <v>1102893.5159633607</v>
      </c>
      <c r="C3" s="52">
        <f>'Finanční Plán'!K30</f>
        <v>1239348.3611619582</v>
      </c>
      <c r="D3" s="52">
        <f>'Finanční Plán'!L30</f>
        <v>1396076.7383963733</v>
      </c>
      <c r="E3" s="52">
        <f>'Finanční Plán'!M30</f>
        <v>1576741.2068312624</v>
      </c>
      <c r="F3" s="52">
        <f>'Finanční Plán'!N30</f>
        <v>1785480.4583226873</v>
      </c>
    </row>
    <row r="4" spans="1:6">
      <c r="A4" s="51" t="s">
        <v>93</v>
      </c>
      <c r="B4" s="52">
        <f>'Finanční Plán'!C3+'Finanční Plán'!C7+'Finanční Plán'!C18</f>
        <v>4370526.4331999989</v>
      </c>
      <c r="C4" s="52">
        <f>'Finanční Plán'!D3+'Finanční Plán'!D7+'Finanční Plán'!D18</f>
        <v>4938304.8695159983</v>
      </c>
      <c r="D4" s="52">
        <f>'Finanční Plán'!E3+'Finanční Plán'!E7+'Finanční Plán'!E18</f>
        <v>5579894.5025530774</v>
      </c>
      <c r="E4" s="52">
        <f>'Finanční Plán'!F3+'Finanční Plán'!F7+'Finanční Plán'!F18</f>
        <v>6304890.7878849767</v>
      </c>
      <c r="F4" s="52">
        <f>'Finanční Plán'!G3+'Finanční Plán'!G7+'Finanční Plán'!G18</f>
        <v>7124136.5903100232</v>
      </c>
    </row>
    <row r="5" spans="1:6">
      <c r="A5" s="51" t="s">
        <v>88</v>
      </c>
      <c r="B5" s="52">
        <f>'Finanční Plán'!C37+'Finanční Plán'!C28</f>
        <v>141168.54172577307</v>
      </c>
      <c r="C5" s="52">
        <f>'Finanční Plán'!D37+'Finanční Plán'!D28</f>
        <v>172728.45215012354</v>
      </c>
      <c r="D5" s="52">
        <f>'Finanční Plán'!E37+'Finanční Plán'!E28</f>
        <v>198391.15092963952</v>
      </c>
      <c r="E5" s="52">
        <f>'Finanční Plán'!F37+'Finanční Plán'!F28</f>
        <v>228690.00055049267</v>
      </c>
      <c r="F5" s="52">
        <f>'Finanční Plán'!G37+'Finanční Plán'!G28</f>
        <v>264227.70062205667</v>
      </c>
    </row>
    <row r="6" spans="1:6">
      <c r="A6" s="51" t="s">
        <v>89</v>
      </c>
      <c r="B6" s="52">
        <f>'Finanční Plán'!C35</f>
        <v>111522.51596336074</v>
      </c>
      <c r="C6" s="52">
        <f>'Finanční Plán'!D35</f>
        <v>136454.84519859761</v>
      </c>
      <c r="D6" s="52">
        <f>'Finanční Plán'!E35</f>
        <v>156728.37723441524</v>
      </c>
      <c r="E6" s="52">
        <f>'Finanční Plán'!F35</f>
        <v>180664.46843488922</v>
      </c>
      <c r="F6" s="52">
        <f>'Finanční Plán'!G35</f>
        <v>208739.25149142477</v>
      </c>
    </row>
    <row r="7" spans="1:6">
      <c r="A7" s="51" t="s">
        <v>90</v>
      </c>
      <c r="B7" s="52">
        <f>'Finanční Plán'!C26+'Finanční Plán'!C31</f>
        <v>141167.74172577308</v>
      </c>
      <c r="C7" s="52">
        <f>'Finanční Plán'!D26+'Finanční Plán'!D31</f>
        <v>172727.65215012355</v>
      </c>
      <c r="D7" s="52">
        <f>'Finanční Plán'!E26+'Finanční Plán'!E31</f>
        <v>198390.35092963954</v>
      </c>
      <c r="E7" s="52">
        <f>'Finanční Plán'!F26+'Finanční Plán'!F31</f>
        <v>228689.20055049268</v>
      </c>
      <c r="F7" s="52">
        <f>'Finanční Plán'!G26+'Finanční Plán'!G31</f>
        <v>264226.90062205668</v>
      </c>
    </row>
    <row r="8" spans="1:6">
      <c r="B8" s="2"/>
      <c r="C8" s="2"/>
      <c r="D8" s="2"/>
      <c r="E8" s="2"/>
      <c r="F8" s="2"/>
    </row>
    <row r="9" spans="1:6">
      <c r="A9" s="124" t="s">
        <v>235</v>
      </c>
      <c r="B9" s="123">
        <f>B1</f>
        <v>2016</v>
      </c>
      <c r="C9" s="123">
        <f>C1</f>
        <v>2017</v>
      </c>
      <c r="D9" s="123">
        <f>D1</f>
        <v>2018</v>
      </c>
      <c r="E9" s="123">
        <f>E1</f>
        <v>2019</v>
      </c>
      <c r="F9" s="123">
        <f>F1</f>
        <v>2020</v>
      </c>
    </row>
    <row r="10" spans="1:6">
      <c r="A10" s="51" t="s">
        <v>94</v>
      </c>
      <c r="B10" s="125">
        <f t="shared" ref="B10:F11" si="0">B5/B2</f>
        <v>7.1086404612737589E-2</v>
      </c>
      <c r="C10" s="125">
        <f t="shared" si="0"/>
        <v>7.7214452327574679E-2</v>
      </c>
      <c r="D10" s="125">
        <f t="shared" si="0"/>
        <v>7.8623664976711735E-2</v>
      </c>
      <c r="E10" s="125">
        <f t="shared" si="0"/>
        <v>8.0231238683647579E-2</v>
      </c>
      <c r="F10" s="125">
        <f t="shared" si="0"/>
        <v>8.1941721385387606E-2</v>
      </c>
    </row>
    <row r="11" spans="1:6">
      <c r="A11" s="51" t="s">
        <v>95</v>
      </c>
      <c r="B11" s="125">
        <f t="shared" si="0"/>
        <v>0.10111811734240501</v>
      </c>
      <c r="C11" s="125">
        <f t="shared" si="0"/>
        <v>0.11010209031999976</v>
      </c>
      <c r="D11" s="125">
        <f t="shared" si="0"/>
        <v>0.1122634400559126</v>
      </c>
      <c r="E11" s="125">
        <f t="shared" si="0"/>
        <v>0.11458092656686895</v>
      </c>
      <c r="F11" s="125">
        <f t="shared" si="0"/>
        <v>0.11690928932793709</v>
      </c>
    </row>
    <row r="12" spans="1:6">
      <c r="A12" s="51" t="s">
        <v>96</v>
      </c>
      <c r="B12" s="125">
        <f>B6/B4</f>
        <v>2.5516952629824622E-2</v>
      </c>
      <c r="C12" s="125">
        <f>C6/C4</f>
        <v>2.7631920021975377E-2</v>
      </c>
      <c r="D12" s="125">
        <f>D6/D4</f>
        <v>2.8088053844513416E-2</v>
      </c>
      <c r="E12" s="125">
        <f>E6/E4</f>
        <v>2.8654654697911824E-2</v>
      </c>
      <c r="F12" s="125">
        <f>F6/F4</f>
        <v>2.9300287669293691E-2</v>
      </c>
    </row>
    <row r="15" spans="1:6">
      <c r="A15" s="122" t="s">
        <v>103</v>
      </c>
      <c r="B15" s="123">
        <f>B9</f>
        <v>2016</v>
      </c>
      <c r="C15" s="123">
        <f t="shared" ref="C15:F15" si="1">C9</f>
        <v>2017</v>
      </c>
      <c r="D15" s="123">
        <f t="shared" si="1"/>
        <v>2018</v>
      </c>
      <c r="E15" s="123">
        <f t="shared" si="1"/>
        <v>2019</v>
      </c>
      <c r="F15" s="123">
        <f t="shared" si="1"/>
        <v>2020</v>
      </c>
    </row>
    <row r="16" spans="1:6">
      <c r="A16" s="51" t="s">
        <v>99</v>
      </c>
      <c r="B16" s="60">
        <f>'Finanční Plán'!J12/'ukazatele finančního plánu'!B4*365</f>
        <v>71.877099096022008</v>
      </c>
      <c r="C16" s="60">
        <f>'Finanční Plán'!K12/'ukazatele finančního plánu'!C4*365</f>
        <v>71.88277555168608</v>
      </c>
      <c r="D16" s="60">
        <f>'Finanční Plán'!L12/'ukazatele finančního plánu'!D4*365</f>
        <v>71.887799711632539</v>
      </c>
      <c r="E16" s="60">
        <f>'Finanční Plán'!M12/'ukazatele finančního plánu'!E4*365</f>
        <v>71.892246456680255</v>
      </c>
      <c r="F16" s="60">
        <f>'Finanční Plán'!N12/'ukazatele finančního plánu'!F4*365</f>
        <v>71.896182088144187</v>
      </c>
    </row>
    <row r="17" spans="1:6">
      <c r="A17" s="51" t="s">
        <v>100</v>
      </c>
      <c r="B17" s="60">
        <f>'Finanční Plán'!J18/'ukazatele finančního plánu'!B4*365</f>
        <v>50.82675735907462</v>
      </c>
      <c r="C17" s="60">
        <f>'Finanční Plán'!K18/'ukazatele finančního plánu'!C4*365</f>
        <v>51.492546936186322</v>
      </c>
      <c r="D17" s="60">
        <f>'Finanční Plán'!L18/'ukazatele finančního plánu'!D4*365</f>
        <v>52.268750510274785</v>
      </c>
      <c r="E17" s="60">
        <f>'Finanční Plán'!M18/'ukazatele finančního plánu'!E4*365</f>
        <v>53.166531558472848</v>
      </c>
      <c r="F17" s="60">
        <f>'Finanční Plán'!N18/'ukazatele finančního plánu'!F4*365</f>
        <v>54.194415597271053</v>
      </c>
    </row>
    <row r="18" spans="1:6">
      <c r="A18" s="51" t="s">
        <v>101</v>
      </c>
      <c r="B18" s="60">
        <f>'Finanční Plán'!J42/'ukazatele finančního plánu'!B4*365</f>
        <v>61.878672774008201</v>
      </c>
      <c r="C18" s="60">
        <f>'Finanční Plán'!K42/'ukazatele finančního plánu'!C4*365</f>
        <v>61.883559609272417</v>
      </c>
      <c r="D18" s="60">
        <f>'Finanční Plán'!L42/'ukazatele finančního plánu'!D4*365</f>
        <v>61.887884886074076</v>
      </c>
      <c r="E18" s="60">
        <f>'Finanční Plán'!M42/'ukazatele finančního plánu'!E4*365</f>
        <v>61.89171306897488</v>
      </c>
      <c r="F18" s="60">
        <f>'Finanční Plán'!N42/'ukazatele finančního plánu'!F4*365</f>
        <v>61.895101236479938</v>
      </c>
    </row>
    <row r="19" spans="1:6">
      <c r="A19" s="51" t="s">
        <v>102</v>
      </c>
      <c r="B19" s="60">
        <f>B16+B17-B18</f>
        <v>60.825183681088426</v>
      </c>
      <c r="C19" s="60">
        <f t="shared" ref="C19:F19" si="2">C16+C17-C18</f>
        <v>61.491762878599992</v>
      </c>
      <c r="D19" s="60">
        <f t="shared" si="2"/>
        <v>62.268665335833248</v>
      </c>
      <c r="E19" s="60">
        <f t="shared" si="2"/>
        <v>63.167064946178229</v>
      </c>
      <c r="F19" s="60">
        <f t="shared" si="2"/>
        <v>64.195496448935302</v>
      </c>
    </row>
    <row r="21" spans="1:6">
      <c r="A21" s="122" t="s">
        <v>231</v>
      </c>
      <c r="B21" s="123">
        <f>B15</f>
        <v>2016</v>
      </c>
      <c r="C21" s="123">
        <f t="shared" ref="C21:F21" si="3">C15</f>
        <v>2017</v>
      </c>
      <c r="D21" s="123">
        <f t="shared" si="3"/>
        <v>2018</v>
      </c>
      <c r="E21" s="123">
        <f t="shared" si="3"/>
        <v>2019</v>
      </c>
      <c r="F21" s="123">
        <f t="shared" si="3"/>
        <v>2020</v>
      </c>
    </row>
    <row r="22" spans="1:6">
      <c r="A22" s="51" t="s">
        <v>232</v>
      </c>
      <c r="B22" s="59">
        <f>'Finanční Plán'!J24/'Finanční Plán'!J41</f>
        <v>0.18932038834951456</v>
      </c>
      <c r="C22" s="59">
        <f>'Finanční Plán'!K24/'Finanční Plán'!K41</f>
        <v>0.18932038834951459</v>
      </c>
      <c r="D22" s="59">
        <f>'Finanční Plán'!L24/'Finanční Plán'!L41</f>
        <v>0.18932038834951456</v>
      </c>
      <c r="E22" s="59">
        <f>'Finanční Plán'!M24/'Finanční Plán'!M41</f>
        <v>0.18932038834951456</v>
      </c>
      <c r="F22" s="59">
        <f>'Finanční Plán'!N24/'Finanční Plán'!N41</f>
        <v>0.18932038834951456</v>
      </c>
    </row>
    <row r="23" spans="1:6">
      <c r="A23" s="51" t="s">
        <v>233</v>
      </c>
      <c r="B23" s="59">
        <f>('Finanční Plán'!J11-'Finanční Plán'!J12)/'Finanční Plán'!J41</f>
        <v>1.1490719893893975</v>
      </c>
      <c r="C23" s="59">
        <f>('Finanční Plán'!K11-'Finanční Plán'!K12)/'Finanční Plán'!K41</f>
        <v>1.1494564227969819</v>
      </c>
      <c r="D23" s="59">
        <f>('Finanční Plán'!L11-'Finanční Plán'!L12)/'Finanční Plán'!L41</f>
        <v>1.1528703071756201</v>
      </c>
      <c r="E23" s="59">
        <f>('Finanční Plán'!M11-'Finanční Plán'!M12)/'Finanční Plán'!M41</f>
        <v>1.1594786664781931</v>
      </c>
      <c r="F23" s="59">
        <f>('Finanční Plán'!N11-'Finanční Plán'!N12)/'Finanční Plán'!N41</f>
        <v>1.1692943730580956</v>
      </c>
    </row>
    <row r="24" spans="1:6">
      <c r="A24" s="51" t="s">
        <v>234</v>
      </c>
      <c r="B24" s="59">
        <f>'Finanční Plán'!J11/'Finanční Plán'!J41</f>
        <v>2.1248001447292033</v>
      </c>
      <c r="C24" s="59">
        <f>'Finanční Plán'!K11/'Finanční Plán'!K41</f>
        <v>2.1251845781367877</v>
      </c>
      <c r="D24" s="59">
        <f>'Finanční Plán'!L11/'Finanční Plán'!L41</f>
        <v>2.1285984625154262</v>
      </c>
      <c r="E24" s="59">
        <f>'Finanční Plán'!M11/'Finanční Plán'!M41</f>
        <v>2.1352068218179991</v>
      </c>
      <c r="F24" s="59">
        <f>'Finanční Plán'!N11/'Finanční Plán'!N41</f>
        <v>2.1450225283979019</v>
      </c>
    </row>
    <row r="26" spans="1:6">
      <c r="A26" s="122" t="s">
        <v>299</v>
      </c>
      <c r="B26" s="123">
        <f>B21</f>
        <v>2016</v>
      </c>
      <c r="C26" s="123">
        <f t="shared" ref="C26:F26" si="4">C21</f>
        <v>2017</v>
      </c>
      <c r="D26" s="123">
        <f t="shared" si="4"/>
        <v>2018</v>
      </c>
      <c r="E26" s="123">
        <f t="shared" si="4"/>
        <v>2019</v>
      </c>
      <c r="F26" s="123">
        <f t="shared" si="4"/>
        <v>2020</v>
      </c>
    </row>
    <row r="27" spans="1:6">
      <c r="A27" s="51" t="s">
        <v>303</v>
      </c>
      <c r="B27" s="127">
        <f>B5/'Finanční Plán'!C28</f>
        <v>176460.67715721633</v>
      </c>
      <c r="C27" s="127">
        <f>C5/'Finanční Plán'!D28</f>
        <v>215910.56518765443</v>
      </c>
      <c r="D27" s="127">
        <f>D5/'Finanční Plán'!E28</f>
        <v>247988.93866204939</v>
      </c>
      <c r="E27" s="127">
        <f>E5/'Finanční Plán'!F28</f>
        <v>285862.50068811583</v>
      </c>
      <c r="F27" s="127">
        <f>F5/'Finanční Plán'!G28</f>
        <v>330284.62577757082</v>
      </c>
    </row>
    <row r="28" spans="1:6">
      <c r="A28" s="51" t="s">
        <v>300</v>
      </c>
      <c r="B28" s="126">
        <f>'Finanční Plán'!J38/'Finanční Plán'!J29</f>
        <v>0.44463027129065652</v>
      </c>
      <c r="C28" s="126">
        <f>'Finanční Plán'!K38/'Finanční Plán'!K29</f>
        <v>0.44597659644963489</v>
      </c>
      <c r="D28" s="126">
        <f>'Finanční Plán'!L38/'Finanční Plán'!L29</f>
        <v>0.44672597922280566</v>
      </c>
      <c r="E28" s="126">
        <f>'Finanční Plán'!M38/'Finanční Plán'!M29</f>
        <v>0.44683239405699049</v>
      </c>
      <c r="F28" s="126">
        <f>'Finanční Plán'!N38/'Finanční Plán'!N29</f>
        <v>0.44629067311832471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4"/>
  <sheetViews>
    <sheetView zoomScale="90" zoomScaleNormal="90" workbookViewId="0"/>
  </sheetViews>
  <sheetFormatPr defaultRowHeight="14.5"/>
  <cols>
    <col min="1" max="1" width="39.453125" bestFit="1" customWidth="1"/>
    <col min="2" max="2" width="10.36328125" bestFit="1" customWidth="1"/>
    <col min="4" max="4" width="14.26953125" bestFit="1" customWidth="1"/>
    <col min="5" max="5" width="12.54296875" bestFit="1" customWidth="1"/>
  </cols>
  <sheetData>
    <row r="1" spans="1:5">
      <c r="A1" s="12" t="s">
        <v>2</v>
      </c>
      <c r="B1" s="10">
        <f>B2+B8</f>
        <v>1780164.4666666668</v>
      </c>
    </row>
    <row r="2" spans="1:5">
      <c r="A2" s="12" t="s">
        <v>3</v>
      </c>
      <c r="B2" s="10">
        <f>SUM(B3+B5)</f>
        <v>116181.46666666667</v>
      </c>
      <c r="D2" t="s">
        <v>327</v>
      </c>
      <c r="E2" s="83">
        <f>B1</f>
        <v>1780164.4666666668</v>
      </c>
    </row>
    <row r="3" spans="1:5">
      <c r="A3" s="14" t="s">
        <v>4</v>
      </c>
      <c r="B3" s="15">
        <f>B4</f>
        <v>35354.666666666664</v>
      </c>
      <c r="D3" t="s">
        <v>328</v>
      </c>
      <c r="E3" s="83">
        <f>E2-BS!C43-BS!C51</f>
        <v>999637.46666666679</v>
      </c>
    </row>
    <row r="4" spans="1:5">
      <c r="A4" s="17" t="s">
        <v>5</v>
      </c>
      <c r="B4" s="18">
        <f>BS!C7*4/3</f>
        <v>35354.666666666664</v>
      </c>
    </row>
    <row r="5" spans="1:5">
      <c r="A5" s="14" t="s">
        <v>6</v>
      </c>
      <c r="B5" s="15">
        <f>SUM(B6:B7)</f>
        <v>80826.8</v>
      </c>
    </row>
    <row r="6" spans="1:5">
      <c r="A6" s="17" t="s">
        <v>7</v>
      </c>
      <c r="B6" s="18">
        <v>500</v>
      </c>
    </row>
    <row r="7" spans="1:5">
      <c r="A7" s="17" t="s">
        <v>8</v>
      </c>
      <c r="B7" s="18">
        <f>BS!C10*6/5</f>
        <v>80326.8</v>
      </c>
    </row>
    <row r="8" spans="1:5">
      <c r="A8" s="12" t="s">
        <v>10</v>
      </c>
      <c r="B8" s="10">
        <f>B9+B11+B15+B22</f>
        <v>1663983</v>
      </c>
    </row>
    <row r="9" spans="1:5">
      <c r="A9" s="14" t="s">
        <v>11</v>
      </c>
      <c r="B9" s="15">
        <f>B10</f>
        <v>761525</v>
      </c>
    </row>
    <row r="10" spans="1:5">
      <c r="A10" s="117" t="s">
        <v>12</v>
      </c>
      <c r="B10" s="120">
        <v>761525</v>
      </c>
    </row>
    <row r="11" spans="1:5">
      <c r="A11" s="14" t="s">
        <v>13</v>
      </c>
      <c r="B11" s="15">
        <v>17453</v>
      </c>
    </row>
    <row r="12" spans="1:5">
      <c r="A12" s="17" t="s">
        <v>17</v>
      </c>
      <c r="B12" s="18">
        <v>15853</v>
      </c>
    </row>
    <row r="13" spans="1:5">
      <c r="A13" s="17" t="s">
        <v>14</v>
      </c>
      <c r="B13" s="18">
        <v>162</v>
      </c>
    </row>
    <row r="14" spans="1:5">
      <c r="A14" s="17" t="s">
        <v>15</v>
      </c>
      <c r="B14" s="18">
        <v>1438</v>
      </c>
    </row>
    <row r="15" spans="1:5">
      <c r="A15" s="14" t="s">
        <v>16</v>
      </c>
      <c r="B15" s="15">
        <f>SUM(B16:B21)</f>
        <v>735880</v>
      </c>
    </row>
    <row r="16" spans="1:5">
      <c r="A16" s="17" t="s">
        <v>17</v>
      </c>
      <c r="B16" s="18">
        <v>494673</v>
      </c>
    </row>
    <row r="17" spans="1:2">
      <c r="A17" s="117" t="s">
        <v>18</v>
      </c>
      <c r="B17" s="120">
        <v>136931</v>
      </c>
    </row>
    <row r="18" spans="1:2">
      <c r="A18" s="17" t="s">
        <v>19</v>
      </c>
      <c r="B18" s="18">
        <v>537</v>
      </c>
    </row>
    <row r="19" spans="1:2">
      <c r="A19" s="17" t="s">
        <v>20</v>
      </c>
      <c r="B19" s="18">
        <v>7128</v>
      </c>
    </row>
    <row r="20" spans="1:2">
      <c r="A20" s="17" t="s">
        <v>21</v>
      </c>
      <c r="B20" s="18">
        <v>96539</v>
      </c>
    </row>
    <row r="21" spans="1:2">
      <c r="A21" s="17" t="s">
        <v>22</v>
      </c>
      <c r="B21" s="18">
        <v>72</v>
      </c>
    </row>
    <row r="22" spans="1:2">
      <c r="A22" s="118" t="s">
        <v>23</v>
      </c>
      <c r="B22" s="121">
        <f>B23+B24</f>
        <v>149125</v>
      </c>
    </row>
    <row r="23" spans="1:2">
      <c r="A23" s="17" t="s">
        <v>24</v>
      </c>
      <c r="B23" s="18">
        <v>9070</v>
      </c>
    </row>
    <row r="24" spans="1:2">
      <c r="A24" s="117" t="s">
        <v>25</v>
      </c>
      <c r="B24" s="120">
        <v>140055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4"/>
  <sheetViews>
    <sheetView zoomScale="80" zoomScaleNormal="80" workbookViewId="0">
      <selection sqref="A1:A3"/>
    </sheetView>
  </sheetViews>
  <sheetFormatPr defaultRowHeight="14.5"/>
  <cols>
    <col min="1" max="1" width="25.81640625" bestFit="1" customWidth="1"/>
    <col min="2" max="2" width="10.453125" bestFit="1" customWidth="1"/>
  </cols>
  <sheetData>
    <row r="1" spans="1:10">
      <c r="A1" s="221" t="s">
        <v>308</v>
      </c>
      <c r="B1" s="221" t="s">
        <v>314</v>
      </c>
      <c r="C1" s="222" t="s">
        <v>315</v>
      </c>
      <c r="D1" s="222"/>
      <c r="E1" s="222"/>
      <c r="F1" s="222"/>
      <c r="G1" s="222"/>
      <c r="H1" s="222"/>
      <c r="I1" s="220" t="s">
        <v>319</v>
      </c>
    </row>
    <row r="2" spans="1:10">
      <c r="A2" s="221"/>
      <c r="B2" s="221"/>
      <c r="C2" s="222" t="s">
        <v>316</v>
      </c>
      <c r="D2" s="222"/>
      <c r="E2" s="222" t="s">
        <v>317</v>
      </c>
      <c r="F2" s="222"/>
      <c r="G2" s="222" t="s">
        <v>318</v>
      </c>
      <c r="H2" s="222"/>
      <c r="I2" s="220"/>
    </row>
    <row r="3" spans="1:10">
      <c r="A3" s="221"/>
      <c r="B3" s="221"/>
      <c r="C3" s="203">
        <v>0</v>
      </c>
      <c r="D3" s="203">
        <v>1</v>
      </c>
      <c r="E3" s="203">
        <v>2</v>
      </c>
      <c r="F3" s="203">
        <v>3</v>
      </c>
      <c r="G3" s="203">
        <v>4</v>
      </c>
      <c r="H3" s="203">
        <v>5</v>
      </c>
      <c r="I3" s="220"/>
    </row>
    <row r="4" spans="1:10">
      <c r="A4" s="202" t="s">
        <v>309</v>
      </c>
      <c r="B4" s="201">
        <v>3</v>
      </c>
      <c r="C4" s="201"/>
      <c r="D4" s="201"/>
      <c r="E4" s="201"/>
      <c r="F4" s="201"/>
      <c r="G4" s="201" t="s">
        <v>321</v>
      </c>
      <c r="H4" s="201"/>
      <c r="I4" s="201">
        <f>4*B4</f>
        <v>12</v>
      </c>
    </row>
    <row r="5" spans="1:10">
      <c r="A5" s="202" t="s">
        <v>310</v>
      </c>
      <c r="B5" s="201">
        <v>2</v>
      </c>
      <c r="C5" s="201"/>
      <c r="D5" s="201"/>
      <c r="E5" s="201"/>
      <c r="F5" s="201"/>
      <c r="G5" s="201" t="s">
        <v>321</v>
      </c>
      <c r="H5" s="201"/>
      <c r="I5" s="201">
        <f>4*B5</f>
        <v>8</v>
      </c>
    </row>
    <row r="6" spans="1:10">
      <c r="A6" s="202" t="s">
        <v>311</v>
      </c>
      <c r="B6" s="201">
        <v>1</v>
      </c>
      <c r="C6" s="201"/>
      <c r="D6" s="201"/>
      <c r="E6" s="201" t="s">
        <v>321</v>
      </c>
      <c r="F6" s="201"/>
      <c r="G6" s="201"/>
      <c r="H6" s="201"/>
      <c r="I6" s="201">
        <f>2*B6</f>
        <v>2</v>
      </c>
    </row>
    <row r="7" spans="1:10">
      <c r="A7" s="202" t="s">
        <v>312</v>
      </c>
      <c r="B7" s="201">
        <v>2</v>
      </c>
      <c r="C7" s="201"/>
      <c r="D7" s="201"/>
      <c r="E7" s="201"/>
      <c r="F7" s="201" t="s">
        <v>321</v>
      </c>
      <c r="G7" s="201"/>
      <c r="H7" s="201"/>
      <c r="I7" s="201">
        <f>3*B7</f>
        <v>6</v>
      </c>
    </row>
    <row r="8" spans="1:10">
      <c r="A8" s="202" t="s">
        <v>313</v>
      </c>
      <c r="B8" s="201">
        <v>2</v>
      </c>
      <c r="C8" s="201"/>
      <c r="D8" s="201" t="s">
        <v>321</v>
      </c>
      <c r="E8" s="201"/>
      <c r="F8" s="201"/>
      <c r="G8" s="201"/>
      <c r="H8" s="201"/>
      <c r="I8" s="201">
        <f>1*B8</f>
        <v>2</v>
      </c>
    </row>
    <row r="9" spans="1:10">
      <c r="A9" s="204" t="s">
        <v>320</v>
      </c>
      <c r="B9" s="203">
        <f>SUM(B4:B8)</f>
        <v>10</v>
      </c>
      <c r="C9" s="203"/>
      <c r="D9" s="203"/>
      <c r="E9" s="203"/>
      <c r="F9" s="203"/>
      <c r="G9" s="203"/>
      <c r="H9" s="203"/>
      <c r="I9" s="203">
        <f>SUM(I4:I8)</f>
        <v>30</v>
      </c>
      <c r="J9" s="205"/>
    </row>
    <row r="12" spans="1:10">
      <c r="B12" t="s">
        <v>322</v>
      </c>
      <c r="C12">
        <f>B9*5</f>
        <v>50</v>
      </c>
    </row>
    <row r="13" spans="1:10">
      <c r="B13" t="s">
        <v>324</v>
      </c>
      <c r="C13">
        <f>I9</f>
        <v>30</v>
      </c>
    </row>
    <row r="14" spans="1:10">
      <c r="B14" t="s">
        <v>323</v>
      </c>
      <c r="C14" s="55">
        <f>C13/C12</f>
        <v>0.6</v>
      </c>
    </row>
  </sheetData>
  <mergeCells count="7">
    <mergeCell ref="I1:I3"/>
    <mergeCell ref="A1:A3"/>
    <mergeCell ref="B1:B3"/>
    <mergeCell ref="C1:H1"/>
    <mergeCell ref="C2:D2"/>
    <mergeCell ref="E2:F2"/>
    <mergeCell ref="G2:H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P281"/>
  <sheetViews>
    <sheetView zoomScale="85" zoomScaleNormal="85" workbookViewId="0"/>
  </sheetViews>
  <sheetFormatPr defaultColWidth="9.1796875" defaultRowHeight="12" outlineLevelCol="1"/>
  <cols>
    <col min="1" max="1" width="9.1796875" style="24"/>
    <col min="2" max="2" width="4.54296875" style="24" bestFit="1" customWidth="1"/>
    <col min="3" max="3" width="43.7265625" style="24" customWidth="1"/>
    <col min="4" max="7" width="11" style="24" customWidth="1" outlineLevel="1"/>
    <col min="8" max="8" width="2.453125" style="24" customWidth="1"/>
    <col min="9" max="11" width="8.81640625" style="24" customWidth="1"/>
    <col min="12" max="12" width="2.453125" style="24" customWidth="1"/>
    <col min="13" max="16" width="7.453125" style="24" customWidth="1"/>
    <col min="17" max="16384" width="9.1796875" style="24"/>
  </cols>
  <sheetData>
    <row r="1" spans="1:16">
      <c r="A1" s="135"/>
      <c r="B1" s="138"/>
      <c r="C1" s="143" t="s">
        <v>1</v>
      </c>
      <c r="D1" s="144"/>
      <c r="E1" s="146"/>
      <c r="F1" s="147"/>
      <c r="G1" s="145"/>
      <c r="I1" s="210" t="s">
        <v>91</v>
      </c>
      <c r="J1" s="210"/>
      <c r="K1" s="210"/>
      <c r="M1" s="210" t="s">
        <v>92</v>
      </c>
      <c r="N1" s="210"/>
      <c r="O1" s="210"/>
      <c r="P1" s="210"/>
    </row>
    <row r="2" spans="1:16">
      <c r="A2" s="140"/>
      <c r="B2" s="137"/>
      <c r="C2" s="136"/>
      <c r="D2" s="142">
        <v>2015</v>
      </c>
      <c r="E2" s="142">
        <v>2014</v>
      </c>
      <c r="F2" s="142">
        <v>2013</v>
      </c>
      <c r="G2" s="142">
        <v>2012</v>
      </c>
      <c r="I2" s="151" t="str">
        <f>D2&amp;"/"&amp;E2</f>
        <v>2015/2014</v>
      </c>
      <c r="J2" s="151" t="str">
        <f>E2&amp;"/"&amp;F2</f>
        <v>2014/2013</v>
      </c>
      <c r="K2" s="151" t="str">
        <f>F2&amp;"/"&amp;G2</f>
        <v>2013/2012</v>
      </c>
      <c r="M2" s="151">
        <f>D2</f>
        <v>2015</v>
      </c>
      <c r="N2" s="151">
        <f t="shared" ref="N2:P2" si="0">E2</f>
        <v>2014</v>
      </c>
      <c r="O2" s="151">
        <f t="shared" si="0"/>
        <v>2013</v>
      </c>
      <c r="P2" s="151">
        <f t="shared" si="0"/>
        <v>2012</v>
      </c>
    </row>
    <row r="3" spans="1:16">
      <c r="A3" s="141" t="s">
        <v>87</v>
      </c>
      <c r="B3" s="139" t="s">
        <v>152</v>
      </c>
      <c r="C3" s="36" t="s">
        <v>49</v>
      </c>
      <c r="D3" s="18">
        <v>3789282</v>
      </c>
      <c r="E3" s="18">
        <v>3130277</v>
      </c>
      <c r="F3" s="18">
        <v>2764405</v>
      </c>
      <c r="G3" s="18">
        <v>2444773</v>
      </c>
      <c r="I3" s="47">
        <f>D3/E3-1</f>
        <v>0.2105260972112053</v>
      </c>
      <c r="J3" s="47">
        <f>E3/F3-1</f>
        <v>0.13235108459144018</v>
      </c>
      <c r="K3" s="47">
        <f>F3/G3-1</f>
        <v>0.13074097267926299</v>
      </c>
      <c r="M3" s="47">
        <f>D3/'základní a poměrové ukazatele'!B$4</f>
        <v>0.97445016710229504</v>
      </c>
      <c r="N3" s="47">
        <f>E3/'základní a poměrové ukazatele'!C$4</f>
        <v>0.97782104522006519</v>
      </c>
      <c r="O3" s="47">
        <f>F3/'základní a poměrové ukazatele'!D$4</f>
        <v>0.97586327772127657</v>
      </c>
      <c r="P3" s="47">
        <f>G3/'základní a poměrové ukazatele'!E$4</f>
        <v>0.98156533455816219</v>
      </c>
    </row>
    <row r="4" spans="1:16">
      <c r="A4" s="41" t="s">
        <v>86</v>
      </c>
      <c r="B4" s="36" t="s">
        <v>133</v>
      </c>
      <c r="C4" s="36" t="s">
        <v>50</v>
      </c>
      <c r="D4" s="18">
        <v>2972139</v>
      </c>
      <c r="E4" s="18">
        <v>2407969</v>
      </c>
      <c r="F4" s="18">
        <v>2090110</v>
      </c>
      <c r="G4" s="18">
        <v>1850037</v>
      </c>
      <c r="H4" s="53"/>
      <c r="I4" s="47">
        <f t="shared" ref="I4:I37" si="1">D4/E4-1</f>
        <v>0.23429288333861442</v>
      </c>
      <c r="J4" s="47">
        <f t="shared" ref="J4:J37" si="2">E4/F4-1</f>
        <v>0.15207764184660144</v>
      </c>
      <c r="K4" s="47">
        <f t="shared" ref="K4:K37" si="3">F4/G4-1</f>
        <v>0.12976659385731204</v>
      </c>
      <c r="M4" s="47">
        <f>D4/'základní a poměrové ukazatele'!B$4</f>
        <v>0.7643140165343324</v>
      </c>
      <c r="N4" s="47">
        <f>E4/'základní a poměrové ukazatele'!C$4</f>
        <v>0.75218990665602925</v>
      </c>
      <c r="O4" s="47">
        <f>F4/'základní a poměrové ukazatele'!D$4</f>
        <v>0.73783023666865644</v>
      </c>
      <c r="P4" s="47">
        <f>G4/'základní a poměrové ukazatele'!E$4</f>
        <v>0.7427815125780507</v>
      </c>
    </row>
    <row r="5" spans="1:16">
      <c r="A5" s="41"/>
      <c r="B5" s="35" t="s">
        <v>153</v>
      </c>
      <c r="C5" s="35" t="s">
        <v>51</v>
      </c>
      <c r="D5" s="10">
        <f t="shared" ref="D5:G5" si="4">D3-D4</f>
        <v>817143</v>
      </c>
      <c r="E5" s="10">
        <f t="shared" si="4"/>
        <v>722308</v>
      </c>
      <c r="F5" s="10">
        <f t="shared" si="4"/>
        <v>674295</v>
      </c>
      <c r="G5" s="10">
        <f t="shared" si="4"/>
        <v>594736</v>
      </c>
      <c r="H5" s="53"/>
      <c r="I5" s="45">
        <f t="shared" si="1"/>
        <v>0.13129440626436373</v>
      </c>
      <c r="J5" s="45">
        <f t="shared" si="2"/>
        <v>7.1204739765236225E-2</v>
      </c>
      <c r="K5" s="45">
        <f t="shared" si="3"/>
        <v>0.13377195932312835</v>
      </c>
      <c r="M5" s="45">
        <f>D5/'základní a poměrové ukazatele'!B$4</f>
        <v>0.21013615056796264</v>
      </c>
      <c r="N5" s="45">
        <f>E5/'základní a poměrové ukazatele'!C$4</f>
        <v>0.22563113856403599</v>
      </c>
      <c r="O5" s="45">
        <f>F5/'základní a poměrové ukazatele'!D$4</f>
        <v>0.23803304105262005</v>
      </c>
      <c r="P5" s="45">
        <f>G5/'základní a poměrové ukazatele'!E$4</f>
        <v>0.23878382198011153</v>
      </c>
    </row>
    <row r="6" spans="1:16">
      <c r="A6" s="41" t="s">
        <v>87</v>
      </c>
      <c r="B6" s="36" t="s">
        <v>154</v>
      </c>
      <c r="C6" s="36" t="s">
        <v>52</v>
      </c>
      <c r="D6" s="18">
        <v>97066</v>
      </c>
      <c r="E6" s="18">
        <v>68182</v>
      </c>
      <c r="F6" s="18">
        <v>64883</v>
      </c>
      <c r="G6" s="18">
        <v>43706</v>
      </c>
      <c r="I6" s="47">
        <f t="shared" si="1"/>
        <v>0.42363087031767921</v>
      </c>
      <c r="J6" s="47">
        <f t="shared" si="2"/>
        <v>5.0845367815914866E-2</v>
      </c>
      <c r="K6" s="47">
        <f t="shared" si="3"/>
        <v>0.48453301606186794</v>
      </c>
      <c r="M6" s="47">
        <f>D6/'základní a poměrové ukazatele'!B$4</f>
        <v>2.496145177897854E-2</v>
      </c>
      <c r="N6" s="47">
        <f>E6/'základní a poměrové ukazatele'!C$4</f>
        <v>2.1298368963895045E-2</v>
      </c>
      <c r="O6" s="47">
        <f>F6/'základní a poměrové ukazatele'!D$4</f>
        <v>2.2904363524298931E-2</v>
      </c>
      <c r="P6" s="47">
        <f>G6/'základní a poměrové ukazatele'!E$4</f>
        <v>1.7547761903538298E-2</v>
      </c>
    </row>
    <row r="7" spans="1:16">
      <c r="A7" s="41"/>
      <c r="B7" s="36" t="s">
        <v>155</v>
      </c>
      <c r="C7" s="36" t="s">
        <v>53</v>
      </c>
      <c r="D7" s="18">
        <v>97066</v>
      </c>
      <c r="E7" s="18">
        <v>68182</v>
      </c>
      <c r="F7" s="18">
        <v>64883</v>
      </c>
      <c r="G7" s="18">
        <v>43706</v>
      </c>
      <c r="I7" s="47">
        <f t="shared" si="1"/>
        <v>0.42363087031767921</v>
      </c>
      <c r="J7" s="47">
        <f t="shared" si="2"/>
        <v>5.0845367815914866E-2</v>
      </c>
      <c r="K7" s="47">
        <f t="shared" si="3"/>
        <v>0.48453301606186794</v>
      </c>
      <c r="M7" s="47">
        <f>D7/'základní a poměrové ukazatele'!B$4</f>
        <v>2.496145177897854E-2</v>
      </c>
      <c r="N7" s="47">
        <f>E7/'základní a poměrové ukazatele'!C$4</f>
        <v>2.1298368963895045E-2</v>
      </c>
      <c r="O7" s="47">
        <f>F7/'základní a poměrové ukazatele'!D$4</f>
        <v>2.2904363524298931E-2</v>
      </c>
      <c r="P7" s="47">
        <f>G7/'základní a poměrové ukazatele'!E$4</f>
        <v>1.7547761903538298E-2</v>
      </c>
    </row>
    <row r="8" spans="1:16">
      <c r="A8" s="41" t="s">
        <v>86</v>
      </c>
      <c r="B8" s="35" t="s">
        <v>109</v>
      </c>
      <c r="C8" s="35" t="s">
        <v>54</v>
      </c>
      <c r="D8" s="10">
        <v>319936</v>
      </c>
      <c r="E8" s="10">
        <v>281153</v>
      </c>
      <c r="F8" s="10">
        <v>263340</v>
      </c>
      <c r="G8" s="10">
        <v>238014</v>
      </c>
      <c r="I8" s="45">
        <f t="shared" si="1"/>
        <v>0.13794268601081972</v>
      </c>
      <c r="J8" s="45">
        <f t="shared" si="2"/>
        <v>6.7642591326801949E-2</v>
      </c>
      <c r="K8" s="45">
        <f t="shared" si="3"/>
        <v>0.10640550555849648</v>
      </c>
      <c r="M8" s="45">
        <f>D8/'základní a poměrové ukazatele'!B$4</f>
        <v>8.2274607343037501E-2</v>
      </c>
      <c r="N8" s="45">
        <f>E8/'základní a poměrové ukazatele'!C$4</f>
        <v>8.7825237295854966E-2</v>
      </c>
      <c r="O8" s="45">
        <f>F8/'základní a poměrové ukazatele'!D$4</f>
        <v>9.2961717098298174E-2</v>
      </c>
      <c r="P8" s="45">
        <f>G8/'základní a poměrové ukazatele'!E$4</f>
        <v>9.5561547652696768E-2</v>
      </c>
    </row>
    <row r="9" spans="1:16">
      <c r="A9" s="41"/>
      <c r="B9" s="36" t="s">
        <v>156</v>
      </c>
      <c r="C9" s="36" t="s">
        <v>55</v>
      </c>
      <c r="D9" s="18">
        <v>47502</v>
      </c>
      <c r="E9" s="18">
        <v>49357</v>
      </c>
      <c r="F9" s="18">
        <v>46744</v>
      </c>
      <c r="G9" s="18">
        <v>46849</v>
      </c>
      <c r="I9" s="47">
        <f t="shared" si="1"/>
        <v>-3.7583321514678802E-2</v>
      </c>
      <c r="J9" s="47">
        <f t="shared" si="2"/>
        <v>5.5900222488447726E-2</v>
      </c>
      <c r="K9" s="47">
        <f t="shared" si="3"/>
        <v>-2.2412431428632251E-3</v>
      </c>
      <c r="M9" s="47">
        <f>D9/'základní a poměrové ukazatele'!B$4</f>
        <v>1.2215594362650553E-2</v>
      </c>
      <c r="N9" s="47">
        <f>E9/'základní a poměrové ukazatele'!C$4</f>
        <v>1.5417904974200928E-2</v>
      </c>
      <c r="O9" s="47">
        <f>F9/'základní a poměrové ukazatele'!D$4</f>
        <v>1.6501110746726094E-2</v>
      </c>
      <c r="P9" s="47">
        <f>G9/'základní a poměrové ukazatele'!E$4</f>
        <v>1.8809662229873833E-2</v>
      </c>
    </row>
    <row r="10" spans="1:16">
      <c r="A10" s="41"/>
      <c r="B10" s="36" t="s">
        <v>157</v>
      </c>
      <c r="C10" s="36" t="s">
        <v>56</v>
      </c>
      <c r="D10" s="18">
        <v>272434</v>
      </c>
      <c r="E10" s="18">
        <v>231796</v>
      </c>
      <c r="F10" s="18">
        <v>216596</v>
      </c>
      <c r="G10" s="18">
        <v>191165</v>
      </c>
      <c r="I10" s="47">
        <f t="shared" si="1"/>
        <v>0.17531795199226896</v>
      </c>
      <c r="J10" s="47">
        <f t="shared" si="2"/>
        <v>7.0176734565735366E-2</v>
      </c>
      <c r="K10" s="47">
        <f t="shared" si="3"/>
        <v>0.13303167420814477</v>
      </c>
      <c r="M10" s="47">
        <f>D10/'základní a poměrové ukazatele'!B$4</f>
        <v>7.0059012980386956E-2</v>
      </c>
      <c r="N10" s="47">
        <f>E10/'základní a poměrové ukazatele'!C$4</f>
        <v>7.2407332321654042E-2</v>
      </c>
      <c r="O10" s="47">
        <f>F10/'základní a poměrové ukazatele'!D$4</f>
        <v>7.6460606351572077E-2</v>
      </c>
      <c r="P10" s="47">
        <f>G10/'základní a poměrové ukazatele'!E$4</f>
        <v>7.6751885422822935E-2</v>
      </c>
    </row>
    <row r="11" spans="1:16">
      <c r="A11" s="41"/>
      <c r="B11" s="35" t="s">
        <v>153</v>
      </c>
      <c r="C11" s="35" t="s">
        <v>57</v>
      </c>
      <c r="D11" s="10">
        <v>594272</v>
      </c>
      <c r="E11" s="10">
        <v>509337</v>
      </c>
      <c r="F11" s="10">
        <v>475838</v>
      </c>
      <c r="G11" s="10">
        <v>400428</v>
      </c>
      <c r="H11" s="53"/>
      <c r="I11" s="45">
        <f t="shared" si="1"/>
        <v>0.16675599848430411</v>
      </c>
      <c r="J11" s="45">
        <f t="shared" si="2"/>
        <v>7.0400010087466658E-2</v>
      </c>
      <c r="K11" s="45">
        <f t="shared" si="3"/>
        <v>0.1883234938615681</v>
      </c>
      <c r="M11" s="45">
        <f>D11/'základní a poměrové ukazatele'!B$4</f>
        <v>0.15282273784432382</v>
      </c>
      <c r="N11" s="45">
        <f>E11/'základní a poměrové ukazatele'!C$4</f>
        <v>0.15910427023207607</v>
      </c>
      <c r="O11" s="45">
        <f>F11/'základní a poměrové ukazatele'!D$4</f>
        <v>0.16797568747862082</v>
      </c>
      <c r="P11" s="45">
        <f>G11/'základní a poměrové ukazatele'!E$4</f>
        <v>0.16077003623095307</v>
      </c>
    </row>
    <row r="12" spans="1:16">
      <c r="A12" s="41" t="s">
        <v>86</v>
      </c>
      <c r="B12" s="36" t="s">
        <v>108</v>
      </c>
      <c r="C12" s="36" t="s">
        <v>58</v>
      </c>
      <c r="D12" s="18">
        <v>322161</v>
      </c>
      <c r="E12" s="18">
        <v>292787</v>
      </c>
      <c r="F12" s="18">
        <v>274782</v>
      </c>
      <c r="G12" s="18">
        <v>246120</v>
      </c>
      <c r="I12" s="47">
        <f t="shared" si="1"/>
        <v>0.10032549259359191</v>
      </c>
      <c r="J12" s="47">
        <f t="shared" si="2"/>
        <v>6.5524670466042156E-2</v>
      </c>
      <c r="K12" s="47">
        <f t="shared" si="3"/>
        <v>0.11645538761579721</v>
      </c>
      <c r="M12" s="47">
        <f>D12/'základní a poměrové ukazatele'!B$4</f>
        <v>8.2846787408232606E-2</v>
      </c>
      <c r="N12" s="47">
        <f>E12/'základní a poměrové ukazatele'!C$4</f>
        <v>9.1459410897772708E-2</v>
      </c>
      <c r="O12" s="47">
        <f>F12/'základní a poměrové ukazatele'!D$4</f>
        <v>9.7000860285959473E-2</v>
      </c>
      <c r="P12" s="47">
        <f>G12/'základní a poměrové ukazatele'!E$4</f>
        <v>9.8816070097900666E-2</v>
      </c>
    </row>
    <row r="13" spans="1:16">
      <c r="A13" s="41"/>
      <c r="B13" s="36" t="s">
        <v>158</v>
      </c>
      <c r="C13" s="36" t="s">
        <v>59</v>
      </c>
      <c r="D13" s="18">
        <v>236699</v>
      </c>
      <c r="E13" s="18">
        <v>214430</v>
      </c>
      <c r="F13" s="18">
        <v>201146</v>
      </c>
      <c r="G13" s="18">
        <v>179820</v>
      </c>
      <c r="I13" s="47">
        <f t="shared" si="1"/>
        <v>0.10385207293755538</v>
      </c>
      <c r="J13" s="47">
        <f t="shared" si="2"/>
        <v>6.6041581736649091E-2</v>
      </c>
      <c r="K13" s="47">
        <f t="shared" si="3"/>
        <v>0.11859637415192981</v>
      </c>
      <c r="M13" s="47">
        <f>D13/'základní a poměrové ukazatele'!B$4</f>
        <v>6.0869415393983904E-2</v>
      </c>
      <c r="N13" s="47">
        <f>E13/'základní a poměrové ukazatele'!C$4</f>
        <v>6.6982623814614034E-2</v>
      </c>
      <c r="O13" s="47">
        <f>F13/'základní a poměrové ukazatele'!D$4</f>
        <v>7.1006598114431094E-2</v>
      </c>
      <c r="P13" s="47">
        <f>G13/'základní a poměrové ukazatele'!E$4</f>
        <v>7.219691908420485E-2</v>
      </c>
    </row>
    <row r="14" spans="1:16">
      <c r="A14" s="41"/>
      <c r="B14" s="36" t="s">
        <v>159</v>
      </c>
      <c r="C14" s="36" t="s">
        <v>60</v>
      </c>
      <c r="D14" s="18">
        <v>79012</v>
      </c>
      <c r="E14" s="18">
        <v>72362</v>
      </c>
      <c r="F14" s="18">
        <v>67188</v>
      </c>
      <c r="G14" s="18">
        <v>60394</v>
      </c>
      <c r="I14" s="47">
        <f t="shared" si="1"/>
        <v>9.1899063044139195E-2</v>
      </c>
      <c r="J14" s="47">
        <f t="shared" si="2"/>
        <v>7.7007799011728384E-2</v>
      </c>
      <c r="K14" s="47">
        <f t="shared" si="3"/>
        <v>0.11249461867072896</v>
      </c>
      <c r="M14" s="47">
        <f>D14/'základní a poměrové ukazatele'!B$4</f>
        <v>2.0318692724132576E-2</v>
      </c>
      <c r="N14" s="47">
        <f>E14/'základní a poměrové ukazatele'!C$4</f>
        <v>2.2604097488565504E-2</v>
      </c>
      <c r="O14" s="47">
        <f>F14/'základní a poměrové ukazatele'!D$4</f>
        <v>2.3718052131846502E-2</v>
      </c>
      <c r="P14" s="47">
        <f>G14/'základní a poměrové ukazatele'!E$4</f>
        <v>2.4247918647377752E-2</v>
      </c>
    </row>
    <row r="15" spans="1:16">
      <c r="A15" s="41"/>
      <c r="B15" s="36" t="s">
        <v>160</v>
      </c>
      <c r="C15" s="36" t="s">
        <v>61</v>
      </c>
      <c r="D15" s="18">
        <v>6450</v>
      </c>
      <c r="E15" s="18">
        <v>5995</v>
      </c>
      <c r="F15" s="18">
        <v>6448</v>
      </c>
      <c r="G15" s="18">
        <v>5906</v>
      </c>
      <c r="I15" s="47">
        <f t="shared" si="1"/>
        <v>7.5896580483736376E-2</v>
      </c>
      <c r="J15" s="47">
        <f t="shared" si="2"/>
        <v>-7.0254342431761763E-2</v>
      </c>
      <c r="K15" s="47">
        <f t="shared" si="3"/>
        <v>9.1771080257365467E-2</v>
      </c>
      <c r="M15" s="47">
        <f>D15/'základní a poměrové ukazatele'!B$4</f>
        <v>1.6586792901161229E-3</v>
      </c>
      <c r="N15" s="47">
        <f>E15/'základní a poměrové ukazatele'!C$4</f>
        <v>1.8726895945931593E-3</v>
      </c>
      <c r="O15" s="47">
        <f>F15/'základní a poměrové ukazatele'!D$4</f>
        <v>2.2762100396818813E-3</v>
      </c>
      <c r="P15" s="47">
        <f>G15/'základní a poměrové ukazatele'!E$4</f>
        <v>2.3712323663180614E-3</v>
      </c>
    </row>
    <row r="16" spans="1:16">
      <c r="A16" s="41" t="s">
        <v>86</v>
      </c>
      <c r="B16" s="36" t="s">
        <v>161</v>
      </c>
      <c r="C16" s="36" t="s">
        <v>62</v>
      </c>
      <c r="D16" s="18">
        <v>1284</v>
      </c>
      <c r="E16" s="18">
        <v>1297</v>
      </c>
      <c r="F16" s="18">
        <v>1311</v>
      </c>
      <c r="G16" s="18">
        <v>1373</v>
      </c>
      <c r="I16" s="47">
        <f t="shared" si="1"/>
        <v>-1.0023130300693905E-2</v>
      </c>
      <c r="J16" s="47">
        <f t="shared" si="2"/>
        <v>-1.067887109077037E-2</v>
      </c>
      <c r="K16" s="47">
        <f t="shared" si="3"/>
        <v>-4.5156591405680957E-2</v>
      </c>
      <c r="M16" s="47">
        <f>D16/'základní a poměrové ukazatele'!B$4</f>
        <v>3.3019290054404682E-4</v>
      </c>
      <c r="N16" s="47">
        <f>E16/'základní a poměrové ukazatele'!C$4</f>
        <v>4.051506929420063E-4</v>
      </c>
      <c r="O16" s="47">
        <f>F16/'základní a poměrové ukazatele'!D$4</f>
        <v>4.6279642711273983E-4</v>
      </c>
      <c r="P16" s="47">
        <f>G16/'základní a poměrové ukazatele'!E$4</f>
        <v>5.5125330832284092E-4</v>
      </c>
    </row>
    <row r="17" spans="1:16">
      <c r="A17" s="41" t="s">
        <v>86</v>
      </c>
      <c r="B17" s="36" t="s">
        <v>162</v>
      </c>
      <c r="C17" s="36" t="s">
        <v>63</v>
      </c>
      <c r="D17" s="18">
        <v>32162</v>
      </c>
      <c r="E17" s="18">
        <v>32163</v>
      </c>
      <c r="F17" s="18">
        <v>31942</v>
      </c>
      <c r="G17" s="18">
        <v>30330</v>
      </c>
      <c r="I17" s="47">
        <f t="shared" si="1"/>
        <v>-3.1091627024859569E-5</v>
      </c>
      <c r="J17" s="47">
        <f t="shared" si="2"/>
        <v>6.9187903074321433E-3</v>
      </c>
      <c r="K17" s="47">
        <f t="shared" si="3"/>
        <v>5.3148697659083366E-2</v>
      </c>
      <c r="M17" s="47">
        <f>D17/'základní a poměrové ukazatele'!B$4</f>
        <v>8.2707664075526745E-3</v>
      </c>
      <c r="N17" s="47">
        <f>E17/'základní a poměrové ukazatele'!C$4</f>
        <v>1.0046925009324401E-2</v>
      </c>
      <c r="O17" s="47">
        <f>F17/'základní a poměrové ukazatele'!D$4</f>
        <v>1.1275853146327335E-2</v>
      </c>
      <c r="P17" s="47">
        <f>G17/'základní a poměrové ukazatele'!E$4</f>
        <v>1.217735822391243E-2</v>
      </c>
    </row>
    <row r="18" spans="1:16">
      <c r="A18" s="41" t="s">
        <v>87</v>
      </c>
      <c r="B18" s="36" t="s">
        <v>163</v>
      </c>
      <c r="C18" s="36" t="s">
        <v>64</v>
      </c>
      <c r="D18" s="18">
        <v>2288</v>
      </c>
      <c r="E18" s="18">
        <v>2819</v>
      </c>
      <c r="F18" s="18">
        <v>3491</v>
      </c>
      <c r="G18" s="18">
        <v>2209</v>
      </c>
      <c r="I18" s="47">
        <f t="shared" si="1"/>
        <v>-0.18836466832210008</v>
      </c>
      <c r="J18" s="47">
        <f t="shared" si="2"/>
        <v>-0.19249498710971069</v>
      </c>
      <c r="K18" s="47">
        <f t="shared" si="3"/>
        <v>0.5803531009506564</v>
      </c>
      <c r="M18" s="47">
        <f>D18/'základní a poměrové ukazatele'!B$4</f>
        <v>5.8838111872646346E-4</v>
      </c>
      <c r="N18" s="47">
        <f>E18/'základní a poměrové ukazatele'!C$4</f>
        <v>8.8058581603971911E-4</v>
      </c>
      <c r="O18" s="47">
        <f>F18/'základní a poměrové ukazatele'!D$4</f>
        <v>1.2323587544245422E-3</v>
      </c>
      <c r="P18" s="47">
        <f>G18/'základní a poměrové ukazatele'!E$4</f>
        <v>8.8690353829945783E-4</v>
      </c>
    </row>
    <row r="19" spans="1:16">
      <c r="A19" s="41"/>
      <c r="B19" s="36" t="s">
        <v>164</v>
      </c>
      <c r="C19" s="36" t="s">
        <v>65</v>
      </c>
      <c r="D19" s="18">
        <v>956</v>
      </c>
      <c r="E19" s="18">
        <v>1353</v>
      </c>
      <c r="F19" s="18">
        <v>2033</v>
      </c>
      <c r="G19" s="18">
        <v>886</v>
      </c>
      <c r="I19" s="47">
        <f t="shared" si="1"/>
        <v>-0.29342202512934223</v>
      </c>
      <c r="J19" s="47">
        <f t="shared" si="2"/>
        <v>-0.33448106246925724</v>
      </c>
      <c r="K19" s="47">
        <f t="shared" si="3"/>
        <v>1.2945823927765239</v>
      </c>
      <c r="M19" s="47">
        <f>D19/'základní a poměrové ukazatele'!B$4</f>
        <v>2.4584455834899437E-4</v>
      </c>
      <c r="N19" s="47">
        <f>E19/'základní a poměrové ukazatele'!C$4</f>
        <v>4.2264370666964879E-4</v>
      </c>
      <c r="O19" s="47">
        <f>F19/'základní a poměrové ukazatele'!D$4</f>
        <v>7.1766982175453854E-4</v>
      </c>
      <c r="P19" s="47">
        <f>G19/'základní a poměrové ukazatele'!E$4</f>
        <v>3.5572500449674948E-4</v>
      </c>
    </row>
    <row r="20" spans="1:16">
      <c r="A20" s="41"/>
      <c r="B20" s="36" t="s">
        <v>165</v>
      </c>
      <c r="C20" s="36" t="s">
        <v>66</v>
      </c>
      <c r="D20" s="18">
        <v>1331</v>
      </c>
      <c r="E20" s="18">
        <v>1466</v>
      </c>
      <c r="F20" s="18">
        <v>1458</v>
      </c>
      <c r="G20" s="18">
        <v>1323</v>
      </c>
      <c r="I20" s="47">
        <f t="shared" si="1"/>
        <v>-9.2087312414734002E-2</v>
      </c>
      <c r="J20" s="47">
        <f t="shared" si="2"/>
        <v>5.4869684499314619E-3</v>
      </c>
      <c r="K20" s="47">
        <f t="shared" si="3"/>
        <v>0.1020408163265305</v>
      </c>
      <c r="M20" s="47">
        <f>D20/'základní a poměrové ukazatele'!B$4</f>
        <v>3.4227940079760617E-4</v>
      </c>
      <c r="N20" s="47">
        <f>E20/'základní a poměrové ukazatele'!C$4</f>
        <v>4.5794210937007032E-4</v>
      </c>
      <c r="O20" s="47">
        <f>F20/'základní a poměrové ukazatele'!D$4</f>
        <v>5.1468893267000353E-4</v>
      </c>
      <c r="P20" s="47">
        <f>G20/'základní a poměrové ukazatele'!E$4</f>
        <v>5.311785338027083E-4</v>
      </c>
    </row>
    <row r="21" spans="1:16">
      <c r="A21" s="41" t="s">
        <v>86</v>
      </c>
      <c r="B21" s="36" t="s">
        <v>166</v>
      </c>
      <c r="C21" s="36" t="s">
        <v>68</v>
      </c>
      <c r="D21" s="18">
        <v>12</v>
      </c>
      <c r="E21" s="18">
        <v>281</v>
      </c>
      <c r="F21" s="18">
        <v>3</v>
      </c>
      <c r="G21" s="18">
        <v>325</v>
      </c>
      <c r="I21" s="47">
        <f t="shared" si="1"/>
        <v>-0.95729537366548045</v>
      </c>
      <c r="J21" s="47">
        <f t="shared" si="2"/>
        <v>92.666666666666671</v>
      </c>
      <c r="K21" s="47">
        <f t="shared" si="3"/>
        <v>-0.99076923076923074</v>
      </c>
      <c r="M21" s="47">
        <f>D21/'základní a poměrové ukazatele'!B$4</f>
        <v>3.0859149583555775E-6</v>
      </c>
      <c r="N21" s="47">
        <f>E21/'základní a poměrové ukazatele'!C$4</f>
        <v>8.7777443883349087E-5</v>
      </c>
      <c r="O21" s="47">
        <f>F21/'základní a poměrové ukazatele'!D$4</f>
        <v>1.0590307256584435E-6</v>
      </c>
      <c r="P21" s="47">
        <f>G21/'základní a poměrové ukazatele'!E$4</f>
        <v>1.3048603438086184E-4</v>
      </c>
    </row>
    <row r="22" spans="1:16">
      <c r="A22" s="41"/>
      <c r="B22" s="36" t="s">
        <v>167</v>
      </c>
      <c r="C22" s="36" t="s">
        <v>67</v>
      </c>
      <c r="D22" s="18">
        <v>12</v>
      </c>
      <c r="E22" s="18">
        <v>281</v>
      </c>
      <c r="F22" s="18">
        <v>3</v>
      </c>
      <c r="G22" s="18">
        <v>325</v>
      </c>
      <c r="I22" s="47">
        <f t="shared" si="1"/>
        <v>-0.95729537366548045</v>
      </c>
      <c r="J22" s="47">
        <f t="shared" si="2"/>
        <v>92.666666666666671</v>
      </c>
      <c r="K22" s="47">
        <f t="shared" si="3"/>
        <v>-0.99076923076923074</v>
      </c>
      <c r="M22" s="47">
        <f>D22/'základní a poměrové ukazatele'!B$4</f>
        <v>3.0859149583555775E-6</v>
      </c>
      <c r="N22" s="47">
        <f>E22/'základní a poměrové ukazatele'!C$4</f>
        <v>8.7777443883349087E-5</v>
      </c>
      <c r="O22" s="47">
        <f>F22/'základní a poměrové ukazatele'!D$4</f>
        <v>1.0590307256584435E-6</v>
      </c>
      <c r="P22" s="47">
        <f>G22/'základní a poměrové ukazatele'!E$4</f>
        <v>1.3048603438086184E-4</v>
      </c>
    </row>
    <row r="23" spans="1:16" ht="12" customHeight="1">
      <c r="A23" s="41" t="s">
        <v>86</v>
      </c>
      <c r="B23" s="40" t="s">
        <v>168</v>
      </c>
      <c r="C23" s="40" t="s">
        <v>69</v>
      </c>
      <c r="D23" s="18">
        <v>-706</v>
      </c>
      <c r="E23" s="18">
        <v>2794</v>
      </c>
      <c r="F23" s="18">
        <v>4618</v>
      </c>
      <c r="G23" s="18">
        <v>3781</v>
      </c>
      <c r="I23" s="47">
        <f t="shared" si="1"/>
        <v>-1.2526843235504652</v>
      </c>
      <c r="J23" s="47">
        <f t="shared" si="2"/>
        <v>-0.39497618016457336</v>
      </c>
      <c r="K23" s="47">
        <f t="shared" si="3"/>
        <v>0.22137000793440897</v>
      </c>
      <c r="M23" s="47">
        <f>D23/'základní a poměrové ukazatele'!B$4</f>
        <v>-1.8155466338325315E-4</v>
      </c>
      <c r="N23" s="47">
        <f>E23/'základní a poměrové ukazatele'!C$4</f>
        <v>8.7277643491130729E-4</v>
      </c>
      <c r="O23" s="47">
        <f>F23/'základní a poměrové ukazatele'!D$4</f>
        <v>1.6302012970302307E-3</v>
      </c>
      <c r="P23" s="47">
        <f>G23/'základní a poměrové ukazatele'!E$4</f>
        <v>1.5180544492124264E-3</v>
      </c>
    </row>
    <row r="24" spans="1:16">
      <c r="A24" s="41" t="s">
        <v>87</v>
      </c>
      <c r="B24" s="36" t="s">
        <v>169</v>
      </c>
      <c r="C24" s="36" t="s">
        <v>70</v>
      </c>
      <c r="D24" s="18">
        <v>13412</v>
      </c>
      <c r="E24" s="18">
        <v>11598</v>
      </c>
      <c r="F24" s="18">
        <v>11492</v>
      </c>
      <c r="G24" s="18">
        <v>10255</v>
      </c>
      <c r="I24" s="47">
        <f t="shared" si="1"/>
        <v>0.15640627694430065</v>
      </c>
      <c r="J24" s="47">
        <f t="shared" si="2"/>
        <v>9.2238078663418044E-3</v>
      </c>
      <c r="K24" s="47">
        <f t="shared" si="3"/>
        <v>0.12062408581179906</v>
      </c>
      <c r="M24" s="47">
        <f>D24/'základní a poměrové ukazatele'!B$4</f>
        <v>3.4490242851220841E-3</v>
      </c>
      <c r="N24" s="47">
        <f>E24/'základní a poměrové ukazatele'!C$4</f>
        <v>3.6229280930928209E-3</v>
      </c>
      <c r="O24" s="47">
        <f>F24/'základní a poměrové ukazatele'!D$4</f>
        <v>4.0567936997556106E-3</v>
      </c>
      <c r="P24" s="47">
        <f>G24/'základní a poměrové ukazatele'!E$4</f>
        <v>4.1173362540791944E-3</v>
      </c>
    </row>
    <row r="25" spans="1:16">
      <c r="A25" s="41" t="s">
        <v>86</v>
      </c>
      <c r="B25" s="36" t="s">
        <v>170</v>
      </c>
      <c r="C25" s="36" t="s">
        <v>71</v>
      </c>
      <c r="D25" s="18">
        <v>26882</v>
      </c>
      <c r="E25" s="18">
        <v>23540</v>
      </c>
      <c r="F25" s="18">
        <v>32803</v>
      </c>
      <c r="G25" s="18">
        <v>27522</v>
      </c>
      <c r="H25" s="53"/>
      <c r="I25" s="47">
        <f t="shared" si="1"/>
        <v>0.14197111299915033</v>
      </c>
      <c r="J25" s="47">
        <f t="shared" si="2"/>
        <v>-0.28238270889857631</v>
      </c>
      <c r="K25" s="47">
        <f t="shared" si="3"/>
        <v>0.19188285735048316</v>
      </c>
      <c r="M25" s="47">
        <f>D25/'základní a poměrové ukazatele'!B$4</f>
        <v>6.9129638258762201E-3</v>
      </c>
      <c r="N25" s="47">
        <f>E25/'základní a poměrové ukazatele'!C$4</f>
        <v>7.3533132705125891E-3</v>
      </c>
      <c r="O25" s="47">
        <f>F25/'základní a poměrové ukazatele'!D$4</f>
        <v>1.1579794964591307E-2</v>
      </c>
      <c r="P25" s="47">
        <f>G25/'základní a poměrové ukazatele'!E$4</f>
        <v>1.1049958886861782E-2</v>
      </c>
    </row>
    <row r="26" spans="1:16">
      <c r="A26" s="41"/>
      <c r="B26" s="35" t="s">
        <v>171</v>
      </c>
      <c r="C26" s="35" t="s">
        <v>72</v>
      </c>
      <c r="D26" s="10">
        <f t="shared" ref="D26" si="5">D11-D12-D16-D17+D18-D21-D23+D24-D25</f>
        <v>228177</v>
      </c>
      <c r="E26" s="10">
        <f t="shared" ref="E26:G26" si="6">E11-E12-E16-E17+E18-E21-E23+E24-E25</f>
        <v>170892</v>
      </c>
      <c r="F26" s="10">
        <f t="shared" si="6"/>
        <v>145362</v>
      </c>
      <c r="G26" s="10">
        <f t="shared" si="6"/>
        <v>103441</v>
      </c>
      <c r="H26" s="53"/>
      <c r="I26" s="45">
        <f t="shared" si="1"/>
        <v>0.33521171266062777</v>
      </c>
      <c r="J26" s="45">
        <f t="shared" si="2"/>
        <v>0.1756304949023817</v>
      </c>
      <c r="K26" s="45">
        <f t="shared" si="3"/>
        <v>0.40526483696019944</v>
      </c>
      <c r="M26" s="45">
        <f>D26/'základní a poměrové ukazatele'!B$4</f>
        <v>5.8677901454391723E-2</v>
      </c>
      <c r="N26" s="45">
        <f>E26/'základní a poměrové ukazatele'!C$4</f>
        <v>5.3382430391862253E-2</v>
      </c>
      <c r="O26" s="45">
        <f>F26/'základní a poměrové ukazatele'!D$4</f>
        <v>5.1314274781054221E-2</v>
      </c>
      <c r="P26" s="45">
        <f>G26/'základní a poměrové ukazatele'!E$4</f>
        <v>4.1531095022740702E-2</v>
      </c>
    </row>
    <row r="27" spans="1:16">
      <c r="A27" s="41" t="s">
        <v>87</v>
      </c>
      <c r="B27" s="36" t="s">
        <v>172</v>
      </c>
      <c r="C27" s="36" t="s">
        <v>73</v>
      </c>
      <c r="D27" s="18">
        <v>2866</v>
      </c>
      <c r="E27" s="18">
        <v>2805</v>
      </c>
      <c r="F27" s="18">
        <v>1611</v>
      </c>
      <c r="G27" s="18">
        <v>50</v>
      </c>
      <c r="I27" s="47">
        <f t="shared" si="1"/>
        <v>2.1746880570409965E-2</v>
      </c>
      <c r="J27" s="47">
        <f t="shared" si="2"/>
        <v>0.74115456238361266</v>
      </c>
      <c r="K27" s="47">
        <f t="shared" si="3"/>
        <v>31.22</v>
      </c>
      <c r="M27" s="47">
        <f>D27/'základní a poměrové ukazatele'!B$4</f>
        <v>7.3701935588725716E-4</v>
      </c>
      <c r="N27" s="47">
        <f>E27/'základní a poměrové ukazatele'!C$4</f>
        <v>8.7621256260780856E-4</v>
      </c>
      <c r="O27" s="47">
        <f>F27/'základní a poměrové ukazatele'!D$4</f>
        <v>5.6869949967858419E-4</v>
      </c>
      <c r="P27" s="47">
        <f>G27/'základní a poměrové ukazatele'!E$4</f>
        <v>2.0074774520132591E-5</v>
      </c>
    </row>
    <row r="28" spans="1:16">
      <c r="A28" s="41" t="s">
        <v>86</v>
      </c>
      <c r="B28" s="36" t="s">
        <v>173</v>
      </c>
      <c r="C28" s="36" t="s">
        <v>74</v>
      </c>
      <c r="D28" s="18">
        <v>208</v>
      </c>
      <c r="E28" s="18">
        <v>471</v>
      </c>
      <c r="F28" s="18">
        <v>437</v>
      </c>
      <c r="G28" s="18">
        <v>407</v>
      </c>
      <c r="I28" s="47">
        <f t="shared" si="1"/>
        <v>-0.55838641188959659</v>
      </c>
      <c r="J28" s="47">
        <f t="shared" si="2"/>
        <v>7.7803203661327203E-2</v>
      </c>
      <c r="K28" s="47">
        <f t="shared" si="3"/>
        <v>7.3710073710073765E-2</v>
      </c>
      <c r="M28" s="47">
        <f>D28/'základní a poměrové ukazatele'!B$4</f>
        <v>5.348919261149668E-5</v>
      </c>
      <c r="N28" s="47">
        <f>E28/'základní a poměrové ukazatele'!C$4</f>
        <v>1.4712874045927907E-4</v>
      </c>
      <c r="O28" s="47">
        <f>F28/'základní a poměrové ukazatele'!D$4</f>
        <v>1.5426547570424661E-4</v>
      </c>
      <c r="P28" s="47">
        <f>G28/'základní a poměrové ukazatele'!E$4</f>
        <v>1.6340866459387928E-4</v>
      </c>
    </row>
    <row r="29" spans="1:16">
      <c r="A29" s="41" t="s">
        <v>87</v>
      </c>
      <c r="B29" s="36" t="s">
        <v>174</v>
      </c>
      <c r="C29" s="36" t="s">
        <v>75</v>
      </c>
      <c r="D29" s="18">
        <v>21714</v>
      </c>
      <c r="E29" s="18">
        <v>14902</v>
      </c>
      <c r="F29" s="18">
        <v>53075</v>
      </c>
      <c r="G29" s="18">
        <v>24077</v>
      </c>
      <c r="I29" s="47">
        <f t="shared" si="1"/>
        <v>0.45711984968460606</v>
      </c>
      <c r="J29" s="47">
        <f t="shared" si="2"/>
        <v>-0.71922750824305226</v>
      </c>
      <c r="K29" s="47">
        <f t="shared" si="3"/>
        <v>1.2043859284794616</v>
      </c>
      <c r="M29" s="47">
        <f>D29/'základní a poměrové ukazatele'!B$4</f>
        <v>5.5839631171444174E-3</v>
      </c>
      <c r="N29" s="47">
        <f>E29/'základní a poměrové ukazatele'!C$4</f>
        <v>4.6550159030237298E-3</v>
      </c>
      <c r="O29" s="47">
        <f>F29/'základní a poměrové ukazatele'!D$4</f>
        <v>1.8736018588107296E-2</v>
      </c>
      <c r="P29" s="47">
        <f>G29/'základní a poměrové ukazatele'!E$4</f>
        <v>9.6668069224246471E-3</v>
      </c>
    </row>
    <row r="30" spans="1:16">
      <c r="A30" s="41" t="s">
        <v>86</v>
      </c>
      <c r="B30" s="36" t="s">
        <v>175</v>
      </c>
      <c r="C30" s="36" t="s">
        <v>76</v>
      </c>
      <c r="D30" s="18">
        <v>31681</v>
      </c>
      <c r="E30" s="18">
        <v>21359</v>
      </c>
      <c r="F30" s="18">
        <v>58149</v>
      </c>
      <c r="G30" s="18">
        <v>24761</v>
      </c>
      <c r="I30" s="47">
        <f t="shared" si="1"/>
        <v>0.48326232501521615</v>
      </c>
      <c r="J30" s="47">
        <f t="shared" si="2"/>
        <v>-0.63268499888218199</v>
      </c>
      <c r="K30" s="47">
        <f t="shared" si="3"/>
        <v>1.3484108073179595</v>
      </c>
      <c r="M30" s="47">
        <f>D30/'základní a poměrové ukazatele'!B$4</f>
        <v>8.1470726496385877E-3</v>
      </c>
      <c r="N30" s="47">
        <f>E30/'základní a poměrové ukazatele'!C$4</f>
        <v>6.6720228608699401E-3</v>
      </c>
      <c r="O30" s="47">
        <f>F30/'základní a poměrové ukazatele'!D$4</f>
        <v>2.0527192555437612E-2</v>
      </c>
      <c r="P30" s="47">
        <f>G30/'základní a poměrové ukazatele'!E$4</f>
        <v>9.9414298378600607E-3</v>
      </c>
    </row>
    <row r="31" spans="1:16">
      <c r="A31" s="41"/>
      <c r="B31" s="35" t="s">
        <v>171</v>
      </c>
      <c r="C31" s="35" t="s">
        <v>77</v>
      </c>
      <c r="D31" s="10">
        <f>D27+D29-D28-D30</f>
        <v>-7309</v>
      </c>
      <c r="E31" s="10">
        <f>E27+E29-E28-E30</f>
        <v>-4123</v>
      </c>
      <c r="F31" s="10">
        <f>F27+F29-F28-F30</f>
        <v>-3900</v>
      </c>
      <c r="G31" s="10">
        <f>G27+G29-G28-G30</f>
        <v>-1041</v>
      </c>
      <c r="I31" s="45">
        <f t="shared" si="1"/>
        <v>0.77273829735629396</v>
      </c>
      <c r="J31" s="45">
        <f t="shared" si="2"/>
        <v>5.7179487179487287E-2</v>
      </c>
      <c r="K31" s="45">
        <f t="shared" si="3"/>
        <v>2.7463976945244957</v>
      </c>
      <c r="M31" s="45">
        <f>D31/'základní a poměrové ukazatele'!B$4</f>
        <v>-1.8795793692184097E-3</v>
      </c>
      <c r="N31" s="45">
        <f>E31/'základní a poměrové ukazatele'!C$4</f>
        <v>-1.2879231356976808E-3</v>
      </c>
      <c r="O31" s="45">
        <f>F31/'základní a poměrové ukazatele'!D$4</f>
        <v>-1.3767399433559765E-3</v>
      </c>
      <c r="P31" s="45">
        <f>G31/'základní a poměrové ukazatele'!E$4</f>
        <v>-4.1795680550916055E-4</v>
      </c>
    </row>
    <row r="32" spans="1:16">
      <c r="A32" s="41" t="s">
        <v>86</v>
      </c>
      <c r="B32" s="36" t="s">
        <v>176</v>
      </c>
      <c r="C32" s="36" t="s">
        <v>78</v>
      </c>
      <c r="D32" s="18">
        <v>45228</v>
      </c>
      <c r="E32" s="18">
        <v>34399</v>
      </c>
      <c r="F32" s="18">
        <v>30944</v>
      </c>
      <c r="G32" s="18">
        <v>22101</v>
      </c>
      <c r="I32" s="47">
        <f t="shared" si="1"/>
        <v>0.31480566295531842</v>
      </c>
      <c r="J32" s="47">
        <f t="shared" si="2"/>
        <v>0.11165330920372285</v>
      </c>
      <c r="K32" s="47">
        <f t="shared" si="3"/>
        <v>0.40011764173566799</v>
      </c>
      <c r="M32" s="47">
        <f>D32/'základní a poměrové ukazatele'!B$4</f>
        <v>1.1630813478042172E-2</v>
      </c>
      <c r="N32" s="47">
        <f>E32/'základní a poměrové ukazatele'!C$4</f>
        <v>1.0745396057449556E-2</v>
      </c>
      <c r="O32" s="47">
        <f>F32/'základní a poměrové ukazatele'!D$4</f>
        <v>1.0923548924924959E-2</v>
      </c>
      <c r="P32" s="47">
        <f>G32/'základní a poměrové ukazatele'!E$4</f>
        <v>8.8734518333890081E-3</v>
      </c>
    </row>
    <row r="33" spans="1:16">
      <c r="A33" s="41"/>
      <c r="B33" s="36" t="s">
        <v>177</v>
      </c>
      <c r="C33" s="36" t="s">
        <v>79</v>
      </c>
      <c r="D33" s="18">
        <v>45171</v>
      </c>
      <c r="E33" s="18">
        <v>34819</v>
      </c>
      <c r="F33" s="18">
        <v>31051</v>
      </c>
      <c r="G33" s="18">
        <v>23125</v>
      </c>
      <c r="I33" s="47">
        <f t="shared" si="1"/>
        <v>0.29730894052097989</v>
      </c>
      <c r="J33" s="47">
        <f t="shared" si="2"/>
        <v>0.12134874883256574</v>
      </c>
      <c r="K33" s="47">
        <f t="shared" si="3"/>
        <v>0.34274594594594587</v>
      </c>
      <c r="M33" s="47">
        <f>D33/'základní a poměrové ukazatele'!B$4</f>
        <v>1.1616155381989983E-2</v>
      </c>
      <c r="N33" s="47">
        <f>E33/'základní a poměrové ukazatele'!C$4</f>
        <v>1.0876593660406875E-2</v>
      </c>
      <c r="O33" s="47">
        <f>F33/'základní a poměrové ukazatele'!D$4</f>
        <v>1.0961321020806776E-2</v>
      </c>
      <c r="P33" s="47">
        <f>G33/'základní a poměrové ukazatele'!E$4</f>
        <v>9.284583215561323E-3</v>
      </c>
    </row>
    <row r="34" spans="1:16">
      <c r="A34" s="41"/>
      <c r="B34" s="36" t="s">
        <v>178</v>
      </c>
      <c r="C34" s="36" t="s">
        <v>80</v>
      </c>
      <c r="D34" s="18">
        <v>57</v>
      </c>
      <c r="E34" s="18">
        <v>-420</v>
      </c>
      <c r="F34" s="18">
        <v>-107</v>
      </c>
      <c r="G34" s="18">
        <v>-1024</v>
      </c>
      <c r="I34" s="47">
        <f t="shared" si="1"/>
        <v>-1.1357142857142857</v>
      </c>
      <c r="J34" s="47">
        <f t="shared" si="2"/>
        <v>2.9252336448598131</v>
      </c>
      <c r="K34" s="47">
        <f t="shared" si="3"/>
        <v>-0.8955078125</v>
      </c>
      <c r="M34" s="47">
        <f>D34/'základní a poměrové ukazatele'!B$4</f>
        <v>1.4658096052188993E-5</v>
      </c>
      <c r="N34" s="47">
        <f>E34/'základní a poměrové ukazatele'!C$4</f>
        <v>-1.3119760295731892E-4</v>
      </c>
      <c r="O34" s="47">
        <f>F34/'základní a poměrové ukazatele'!D$4</f>
        <v>-3.7772095881817822E-5</v>
      </c>
      <c r="P34" s="47">
        <f>G34/'základní a poměrové ukazatele'!E$4</f>
        <v>-4.1113138217231546E-4</v>
      </c>
    </row>
    <row r="35" spans="1:16">
      <c r="A35" s="41"/>
      <c r="B35" s="35" t="s">
        <v>179</v>
      </c>
      <c r="C35" s="35" t="s">
        <v>81</v>
      </c>
      <c r="D35" s="18">
        <v>175640</v>
      </c>
      <c r="E35" s="18">
        <v>132370</v>
      </c>
      <c r="F35" s="18">
        <v>110518</v>
      </c>
      <c r="G35" s="18">
        <v>80299</v>
      </c>
      <c r="H35" s="53"/>
      <c r="I35" s="47">
        <f t="shared" si="1"/>
        <v>0.32688675681801005</v>
      </c>
      <c r="J35" s="47">
        <f t="shared" si="2"/>
        <v>0.19772344776416517</v>
      </c>
      <c r="K35" s="47">
        <f t="shared" si="3"/>
        <v>0.37633096302569147</v>
      </c>
      <c r="M35" s="47">
        <f>D35/'základní a poměrové ukazatele'!B$4</f>
        <v>4.5167508607131139E-2</v>
      </c>
      <c r="N35" s="47">
        <f>E35/'základní a poměrové ukazatele'!C$4</f>
        <v>4.1349111198715011E-2</v>
      </c>
      <c r="O35" s="47">
        <f>F35/'základní a poměrové ukazatele'!D$4</f>
        <v>3.9013985912773289E-2</v>
      </c>
      <c r="P35" s="47">
        <f>G35/'základní a poměrové ukazatele'!E$4</f>
        <v>3.2239686383842538E-2</v>
      </c>
    </row>
    <row r="36" spans="1:16">
      <c r="A36" s="41"/>
      <c r="B36" s="35" t="s">
        <v>180</v>
      </c>
      <c r="C36" s="35" t="s">
        <v>82</v>
      </c>
      <c r="D36" s="18">
        <v>175640</v>
      </c>
      <c r="E36" s="18">
        <v>132370</v>
      </c>
      <c r="F36" s="18">
        <v>110518</v>
      </c>
      <c r="G36" s="18">
        <v>80299</v>
      </c>
      <c r="H36" s="53"/>
      <c r="I36" s="47">
        <f t="shared" si="1"/>
        <v>0.32688675681801005</v>
      </c>
      <c r="J36" s="47">
        <f t="shared" si="2"/>
        <v>0.19772344776416517</v>
      </c>
      <c r="K36" s="47">
        <f t="shared" si="3"/>
        <v>0.37633096302569147</v>
      </c>
      <c r="M36" s="47">
        <f>D36/'základní a poměrové ukazatele'!B$4</f>
        <v>4.5167508607131139E-2</v>
      </c>
      <c r="N36" s="47">
        <f>E36/'základní a poměrové ukazatele'!C$4</f>
        <v>4.1349111198715011E-2</v>
      </c>
      <c r="O36" s="47">
        <f>F36/'základní a poměrové ukazatele'!D$4</f>
        <v>3.9013985912773289E-2</v>
      </c>
      <c r="P36" s="47">
        <f>G36/'základní a poměrové ukazatele'!E$4</f>
        <v>3.2239686383842538E-2</v>
      </c>
    </row>
    <row r="37" spans="1:16" ht="12.5" thickBot="1">
      <c r="A37" s="42"/>
      <c r="B37" s="38" t="s">
        <v>181</v>
      </c>
      <c r="C37" s="38" t="s">
        <v>83</v>
      </c>
      <c r="D37" s="39">
        <v>220868</v>
      </c>
      <c r="E37" s="39">
        <v>166769</v>
      </c>
      <c r="F37" s="39">
        <v>141462</v>
      </c>
      <c r="G37" s="39">
        <v>102400</v>
      </c>
      <c r="I37" s="45">
        <f t="shared" si="1"/>
        <v>0.32439482157955024</v>
      </c>
      <c r="J37" s="45">
        <f t="shared" si="2"/>
        <v>0.17889609930582062</v>
      </c>
      <c r="K37" s="45">
        <f t="shared" si="3"/>
        <v>0.38146484374999989</v>
      </c>
      <c r="M37" s="45">
        <f>D37/'základní a poměrové ukazatele'!B$4</f>
        <v>5.6798322085173311E-2</v>
      </c>
      <c r="N37" s="45">
        <f>E37/'základní a poměrové ukazatele'!C$4</f>
        <v>5.2094507256164567E-2</v>
      </c>
      <c r="O37" s="45">
        <f>F37/'základní a poměrové ukazatele'!D$4</f>
        <v>4.9937534837698243E-2</v>
      </c>
      <c r="P37" s="45">
        <f>G37/'základní a poměrové ukazatele'!E$4</f>
        <v>4.1113138217231546E-2</v>
      </c>
    </row>
    <row r="38" spans="1:16">
      <c r="A38" s="28"/>
      <c r="B38" s="33"/>
      <c r="C38" s="33"/>
      <c r="D38" s="28"/>
    </row>
    <row r="39" spans="1:16">
      <c r="A39" s="28" t="s">
        <v>230</v>
      </c>
      <c r="B39" s="33"/>
      <c r="C39" s="33"/>
      <c r="D39" s="31">
        <f t="shared" ref="D39:F39" si="7">D5/D3</f>
        <v>0.21564586642007641</v>
      </c>
      <c r="E39" s="31">
        <f t="shared" si="7"/>
        <v>0.23074890816371843</v>
      </c>
      <c r="F39" s="31">
        <f t="shared" si="7"/>
        <v>0.24392048198436914</v>
      </c>
      <c r="G39" s="31">
        <f>G5/G3</f>
        <v>0.24326839342548368</v>
      </c>
    </row>
    <row r="40" spans="1:16">
      <c r="A40" s="28"/>
      <c r="B40" s="33"/>
      <c r="C40" s="33"/>
      <c r="D40" s="56"/>
      <c r="E40" s="56"/>
      <c r="F40" s="56"/>
    </row>
    <row r="41" spans="1:16">
      <c r="A41" s="28"/>
      <c r="B41" s="34"/>
      <c r="C41" s="34"/>
      <c r="D41" s="31">
        <f>D33/D32</f>
        <v>0.99873971875829137</v>
      </c>
      <c r="E41" s="31">
        <f t="shared" ref="E41:G41" si="8">E33/E32</f>
        <v>1.0122096572574784</v>
      </c>
      <c r="F41" s="31">
        <f t="shared" si="8"/>
        <v>1.0034578593588417</v>
      </c>
      <c r="G41" s="31">
        <f t="shared" si="8"/>
        <v>1.0463327451246549</v>
      </c>
    </row>
    <row r="42" spans="1:16">
      <c r="A42" s="28"/>
      <c r="B42" s="34"/>
      <c r="C42" s="34"/>
      <c r="D42" s="81">
        <f>D34/D32</f>
        <v>1.2602812417086761E-3</v>
      </c>
      <c r="E42" s="81">
        <f t="shared" ref="E42:G42" si="9">E34/E32</f>
        <v>-1.2209657257478416E-2</v>
      </c>
      <c r="F42" s="81">
        <f t="shared" si="9"/>
        <v>-3.4578593588417785E-3</v>
      </c>
      <c r="G42" s="81">
        <f t="shared" si="9"/>
        <v>-4.6332745124654996E-2</v>
      </c>
    </row>
    <row r="43" spans="1:16">
      <c r="A43" s="28"/>
      <c r="B43" s="34"/>
      <c r="C43" s="34"/>
      <c r="D43" s="31"/>
      <c r="E43" s="31"/>
      <c r="F43" s="31"/>
      <c r="G43" s="31"/>
    </row>
    <row r="44" spans="1:16" ht="12.5" thickBot="1">
      <c r="A44" s="28"/>
      <c r="B44" s="34"/>
      <c r="C44" s="34"/>
      <c r="D44" s="28"/>
    </row>
    <row r="45" spans="1:16">
      <c r="A45" s="28"/>
      <c r="B45" s="34"/>
      <c r="C45" s="43"/>
      <c r="D45" s="44">
        <v>2015</v>
      </c>
      <c r="E45" s="44">
        <v>2014</v>
      </c>
      <c r="F45" s="44">
        <v>2013</v>
      </c>
      <c r="G45" s="44">
        <v>2012</v>
      </c>
    </row>
    <row r="46" spans="1:16">
      <c r="A46" s="28"/>
      <c r="B46" s="34"/>
      <c r="C46" s="36" t="s">
        <v>298</v>
      </c>
      <c r="D46" s="18">
        <v>40</v>
      </c>
      <c r="E46" s="18">
        <v>33</v>
      </c>
      <c r="F46" s="18">
        <v>33</v>
      </c>
      <c r="G46" s="18">
        <v>31</v>
      </c>
    </row>
    <row r="47" spans="1:16">
      <c r="A47" s="28"/>
      <c r="B47" s="34"/>
      <c r="C47" s="34"/>
      <c r="D47" s="81"/>
      <c r="E47" s="81"/>
      <c r="F47" s="81"/>
      <c r="G47" s="81"/>
    </row>
    <row r="48" spans="1:16">
      <c r="A48" s="28"/>
      <c r="B48" s="34"/>
      <c r="C48" s="34"/>
      <c r="D48" s="28"/>
    </row>
    <row r="49" spans="1:4">
      <c r="A49" s="28"/>
      <c r="B49" s="34"/>
      <c r="C49" s="34"/>
      <c r="D49" s="28"/>
    </row>
    <row r="50" spans="1:4">
      <c r="A50" s="28"/>
      <c r="B50" s="34"/>
      <c r="C50" s="34"/>
      <c r="D50" s="28"/>
    </row>
    <row r="51" spans="1:4">
      <c r="A51" s="28"/>
      <c r="B51" s="34"/>
      <c r="C51" s="34"/>
      <c r="D51" s="28"/>
    </row>
    <row r="52" spans="1:4">
      <c r="B52" s="33"/>
      <c r="C52" s="33"/>
    </row>
    <row r="53" spans="1:4">
      <c r="B53" s="33"/>
      <c r="C53" s="33"/>
    </row>
    <row r="54" spans="1:4">
      <c r="B54" s="33"/>
      <c r="C54" s="33"/>
    </row>
    <row r="55" spans="1:4">
      <c r="B55" s="33"/>
      <c r="C55" s="33"/>
    </row>
    <row r="56" spans="1:4">
      <c r="B56" s="33"/>
      <c r="C56" s="33"/>
    </row>
    <row r="57" spans="1:4">
      <c r="B57" s="33"/>
      <c r="C57" s="33"/>
    </row>
    <row r="58" spans="1:4">
      <c r="B58" s="33"/>
      <c r="C58" s="33"/>
    </row>
    <row r="59" spans="1:4">
      <c r="B59" s="33"/>
      <c r="C59" s="33"/>
    </row>
    <row r="60" spans="1:4">
      <c r="B60" s="33"/>
      <c r="C60" s="33"/>
    </row>
    <row r="61" spans="1:4">
      <c r="B61" s="33"/>
      <c r="C61" s="33"/>
    </row>
    <row r="62" spans="1:4">
      <c r="B62" s="33"/>
      <c r="C62" s="33"/>
    </row>
    <row r="63" spans="1:4">
      <c r="B63" s="33"/>
      <c r="C63" s="33"/>
    </row>
    <row r="64" spans="1:4">
      <c r="B64" s="33"/>
      <c r="C64" s="33"/>
    </row>
    <row r="65" spans="2:3">
      <c r="B65" s="33"/>
      <c r="C65" s="33"/>
    </row>
    <row r="66" spans="2:3">
      <c r="B66" s="33"/>
      <c r="C66" s="33"/>
    </row>
    <row r="67" spans="2:3">
      <c r="B67" s="33"/>
      <c r="C67" s="33"/>
    </row>
    <row r="68" spans="2:3">
      <c r="B68" s="33"/>
      <c r="C68" s="33"/>
    </row>
    <row r="69" spans="2:3">
      <c r="B69" s="33"/>
      <c r="C69" s="33"/>
    </row>
    <row r="70" spans="2:3">
      <c r="B70" s="33"/>
      <c r="C70" s="33"/>
    </row>
    <row r="71" spans="2:3">
      <c r="B71" s="33"/>
      <c r="C71" s="33"/>
    </row>
    <row r="72" spans="2:3">
      <c r="B72" s="33"/>
      <c r="C72" s="33"/>
    </row>
    <row r="73" spans="2:3">
      <c r="B73" s="33"/>
      <c r="C73" s="33"/>
    </row>
    <row r="74" spans="2:3">
      <c r="B74" s="33"/>
      <c r="C74" s="33"/>
    </row>
    <row r="75" spans="2:3">
      <c r="B75" s="33"/>
      <c r="C75" s="33"/>
    </row>
    <row r="76" spans="2:3">
      <c r="B76" s="33"/>
      <c r="C76" s="33"/>
    </row>
    <row r="77" spans="2:3">
      <c r="B77" s="33"/>
      <c r="C77" s="33"/>
    </row>
    <row r="78" spans="2:3">
      <c r="B78" s="33"/>
      <c r="C78" s="33"/>
    </row>
    <row r="79" spans="2:3">
      <c r="B79" s="33"/>
      <c r="C79" s="33"/>
    </row>
    <row r="80" spans="2:3">
      <c r="B80" s="33"/>
      <c r="C80" s="33"/>
    </row>
    <row r="81" spans="2:3">
      <c r="B81" s="33"/>
      <c r="C81" s="33"/>
    </row>
    <row r="82" spans="2:3">
      <c r="B82" s="33"/>
      <c r="C82" s="33"/>
    </row>
    <row r="83" spans="2:3">
      <c r="B83" s="33"/>
      <c r="C83" s="33"/>
    </row>
    <row r="84" spans="2:3">
      <c r="B84" s="33"/>
      <c r="C84" s="33"/>
    </row>
    <row r="85" spans="2:3">
      <c r="B85" s="33"/>
      <c r="C85" s="33"/>
    </row>
    <row r="86" spans="2:3">
      <c r="B86" s="33"/>
      <c r="C86" s="33"/>
    </row>
    <row r="87" spans="2:3">
      <c r="B87" s="33"/>
      <c r="C87" s="33"/>
    </row>
    <row r="88" spans="2:3">
      <c r="B88" s="33"/>
      <c r="C88" s="33"/>
    </row>
    <row r="89" spans="2:3">
      <c r="B89" s="33"/>
      <c r="C89" s="33"/>
    </row>
    <row r="90" spans="2:3">
      <c r="B90" s="33"/>
      <c r="C90" s="33"/>
    </row>
    <row r="91" spans="2:3">
      <c r="B91" s="33"/>
      <c r="C91" s="33"/>
    </row>
    <row r="92" spans="2:3">
      <c r="B92" s="33"/>
      <c r="C92" s="33"/>
    </row>
    <row r="93" spans="2:3">
      <c r="B93" s="33"/>
      <c r="C93" s="33"/>
    </row>
    <row r="94" spans="2:3">
      <c r="B94" s="33"/>
      <c r="C94" s="33"/>
    </row>
    <row r="95" spans="2:3">
      <c r="B95" s="33"/>
      <c r="C95" s="33"/>
    </row>
    <row r="96" spans="2:3">
      <c r="B96" s="33"/>
      <c r="C96" s="33"/>
    </row>
    <row r="97" spans="2:3">
      <c r="B97" s="33"/>
      <c r="C97" s="33"/>
    </row>
    <row r="98" spans="2:3">
      <c r="B98" s="33"/>
      <c r="C98" s="33"/>
    </row>
    <row r="99" spans="2:3">
      <c r="B99" s="33"/>
      <c r="C99" s="33"/>
    </row>
    <row r="100" spans="2:3">
      <c r="B100" s="33"/>
      <c r="C100" s="33"/>
    </row>
    <row r="101" spans="2:3">
      <c r="B101" s="33"/>
      <c r="C101" s="33"/>
    </row>
    <row r="102" spans="2:3">
      <c r="B102" s="33"/>
      <c r="C102" s="33"/>
    </row>
    <row r="103" spans="2:3">
      <c r="B103" s="33"/>
      <c r="C103" s="33"/>
    </row>
    <row r="104" spans="2:3">
      <c r="B104" s="33"/>
      <c r="C104" s="33"/>
    </row>
    <row r="105" spans="2:3">
      <c r="B105" s="33"/>
      <c r="C105" s="33"/>
    </row>
    <row r="106" spans="2:3">
      <c r="B106" s="33"/>
      <c r="C106" s="33"/>
    </row>
    <row r="107" spans="2:3">
      <c r="B107" s="33"/>
      <c r="C107" s="33"/>
    </row>
    <row r="108" spans="2:3">
      <c r="B108" s="33"/>
      <c r="C108" s="33"/>
    </row>
    <row r="109" spans="2:3">
      <c r="B109" s="33"/>
      <c r="C109" s="33"/>
    </row>
    <row r="110" spans="2:3">
      <c r="B110" s="33"/>
      <c r="C110" s="33"/>
    </row>
    <row r="111" spans="2:3">
      <c r="B111" s="33"/>
      <c r="C111" s="33"/>
    </row>
    <row r="112" spans="2:3">
      <c r="B112" s="33"/>
      <c r="C112" s="33"/>
    </row>
    <row r="113" spans="2:3">
      <c r="B113" s="33"/>
      <c r="C113" s="33"/>
    </row>
    <row r="114" spans="2:3">
      <c r="B114" s="33"/>
      <c r="C114" s="33"/>
    </row>
    <row r="115" spans="2:3">
      <c r="B115" s="33"/>
      <c r="C115" s="33"/>
    </row>
    <row r="116" spans="2:3">
      <c r="B116" s="33"/>
      <c r="C116" s="33"/>
    </row>
    <row r="117" spans="2:3">
      <c r="B117" s="33"/>
      <c r="C117" s="33"/>
    </row>
    <row r="118" spans="2:3">
      <c r="B118" s="33"/>
      <c r="C118" s="33"/>
    </row>
    <row r="119" spans="2:3">
      <c r="B119" s="33"/>
      <c r="C119" s="33"/>
    </row>
    <row r="120" spans="2:3">
      <c r="B120" s="33"/>
      <c r="C120" s="33"/>
    </row>
    <row r="121" spans="2:3">
      <c r="B121" s="33"/>
      <c r="C121" s="33"/>
    </row>
    <row r="122" spans="2:3">
      <c r="B122" s="33"/>
      <c r="C122" s="33"/>
    </row>
    <row r="123" spans="2:3">
      <c r="B123" s="33"/>
      <c r="C123" s="33"/>
    </row>
    <row r="124" spans="2:3">
      <c r="B124" s="33"/>
      <c r="C124" s="33"/>
    </row>
    <row r="125" spans="2:3">
      <c r="B125" s="33"/>
      <c r="C125" s="33"/>
    </row>
    <row r="126" spans="2:3">
      <c r="B126" s="33"/>
      <c r="C126" s="33"/>
    </row>
    <row r="127" spans="2:3">
      <c r="B127" s="33"/>
      <c r="C127" s="33"/>
    </row>
    <row r="128" spans="2:3">
      <c r="B128" s="33"/>
      <c r="C128" s="33"/>
    </row>
    <row r="129" spans="2:3">
      <c r="B129" s="33"/>
      <c r="C129" s="33"/>
    </row>
    <row r="130" spans="2:3">
      <c r="B130" s="33"/>
      <c r="C130" s="33"/>
    </row>
    <row r="131" spans="2:3">
      <c r="B131" s="33"/>
      <c r="C131" s="33"/>
    </row>
    <row r="132" spans="2:3">
      <c r="B132" s="33"/>
      <c r="C132" s="33"/>
    </row>
    <row r="133" spans="2:3">
      <c r="B133" s="33"/>
      <c r="C133" s="33"/>
    </row>
    <row r="134" spans="2:3">
      <c r="B134" s="33"/>
      <c r="C134" s="33"/>
    </row>
    <row r="135" spans="2:3">
      <c r="B135" s="33"/>
      <c r="C135" s="33"/>
    </row>
    <row r="136" spans="2:3">
      <c r="B136" s="33"/>
      <c r="C136" s="33"/>
    </row>
    <row r="137" spans="2:3">
      <c r="B137" s="33"/>
      <c r="C137" s="33"/>
    </row>
    <row r="138" spans="2:3">
      <c r="B138" s="33"/>
      <c r="C138" s="33"/>
    </row>
    <row r="139" spans="2:3">
      <c r="B139" s="33"/>
      <c r="C139" s="33"/>
    </row>
    <row r="140" spans="2:3">
      <c r="B140" s="33"/>
      <c r="C140" s="33"/>
    </row>
    <row r="141" spans="2:3">
      <c r="B141" s="33"/>
      <c r="C141" s="33"/>
    </row>
    <row r="142" spans="2:3">
      <c r="B142" s="33"/>
      <c r="C142" s="33"/>
    </row>
    <row r="143" spans="2:3">
      <c r="B143" s="33"/>
      <c r="C143" s="33"/>
    </row>
    <row r="144" spans="2:3">
      <c r="B144" s="33"/>
      <c r="C144" s="33"/>
    </row>
    <row r="145" spans="2:3">
      <c r="B145" s="33"/>
      <c r="C145" s="33"/>
    </row>
    <row r="146" spans="2:3">
      <c r="B146" s="33"/>
      <c r="C146" s="33"/>
    </row>
    <row r="147" spans="2:3">
      <c r="B147" s="33"/>
      <c r="C147" s="33"/>
    </row>
    <row r="148" spans="2:3">
      <c r="B148" s="33"/>
      <c r="C148" s="33"/>
    </row>
    <row r="149" spans="2:3">
      <c r="B149" s="33"/>
      <c r="C149" s="33"/>
    </row>
    <row r="150" spans="2:3">
      <c r="B150" s="33"/>
      <c r="C150" s="33"/>
    </row>
    <row r="151" spans="2:3">
      <c r="B151" s="33"/>
      <c r="C151" s="33"/>
    </row>
    <row r="152" spans="2:3">
      <c r="B152" s="33"/>
      <c r="C152" s="33"/>
    </row>
    <row r="153" spans="2:3">
      <c r="B153" s="33"/>
      <c r="C153" s="33"/>
    </row>
    <row r="154" spans="2:3">
      <c r="B154" s="33"/>
      <c r="C154" s="33"/>
    </row>
    <row r="155" spans="2:3">
      <c r="B155" s="33"/>
      <c r="C155" s="33"/>
    </row>
    <row r="156" spans="2:3">
      <c r="B156" s="33"/>
      <c r="C156" s="33"/>
    </row>
    <row r="157" spans="2:3">
      <c r="B157" s="33"/>
      <c r="C157" s="33"/>
    </row>
    <row r="158" spans="2:3">
      <c r="B158" s="33"/>
      <c r="C158" s="33"/>
    </row>
    <row r="159" spans="2:3">
      <c r="B159" s="33"/>
      <c r="C159" s="33"/>
    </row>
    <row r="160" spans="2:3">
      <c r="B160" s="33"/>
      <c r="C160" s="33"/>
    </row>
    <row r="161" spans="2:3">
      <c r="B161" s="33"/>
      <c r="C161" s="33"/>
    </row>
    <row r="162" spans="2:3">
      <c r="B162" s="33"/>
      <c r="C162" s="33"/>
    </row>
    <row r="163" spans="2:3">
      <c r="B163" s="33"/>
      <c r="C163" s="33"/>
    </row>
    <row r="164" spans="2:3">
      <c r="B164" s="33"/>
      <c r="C164" s="33"/>
    </row>
    <row r="165" spans="2:3">
      <c r="B165" s="33"/>
      <c r="C165" s="33"/>
    </row>
    <row r="166" spans="2:3">
      <c r="B166" s="33"/>
      <c r="C166" s="33"/>
    </row>
    <row r="167" spans="2:3">
      <c r="B167" s="33"/>
      <c r="C167" s="33"/>
    </row>
    <row r="168" spans="2:3">
      <c r="B168" s="33"/>
      <c r="C168" s="33"/>
    </row>
    <row r="169" spans="2:3">
      <c r="B169" s="33"/>
      <c r="C169" s="33"/>
    </row>
    <row r="170" spans="2:3">
      <c r="B170" s="33"/>
      <c r="C170" s="33"/>
    </row>
    <row r="171" spans="2:3">
      <c r="B171" s="33"/>
      <c r="C171" s="33"/>
    </row>
    <row r="172" spans="2:3">
      <c r="B172" s="33"/>
      <c r="C172" s="33"/>
    </row>
    <row r="173" spans="2:3">
      <c r="B173" s="33"/>
      <c r="C173" s="33"/>
    </row>
    <row r="174" spans="2:3">
      <c r="B174" s="33"/>
      <c r="C174" s="33"/>
    </row>
    <row r="175" spans="2:3">
      <c r="B175" s="33"/>
      <c r="C175" s="33"/>
    </row>
    <row r="176" spans="2:3">
      <c r="B176" s="33"/>
      <c r="C176" s="33"/>
    </row>
    <row r="177" spans="2:3">
      <c r="B177" s="33"/>
      <c r="C177" s="33"/>
    </row>
    <row r="178" spans="2:3">
      <c r="B178" s="33"/>
      <c r="C178" s="33"/>
    </row>
    <row r="179" spans="2:3">
      <c r="B179" s="33"/>
      <c r="C179" s="33"/>
    </row>
    <row r="180" spans="2:3">
      <c r="B180" s="33"/>
      <c r="C180" s="33"/>
    </row>
    <row r="181" spans="2:3">
      <c r="B181" s="33"/>
      <c r="C181" s="33"/>
    </row>
    <row r="182" spans="2:3">
      <c r="B182" s="33"/>
      <c r="C182" s="33"/>
    </row>
    <row r="183" spans="2:3">
      <c r="B183" s="33"/>
      <c r="C183" s="33"/>
    </row>
    <row r="184" spans="2:3">
      <c r="B184" s="33"/>
      <c r="C184" s="33"/>
    </row>
    <row r="185" spans="2:3">
      <c r="B185" s="33"/>
      <c r="C185" s="33"/>
    </row>
    <row r="186" spans="2:3">
      <c r="B186" s="33"/>
      <c r="C186" s="33"/>
    </row>
    <row r="187" spans="2:3">
      <c r="B187" s="33"/>
      <c r="C187" s="33"/>
    </row>
    <row r="188" spans="2:3">
      <c r="B188" s="33"/>
      <c r="C188" s="33"/>
    </row>
    <row r="189" spans="2:3">
      <c r="B189" s="33"/>
      <c r="C189" s="33"/>
    </row>
    <row r="190" spans="2:3">
      <c r="B190" s="33"/>
      <c r="C190" s="33"/>
    </row>
    <row r="191" spans="2:3">
      <c r="B191" s="33"/>
      <c r="C191" s="33"/>
    </row>
    <row r="192" spans="2:3">
      <c r="B192" s="33"/>
      <c r="C192" s="33"/>
    </row>
    <row r="193" spans="2:3">
      <c r="B193" s="33"/>
      <c r="C193" s="33"/>
    </row>
    <row r="194" spans="2:3">
      <c r="B194" s="33"/>
      <c r="C194" s="33"/>
    </row>
    <row r="195" spans="2:3">
      <c r="B195" s="33"/>
      <c r="C195" s="33"/>
    </row>
    <row r="196" spans="2:3">
      <c r="B196" s="33"/>
      <c r="C196" s="33"/>
    </row>
    <row r="197" spans="2:3">
      <c r="B197" s="33"/>
      <c r="C197" s="33"/>
    </row>
    <row r="198" spans="2:3">
      <c r="B198" s="33"/>
      <c r="C198" s="33"/>
    </row>
    <row r="199" spans="2:3">
      <c r="B199" s="33"/>
      <c r="C199" s="33"/>
    </row>
    <row r="200" spans="2:3">
      <c r="B200" s="33"/>
      <c r="C200" s="33"/>
    </row>
    <row r="201" spans="2:3">
      <c r="B201" s="33"/>
      <c r="C201" s="33"/>
    </row>
    <row r="202" spans="2:3">
      <c r="B202" s="33"/>
      <c r="C202" s="33"/>
    </row>
    <row r="203" spans="2:3">
      <c r="B203" s="33"/>
      <c r="C203" s="33"/>
    </row>
    <row r="204" spans="2:3">
      <c r="B204" s="33"/>
      <c r="C204" s="33"/>
    </row>
    <row r="205" spans="2:3">
      <c r="B205" s="33"/>
      <c r="C205" s="33"/>
    </row>
    <row r="206" spans="2:3">
      <c r="B206" s="33"/>
      <c r="C206" s="33"/>
    </row>
    <row r="207" spans="2:3">
      <c r="B207" s="33"/>
      <c r="C207" s="33"/>
    </row>
    <row r="208" spans="2:3">
      <c r="B208" s="33"/>
      <c r="C208" s="33"/>
    </row>
    <row r="209" spans="2:3">
      <c r="B209" s="33"/>
      <c r="C209" s="33"/>
    </row>
    <row r="210" spans="2:3">
      <c r="B210" s="33"/>
      <c r="C210" s="33"/>
    </row>
    <row r="211" spans="2:3">
      <c r="B211" s="33"/>
      <c r="C211" s="33"/>
    </row>
    <row r="212" spans="2:3">
      <c r="B212" s="33"/>
      <c r="C212" s="33"/>
    </row>
    <row r="213" spans="2:3">
      <c r="B213" s="33"/>
      <c r="C213" s="33"/>
    </row>
    <row r="214" spans="2:3">
      <c r="B214" s="33"/>
      <c r="C214" s="33"/>
    </row>
    <row r="215" spans="2:3">
      <c r="B215" s="33"/>
      <c r="C215" s="33"/>
    </row>
    <row r="216" spans="2:3">
      <c r="B216" s="33"/>
      <c r="C216" s="33"/>
    </row>
    <row r="217" spans="2:3">
      <c r="B217" s="33"/>
      <c r="C217" s="33"/>
    </row>
    <row r="218" spans="2:3">
      <c r="B218" s="33"/>
      <c r="C218" s="33"/>
    </row>
    <row r="219" spans="2:3">
      <c r="B219" s="33"/>
      <c r="C219" s="33"/>
    </row>
    <row r="220" spans="2:3">
      <c r="B220" s="33"/>
      <c r="C220" s="33"/>
    </row>
    <row r="221" spans="2:3">
      <c r="B221" s="33"/>
      <c r="C221" s="33"/>
    </row>
    <row r="222" spans="2:3">
      <c r="B222" s="33"/>
      <c r="C222" s="33"/>
    </row>
    <row r="223" spans="2:3">
      <c r="B223" s="33"/>
      <c r="C223" s="33"/>
    </row>
    <row r="224" spans="2:3">
      <c r="B224" s="33"/>
      <c r="C224" s="33"/>
    </row>
    <row r="225" spans="2:3">
      <c r="B225" s="33"/>
      <c r="C225" s="33"/>
    </row>
    <row r="226" spans="2:3">
      <c r="B226" s="33"/>
      <c r="C226" s="33"/>
    </row>
    <row r="227" spans="2:3">
      <c r="B227" s="33"/>
      <c r="C227" s="33"/>
    </row>
    <row r="228" spans="2:3">
      <c r="B228" s="33"/>
      <c r="C228" s="33"/>
    </row>
    <row r="229" spans="2:3">
      <c r="B229" s="33"/>
      <c r="C229" s="33"/>
    </row>
    <row r="230" spans="2:3">
      <c r="B230" s="33"/>
      <c r="C230" s="33"/>
    </row>
    <row r="231" spans="2:3">
      <c r="B231" s="33"/>
      <c r="C231" s="33"/>
    </row>
    <row r="232" spans="2:3">
      <c r="B232" s="33"/>
      <c r="C232" s="33"/>
    </row>
    <row r="233" spans="2:3">
      <c r="B233" s="33"/>
      <c r="C233" s="33"/>
    </row>
    <row r="234" spans="2:3">
      <c r="B234" s="33"/>
      <c r="C234" s="33"/>
    </row>
    <row r="235" spans="2:3">
      <c r="B235" s="33"/>
      <c r="C235" s="33"/>
    </row>
    <row r="236" spans="2:3">
      <c r="B236" s="33"/>
      <c r="C236" s="33"/>
    </row>
    <row r="237" spans="2:3">
      <c r="B237" s="33"/>
      <c r="C237" s="33"/>
    </row>
    <row r="238" spans="2:3">
      <c r="B238" s="33"/>
      <c r="C238" s="33"/>
    </row>
    <row r="239" spans="2:3">
      <c r="B239" s="33"/>
      <c r="C239" s="33"/>
    </row>
    <row r="240" spans="2:3">
      <c r="B240" s="33"/>
      <c r="C240" s="33"/>
    </row>
    <row r="241" spans="2:3">
      <c r="B241" s="33"/>
      <c r="C241" s="33"/>
    </row>
    <row r="242" spans="2:3">
      <c r="B242" s="33"/>
      <c r="C242" s="33"/>
    </row>
    <row r="243" spans="2:3">
      <c r="B243" s="33"/>
      <c r="C243" s="33"/>
    </row>
    <row r="244" spans="2:3">
      <c r="B244" s="33"/>
      <c r="C244" s="33"/>
    </row>
    <row r="245" spans="2:3">
      <c r="B245" s="33"/>
      <c r="C245" s="33"/>
    </row>
    <row r="246" spans="2:3">
      <c r="B246" s="33"/>
      <c r="C246" s="33"/>
    </row>
    <row r="247" spans="2:3">
      <c r="B247" s="33"/>
      <c r="C247" s="33"/>
    </row>
    <row r="248" spans="2:3">
      <c r="B248" s="33"/>
      <c r="C248" s="33"/>
    </row>
    <row r="249" spans="2:3">
      <c r="B249" s="33"/>
      <c r="C249" s="33"/>
    </row>
    <row r="250" spans="2:3">
      <c r="B250" s="33"/>
      <c r="C250" s="33"/>
    </row>
    <row r="251" spans="2:3">
      <c r="B251" s="33"/>
      <c r="C251" s="33"/>
    </row>
    <row r="252" spans="2:3">
      <c r="B252" s="33"/>
      <c r="C252" s="33"/>
    </row>
    <row r="253" spans="2:3">
      <c r="B253" s="33"/>
      <c r="C253" s="33"/>
    </row>
    <row r="254" spans="2:3">
      <c r="B254" s="33"/>
      <c r="C254" s="33"/>
    </row>
    <row r="255" spans="2:3">
      <c r="B255" s="33"/>
      <c r="C255" s="33"/>
    </row>
    <row r="256" spans="2:3">
      <c r="B256" s="33"/>
      <c r="C256" s="33"/>
    </row>
    <row r="257" spans="2:3">
      <c r="B257" s="33"/>
      <c r="C257" s="33"/>
    </row>
    <row r="258" spans="2:3">
      <c r="B258" s="33"/>
      <c r="C258" s="33"/>
    </row>
    <row r="259" spans="2:3">
      <c r="B259" s="33"/>
      <c r="C259" s="33"/>
    </row>
    <row r="260" spans="2:3">
      <c r="B260" s="33"/>
      <c r="C260" s="33"/>
    </row>
    <row r="261" spans="2:3">
      <c r="B261" s="33"/>
      <c r="C261" s="33"/>
    </row>
    <row r="262" spans="2:3">
      <c r="B262" s="33"/>
      <c r="C262" s="33"/>
    </row>
    <row r="263" spans="2:3">
      <c r="B263" s="33"/>
      <c r="C263" s="33"/>
    </row>
    <row r="264" spans="2:3">
      <c r="B264" s="33"/>
      <c r="C264" s="33"/>
    </row>
    <row r="265" spans="2:3">
      <c r="B265" s="33"/>
      <c r="C265" s="33"/>
    </row>
    <row r="266" spans="2:3">
      <c r="B266" s="33"/>
      <c r="C266" s="33"/>
    </row>
    <row r="267" spans="2:3">
      <c r="B267" s="33"/>
      <c r="C267" s="33"/>
    </row>
    <row r="268" spans="2:3">
      <c r="B268" s="33"/>
      <c r="C268" s="33"/>
    </row>
    <row r="269" spans="2:3">
      <c r="B269" s="33"/>
      <c r="C269" s="33"/>
    </row>
    <row r="270" spans="2:3">
      <c r="B270" s="33"/>
      <c r="C270" s="33"/>
    </row>
    <row r="271" spans="2:3">
      <c r="B271" s="33"/>
      <c r="C271" s="33"/>
    </row>
    <row r="272" spans="2:3">
      <c r="B272" s="33"/>
      <c r="C272" s="33"/>
    </row>
    <row r="273" spans="2:3">
      <c r="B273" s="33"/>
      <c r="C273" s="33"/>
    </row>
    <row r="274" spans="2:3">
      <c r="B274" s="33"/>
      <c r="C274" s="33"/>
    </row>
    <row r="275" spans="2:3">
      <c r="B275" s="33"/>
      <c r="C275" s="33"/>
    </row>
    <row r="276" spans="2:3">
      <c r="B276" s="33"/>
      <c r="C276" s="33"/>
    </row>
    <row r="277" spans="2:3">
      <c r="B277" s="33"/>
      <c r="C277" s="33"/>
    </row>
    <row r="278" spans="2:3">
      <c r="B278" s="33"/>
      <c r="C278" s="33"/>
    </row>
    <row r="279" spans="2:3">
      <c r="B279" s="33"/>
      <c r="C279" s="33"/>
    </row>
    <row r="280" spans="2:3">
      <c r="B280" s="33"/>
      <c r="C280" s="33"/>
    </row>
    <row r="281" spans="2:3">
      <c r="B281" s="33"/>
      <c r="C281" s="33"/>
    </row>
  </sheetData>
  <mergeCells count="2">
    <mergeCell ref="I1:K1"/>
    <mergeCell ref="M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X51"/>
  <sheetViews>
    <sheetView zoomScale="80" zoomScaleNormal="80" workbookViewId="0"/>
  </sheetViews>
  <sheetFormatPr defaultRowHeight="14.5"/>
  <cols>
    <col min="1" max="1" width="45" bestFit="1" customWidth="1"/>
    <col min="2" max="4" width="15.54296875" bestFit="1" customWidth="1"/>
    <col min="5" max="5" width="13.7265625" bestFit="1" customWidth="1"/>
    <col min="6" max="10" width="12.81640625" customWidth="1"/>
    <col min="12" max="12" width="10" bestFit="1" customWidth="1"/>
    <col min="13" max="14" width="10" customWidth="1"/>
    <col min="15" max="15" width="10" bestFit="1" customWidth="1"/>
  </cols>
  <sheetData>
    <row r="1" spans="1:14">
      <c r="B1" s="5">
        <v>2015</v>
      </c>
      <c r="C1" s="5">
        <v>2014</v>
      </c>
      <c r="D1" s="5">
        <v>2013</v>
      </c>
      <c r="E1" s="5">
        <v>2012</v>
      </c>
      <c r="F1" s="5"/>
      <c r="G1" s="5" t="str">
        <f>B1&amp;"/"&amp;C1</f>
        <v>2015/2014</v>
      </c>
      <c r="H1" s="5" t="str">
        <f t="shared" ref="H1:I1" si="0">C1&amp;"/"&amp;D1</f>
        <v>2014/2013</v>
      </c>
      <c r="I1" s="5" t="str">
        <f t="shared" si="0"/>
        <v>2013/2012</v>
      </c>
      <c r="J1" s="5"/>
    </row>
    <row r="2" spans="1:14">
      <c r="A2" t="s">
        <v>84</v>
      </c>
      <c r="B2" s="2">
        <f>SUMIF('P&amp;L'!$A:$A,"N",'P&amp;L'!D:D)</f>
        <v>3750987</v>
      </c>
      <c r="C2" s="2">
        <f>SUMIF('P&amp;L'!$A:$A,"N",'P&amp;L'!E:E)</f>
        <v>3098213</v>
      </c>
      <c r="D2" s="2">
        <f>SUMIF('P&amp;L'!$A:$A,"N",'P&amp;L'!F:F)</f>
        <v>2788439</v>
      </c>
      <c r="E2" s="2">
        <f>SUMIF('P&amp;L'!$A:$A,"N",'P&amp;L'!G:G)</f>
        <v>2444771</v>
      </c>
      <c r="F2" s="2"/>
      <c r="G2" s="55">
        <f t="shared" ref="G2:H3" si="1">B2/C2-1</f>
        <v>0.21069371279508542</v>
      </c>
      <c r="H2" s="55">
        <f t="shared" si="1"/>
        <v>0.11109226344919154</v>
      </c>
      <c r="I2" s="55">
        <f>D2/E2-1</f>
        <v>0.140572675313966</v>
      </c>
      <c r="J2" s="2"/>
    </row>
    <row r="3" spans="1:14">
      <c r="A3" t="s">
        <v>85</v>
      </c>
      <c r="B3" s="2">
        <f>SUMIF('P&amp;L'!$A:$A,"V",'P&amp;L'!D:D)</f>
        <v>3926628</v>
      </c>
      <c r="C3" s="2">
        <f>SUMIF('P&amp;L'!$A:$A,"V",'P&amp;L'!E:E)</f>
        <v>3230583</v>
      </c>
      <c r="D3" s="2">
        <f>SUMIF('P&amp;L'!$A:$A,"V",'P&amp;L'!F:F)</f>
        <v>2898957</v>
      </c>
      <c r="E3" s="2">
        <f>SUMIF('P&amp;L'!$A:$A,"V",'P&amp;L'!G:G)</f>
        <v>2525070</v>
      </c>
      <c r="F3" s="2"/>
      <c r="G3" s="55">
        <f t="shared" si="1"/>
        <v>0.21545491943714179</v>
      </c>
      <c r="H3" s="55">
        <f t="shared" si="1"/>
        <v>0.11439493583381877</v>
      </c>
      <c r="I3" s="55">
        <f>D3/E3-1</f>
        <v>0.14806995449631088</v>
      </c>
      <c r="J3" s="2"/>
    </row>
    <row r="4" spans="1:14">
      <c r="A4" t="s">
        <v>93</v>
      </c>
      <c r="B4" s="2">
        <f>'P&amp;L'!D3+'P&amp;L'!D7+'P&amp;L'!D18</f>
        <v>3888636</v>
      </c>
      <c r="C4" s="2">
        <f>'P&amp;L'!E3+'P&amp;L'!E7+'P&amp;L'!E18</f>
        <v>3201278</v>
      </c>
      <c r="D4" s="2">
        <f>'P&amp;L'!F3+'P&amp;L'!F7+'P&amp;L'!F18</f>
        <v>2832779</v>
      </c>
      <c r="E4" s="2">
        <f>'P&amp;L'!G3+'P&amp;L'!G7+'P&amp;L'!G18</f>
        <v>2490688</v>
      </c>
      <c r="F4" s="2"/>
      <c r="G4" s="55">
        <f t="shared" ref="G4" si="2">B4/C4-1</f>
        <v>0.21471362374651615</v>
      </c>
      <c r="H4" s="55">
        <f t="shared" ref="H4" si="3">C4/D4-1</f>
        <v>0.13008392112480349</v>
      </c>
      <c r="I4" s="55">
        <f>D4/E4-1</f>
        <v>0.13734799380733365</v>
      </c>
      <c r="J4" s="2"/>
    </row>
    <row r="5" spans="1:14">
      <c r="B5" s="2"/>
      <c r="C5" s="2"/>
      <c r="D5" s="2"/>
      <c r="E5" s="54"/>
      <c r="F5" s="54"/>
      <c r="G5" s="54"/>
      <c r="H5" s="54"/>
      <c r="I5" s="54"/>
      <c r="J5" s="54"/>
    </row>
    <row r="6" spans="1:14">
      <c r="B6" s="2"/>
      <c r="C6" s="2"/>
      <c r="D6" s="2"/>
      <c r="E6" s="54"/>
      <c r="F6" s="54"/>
      <c r="G6" s="54"/>
      <c r="H6" s="54"/>
      <c r="I6" s="54"/>
      <c r="J6" s="54"/>
    </row>
    <row r="7" spans="1:14">
      <c r="B7" s="2"/>
      <c r="C7" s="2"/>
      <c r="D7" s="2"/>
      <c r="E7" s="2"/>
      <c r="F7" s="2"/>
      <c r="G7" s="2"/>
      <c r="H7" s="2"/>
      <c r="I7" s="2"/>
      <c r="J7" s="2"/>
    </row>
    <row r="8" spans="1:14">
      <c r="B8" s="2"/>
      <c r="C8" s="2"/>
      <c r="D8" s="2"/>
      <c r="E8" s="2"/>
      <c r="F8" s="2"/>
      <c r="G8" s="2"/>
      <c r="H8" s="2"/>
      <c r="I8" s="2"/>
      <c r="J8" s="2"/>
    </row>
    <row r="9" spans="1:14">
      <c r="B9" s="5">
        <f>B1</f>
        <v>2015</v>
      </c>
      <c r="C9" s="5">
        <f t="shared" ref="C9:E9" si="4">C1</f>
        <v>2014</v>
      </c>
      <c r="D9" s="5">
        <f t="shared" si="4"/>
        <v>2013</v>
      </c>
      <c r="E9" s="5">
        <f t="shared" si="4"/>
        <v>2012</v>
      </c>
      <c r="F9" s="5"/>
      <c r="G9" s="5"/>
      <c r="H9" s="5"/>
      <c r="I9" s="5"/>
      <c r="J9" s="5"/>
    </row>
    <row r="10" spans="1:14">
      <c r="A10" t="s">
        <v>97</v>
      </c>
      <c r="B10" s="2">
        <f>BS!C4</f>
        <v>1772665</v>
      </c>
      <c r="C10" s="2">
        <f>BS!D4</f>
        <v>1447506</v>
      </c>
      <c r="D10" s="2">
        <f>BS!E4</f>
        <v>1304944</v>
      </c>
      <c r="E10" s="2">
        <f>BS!F4</f>
        <v>1077473</v>
      </c>
      <c r="F10" s="2"/>
      <c r="G10" s="2"/>
      <c r="H10" s="2"/>
      <c r="I10" s="2"/>
      <c r="J10" s="2"/>
    </row>
    <row r="11" spans="1:14">
      <c r="A11" t="s">
        <v>98</v>
      </c>
      <c r="B11" s="2">
        <f>BS!C32</f>
        <v>991372</v>
      </c>
      <c r="C11" s="2">
        <f>BS!D32</f>
        <v>815730</v>
      </c>
      <c r="D11" s="2">
        <f>BS!E32</f>
        <v>683360</v>
      </c>
      <c r="E11" s="2">
        <f>BS!F32</f>
        <v>572839</v>
      </c>
      <c r="F11" s="2"/>
      <c r="G11" s="2"/>
      <c r="H11" s="2"/>
      <c r="I11" s="2"/>
      <c r="J11" s="2"/>
    </row>
    <row r="12" spans="1:14">
      <c r="B12" s="2"/>
      <c r="C12" s="2"/>
      <c r="D12" s="2"/>
      <c r="E12" s="2"/>
      <c r="F12" s="2"/>
      <c r="G12" s="2"/>
      <c r="H12" s="2"/>
      <c r="I12" s="2"/>
      <c r="J12" s="2"/>
    </row>
    <row r="13" spans="1:14">
      <c r="B13" s="2"/>
      <c r="C13" s="2"/>
      <c r="D13" s="2"/>
      <c r="E13" s="2"/>
      <c r="F13" s="2"/>
      <c r="G13" s="2"/>
      <c r="H13" s="2"/>
      <c r="I13" s="2"/>
      <c r="J13" s="2"/>
    </row>
    <row r="14" spans="1:14">
      <c r="B14" s="2"/>
      <c r="C14" s="2"/>
      <c r="D14" s="2"/>
      <c r="E14" s="2"/>
      <c r="F14" s="2"/>
      <c r="G14" s="2"/>
      <c r="H14" s="2"/>
      <c r="I14" s="2"/>
      <c r="J14" s="2"/>
      <c r="L14" s="3" t="s">
        <v>91</v>
      </c>
      <c r="M14" s="3"/>
      <c r="N14" s="3"/>
    </row>
    <row r="15" spans="1:14">
      <c r="B15" s="5">
        <f>B1</f>
        <v>2015</v>
      </c>
      <c r="C15" s="5">
        <f t="shared" ref="C15:E15" si="5">C1</f>
        <v>2014</v>
      </c>
      <c r="D15" s="5">
        <f t="shared" si="5"/>
        <v>2013</v>
      </c>
      <c r="E15" s="5">
        <f t="shared" si="5"/>
        <v>2012</v>
      </c>
      <c r="F15" s="5"/>
      <c r="G15" s="5"/>
      <c r="H15" s="5"/>
      <c r="I15" s="5"/>
      <c r="J15" s="5"/>
      <c r="L15" s="1" t="str">
        <f>G1</f>
        <v>2015/2014</v>
      </c>
      <c r="M15" s="1" t="str">
        <f t="shared" ref="M15:N15" si="6">H1</f>
        <v>2014/2013</v>
      </c>
      <c r="N15" s="1" t="str">
        <f t="shared" si="6"/>
        <v>2013/2012</v>
      </c>
    </row>
    <row r="16" spans="1:14">
      <c r="A16" t="s">
        <v>88</v>
      </c>
      <c r="B16" s="2">
        <f>'P&amp;L'!D28+'P&amp;L'!D37</f>
        <v>221076</v>
      </c>
      <c r="C16" s="2">
        <f>'P&amp;L'!E28+'P&amp;L'!E37</f>
        <v>167240</v>
      </c>
      <c r="D16" s="2">
        <f>'P&amp;L'!F28+'P&amp;L'!F37</f>
        <v>141899</v>
      </c>
      <c r="E16" s="2">
        <f>'P&amp;L'!G28+'P&amp;L'!G37</f>
        <v>102807</v>
      </c>
      <c r="F16" s="2"/>
      <c r="G16" s="2"/>
      <c r="H16" s="2"/>
      <c r="I16" s="2"/>
      <c r="J16" s="2"/>
      <c r="K16" s="1" t="s">
        <v>88</v>
      </c>
      <c r="L16" s="4">
        <f>'základní a poměrové ukazatele'!B16/'základní a poměrové ukazatele'!C16-1</f>
        <v>0.32190863429801486</v>
      </c>
      <c r="M16" s="4">
        <f>'základní a poměrové ukazatele'!C16/'základní a poměrové ukazatele'!D16-1</f>
        <v>0.17858476803923917</v>
      </c>
      <c r="N16" s="4">
        <f>'základní a poměrové ukazatele'!D16/'základní a poměrové ukazatele'!E16-1</f>
        <v>0.38024648127073069</v>
      </c>
    </row>
    <row r="17" spans="1:24">
      <c r="A17" t="s">
        <v>89</v>
      </c>
      <c r="B17" s="2">
        <f>'P&amp;L'!D35</f>
        <v>175640</v>
      </c>
      <c r="C17" s="2">
        <f>'P&amp;L'!E35</f>
        <v>132370</v>
      </c>
      <c r="D17" s="2">
        <f>'P&amp;L'!F35</f>
        <v>110518</v>
      </c>
      <c r="E17" s="2">
        <f>'P&amp;L'!G35</f>
        <v>80299</v>
      </c>
      <c r="F17" s="2"/>
      <c r="G17" s="2"/>
      <c r="H17" s="2"/>
      <c r="I17" s="2"/>
      <c r="J17" s="2"/>
      <c r="K17" s="1" t="s">
        <v>89</v>
      </c>
      <c r="L17" s="4">
        <f>'základní a poměrové ukazatele'!B17/'základní a poměrové ukazatele'!C17-1</f>
        <v>0.32688675681801005</v>
      </c>
      <c r="M17" s="4">
        <f>'základní a poměrové ukazatele'!C17/'základní a poměrové ukazatele'!D17-1</f>
        <v>0.19772344776416517</v>
      </c>
      <c r="N17" s="4">
        <f>'základní a poměrové ukazatele'!D17/'základní a poměrové ukazatele'!E17-1</f>
        <v>0.37633096302569147</v>
      </c>
    </row>
    <row r="18" spans="1:24">
      <c r="A18" t="s">
        <v>90</v>
      </c>
      <c r="B18" s="2">
        <f>'P&amp;L'!D26+'P&amp;L'!D31</f>
        <v>220868</v>
      </c>
      <c r="C18" s="2">
        <f>'P&amp;L'!E26+'P&amp;L'!E31</f>
        <v>166769</v>
      </c>
      <c r="D18" s="2">
        <f>'P&amp;L'!F26+'P&amp;L'!F31</f>
        <v>141462</v>
      </c>
      <c r="E18" s="2">
        <f>'P&amp;L'!G26+'P&amp;L'!G31</f>
        <v>102400</v>
      </c>
      <c r="F18" s="2"/>
      <c r="G18" s="2"/>
      <c r="H18" s="2"/>
      <c r="I18" s="2"/>
      <c r="J18" s="2"/>
      <c r="K18" s="1" t="s">
        <v>90</v>
      </c>
      <c r="L18" s="4">
        <f>'základní a poměrové ukazatele'!B18/'základní a poměrové ukazatele'!C18-1</f>
        <v>0.32439482157955024</v>
      </c>
      <c r="M18" s="4">
        <f>'základní a poměrové ukazatele'!C18/'základní a poměrové ukazatele'!D18-1</f>
        <v>0.17889609930582062</v>
      </c>
      <c r="N18" s="4">
        <f>'základní a poměrové ukazatele'!D18/'základní a poměrové ukazatele'!E18-1</f>
        <v>0.38146484374999989</v>
      </c>
    </row>
    <row r="19" spans="1:24">
      <c r="B19" s="2"/>
      <c r="C19" s="2"/>
      <c r="D19" s="2"/>
      <c r="E19" s="2"/>
      <c r="F19" s="2"/>
      <c r="G19" s="2"/>
      <c r="H19" s="2"/>
      <c r="I19" s="2"/>
      <c r="J19" s="2"/>
      <c r="K19" s="1"/>
      <c r="L19" s="4"/>
      <c r="M19" s="4"/>
      <c r="N19" s="4"/>
    </row>
    <row r="20" spans="1:24">
      <c r="A20" s="124" t="s">
        <v>235</v>
      </c>
      <c r="B20" s="123">
        <f>B1</f>
        <v>2015</v>
      </c>
      <c r="C20" s="123">
        <f t="shared" ref="C20:E20" si="7">C1</f>
        <v>2014</v>
      </c>
      <c r="D20" s="123">
        <f t="shared" si="7"/>
        <v>2013</v>
      </c>
      <c r="E20" s="123">
        <f t="shared" si="7"/>
        <v>2012</v>
      </c>
    </row>
    <row r="21" spans="1:24">
      <c r="A21" s="51" t="s">
        <v>94</v>
      </c>
      <c r="B21" s="125">
        <f>B16/B10</f>
        <v>0.12471391943768281</v>
      </c>
      <c r="C21" s="125">
        <f t="shared" ref="C21:E21" si="8">C16/C10</f>
        <v>0.11553665407949949</v>
      </c>
      <c r="D21" s="125">
        <f t="shared" si="8"/>
        <v>0.10873953211785334</v>
      </c>
      <c r="E21" s="125">
        <f t="shared" si="8"/>
        <v>9.5414919909826049E-2</v>
      </c>
      <c r="F21" s="4"/>
      <c r="G21" s="4"/>
      <c r="H21" s="4"/>
      <c r="I21" s="4"/>
      <c r="J21" s="4"/>
    </row>
    <row r="22" spans="1:24">
      <c r="A22" s="51" t="s">
        <v>95</v>
      </c>
      <c r="B22" s="125">
        <f>B17/B11</f>
        <v>0.17716861077375598</v>
      </c>
      <c r="C22" s="125">
        <f t="shared" ref="C22:E22" si="9">C17/C11</f>
        <v>0.1622718301398747</v>
      </c>
      <c r="D22" s="125">
        <f t="shared" si="9"/>
        <v>0.16172734722547413</v>
      </c>
      <c r="E22" s="125">
        <f t="shared" si="9"/>
        <v>0.14017725748421458</v>
      </c>
      <c r="F22" s="4"/>
      <c r="G22" s="4"/>
      <c r="H22" s="4"/>
      <c r="I22" s="4"/>
      <c r="J22" s="4"/>
    </row>
    <row r="23" spans="1:24" ht="15.5">
      <c r="A23" s="51" t="s">
        <v>96</v>
      </c>
      <c r="B23" s="125">
        <f>B17/B4</f>
        <v>4.5167508607131139E-2</v>
      </c>
      <c r="C23" s="125">
        <f t="shared" ref="C23:E23" si="10">C17/C4</f>
        <v>4.1349111198715011E-2</v>
      </c>
      <c r="D23" s="125">
        <f t="shared" si="10"/>
        <v>3.9013985912773289E-2</v>
      </c>
      <c r="E23" s="125">
        <f t="shared" si="10"/>
        <v>3.2239686383842538E-2</v>
      </c>
      <c r="F23" s="4"/>
      <c r="G23" s="4"/>
      <c r="H23" s="4"/>
      <c r="I23" s="4"/>
      <c r="J23" s="4"/>
      <c r="X23" s="58"/>
    </row>
    <row r="26" spans="1:24">
      <c r="A26" s="122" t="s">
        <v>103</v>
      </c>
      <c r="B26" s="123">
        <f>B1</f>
        <v>2015</v>
      </c>
      <c r="C26" s="123">
        <f t="shared" ref="C26:E26" si="11">C1</f>
        <v>2014</v>
      </c>
      <c r="D26" s="123">
        <f t="shared" si="11"/>
        <v>2013</v>
      </c>
      <c r="E26" s="123">
        <f t="shared" si="11"/>
        <v>2012</v>
      </c>
      <c r="F26" s="5"/>
      <c r="G26" s="5"/>
      <c r="H26" s="5"/>
      <c r="I26" s="5"/>
      <c r="J26" s="5"/>
    </row>
    <row r="27" spans="1:24">
      <c r="A27" s="51" t="s">
        <v>99</v>
      </c>
      <c r="B27" s="60">
        <f>BS!C13/'základní a poměrové ukazatele'!B4*365</f>
        <v>71.479208905127663</v>
      </c>
      <c r="C27" s="60">
        <f>BS!D13/'základní a poměrové ukazatele'!C4*365</f>
        <v>67.591992947816465</v>
      </c>
      <c r="D27" s="60">
        <f>BS!E13/'základní a poměrové ukazatele'!D4*365</f>
        <v>69.676243716858963</v>
      </c>
      <c r="E27" s="60">
        <f>BS!F13/'základní a poměrové ukazatele'!E4*365</f>
        <v>73.117734939101169</v>
      </c>
      <c r="F27" s="6"/>
      <c r="G27" s="6"/>
      <c r="H27" s="6"/>
      <c r="I27" s="6"/>
      <c r="J27" s="6"/>
    </row>
    <row r="28" spans="1:24">
      <c r="A28" s="51" t="s">
        <v>100</v>
      </c>
      <c r="B28" s="60">
        <f>BS!C20/'základní a poměrové ukazatele'!B4*365</f>
        <v>46.431613810086624</v>
      </c>
      <c r="C28" s="60">
        <f>BS!D20/'základní a poměrové ukazatele'!C4*365</f>
        <v>49.722798207465893</v>
      </c>
      <c r="D28" s="60">
        <f>BS!E20/'základní a poměrové ukazatele'!D4*365</f>
        <v>47.110964180403762</v>
      </c>
      <c r="E28" s="60">
        <f>BS!F20/'základní a poměrové ukazatele'!E4*365</f>
        <v>46.942886864994733</v>
      </c>
      <c r="F28" s="6"/>
      <c r="G28" s="6"/>
      <c r="H28" s="6"/>
      <c r="I28" s="6"/>
      <c r="J28" s="6"/>
    </row>
    <row r="29" spans="1:24">
      <c r="A29" s="51" t="s">
        <v>101</v>
      </c>
      <c r="B29" s="60">
        <f>BS!C44/'základní a poměrové ukazatele'!B4*365</f>
        <v>62.611197088130645</v>
      </c>
      <c r="C29" s="60">
        <f>BS!D44/'základní a poměrové ukazatele'!C4*365</f>
        <v>60.287610135702053</v>
      </c>
      <c r="D29" s="60">
        <f>BS!E44/'základní a poměrové ukazatele'!D4*365</f>
        <v>64.407618808244479</v>
      </c>
      <c r="E29" s="60">
        <f>BS!F44/'základní a poměrové ukazatele'!E4*365</f>
        <v>61.838540194516533</v>
      </c>
      <c r="F29" s="6"/>
      <c r="G29" s="6"/>
      <c r="H29" s="6"/>
      <c r="I29" s="6"/>
    </row>
    <row r="30" spans="1:24">
      <c r="A30" s="51" t="s">
        <v>102</v>
      </c>
      <c r="B30" s="60">
        <f>B27+B28-B29</f>
        <v>55.29962562708365</v>
      </c>
      <c r="C30" s="60">
        <f>C27+C28-C29</f>
        <v>57.027181019580311</v>
      </c>
      <c r="D30" s="60">
        <f>D27+D28-D29</f>
        <v>52.379589089018253</v>
      </c>
      <c r="E30" s="60">
        <f>E27+E28-E29</f>
        <v>58.222081609579369</v>
      </c>
      <c r="F30" s="6"/>
      <c r="G30" s="6"/>
      <c r="H30" s="6"/>
      <c r="I30" s="6"/>
      <c r="J30" s="6"/>
    </row>
    <row r="31" spans="1:24">
      <c r="J31" s="6"/>
    </row>
    <row r="32" spans="1:24">
      <c r="A32" s="122" t="s">
        <v>231</v>
      </c>
      <c r="B32" s="123">
        <f>B1</f>
        <v>2015</v>
      </c>
      <c r="C32" s="123">
        <f t="shared" ref="C32:E32" si="12">C1</f>
        <v>2014</v>
      </c>
      <c r="D32" s="123">
        <f t="shared" si="12"/>
        <v>2013</v>
      </c>
      <c r="E32" s="123">
        <f t="shared" si="12"/>
        <v>2012</v>
      </c>
      <c r="J32" s="6"/>
    </row>
    <row r="33" spans="1:10">
      <c r="A33" s="51" t="s">
        <v>232</v>
      </c>
      <c r="B33" s="59">
        <f>BS!C26/BS!C43</f>
        <v>0.19105803551981879</v>
      </c>
      <c r="C33" s="59">
        <f>BS!D26/BS!D43</f>
        <v>0.16623826650765974</v>
      </c>
      <c r="D33" s="59">
        <f>BS!E26/BS!E43</f>
        <v>0.17921796834433726</v>
      </c>
      <c r="E33" s="59">
        <f>BS!F26/BS!F43</f>
        <v>0.15319067081526255</v>
      </c>
      <c r="J33" s="6"/>
    </row>
    <row r="34" spans="1:10">
      <c r="A34" s="51" t="s">
        <v>233</v>
      </c>
      <c r="B34" s="59">
        <f>(BS!C12-BS!C13)/BS!C43</f>
        <v>1.1562236554510956</v>
      </c>
      <c r="C34" s="59">
        <f>(BS!D12-BS!D13)/BS!D43</f>
        <v>1.1900148712661482</v>
      </c>
      <c r="D34" s="59">
        <f>(BS!E12-BS!E13)/BS!E43</f>
        <v>1.1175114394269112</v>
      </c>
      <c r="E34" s="59">
        <f>(BS!F12-BS!F13)/BS!F43</f>
        <v>0.96475478268456993</v>
      </c>
      <c r="J34" s="6"/>
    </row>
    <row r="35" spans="1:10">
      <c r="A35" s="51" t="s">
        <v>234</v>
      </c>
      <c r="B35" s="59">
        <f>BS!C12/BS!C43</f>
        <v>2.1318848155465187</v>
      </c>
      <c r="C35" s="59">
        <f>BS!D12/BS!D43</f>
        <v>2.1288906415549738</v>
      </c>
      <c r="D35" s="59">
        <f>BS!E12/BS!E43</f>
        <v>2.0262127977065694</v>
      </c>
      <c r="E35" s="59">
        <f>BS!F12/BS!F43</f>
        <v>1.954192917640853</v>
      </c>
    </row>
    <row r="37" spans="1:10">
      <c r="A37" s="122" t="s">
        <v>299</v>
      </c>
      <c r="B37" s="123">
        <f>$B$20</f>
        <v>2015</v>
      </c>
      <c r="C37" s="123">
        <f>$C$20</f>
        <v>2014</v>
      </c>
      <c r="D37" s="123">
        <f>$D$20</f>
        <v>2013</v>
      </c>
      <c r="E37" s="123">
        <f>$E$20</f>
        <v>2012</v>
      </c>
    </row>
    <row r="38" spans="1:10">
      <c r="A38" s="51" t="s">
        <v>303</v>
      </c>
      <c r="B38" s="127">
        <f>B16/'P&amp;L'!D28</f>
        <v>1062.8653846153845</v>
      </c>
      <c r="C38" s="127">
        <f>C16/'P&amp;L'!E28</f>
        <v>355.07430997876855</v>
      </c>
      <c r="D38" s="127">
        <f>D16/'P&amp;L'!F28</f>
        <v>324.71167048054917</v>
      </c>
      <c r="E38" s="127">
        <f>E16/'P&amp;L'!G28</f>
        <v>252.5970515970516</v>
      </c>
    </row>
    <row r="39" spans="1:10">
      <c r="A39" s="51" t="s">
        <v>300</v>
      </c>
      <c r="B39" s="126">
        <f>BS!C40/BS!C31</f>
        <v>0.44073922596768145</v>
      </c>
      <c r="C39" s="126">
        <f>BS!D40/BS!D31</f>
        <v>0.4364582944733908</v>
      </c>
      <c r="D39" s="126">
        <f>BS!E40/BS!E31</f>
        <v>0.47633001875942571</v>
      </c>
      <c r="E39" s="126">
        <f>BS!F40/BS!F31</f>
        <v>0.46834955493084279</v>
      </c>
    </row>
    <row r="40" spans="1:10">
      <c r="A40" s="51"/>
      <c r="B40" s="126"/>
      <c r="C40" s="126"/>
      <c r="D40" s="126"/>
      <c r="E40" s="126"/>
    </row>
    <row r="41" spans="1:10">
      <c r="A41" s="51" t="s">
        <v>301</v>
      </c>
      <c r="B41" s="126">
        <f>B10/B11</f>
        <v>1.788092663500684</v>
      </c>
      <c r="C41" s="126">
        <f t="shared" ref="C41:E41" si="13">C10/C11</f>
        <v>1.7744915597072561</v>
      </c>
      <c r="D41" s="126">
        <f t="shared" si="13"/>
        <v>1.909599625380473</v>
      </c>
      <c r="E41" s="126">
        <f t="shared" si="13"/>
        <v>1.8809351318607845</v>
      </c>
    </row>
    <row r="42" spans="1:10">
      <c r="A42" s="51" t="s">
        <v>302</v>
      </c>
      <c r="B42" s="126">
        <f>(B18/B16)*B41</f>
        <v>1.7864103312981465</v>
      </c>
      <c r="C42" s="126">
        <f t="shared" ref="C42:E42" si="14">(C18/C16)*C41</f>
        <v>1.7694940380340791</v>
      </c>
      <c r="D42" s="126">
        <f t="shared" si="14"/>
        <v>1.9037187168730749</v>
      </c>
      <c r="E42" s="126">
        <f t="shared" si="14"/>
        <v>1.8734887459272649</v>
      </c>
    </row>
    <row r="51" spans="2:2" ht="18">
      <c r="B51" s="5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8"/>
  <sheetViews>
    <sheetView zoomScale="80" zoomScaleNormal="80" workbookViewId="0"/>
  </sheetViews>
  <sheetFormatPr defaultRowHeight="14.5"/>
  <cols>
    <col min="1" max="1" width="33" bestFit="1" customWidth="1"/>
    <col min="2" max="2" width="21.54296875" bestFit="1" customWidth="1"/>
    <col min="3" max="6" width="15" bestFit="1" customWidth="1"/>
  </cols>
  <sheetData>
    <row r="1" spans="1:6">
      <c r="A1" t="s">
        <v>285</v>
      </c>
      <c r="B1" s="129"/>
      <c r="C1" s="129">
        <f>'P&amp;L'!D2</f>
        <v>2015</v>
      </c>
      <c r="D1" s="129">
        <f>'P&amp;L'!E2</f>
        <v>2014</v>
      </c>
      <c r="E1" s="129">
        <f>'P&amp;L'!F2</f>
        <v>2013</v>
      </c>
      <c r="F1" s="129">
        <f>'P&amp;L'!G2</f>
        <v>2012</v>
      </c>
    </row>
    <row r="2" spans="1:6">
      <c r="B2" s="51" t="s">
        <v>3</v>
      </c>
      <c r="C2" s="52">
        <f>BS!C5</f>
        <v>93909</v>
      </c>
      <c r="D2" s="52">
        <f>BS!D5</f>
        <v>91193</v>
      </c>
      <c r="E2" s="52">
        <f>BS!E5</f>
        <v>87973</v>
      </c>
      <c r="F2" s="52">
        <f>BS!F5</f>
        <v>82125</v>
      </c>
    </row>
    <row r="3" spans="1:6">
      <c r="B3" s="51" t="s">
        <v>288</v>
      </c>
      <c r="C3" s="52">
        <f>BS!C32</f>
        <v>991372</v>
      </c>
      <c r="D3" s="52">
        <f>BS!D32</f>
        <v>815730</v>
      </c>
      <c r="E3" s="52">
        <f>BS!E32</f>
        <v>683360</v>
      </c>
      <c r="F3" s="52">
        <f>BS!F32</f>
        <v>572839</v>
      </c>
    </row>
    <row r="4" spans="1:6">
      <c r="B4" s="51" t="s">
        <v>289</v>
      </c>
      <c r="C4" s="52">
        <f>BS!C12</f>
        <v>1663983</v>
      </c>
      <c r="D4" s="52">
        <f>BS!D12</f>
        <v>1344222</v>
      </c>
      <c r="E4" s="52">
        <f>BS!E12</f>
        <v>1205781</v>
      </c>
      <c r="F4" s="52">
        <f>BS!F12</f>
        <v>985435</v>
      </c>
    </row>
    <row r="5" spans="1:6">
      <c r="B5" s="51" t="s">
        <v>290</v>
      </c>
      <c r="C5" s="52">
        <f>BS!C43+BS!C51+BS!C41</f>
        <v>781284</v>
      </c>
      <c r="D5" s="52">
        <f>BS!D43+BS!D51+BS!D41</f>
        <v>631776</v>
      </c>
      <c r="E5" s="52">
        <f>BS!E43+BS!E51+BS!E41</f>
        <v>621584</v>
      </c>
      <c r="F5" s="52">
        <f>BS!F43+BS!F51+BS!F41</f>
        <v>504634</v>
      </c>
    </row>
    <row r="8" spans="1:6">
      <c r="A8" t="s">
        <v>286</v>
      </c>
      <c r="B8" s="129"/>
      <c r="C8" s="129">
        <f>C1</f>
        <v>2015</v>
      </c>
      <c r="D8" s="129">
        <f t="shared" ref="D8:F8" si="0">D1</f>
        <v>2014</v>
      </c>
      <c r="E8" s="129">
        <f t="shared" si="0"/>
        <v>2013</v>
      </c>
      <c r="F8" s="129">
        <f t="shared" si="0"/>
        <v>2012</v>
      </c>
    </row>
    <row r="9" spans="1:6">
      <c r="B9" s="51" t="s">
        <v>29</v>
      </c>
      <c r="C9" s="52">
        <f>BS!C32</f>
        <v>991372</v>
      </c>
      <c r="D9" s="52">
        <f>BS!D32</f>
        <v>815730</v>
      </c>
      <c r="E9" s="52">
        <f>BS!E32</f>
        <v>683360</v>
      </c>
      <c r="F9" s="52">
        <f>BS!F32</f>
        <v>572839</v>
      </c>
    </row>
    <row r="10" spans="1:6">
      <c r="B10" s="51" t="s">
        <v>287</v>
      </c>
      <c r="C10" s="52">
        <f>BS!C40</f>
        <v>781283</v>
      </c>
      <c r="D10" s="52">
        <f>BS!D40</f>
        <v>631776</v>
      </c>
      <c r="E10" s="52">
        <f>BS!E40</f>
        <v>621584</v>
      </c>
      <c r="F10" s="52">
        <f>BS!F40</f>
        <v>504634</v>
      </c>
    </row>
    <row r="12" spans="1:6">
      <c r="A12" t="s">
        <v>291</v>
      </c>
      <c r="B12" s="129"/>
      <c r="C12" s="129">
        <f>C1</f>
        <v>2015</v>
      </c>
      <c r="D12" s="129">
        <f t="shared" ref="D12:F12" si="1">D1</f>
        <v>2014</v>
      </c>
      <c r="E12" s="129">
        <f t="shared" si="1"/>
        <v>2013</v>
      </c>
      <c r="F12" s="129">
        <f t="shared" si="1"/>
        <v>2012</v>
      </c>
    </row>
    <row r="13" spans="1:6">
      <c r="B13" s="51" t="s">
        <v>29</v>
      </c>
      <c r="C13" s="52">
        <f>BS!C36</f>
        <v>1875</v>
      </c>
      <c r="D13" s="52">
        <f>BS!D36</f>
        <v>1875</v>
      </c>
      <c r="E13" s="52">
        <f>BS!E36</f>
        <v>1875</v>
      </c>
      <c r="F13" s="52">
        <f>BS!F36</f>
        <v>1875</v>
      </c>
    </row>
    <row r="14" spans="1:6">
      <c r="B14" s="51" t="s">
        <v>287</v>
      </c>
      <c r="C14" s="52">
        <f>BS!C44</f>
        <v>667047</v>
      </c>
      <c r="D14" s="52">
        <f>BS!D44</f>
        <v>528760</v>
      </c>
      <c r="E14" s="52">
        <f>BS!E44</f>
        <v>499870</v>
      </c>
      <c r="F14" s="52">
        <f>BS!F44</f>
        <v>421974</v>
      </c>
    </row>
    <row r="16" spans="1:6">
      <c r="A16" t="s">
        <v>292</v>
      </c>
      <c r="B16" s="129"/>
      <c r="C16" s="129" t="str">
        <f>C1&amp;"/"&amp;D1</f>
        <v>2015/2014</v>
      </c>
      <c r="D16" s="129" t="str">
        <f t="shared" ref="D16:E16" si="2">D1&amp;"/"&amp;E1</f>
        <v>2014/2013</v>
      </c>
      <c r="E16" s="129" t="str">
        <f t="shared" si="2"/>
        <v>2013/2012</v>
      </c>
    </row>
    <row r="17" spans="2:5">
      <c r="B17" s="51" t="s">
        <v>293</v>
      </c>
      <c r="C17" s="115">
        <f>'P&amp;L'!I3</f>
        <v>0.2105260972112053</v>
      </c>
      <c r="D17" s="115">
        <f>'P&amp;L'!J3</f>
        <v>0.13235108459144018</v>
      </c>
      <c r="E17" s="115">
        <f>'P&amp;L'!K3</f>
        <v>0.13074097267926299</v>
      </c>
    </row>
    <row r="18" spans="2:5">
      <c r="B18" s="51" t="s">
        <v>294</v>
      </c>
      <c r="C18" s="115">
        <f>(BS!C5+'P&amp;L'!D17)/(BS!D5+'P&amp;L'!E17)-1</f>
        <v>2.200946853010799E-2</v>
      </c>
      <c r="D18" s="115">
        <f>(BS!D5+'P&amp;L'!E17)/(BS!E5+'P&amp;L'!F17)-1</f>
        <v>2.8695325855814469E-2</v>
      </c>
      <c r="E18" s="115">
        <f>(BS!E5+'P&amp;L'!F17)/(BS!F5+'P&amp;L'!G17)-1</f>
        <v>6.6337646169579045E-2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6"/>
  <sheetViews>
    <sheetView zoomScale="90" zoomScaleNormal="90" workbookViewId="0">
      <selection activeCell="H14" sqref="H14"/>
    </sheetView>
  </sheetViews>
  <sheetFormatPr defaultRowHeight="14.5"/>
  <cols>
    <col min="1" max="1" width="6" bestFit="1" customWidth="1"/>
    <col min="2" max="2" width="51.7265625" bestFit="1" customWidth="1"/>
    <col min="3" max="3" width="13.54296875" bestFit="1" customWidth="1"/>
    <col min="4" max="6" width="12" bestFit="1" customWidth="1"/>
  </cols>
  <sheetData>
    <row r="1" spans="1:6">
      <c r="A1" s="211" t="s">
        <v>229</v>
      </c>
      <c r="B1" s="212"/>
      <c r="C1" s="48">
        <v>2015</v>
      </c>
      <c r="D1" s="48">
        <v>2014</v>
      </c>
      <c r="E1" s="48">
        <v>2013</v>
      </c>
      <c r="F1" s="48">
        <v>2012</v>
      </c>
    </row>
    <row r="2" spans="1:6" s="1" customFormat="1">
      <c r="A2" s="49" t="s">
        <v>182</v>
      </c>
      <c r="B2" s="49" t="s">
        <v>183</v>
      </c>
      <c r="C2" s="50">
        <v>104959</v>
      </c>
      <c r="D2" s="50">
        <v>80375</v>
      </c>
      <c r="E2" s="50">
        <v>77243</v>
      </c>
      <c r="F2" s="50">
        <v>55533</v>
      </c>
    </row>
    <row r="3" spans="1:6">
      <c r="A3" s="51"/>
      <c r="B3" s="51" t="s">
        <v>184</v>
      </c>
      <c r="C3" s="52"/>
      <c r="D3" s="52"/>
      <c r="E3" s="52"/>
      <c r="F3" s="52"/>
    </row>
    <row r="4" spans="1:6">
      <c r="A4" s="51" t="s">
        <v>185</v>
      </c>
      <c r="B4" s="51" t="s">
        <v>186</v>
      </c>
      <c r="C4" s="52">
        <f>'P&amp;L'!D37</f>
        <v>220868</v>
      </c>
      <c r="D4" s="52">
        <f>'P&amp;L'!E37</f>
        <v>166769</v>
      </c>
      <c r="E4" s="52">
        <f>'P&amp;L'!F37</f>
        <v>141462</v>
      </c>
      <c r="F4" s="52">
        <f>'P&amp;L'!G37</f>
        <v>102400</v>
      </c>
    </row>
    <row r="5" spans="1:6">
      <c r="A5" s="51" t="s">
        <v>187</v>
      </c>
      <c r="B5" s="51" t="s">
        <v>188</v>
      </c>
      <c r="C5" s="52">
        <v>27853</v>
      </c>
      <c r="D5" s="52">
        <v>31551</v>
      </c>
      <c r="E5" s="52">
        <v>33356</v>
      </c>
      <c r="F5" s="52">
        <v>33907</v>
      </c>
    </row>
    <row r="6" spans="1:6">
      <c r="A6" s="51" t="s">
        <v>189</v>
      </c>
      <c r="B6" s="51" t="s">
        <v>190</v>
      </c>
      <c r="C6" s="52">
        <v>32162</v>
      </c>
      <c r="D6" s="52">
        <v>32163</v>
      </c>
      <c r="E6" s="52">
        <v>31942</v>
      </c>
      <c r="F6" s="52">
        <v>30330</v>
      </c>
    </row>
    <row r="7" spans="1:6">
      <c r="A7" s="51" t="s">
        <v>191</v>
      </c>
      <c r="B7" s="51" t="s">
        <v>192</v>
      </c>
      <c r="C7" s="52">
        <v>-707</v>
      </c>
      <c r="D7" s="52">
        <v>2794</v>
      </c>
      <c r="E7" s="52">
        <v>4618</v>
      </c>
      <c r="F7" s="52">
        <v>3781</v>
      </c>
    </row>
    <row r="8" spans="1:6">
      <c r="A8" s="51" t="s">
        <v>193</v>
      </c>
      <c r="B8" s="51" t="s">
        <v>194</v>
      </c>
      <c r="C8" s="52">
        <v>-944</v>
      </c>
      <c r="D8" s="52">
        <v>-1072</v>
      </c>
      <c r="E8" s="52">
        <v>-2030</v>
      </c>
      <c r="F8" s="52">
        <v>-561</v>
      </c>
    </row>
    <row r="9" spans="1:6">
      <c r="A9" s="51" t="s">
        <v>195</v>
      </c>
      <c r="B9" s="51" t="s">
        <v>196</v>
      </c>
      <c r="C9" s="52">
        <v>-2658</v>
      </c>
      <c r="D9" s="52">
        <v>-2334</v>
      </c>
      <c r="E9" s="52">
        <v>-1174</v>
      </c>
      <c r="F9" s="52">
        <v>357</v>
      </c>
    </row>
    <row r="10" spans="1:6" s="1" customFormat="1">
      <c r="A10" s="49" t="s">
        <v>197</v>
      </c>
      <c r="B10" s="49" t="s">
        <v>198</v>
      </c>
      <c r="C10" s="50">
        <v>248721</v>
      </c>
      <c r="D10" s="50">
        <v>198320</v>
      </c>
      <c r="E10" s="50">
        <f>174818</f>
        <v>174818</v>
      </c>
      <c r="F10" s="50">
        <v>136307</v>
      </c>
    </row>
    <row r="11" spans="1:6">
      <c r="A11" s="51" t="s">
        <v>199</v>
      </c>
      <c r="B11" s="51" t="s">
        <v>200</v>
      </c>
      <c r="C11" s="52">
        <v>-118441</v>
      </c>
      <c r="D11" s="52">
        <v>-84968</v>
      </c>
      <c r="E11" s="52">
        <v>-45969</v>
      </c>
      <c r="F11" s="52">
        <v>-11000</v>
      </c>
    </row>
    <row r="12" spans="1:6">
      <c r="A12" s="51" t="s">
        <v>201</v>
      </c>
      <c r="B12" s="51" t="s">
        <v>202</v>
      </c>
      <c r="C12" s="52">
        <v>-94580</v>
      </c>
      <c r="D12" s="52">
        <v>-69874</v>
      </c>
      <c r="E12" s="52">
        <v>-91628</v>
      </c>
      <c r="F12" s="52">
        <v>-41319</v>
      </c>
    </row>
    <row r="13" spans="1:6">
      <c r="A13" s="51" t="s">
        <v>203</v>
      </c>
      <c r="B13" s="51" t="s">
        <v>204</v>
      </c>
      <c r="C13" s="52">
        <v>144854</v>
      </c>
      <c r="D13" s="52">
        <v>36765</v>
      </c>
      <c r="E13" s="52">
        <v>87144</v>
      </c>
      <c r="F13" s="52">
        <v>59743</v>
      </c>
    </row>
    <row r="14" spans="1:6">
      <c r="A14" s="51" t="s">
        <v>205</v>
      </c>
      <c r="B14" s="51" t="s">
        <v>206</v>
      </c>
      <c r="C14" s="52">
        <v>-168715</v>
      </c>
      <c r="D14" s="52">
        <v>-51858</v>
      </c>
      <c r="E14" s="52">
        <v>-41485</v>
      </c>
      <c r="F14" s="52">
        <v>-29424</v>
      </c>
    </row>
    <row r="15" spans="1:6" s="1" customFormat="1">
      <c r="A15" s="49" t="s">
        <v>207</v>
      </c>
      <c r="B15" s="49" t="s">
        <v>209</v>
      </c>
      <c r="C15" s="50">
        <v>130280</v>
      </c>
      <c r="D15" s="50">
        <v>113353</v>
      </c>
      <c r="E15" s="50">
        <v>128849</v>
      </c>
      <c r="F15" s="50">
        <v>125307</v>
      </c>
    </row>
    <row r="16" spans="1:6">
      <c r="A16" s="51" t="s">
        <v>210</v>
      </c>
      <c r="B16" s="51" t="s">
        <v>211</v>
      </c>
      <c r="C16" s="52">
        <v>-208</v>
      </c>
      <c r="D16" s="52">
        <v>-471</v>
      </c>
      <c r="E16" s="52">
        <v>-437</v>
      </c>
      <c r="F16" s="52">
        <v>-407</v>
      </c>
    </row>
    <row r="17" spans="1:6">
      <c r="A17" s="51" t="s">
        <v>212</v>
      </c>
      <c r="B17" s="51" t="s">
        <v>213</v>
      </c>
      <c r="C17" s="52">
        <v>2866</v>
      </c>
      <c r="D17" s="52">
        <v>2805</v>
      </c>
      <c r="E17" s="52">
        <v>1611</v>
      </c>
      <c r="F17" s="52">
        <v>50</v>
      </c>
    </row>
    <row r="18" spans="1:6">
      <c r="A18" s="51" t="s">
        <v>214</v>
      </c>
      <c r="B18" s="51" t="s">
        <v>215</v>
      </c>
      <c r="C18" s="52">
        <v>-40921</v>
      </c>
      <c r="D18" s="52">
        <v>-35256</v>
      </c>
      <c r="E18" s="52">
        <v>-27371</v>
      </c>
      <c r="F18" s="52">
        <v>-31464</v>
      </c>
    </row>
    <row r="19" spans="1:6" s="1" customFormat="1">
      <c r="A19" s="49" t="s">
        <v>216</v>
      </c>
      <c r="B19" s="49" t="s">
        <v>208</v>
      </c>
      <c r="C19" s="50">
        <v>92017</v>
      </c>
      <c r="D19" s="50">
        <v>80430</v>
      </c>
      <c r="E19" s="50">
        <v>102652</v>
      </c>
      <c r="F19" s="50">
        <v>93486</v>
      </c>
    </row>
    <row r="20" spans="1:6">
      <c r="A20" s="51"/>
      <c r="B20" s="51" t="s">
        <v>217</v>
      </c>
      <c r="C20" s="52"/>
      <c r="D20" s="52"/>
      <c r="E20" s="52"/>
      <c r="F20" s="52"/>
    </row>
    <row r="21" spans="1:6">
      <c r="A21" s="51" t="s">
        <v>156</v>
      </c>
      <c r="B21" s="51" t="s">
        <v>218</v>
      </c>
      <c r="C21" s="52">
        <v>-34891</v>
      </c>
      <c r="D21" s="52">
        <v>-35664</v>
      </c>
      <c r="E21" s="52">
        <v>-37791</v>
      </c>
      <c r="F21" s="52">
        <v>-34952</v>
      </c>
    </row>
    <row r="22" spans="1:6">
      <c r="A22" s="51" t="s">
        <v>219</v>
      </c>
      <c r="B22" s="51" t="s">
        <v>220</v>
      </c>
      <c r="C22" s="52">
        <v>956</v>
      </c>
      <c r="D22" s="52">
        <v>1353</v>
      </c>
      <c r="E22" s="52">
        <v>2033</v>
      </c>
      <c r="F22" s="52">
        <v>886</v>
      </c>
    </row>
    <row r="23" spans="1:6">
      <c r="A23" s="51" t="s">
        <v>221</v>
      </c>
      <c r="B23" s="51" t="s">
        <v>222</v>
      </c>
      <c r="C23" s="52">
        <v>-13923</v>
      </c>
      <c r="D23" s="52">
        <v>-21535</v>
      </c>
      <c r="E23" s="52">
        <v>-63762</v>
      </c>
      <c r="F23" s="52">
        <v>-37710</v>
      </c>
    </row>
    <row r="24" spans="1:6" s="1" customFormat="1">
      <c r="A24" s="49" t="s">
        <v>223</v>
      </c>
      <c r="B24" s="49" t="s">
        <v>224</v>
      </c>
      <c r="C24" s="50">
        <v>-47858</v>
      </c>
      <c r="D24" s="50">
        <v>-55846</v>
      </c>
      <c r="E24" s="50">
        <v>-99520</v>
      </c>
      <c r="F24" s="50">
        <v>-71776</v>
      </c>
    </row>
    <row r="25" spans="1:6">
      <c r="A25" s="51"/>
      <c r="B25" s="51" t="s">
        <v>225</v>
      </c>
      <c r="C25" s="52"/>
      <c r="D25" s="52"/>
      <c r="E25" s="52"/>
      <c r="F25" s="52"/>
    </row>
    <row r="26" spans="1:6">
      <c r="A26" s="51" t="s">
        <v>158</v>
      </c>
      <c r="B26" s="51" t="s">
        <v>296</v>
      </c>
      <c r="C26" s="52">
        <v>2</v>
      </c>
      <c r="D26" s="52"/>
      <c r="E26" s="52"/>
      <c r="F26" s="52"/>
    </row>
    <row r="27" spans="1:6" s="1" customFormat="1">
      <c r="A27" s="49" t="s">
        <v>295</v>
      </c>
      <c r="B27" s="49" t="s">
        <v>297</v>
      </c>
      <c r="C27" s="50">
        <v>2</v>
      </c>
      <c r="D27" s="50"/>
      <c r="E27" s="50"/>
      <c r="F27" s="50"/>
    </row>
    <row r="28" spans="1:6" s="1" customFormat="1">
      <c r="A28" s="49" t="s">
        <v>166</v>
      </c>
      <c r="B28" s="49" t="s">
        <v>226</v>
      </c>
      <c r="C28" s="50">
        <v>44161</v>
      </c>
      <c r="D28" s="50">
        <v>24584</v>
      </c>
      <c r="E28" s="50">
        <v>3132</v>
      </c>
      <c r="F28" s="50">
        <v>21710</v>
      </c>
    </row>
    <row r="29" spans="1:6" s="1" customFormat="1">
      <c r="A29" s="49" t="s">
        <v>227</v>
      </c>
      <c r="B29" s="49" t="s">
        <v>228</v>
      </c>
      <c r="C29" s="50">
        <v>149120</v>
      </c>
      <c r="D29" s="50">
        <v>104959</v>
      </c>
      <c r="E29" s="50">
        <v>80375</v>
      </c>
      <c r="F29" s="50">
        <v>77243</v>
      </c>
    </row>
    <row r="30" spans="1:6">
      <c r="C30" s="2"/>
      <c r="D30" s="2"/>
      <c r="E30" s="2"/>
      <c r="F30" s="2"/>
    </row>
    <row r="31" spans="1:6">
      <c r="C31" s="2"/>
      <c r="D31" s="2"/>
      <c r="E31" s="2"/>
      <c r="F31" s="2"/>
    </row>
    <row r="32" spans="1:6">
      <c r="C32" s="2"/>
      <c r="D32" s="2"/>
      <c r="E32" s="2"/>
      <c r="F32" s="2"/>
    </row>
    <row r="33" spans="3:6">
      <c r="C33" s="2"/>
      <c r="D33" s="2"/>
      <c r="E33" s="2"/>
      <c r="F33" s="2"/>
    </row>
    <row r="34" spans="3:6">
      <c r="C34" s="2"/>
      <c r="D34" s="2"/>
      <c r="E34" s="2"/>
      <c r="F34" s="2"/>
    </row>
    <row r="35" spans="3:6">
      <c r="C35" s="2"/>
      <c r="D35" s="2"/>
      <c r="E35" s="2"/>
      <c r="F35" s="2"/>
    </row>
    <row r="36" spans="3:6">
      <c r="C36" s="2"/>
      <c r="D36" s="2"/>
      <c r="E36" s="2"/>
      <c r="F36" s="2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zoomScale="85" zoomScaleNormal="85" workbookViewId="0"/>
  </sheetViews>
  <sheetFormatPr defaultRowHeight="14.5"/>
  <cols>
    <col min="1" max="1" width="19.81640625" bestFit="1" customWidth="1"/>
  </cols>
  <sheetData>
    <row r="1" spans="1:5">
      <c r="B1" s="1">
        <f>'základní a poměrové ukazatele'!B20</f>
        <v>2015</v>
      </c>
      <c r="C1" s="1">
        <f>'základní a poměrové ukazatele'!C20</f>
        <v>2014</v>
      </c>
      <c r="D1" s="1">
        <f>'základní a poměrové ukazatele'!D20</f>
        <v>2013</v>
      </c>
      <c r="E1" s="1">
        <f>'základní a poměrové ukazatele'!E20</f>
        <v>2012</v>
      </c>
    </row>
    <row r="2" spans="1:5">
      <c r="A2" t="s">
        <v>95</v>
      </c>
      <c r="B2" s="7">
        <f>'základní a poměrové ukazatele'!B22</f>
        <v>0.17716861077375598</v>
      </c>
      <c r="C2" s="7">
        <f>'základní a poměrové ukazatele'!C22</f>
        <v>0.1622718301398747</v>
      </c>
      <c r="D2" s="7">
        <f>'základní a poměrové ukazatele'!D22</f>
        <v>0.16172734722547413</v>
      </c>
      <c r="E2" s="7">
        <f>'základní a poměrové ukazatele'!E22</f>
        <v>0.14017725748421458</v>
      </c>
    </row>
    <row r="3" spans="1:5">
      <c r="A3" t="s">
        <v>106</v>
      </c>
      <c r="B3" s="7">
        <f>B5*B6*B7</f>
        <v>0.17716861077375598</v>
      </c>
      <c r="C3" s="7">
        <f t="shared" ref="C3:E3" si="0">C5*C6*C7</f>
        <v>0.1622718301398747</v>
      </c>
      <c r="D3" s="7">
        <f t="shared" si="0"/>
        <v>0.16172734722547413</v>
      </c>
      <c r="E3" s="7">
        <f t="shared" si="0"/>
        <v>0.14017725748421458</v>
      </c>
    </row>
    <row r="5" spans="1:5">
      <c r="A5" t="s">
        <v>104</v>
      </c>
      <c r="B5" s="4">
        <f>'základní a poměrové ukazatele'!B17/'základní a poměrové ukazatele'!B4</f>
        <v>4.5167508607131139E-2</v>
      </c>
      <c r="C5" s="4">
        <f>'základní a poměrové ukazatele'!C17/'základní a poměrové ukazatele'!C4</f>
        <v>4.1349111198715011E-2</v>
      </c>
      <c r="D5" s="4">
        <f>'základní a poměrové ukazatele'!D17/'základní a poměrové ukazatele'!D4</f>
        <v>3.9013985912773289E-2</v>
      </c>
      <c r="E5" s="4">
        <f>'základní a poměrové ukazatele'!E17/'základní a poměrové ukazatele'!E4</f>
        <v>3.2239686383842538E-2</v>
      </c>
    </row>
    <row r="6" spans="1:5">
      <c r="A6" t="s">
        <v>105</v>
      </c>
      <c r="B6" s="4">
        <f>'základní a poměrové ukazatele'!B4/'základní a poměrové ukazatele'!B10</f>
        <v>2.1936665980317769</v>
      </c>
      <c r="C6" s="4">
        <f>'základní a poměrové ukazatele'!C4/'základní a poměrové ukazatele'!C10</f>
        <v>2.2115818518196124</v>
      </c>
      <c r="D6" s="4">
        <f>'základní a poměrové ukazatele'!D4/'základní a poměrové ukazatele'!D10</f>
        <v>2.1708050307139617</v>
      </c>
      <c r="E6" s="4">
        <f>'základní a poměrové ukazatele'!E4/'základní a poměrové ukazatele'!E10</f>
        <v>2.3116013115873901</v>
      </c>
    </row>
    <row r="7" spans="1:5">
      <c r="A7" t="s">
        <v>107</v>
      </c>
      <c r="B7" s="4">
        <f>'základní a poměrové ukazatele'!B10/'základní a poměrové ukazatele'!B11</f>
        <v>1.788092663500684</v>
      </c>
      <c r="C7" s="4">
        <f>'základní a poměrové ukazatele'!C10/'základní a poměrové ukazatele'!C11</f>
        <v>1.7744915597072561</v>
      </c>
      <c r="D7" s="4">
        <f>'základní a poměrové ukazatele'!D10/'základní a poměrové ukazatele'!D11</f>
        <v>1.909599625380473</v>
      </c>
      <c r="E7" s="4">
        <f>'základní a poměrové ukazatele'!E10/'základní a poměrové ukazatele'!E11</f>
        <v>1.8809351318607845</v>
      </c>
    </row>
    <row r="9" spans="1:5">
      <c r="B9" s="7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XFD23"/>
  <sheetViews>
    <sheetView zoomScale="80" zoomScaleNormal="80" workbookViewId="0"/>
  </sheetViews>
  <sheetFormatPr defaultRowHeight="14.5"/>
  <cols>
    <col min="2" max="2" width="50.1796875" bestFit="1" customWidth="1"/>
    <col min="3" max="7" width="11.26953125" bestFit="1" customWidth="1"/>
    <col min="8" max="8" width="16.54296875" bestFit="1" customWidth="1"/>
    <col min="9" max="9" width="48" bestFit="1" customWidth="1"/>
    <col min="10" max="14" width="11.26953125" bestFit="1" customWidth="1"/>
    <col min="16" max="16" width="22.453125" bestFit="1" customWidth="1"/>
    <col min="17" max="17" width="12.1796875" bestFit="1" customWidth="1"/>
    <col min="18" max="20" width="10.7265625" bestFit="1" customWidth="1"/>
    <col min="22" max="22" width="23.54296875" bestFit="1" customWidth="1"/>
    <col min="23" max="23" width="15.81640625" customWidth="1"/>
    <col min="24" max="24" width="13.81640625" bestFit="1" customWidth="1"/>
    <col min="25" max="28" width="11.453125" bestFit="1" customWidth="1"/>
    <col min="30" max="30" width="31.81640625" customWidth="1"/>
    <col min="31" max="35" width="11.81640625" customWidth="1"/>
  </cols>
  <sheetData>
    <row r="1" spans="2:35 16384:16384" ht="15" thickBot="1">
      <c r="B1" t="s">
        <v>93</v>
      </c>
      <c r="I1" t="s">
        <v>240</v>
      </c>
      <c r="P1" t="s">
        <v>246</v>
      </c>
      <c r="AD1" t="s">
        <v>248</v>
      </c>
    </row>
    <row r="2" spans="2:35 16384:16384" ht="15" thickBot="1">
      <c r="I2" s="159"/>
      <c r="J2" s="160">
        <f>C3</f>
        <v>2015</v>
      </c>
      <c r="K2" s="160">
        <f t="shared" ref="K2:M2" si="0">D3</f>
        <v>2014</v>
      </c>
      <c r="L2" s="160">
        <f t="shared" si="0"/>
        <v>2013</v>
      </c>
      <c r="M2" s="161">
        <f t="shared" si="0"/>
        <v>2012</v>
      </c>
      <c r="P2" s="159"/>
      <c r="Q2" s="160">
        <f>C3</f>
        <v>2015</v>
      </c>
      <c r="R2" s="160">
        <f t="shared" ref="R2:T2" si="1">D3</f>
        <v>2014</v>
      </c>
      <c r="S2" s="160">
        <f t="shared" si="1"/>
        <v>2013</v>
      </c>
      <c r="T2" s="161">
        <f t="shared" si="1"/>
        <v>2012</v>
      </c>
    </row>
    <row r="3" spans="2:35 16384:16384" ht="15" thickBot="1">
      <c r="B3" s="159"/>
      <c r="C3" s="160">
        <f>'P&amp;L'!D2</f>
        <v>2015</v>
      </c>
      <c r="D3" s="160">
        <f>'P&amp;L'!E2</f>
        <v>2014</v>
      </c>
      <c r="E3" s="160">
        <f>'P&amp;L'!F2</f>
        <v>2013</v>
      </c>
      <c r="F3" s="161">
        <f>'P&amp;L'!G2</f>
        <v>2012</v>
      </c>
      <c r="I3" s="62" t="s">
        <v>72</v>
      </c>
      <c r="J3" s="120">
        <f>'P&amp;L'!D26</f>
        <v>228177</v>
      </c>
      <c r="K3" s="120">
        <f>'P&amp;L'!E26</f>
        <v>170892</v>
      </c>
      <c r="L3" s="120">
        <f>'P&amp;L'!F26</f>
        <v>145362</v>
      </c>
      <c r="M3" s="162">
        <f>'P&amp;L'!G26</f>
        <v>103441</v>
      </c>
      <c r="P3" s="16" t="s">
        <v>23</v>
      </c>
      <c r="Q3" s="120">
        <f>BS!C26</f>
        <v>149125</v>
      </c>
      <c r="R3" s="120">
        <f>BS!D26</f>
        <v>104966</v>
      </c>
      <c r="S3" s="120">
        <f>BS!E26</f>
        <v>106651</v>
      </c>
      <c r="T3" s="162">
        <f>BS!F26</f>
        <v>77249</v>
      </c>
      <c r="AD3" s="159"/>
      <c r="AE3" s="160">
        <f>C3</f>
        <v>2015</v>
      </c>
      <c r="AF3" s="160">
        <f t="shared" ref="AF3:AH3" si="2">D3</f>
        <v>2014</v>
      </c>
      <c r="AG3" s="160">
        <f t="shared" si="2"/>
        <v>2013</v>
      </c>
      <c r="AH3" s="160">
        <f t="shared" si="2"/>
        <v>2012</v>
      </c>
    </row>
    <row r="4" spans="2:35 16384:16384">
      <c r="B4" s="62" t="s">
        <v>49</v>
      </c>
      <c r="C4" s="152">
        <f>'P&amp;L'!D3</f>
        <v>3789282</v>
      </c>
      <c r="D4" s="152">
        <f>'P&amp;L'!E3</f>
        <v>3130277</v>
      </c>
      <c r="E4" s="152">
        <f>'P&amp;L'!F3</f>
        <v>2764405</v>
      </c>
      <c r="F4" s="153">
        <f>'P&amp;L'!G3</f>
        <v>2444773</v>
      </c>
      <c r="I4" s="62" t="s">
        <v>242</v>
      </c>
      <c r="J4" s="120">
        <f>C8+C10</f>
        <v>2287</v>
      </c>
      <c r="K4" s="120">
        <f t="shared" ref="K4:M4" si="3">D8+D10</f>
        <v>2819</v>
      </c>
      <c r="L4" s="120">
        <f t="shared" si="3"/>
        <v>3491</v>
      </c>
      <c r="M4" s="162">
        <f t="shared" si="3"/>
        <v>2209</v>
      </c>
      <c r="P4" s="16" t="s">
        <v>11</v>
      </c>
      <c r="Q4" s="120">
        <f>BS!C13</f>
        <v>761525</v>
      </c>
      <c r="R4" s="120">
        <f>BS!D13</f>
        <v>592824</v>
      </c>
      <c r="S4" s="120">
        <f>BS!E13</f>
        <v>540760</v>
      </c>
      <c r="T4" s="162">
        <f>BS!F13</f>
        <v>498941</v>
      </c>
      <c r="AD4" s="16" t="s">
        <v>250</v>
      </c>
      <c r="AE4" s="47">
        <f>BS!C10/'Generátory hodnoty'!C4</f>
        <v>1.766535190571723E-2</v>
      </c>
      <c r="AF4" s="47">
        <f>BS!D10/'Generátory hodnoty'!D4</f>
        <v>1.9425756889885463E-2</v>
      </c>
      <c r="AG4" s="47">
        <f>BS!E10/'Generátory hodnoty'!E4</f>
        <v>2.1192625537864388E-2</v>
      </c>
      <c r="AH4" s="76">
        <f>BS!F10/'Generátory hodnoty'!F4</f>
        <v>2.2568148453864633E-2</v>
      </c>
    </row>
    <row r="5" spans="2:35 16384:16384" ht="15" thickBot="1">
      <c r="B5" s="62" t="s">
        <v>236</v>
      </c>
      <c r="C5" s="154">
        <f t="shared" ref="C5:D5" si="4">(C4/D4)-1</f>
        <v>0.2105260972112053</v>
      </c>
      <c r="D5" s="154">
        <f t="shared" si="4"/>
        <v>0.13235108459144018</v>
      </c>
      <c r="E5" s="154">
        <f>(E4/F4)-1</f>
        <v>0.13074097267926299</v>
      </c>
      <c r="F5" s="155"/>
      <c r="I5" s="62" t="s">
        <v>243</v>
      </c>
      <c r="J5" s="120">
        <f>'P&amp;L'!D21</f>
        <v>12</v>
      </c>
      <c r="K5" s="120">
        <f>'P&amp;L'!E21</f>
        <v>281</v>
      </c>
      <c r="L5" s="120">
        <f>'P&amp;L'!F21</f>
        <v>3</v>
      </c>
      <c r="M5" s="162">
        <f>'P&amp;L'!G21</f>
        <v>325</v>
      </c>
      <c r="P5" s="16" t="s">
        <v>16</v>
      </c>
      <c r="Q5" s="120">
        <f>BS!C19</f>
        <v>735880</v>
      </c>
      <c r="R5" s="120">
        <f>BS!D19</f>
        <v>644775</v>
      </c>
      <c r="S5" s="120">
        <f>BS!E19</f>
        <v>557133</v>
      </c>
      <c r="T5" s="162">
        <f>BS!F19</f>
        <v>408116</v>
      </c>
      <c r="AD5" s="20" t="s">
        <v>249</v>
      </c>
      <c r="AE5" s="77">
        <f>BS!C7/'Generátory hodnoty'!C4</f>
        <v>6.9976317413166927E-3</v>
      </c>
      <c r="AF5" s="77">
        <f>BS!D7/'Generátory hodnoty'!D4</f>
        <v>9.5215215778028592E-3</v>
      </c>
      <c r="AG5" s="77">
        <f>BS!E7/'Generátory hodnoty'!E4</f>
        <v>1.0367873014265276E-2</v>
      </c>
      <c r="AH5" s="78">
        <f>BS!F7/'Generátory hodnoty'!F4</f>
        <v>1.0667248043069847E-2</v>
      </c>
    </row>
    <row r="6" spans="2:35 16384:16384">
      <c r="B6" s="63" t="s">
        <v>53</v>
      </c>
      <c r="C6" s="156">
        <f>'P&amp;L'!D7</f>
        <v>97066</v>
      </c>
      <c r="D6" s="156">
        <f>'P&amp;L'!E7</f>
        <v>68182</v>
      </c>
      <c r="E6" s="156">
        <f>'P&amp;L'!F7</f>
        <v>64883</v>
      </c>
      <c r="F6" s="155">
        <f>'P&amp;L'!G7</f>
        <v>43706</v>
      </c>
      <c r="I6" s="62" t="s">
        <v>241</v>
      </c>
      <c r="J6" s="120">
        <f>J3-J4+J5</f>
        <v>225902</v>
      </c>
      <c r="K6" s="120">
        <f t="shared" ref="K6:M6" si="5">K3-K4+K5</f>
        <v>168354</v>
      </c>
      <c r="L6" s="120">
        <f t="shared" si="5"/>
        <v>141874</v>
      </c>
      <c r="M6" s="162">
        <f t="shared" si="5"/>
        <v>101557</v>
      </c>
      <c r="P6" s="16" t="s">
        <v>39</v>
      </c>
      <c r="Q6" s="120">
        <f>BS!C43</f>
        <v>780522</v>
      </c>
      <c r="R6" s="120">
        <f>BS!D43</f>
        <v>631419</v>
      </c>
      <c r="S6" s="120">
        <f>BS!E43</f>
        <v>595091</v>
      </c>
      <c r="T6" s="162">
        <f>BS!F43</f>
        <v>504267</v>
      </c>
    </row>
    <row r="7" spans="2:35 16384:16384" ht="15" thickBot="1">
      <c r="B7" s="63" t="s">
        <v>237</v>
      </c>
      <c r="C7" s="154">
        <f t="shared" ref="C7" si="6">(C6/D6)-1</f>
        <v>0.42363087031767921</v>
      </c>
      <c r="D7" s="154">
        <f t="shared" ref="D7" si="7">(D6/E6)-1</f>
        <v>5.0845367815914866E-2</v>
      </c>
      <c r="E7" s="154">
        <f>(E6/F6)-1</f>
        <v>0.48453301606186794</v>
      </c>
      <c r="F7" s="155"/>
      <c r="I7" s="62" t="s">
        <v>244</v>
      </c>
      <c r="J7" s="120">
        <f>C4</f>
        <v>3789282</v>
      </c>
      <c r="K7" s="120">
        <f t="shared" ref="K7:M7" si="8">D4</f>
        <v>3130277</v>
      </c>
      <c r="L7" s="120">
        <f t="shared" si="8"/>
        <v>2764405</v>
      </c>
      <c r="M7" s="162">
        <f t="shared" si="8"/>
        <v>2444773</v>
      </c>
      <c r="P7" s="16" t="s">
        <v>27</v>
      </c>
      <c r="Q7" s="120">
        <f>BS!C30</f>
        <v>14763</v>
      </c>
      <c r="R7" s="120">
        <f>BS!D30</f>
        <v>12091</v>
      </c>
      <c r="S7" s="120">
        <f>BS!E30</f>
        <v>11190</v>
      </c>
      <c r="T7" s="162">
        <f>BS!F30</f>
        <v>9913</v>
      </c>
    </row>
    <row r="8" spans="2:35 16384:16384" ht="15" thickBot="1">
      <c r="B8" s="63" t="s">
        <v>65</v>
      </c>
      <c r="C8" s="156">
        <f>'P&amp;L'!D19</f>
        <v>956</v>
      </c>
      <c r="D8" s="156">
        <f>'P&amp;L'!E19</f>
        <v>1353</v>
      </c>
      <c r="E8" s="156">
        <f>'P&amp;L'!F19</f>
        <v>2033</v>
      </c>
      <c r="F8" s="155">
        <f>'P&amp;L'!G19</f>
        <v>886</v>
      </c>
      <c r="I8" s="65" t="s">
        <v>240</v>
      </c>
      <c r="J8" s="165">
        <f>J6/J7</f>
        <v>5.9616043355970864E-2</v>
      </c>
      <c r="K8" s="165">
        <f t="shared" ref="K8:M8" si="9">K6/K7</f>
        <v>5.378246078541931E-2</v>
      </c>
      <c r="L8" s="165">
        <f t="shared" si="9"/>
        <v>5.1321712990679731E-2</v>
      </c>
      <c r="M8" s="166">
        <f t="shared" si="9"/>
        <v>4.1540462038806875E-2</v>
      </c>
      <c r="P8" s="70" t="s">
        <v>246</v>
      </c>
      <c r="Q8" s="167">
        <f>Q3+Q4+Q5-Q6+Q7</f>
        <v>880771</v>
      </c>
      <c r="R8" s="167">
        <f t="shared" ref="R8:T8" si="10">R3+R4+R5-R6+R7</f>
        <v>723237</v>
      </c>
      <c r="S8" s="167">
        <f t="shared" si="10"/>
        <v>620643</v>
      </c>
      <c r="T8" s="168">
        <f t="shared" si="10"/>
        <v>489952</v>
      </c>
      <c r="AD8" s="159"/>
      <c r="AE8" s="160">
        <f>AE3+1</f>
        <v>2016</v>
      </c>
      <c r="AF8" s="160">
        <f>AE8+1</f>
        <v>2017</v>
      </c>
      <c r="AG8" s="160">
        <f t="shared" ref="AG8:AI8" si="11">AF8+1</f>
        <v>2018</v>
      </c>
      <c r="AH8" s="160">
        <f t="shared" si="11"/>
        <v>2019</v>
      </c>
      <c r="AI8" s="161">
        <f t="shared" si="11"/>
        <v>2020</v>
      </c>
    </row>
    <row r="9" spans="2:35 16384:16384" ht="15" thickBot="1">
      <c r="B9" s="63" t="s">
        <v>238</v>
      </c>
      <c r="C9" s="154">
        <f t="shared" ref="C9" si="12">(C8/D8)-1</f>
        <v>-0.29342202512934223</v>
      </c>
      <c r="D9" s="154">
        <f t="shared" ref="D9" si="13">(D8/E8)-1</f>
        <v>-0.33448106246925724</v>
      </c>
      <c r="E9" s="154">
        <f>(E8/F8)-1</f>
        <v>1.2945823927765239</v>
      </c>
      <c r="F9" s="155"/>
      <c r="J9" s="163"/>
      <c r="K9" s="163"/>
      <c r="L9" s="163"/>
      <c r="M9" s="163"/>
      <c r="AD9" s="16" t="s">
        <v>251</v>
      </c>
      <c r="AE9" s="18">
        <f>C14*0.015</f>
        <v>64228.329899999982</v>
      </c>
      <c r="AF9" s="18">
        <f>D14*0.014</f>
        <v>67739.478601199982</v>
      </c>
      <c r="AG9" s="18">
        <f>E14*0.013</f>
        <v>71078.067189401962</v>
      </c>
      <c r="AH9" s="18">
        <f>F14*0.012</f>
        <v>74139.891622176205</v>
      </c>
      <c r="AI9" s="19">
        <f>G14*0.011</f>
        <v>76796.57107197083</v>
      </c>
    </row>
    <row r="10" spans="2:35 16384:16384" ht="15" thickBot="1">
      <c r="B10" s="63" t="s">
        <v>66</v>
      </c>
      <c r="C10" s="156">
        <f>'P&amp;L'!D20</f>
        <v>1331</v>
      </c>
      <c r="D10" s="156">
        <f>'P&amp;L'!E20</f>
        <v>1466</v>
      </c>
      <c r="E10" s="156">
        <f>'P&amp;L'!F20</f>
        <v>1458</v>
      </c>
      <c r="F10" s="155">
        <f>'P&amp;L'!G20</f>
        <v>1323</v>
      </c>
      <c r="I10" s="61" t="s">
        <v>245</v>
      </c>
      <c r="J10" s="164">
        <f>J6-'P&amp;L'!D17</f>
        <v>193740</v>
      </c>
      <c r="K10" s="164">
        <f>K6-'P&amp;L'!E17</f>
        <v>136191</v>
      </c>
      <c r="L10" s="164">
        <f>L6-'P&amp;L'!F17</f>
        <v>109932</v>
      </c>
      <c r="M10" s="169">
        <f>M6-'P&amp;L'!G17</f>
        <v>71227</v>
      </c>
      <c r="P10" s="159"/>
      <c r="Q10" s="160">
        <f>Q2</f>
        <v>2015</v>
      </c>
      <c r="R10" s="160">
        <f t="shared" ref="R10:T10" si="14">R2</f>
        <v>2014</v>
      </c>
      <c r="S10" s="160">
        <f t="shared" si="14"/>
        <v>2013</v>
      </c>
      <c r="T10" s="160">
        <f t="shared" si="14"/>
        <v>2012</v>
      </c>
      <c r="V10" s="171"/>
      <c r="W10" s="172" t="s">
        <v>247</v>
      </c>
      <c r="X10" s="160">
        <f>Q10+1</f>
        <v>2016</v>
      </c>
      <c r="Y10" s="160">
        <f>X10+1</f>
        <v>2017</v>
      </c>
      <c r="Z10" s="160">
        <v>2017</v>
      </c>
      <c r="AA10" s="160">
        <v>2018</v>
      </c>
      <c r="AB10" s="161">
        <v>2019</v>
      </c>
      <c r="AD10" s="20" t="s">
        <v>5</v>
      </c>
      <c r="AE10" s="22">
        <f>C14*0.007</f>
        <v>29973.220619999996</v>
      </c>
      <c r="AF10" s="22">
        <f>D14*0.0065</f>
        <v>31450.472207699986</v>
      </c>
      <c r="AG10" s="22">
        <f>E14*0.006</f>
        <v>32805.261779723987</v>
      </c>
      <c r="AH10" s="22">
        <f>F14*0.0055</f>
        <v>33980.783660164088</v>
      </c>
      <c r="AI10" s="23">
        <f>G14*0.005</f>
        <v>34907.532305441287</v>
      </c>
    </row>
    <row r="11" spans="2:35 16384:16384" ht="15" thickBot="1">
      <c r="B11" s="64" t="s">
        <v>239</v>
      </c>
      <c r="C11" s="157">
        <f t="shared" ref="C11" si="15">(C10/D10)-1</f>
        <v>-9.2087312414734002E-2</v>
      </c>
      <c r="D11" s="157">
        <f t="shared" ref="D11" si="16">(D10/E10)-1</f>
        <v>5.4869684499314619E-3</v>
      </c>
      <c r="E11" s="157">
        <f>(E10/F10)-1</f>
        <v>0.1020408163265305</v>
      </c>
      <c r="F11" s="158"/>
      <c r="P11" s="16" t="s">
        <v>23</v>
      </c>
      <c r="Q11" s="71">
        <f>Q3/C$4</f>
        <v>3.9354421233362941E-2</v>
      </c>
      <c r="R11" s="71">
        <f t="shared" ref="R11:T15" si="17">R3/D$4</f>
        <v>3.3532495686483976E-2</v>
      </c>
      <c r="S11" s="71">
        <f t="shared" si="17"/>
        <v>3.8580092280255607E-2</v>
      </c>
      <c r="T11" s="72">
        <f t="shared" si="17"/>
        <v>3.159761662943758E-2</v>
      </c>
      <c r="V11" s="37" t="s">
        <v>23</v>
      </c>
      <c r="W11" s="173">
        <v>3.9E-2</v>
      </c>
      <c r="X11" s="73">
        <f>$W11*C$14</f>
        <v>166993.65773999997</v>
      </c>
      <c r="Y11" s="73">
        <f t="shared" ref="Y11:Y12" si="18">$W11*D$14</f>
        <v>188702.83324619994</v>
      </c>
      <c r="Z11" s="73">
        <f t="shared" ref="Z11:Z12" si="19">$W11*E$14</f>
        <v>213234.2015682059</v>
      </c>
      <c r="AA11" s="73">
        <f t="shared" ref="AA11:AA12" si="20">$W11*F$14</f>
        <v>240954.64777207264</v>
      </c>
      <c r="AB11" s="74">
        <f t="shared" ref="AB11:AB12" si="21">$W11*G$14</f>
        <v>272278.75198244205</v>
      </c>
    </row>
    <row r="12" spans="2:35 16384:16384" ht="15" thickBot="1">
      <c r="P12" s="16" t="s">
        <v>11</v>
      </c>
      <c r="Q12" s="71">
        <f>Q4/C$4</f>
        <v>0.20096815175012048</v>
      </c>
      <c r="R12" s="71">
        <f t="shared" si="17"/>
        <v>0.18938387880689153</v>
      </c>
      <c r="S12" s="71">
        <f t="shared" si="17"/>
        <v>0.19561533132807965</v>
      </c>
      <c r="T12" s="72">
        <f t="shared" si="17"/>
        <v>0.20408479642077199</v>
      </c>
      <c r="V12" s="16" t="s">
        <v>11</v>
      </c>
      <c r="W12" s="174">
        <v>0.20100000000000001</v>
      </c>
      <c r="X12" s="18">
        <f t="shared" ref="X12" si="22">$W12*C$14</f>
        <v>860659.6206599999</v>
      </c>
      <c r="Y12" s="18">
        <f t="shared" si="18"/>
        <v>972545.37134579965</v>
      </c>
      <c r="Z12" s="18">
        <f t="shared" si="19"/>
        <v>1098976.2696207536</v>
      </c>
      <c r="AA12" s="18">
        <f t="shared" si="20"/>
        <v>1241843.1846714513</v>
      </c>
      <c r="AB12" s="19">
        <f t="shared" si="21"/>
        <v>1403282.7986787399</v>
      </c>
      <c r="AF12" s="83"/>
      <c r="AG12" s="83"/>
      <c r="AH12" s="83"/>
      <c r="AI12" s="83"/>
      <c r="XFD12" s="83"/>
    </row>
    <row r="13" spans="2:35 16384:16384" ht="15" thickBot="1">
      <c r="B13" s="159"/>
      <c r="C13" s="160">
        <f>C3+1</f>
        <v>2016</v>
      </c>
      <c r="D13" s="160">
        <f>C13+1</f>
        <v>2017</v>
      </c>
      <c r="E13" s="160">
        <f t="shared" ref="E13:G13" si="23">D13+1</f>
        <v>2018</v>
      </c>
      <c r="F13" s="161">
        <f t="shared" si="23"/>
        <v>2019</v>
      </c>
      <c r="G13" s="161">
        <f t="shared" si="23"/>
        <v>2020</v>
      </c>
      <c r="I13" s="159"/>
      <c r="J13" s="160">
        <f>C13</f>
        <v>2016</v>
      </c>
      <c r="K13" s="160">
        <f t="shared" ref="K13:N13" si="24">D13</f>
        <v>2017</v>
      </c>
      <c r="L13" s="160">
        <f t="shared" si="24"/>
        <v>2018</v>
      </c>
      <c r="M13" s="160">
        <f t="shared" si="24"/>
        <v>2019</v>
      </c>
      <c r="N13" s="161">
        <f t="shared" si="24"/>
        <v>2020</v>
      </c>
      <c r="P13" s="16" t="s">
        <v>16</v>
      </c>
      <c r="Q13" s="71">
        <f>Q5/C$4</f>
        <v>0.1942003788580528</v>
      </c>
      <c r="R13" s="71">
        <f t="shared" si="17"/>
        <v>0.20598017363958526</v>
      </c>
      <c r="S13" s="71">
        <f t="shared" si="17"/>
        <v>0.20153812484060765</v>
      </c>
      <c r="T13" s="72">
        <f t="shared" si="17"/>
        <v>0.16693410799284841</v>
      </c>
      <c r="V13" s="16" t="s">
        <v>39</v>
      </c>
      <c r="W13" s="174">
        <v>0.20599999999999999</v>
      </c>
      <c r="X13" s="18">
        <f t="shared" ref="X13:AB14" si="25">$W13*C$14</f>
        <v>882069.06395999982</v>
      </c>
      <c r="Y13" s="18">
        <f t="shared" si="25"/>
        <v>996738.04227479955</v>
      </c>
      <c r="Z13" s="18">
        <f t="shared" si="25"/>
        <v>1126313.9877705234</v>
      </c>
      <c r="AA13" s="18">
        <f t="shared" si="25"/>
        <v>1272734.8061806913</v>
      </c>
      <c r="AB13" s="19">
        <f t="shared" si="25"/>
        <v>1438190.330984181</v>
      </c>
    </row>
    <row r="14" spans="2:35 16384:16384" ht="15" thickBot="1">
      <c r="B14" s="65" t="s">
        <v>49</v>
      </c>
      <c r="C14" s="66">
        <f>C4*1.13</f>
        <v>4281888.6599999992</v>
      </c>
      <c r="D14" s="66">
        <f>C14*1.13</f>
        <v>4838534.1857999982</v>
      </c>
      <c r="E14" s="66">
        <f t="shared" ref="E14:F14" si="26">D14*1.13</f>
        <v>5467543.6299539972</v>
      </c>
      <c r="F14" s="66">
        <f t="shared" si="26"/>
        <v>6178324.3018480167</v>
      </c>
      <c r="G14" s="67">
        <f t="shared" ref="G14" si="27">F14*1.13</f>
        <v>6981506.4610882578</v>
      </c>
      <c r="I14" s="65" t="s">
        <v>240</v>
      </c>
      <c r="J14" s="77">
        <v>5.6500000000000002E-2</v>
      </c>
      <c r="K14" s="77">
        <f>J14</f>
        <v>5.6500000000000002E-2</v>
      </c>
      <c r="L14" s="77">
        <f t="shared" ref="L14:N14" si="28">K14</f>
        <v>5.6500000000000002E-2</v>
      </c>
      <c r="M14" s="77">
        <f t="shared" si="28"/>
        <v>5.6500000000000002E-2</v>
      </c>
      <c r="N14" s="170">
        <f t="shared" si="28"/>
        <v>5.6500000000000002E-2</v>
      </c>
      <c r="P14" s="16" t="s">
        <v>39</v>
      </c>
      <c r="Q14" s="71">
        <f>Q6/C$4</f>
        <v>0.20598150256433806</v>
      </c>
      <c r="R14" s="71">
        <f t="shared" si="17"/>
        <v>0.20171345858529452</v>
      </c>
      <c r="S14" s="71">
        <f t="shared" si="17"/>
        <v>0.21526910854234454</v>
      </c>
      <c r="T14" s="72">
        <f t="shared" si="17"/>
        <v>0.20626332178897591</v>
      </c>
      <c r="V14" s="20" t="s">
        <v>27</v>
      </c>
      <c r="W14" s="175">
        <v>4.0000000000000001E-3</v>
      </c>
      <c r="X14" s="22">
        <f t="shared" si="25"/>
        <v>17127.554639999998</v>
      </c>
      <c r="Y14" s="22">
        <f t="shared" si="25"/>
        <v>19354.136743199993</v>
      </c>
      <c r="Z14" s="22">
        <f t="shared" si="25"/>
        <v>21870.174519815988</v>
      </c>
      <c r="AA14" s="22">
        <f t="shared" si="25"/>
        <v>24713.297207392068</v>
      </c>
      <c r="AB14" s="23">
        <f t="shared" si="25"/>
        <v>27926.025844353033</v>
      </c>
    </row>
    <row r="15" spans="2:35 16384:16384">
      <c r="P15" s="16" t="s">
        <v>27</v>
      </c>
      <c r="Q15" s="71">
        <f t="shared" ref="Q15" si="29">Q7/C$4</f>
        <v>3.8959887387637025E-3</v>
      </c>
      <c r="R15" s="71">
        <f t="shared" si="17"/>
        <v>3.8625974634193716E-3</v>
      </c>
      <c r="S15" s="71">
        <f t="shared" si="17"/>
        <v>4.0478873392285142E-3</v>
      </c>
      <c r="T15" s="72">
        <f t="shared" si="17"/>
        <v>4.0547731834407533E-3</v>
      </c>
      <c r="U15" s="93"/>
    </row>
    <row r="16" spans="2:35 16384:16384" ht="15" thickBot="1">
      <c r="P16" s="70" t="s">
        <v>246</v>
      </c>
      <c r="Q16" s="68">
        <f>Q11+Q12+Q13+-Q14+Q15</f>
        <v>0.23243743801596187</v>
      </c>
      <c r="R16" s="68">
        <f t="shared" ref="R16" si="30">R11+R12+R13+-R14+R15</f>
        <v>0.2310456870110856</v>
      </c>
      <c r="S16" s="68">
        <f t="shared" ref="S16" si="31">S11+S12+S13+-S14+S15</f>
        <v>0.22451232724582687</v>
      </c>
      <c r="T16" s="69">
        <f t="shared" ref="T16" si="32">T11+T12+T13+-T14+T15</f>
        <v>0.20040797243752284</v>
      </c>
    </row>
    <row r="17" spans="22:28" ht="15" thickBot="1">
      <c r="W17" s="159"/>
      <c r="X17" s="160">
        <f>X10</f>
        <v>2016</v>
      </c>
      <c r="Y17" s="160">
        <f t="shared" ref="Y17:AB17" si="33">Y10</f>
        <v>2017</v>
      </c>
      <c r="Z17" s="160">
        <f t="shared" si="33"/>
        <v>2017</v>
      </c>
      <c r="AA17" s="160">
        <f t="shared" si="33"/>
        <v>2018</v>
      </c>
      <c r="AB17" s="161">
        <f t="shared" si="33"/>
        <v>2019</v>
      </c>
    </row>
    <row r="18" spans="22:28">
      <c r="W18" s="84" t="s">
        <v>247</v>
      </c>
      <c r="X18" s="176">
        <v>0.19740724749007246</v>
      </c>
      <c r="Y18" s="176">
        <v>0.19746895513924789</v>
      </c>
      <c r="Z18" s="176">
        <v>0.19817137310903807</v>
      </c>
      <c r="AA18" s="176">
        <v>0.19953026650050687</v>
      </c>
      <c r="AB18" s="177">
        <v>0.20154866318058348</v>
      </c>
    </row>
    <row r="19" spans="22:28" ht="15" thickBot="1">
      <c r="W19" s="20" t="s">
        <v>16</v>
      </c>
      <c r="X19" s="22">
        <f>X18*C$14</f>
        <v>845275.85442955454</v>
      </c>
      <c r="Y19" s="22">
        <f>Y18*D$14</f>
        <v>955460.29007545719</v>
      </c>
      <c r="Z19" s="22">
        <f>Z18*E$14</f>
        <v>1083510.628681558</v>
      </c>
      <c r="AA19" s="22">
        <f>AA18*F$14</f>
        <v>1232762.6944742929</v>
      </c>
      <c r="AB19" s="23">
        <f>AB18*G$14</f>
        <v>1407113.2942189446</v>
      </c>
    </row>
    <row r="22" spans="22:28">
      <c r="V22" s="110" t="s">
        <v>272</v>
      </c>
      <c r="X22" s="53">
        <f>X11+X12+X19-X13+X14</f>
        <v>1007987.6235095545</v>
      </c>
      <c r="Y22" s="53">
        <f t="shared" ref="Y22:AB22" si="34">Y11+Y12+Y19-Y13+Y14</f>
        <v>1139324.5891358568</v>
      </c>
      <c r="Z22" s="53">
        <f t="shared" si="34"/>
        <v>1291277.2866198099</v>
      </c>
      <c r="AA22" s="53">
        <f t="shared" si="34"/>
        <v>1467539.0179445178</v>
      </c>
      <c r="AB22" s="53">
        <f t="shared" si="34"/>
        <v>1672410.5397402984</v>
      </c>
    </row>
    <row r="23" spans="22:28">
      <c r="Y23" s="83"/>
      <c r="Z23" s="83"/>
      <c r="AA23" s="83"/>
      <c r="AB23" s="83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281"/>
  <sheetViews>
    <sheetView zoomScale="75" zoomScaleNormal="75" workbookViewId="0">
      <selection sqref="A1:G1"/>
    </sheetView>
  </sheetViews>
  <sheetFormatPr defaultRowHeight="14.5"/>
  <cols>
    <col min="1" max="1" width="4.54296875" style="24" bestFit="1" customWidth="1"/>
    <col min="2" max="2" width="68.81640625" style="24" customWidth="1"/>
    <col min="3" max="7" width="11.54296875" style="24" customWidth="1"/>
    <col min="8" max="8" width="12.1796875" bestFit="1" customWidth="1"/>
    <col min="9" max="9" width="41.7265625" customWidth="1"/>
    <col min="10" max="11" width="12" bestFit="1" customWidth="1"/>
    <col min="12" max="12" width="12.26953125" bestFit="1" customWidth="1"/>
    <col min="13" max="13" width="12.26953125" customWidth="1"/>
    <col min="14" max="14" width="12.26953125" bestFit="1" customWidth="1"/>
    <col min="16" max="18" width="12.1796875" bestFit="1" customWidth="1"/>
  </cols>
  <sheetData>
    <row r="1" spans="1:19" ht="15" thickBot="1">
      <c r="A1" s="216" t="s">
        <v>1</v>
      </c>
      <c r="B1" s="214"/>
      <c r="C1" s="214"/>
      <c r="D1" s="214"/>
      <c r="E1" s="214"/>
      <c r="F1" s="214"/>
      <c r="G1" s="215"/>
      <c r="I1" s="213" t="s">
        <v>0</v>
      </c>
      <c r="J1" s="214"/>
      <c r="K1" s="214"/>
      <c r="L1" s="214"/>
      <c r="M1" s="214"/>
      <c r="N1" s="215"/>
    </row>
    <row r="2" spans="1:19">
      <c r="A2" s="193"/>
      <c r="B2" s="194"/>
      <c r="C2" s="195">
        <f>'Generátory hodnoty'!C13</f>
        <v>2016</v>
      </c>
      <c r="D2" s="195">
        <f>'Generátory hodnoty'!D13</f>
        <v>2017</v>
      </c>
      <c r="E2" s="195">
        <f>'Generátory hodnoty'!E13</f>
        <v>2018</v>
      </c>
      <c r="F2" s="195">
        <f>'Generátory hodnoty'!F13</f>
        <v>2019</v>
      </c>
      <c r="G2" s="196">
        <f>'Generátory hodnoty'!G13</f>
        <v>2020</v>
      </c>
      <c r="I2" s="200"/>
      <c r="J2" s="197">
        <v>42735</v>
      </c>
      <c r="K2" s="198">
        <v>43100</v>
      </c>
      <c r="L2" s="198">
        <v>43465</v>
      </c>
      <c r="M2" s="198">
        <v>43830</v>
      </c>
      <c r="N2" s="199">
        <v>44196</v>
      </c>
    </row>
    <row r="3" spans="1:19">
      <c r="A3" s="179" t="s">
        <v>152</v>
      </c>
      <c r="B3" s="36" t="s">
        <v>49</v>
      </c>
      <c r="C3" s="120">
        <f>'Generátory hodnoty'!C14</f>
        <v>4281888.6599999992</v>
      </c>
      <c r="D3" s="120">
        <f>'Generátory hodnoty'!D14</f>
        <v>4838534.1857999982</v>
      </c>
      <c r="E3" s="120">
        <f>'Generátory hodnoty'!E14</f>
        <v>5467543.6299539972</v>
      </c>
      <c r="F3" s="120">
        <f>'Generátory hodnoty'!F14</f>
        <v>6178324.3018480167</v>
      </c>
      <c r="G3" s="162">
        <f>'Generátory hodnoty'!G14</f>
        <v>6981506.4610882578</v>
      </c>
      <c r="I3" s="9" t="s">
        <v>2</v>
      </c>
      <c r="J3" s="188">
        <f>J4+J11+J27</f>
        <v>1985872.5799233606</v>
      </c>
      <c r="K3" s="188">
        <f t="shared" ref="K3:N3" si="0">K4+K11+K27</f>
        <v>2236996.4034367576</v>
      </c>
      <c r="L3" s="188">
        <f t="shared" si="0"/>
        <v>2523300.7261668965</v>
      </c>
      <c r="M3" s="188">
        <f t="shared" si="0"/>
        <v>2850386.0130119538</v>
      </c>
      <c r="N3" s="189">
        <f t="shared" si="0"/>
        <v>3224580.7893068683</v>
      </c>
    </row>
    <row r="4" spans="1:19">
      <c r="A4" s="179" t="s">
        <v>133</v>
      </c>
      <c r="B4" s="36" t="s">
        <v>50</v>
      </c>
      <c r="C4" s="120">
        <f>C3*C42</f>
        <v>3287634.1131479996</v>
      </c>
      <c r="D4" s="120">
        <f t="shared" ref="D4:G4" si="1">D3*D42</f>
        <v>3717566.7783047836</v>
      </c>
      <c r="E4" s="120">
        <f t="shared" si="1"/>
        <v>4203720.9198901309</v>
      </c>
      <c r="F4" s="120">
        <f t="shared" si="1"/>
        <v>4753448.2597343177</v>
      </c>
      <c r="G4" s="162">
        <f t="shared" si="1"/>
        <v>5375061.8243918503</v>
      </c>
      <c r="I4" s="11" t="s">
        <v>3</v>
      </c>
      <c r="J4" s="188">
        <f>J5+J7</f>
        <v>94524.550519999975</v>
      </c>
      <c r="K4" s="188">
        <f t="shared" ref="K4:N4" si="2">K5+K7</f>
        <v>99389.950808899972</v>
      </c>
      <c r="L4" s="188">
        <f t="shared" si="2"/>
        <v>103960.32896912596</v>
      </c>
      <c r="M4" s="188">
        <f t="shared" si="2"/>
        <v>108120.67528234029</v>
      </c>
      <c r="N4" s="189">
        <f t="shared" si="2"/>
        <v>111704.10337741212</v>
      </c>
    </row>
    <row r="5" spans="1:19">
      <c r="A5" s="63" t="s">
        <v>153</v>
      </c>
      <c r="B5" s="35" t="s">
        <v>51</v>
      </c>
      <c r="C5" s="188">
        <f t="shared" ref="C5:E5" si="3">C3-C4</f>
        <v>994254.54685199959</v>
      </c>
      <c r="D5" s="188">
        <f t="shared" si="3"/>
        <v>1120967.4074952146</v>
      </c>
      <c r="E5" s="188">
        <f t="shared" si="3"/>
        <v>1263822.7100638663</v>
      </c>
      <c r="F5" s="188">
        <f t="shared" ref="F5" si="4">F3-F4</f>
        <v>1424876.042113699</v>
      </c>
      <c r="G5" s="189">
        <f>G3-G4</f>
        <v>1606444.6366964076</v>
      </c>
      <c r="I5" s="13" t="s">
        <v>4</v>
      </c>
      <c r="J5" s="121">
        <f>J6</f>
        <v>29973.220619999996</v>
      </c>
      <c r="K5" s="121">
        <f t="shared" ref="K5:N5" si="5">K6</f>
        <v>31450.472207699986</v>
      </c>
      <c r="L5" s="121">
        <f t="shared" si="5"/>
        <v>32805.261779723987</v>
      </c>
      <c r="M5" s="121">
        <f t="shared" si="5"/>
        <v>33980.783660164088</v>
      </c>
      <c r="N5" s="192">
        <f t="shared" si="5"/>
        <v>34907.532305441287</v>
      </c>
    </row>
    <row r="6" spans="1:19">
      <c r="A6" s="179" t="s">
        <v>154</v>
      </c>
      <c r="B6" s="36" t="s">
        <v>52</v>
      </c>
      <c r="C6" s="120">
        <f>C7</f>
        <v>85637.773199999981</v>
      </c>
      <c r="D6" s="120">
        <f t="shared" ref="D6:G6" si="6">D7</f>
        <v>96770.68371599997</v>
      </c>
      <c r="E6" s="120">
        <f t="shared" si="6"/>
        <v>109350.87259907994</v>
      </c>
      <c r="F6" s="120">
        <f t="shared" si="6"/>
        <v>123566.48603696034</v>
      </c>
      <c r="G6" s="162">
        <f t="shared" si="6"/>
        <v>139630.12922176515</v>
      </c>
      <c r="I6" s="16" t="s">
        <v>5</v>
      </c>
      <c r="J6" s="120">
        <f>'Generátory hodnoty'!AE10</f>
        <v>29973.220619999996</v>
      </c>
      <c r="K6" s="120">
        <f>'Generátory hodnoty'!AF10</f>
        <v>31450.472207699986</v>
      </c>
      <c r="L6" s="120">
        <f>'Generátory hodnoty'!AG10</f>
        <v>32805.261779723987</v>
      </c>
      <c r="M6" s="120">
        <f>'Generátory hodnoty'!AH10</f>
        <v>33980.783660164088</v>
      </c>
      <c r="N6" s="162">
        <f>'Generátory hodnoty'!AI10</f>
        <v>34907.532305441287</v>
      </c>
    </row>
    <row r="7" spans="1:19">
      <c r="A7" s="179" t="s">
        <v>155</v>
      </c>
      <c r="B7" s="36" t="s">
        <v>53</v>
      </c>
      <c r="C7" s="120">
        <f>C3*0.02</f>
        <v>85637.773199999981</v>
      </c>
      <c r="D7" s="120">
        <f t="shared" ref="D7:G7" si="7">D3*0.02</f>
        <v>96770.68371599997</v>
      </c>
      <c r="E7" s="120">
        <f t="shared" si="7"/>
        <v>109350.87259907994</v>
      </c>
      <c r="F7" s="120">
        <f t="shared" si="7"/>
        <v>123566.48603696034</v>
      </c>
      <c r="G7" s="162">
        <f t="shared" si="7"/>
        <v>139630.12922176515</v>
      </c>
      <c r="I7" s="13" t="s">
        <v>6</v>
      </c>
      <c r="J7" s="121">
        <f>J8+J9+J10</f>
        <v>64551.329899999982</v>
      </c>
      <c r="K7" s="121">
        <f t="shared" ref="K7:N7" si="8">K8+K9+K10</f>
        <v>67939.478601199982</v>
      </c>
      <c r="L7" s="121">
        <f t="shared" si="8"/>
        <v>71155.067189401962</v>
      </c>
      <c r="M7" s="121">
        <f t="shared" si="8"/>
        <v>74139.891622176205</v>
      </c>
      <c r="N7" s="192">
        <f t="shared" si="8"/>
        <v>76796.57107197083</v>
      </c>
    </row>
    <row r="8" spans="1:19">
      <c r="A8" s="63" t="s">
        <v>109</v>
      </c>
      <c r="B8" s="35" t="s">
        <v>54</v>
      </c>
      <c r="C8" s="188">
        <f>C9+C10</f>
        <v>398215.64537999994</v>
      </c>
      <c r="D8" s="188">
        <f t="shared" ref="D8:G8" si="9">D9+D10</f>
        <v>449983.67927939986</v>
      </c>
      <c r="E8" s="188">
        <f t="shared" si="9"/>
        <v>508481.55758572172</v>
      </c>
      <c r="F8" s="188">
        <f t="shared" si="9"/>
        <v>574584.16007186554</v>
      </c>
      <c r="G8" s="189">
        <f t="shared" si="9"/>
        <v>649280.10088120797</v>
      </c>
      <c r="I8" s="16" t="s">
        <v>7</v>
      </c>
      <c r="J8" s="120">
        <f>BS!C9-123</f>
        <v>323</v>
      </c>
      <c r="K8" s="120">
        <f>J8-123</f>
        <v>200</v>
      </c>
      <c r="L8" s="120">
        <f t="shared" ref="L8" si="10">K8-123</f>
        <v>77</v>
      </c>
      <c r="M8" s="120">
        <v>0</v>
      </c>
      <c r="N8" s="162">
        <v>0</v>
      </c>
    </row>
    <row r="9" spans="1:19">
      <c r="A9" s="179" t="s">
        <v>156</v>
      </c>
      <c r="B9" s="36" t="s">
        <v>55</v>
      </c>
      <c r="C9" s="120">
        <f>C3*0.017</f>
        <v>72792.107219999991</v>
      </c>
      <c r="D9" s="120">
        <f t="shared" ref="D9:G9" si="11">D3*0.017</f>
        <v>82255.081158599976</v>
      </c>
      <c r="E9" s="120">
        <f t="shared" si="11"/>
        <v>92948.241709217953</v>
      </c>
      <c r="F9" s="120">
        <f t="shared" si="11"/>
        <v>105031.51313141629</v>
      </c>
      <c r="G9" s="162">
        <f t="shared" si="11"/>
        <v>118685.60983850039</v>
      </c>
      <c r="I9" s="16" t="s">
        <v>8</v>
      </c>
      <c r="J9" s="120">
        <f>'Generátory hodnoty'!AE9</f>
        <v>64228.329899999982</v>
      </c>
      <c r="K9" s="120">
        <f>'Generátory hodnoty'!AF9</f>
        <v>67739.478601199982</v>
      </c>
      <c r="L9" s="120">
        <f>'Generátory hodnoty'!AG9</f>
        <v>71078.067189401962</v>
      </c>
      <c r="M9" s="120">
        <f>'Generátory hodnoty'!AH9</f>
        <v>74139.891622176205</v>
      </c>
      <c r="N9" s="162">
        <f>'Generátory hodnoty'!AI9</f>
        <v>76796.57107197083</v>
      </c>
    </row>
    <row r="10" spans="1:19">
      <c r="A10" s="179" t="s">
        <v>157</v>
      </c>
      <c r="B10" s="36" t="s">
        <v>56</v>
      </c>
      <c r="C10" s="120">
        <f>C3*0.076</f>
        <v>325423.53815999994</v>
      </c>
      <c r="D10" s="120">
        <f t="shared" ref="D10:G10" si="12">D3*0.076</f>
        <v>367728.59812079987</v>
      </c>
      <c r="E10" s="120">
        <f t="shared" si="12"/>
        <v>415533.31587650377</v>
      </c>
      <c r="F10" s="120">
        <f t="shared" si="12"/>
        <v>469552.64694044925</v>
      </c>
      <c r="G10" s="162">
        <f t="shared" si="12"/>
        <v>530594.49104270758</v>
      </c>
      <c r="I10" s="16" t="s">
        <v>9</v>
      </c>
      <c r="J10" s="120">
        <v>0</v>
      </c>
      <c r="K10" s="120">
        <v>0</v>
      </c>
      <c r="L10" s="120">
        <v>0</v>
      </c>
      <c r="M10" s="120">
        <v>0</v>
      </c>
      <c r="N10" s="162">
        <v>0</v>
      </c>
    </row>
    <row r="11" spans="1:19">
      <c r="A11" s="63" t="s">
        <v>153</v>
      </c>
      <c r="B11" s="35" t="s">
        <v>57</v>
      </c>
      <c r="C11" s="188">
        <f>C5+C6-C8</f>
        <v>681676.67467199964</v>
      </c>
      <c r="D11" s="188">
        <f t="shared" ref="D11:G11" si="13">D5+D6-D8</f>
        <v>767754.41193181486</v>
      </c>
      <c r="E11" s="188">
        <f t="shared" si="13"/>
        <v>864692.02507722459</v>
      </c>
      <c r="F11" s="188">
        <f t="shared" si="13"/>
        <v>973858.36807879375</v>
      </c>
      <c r="G11" s="189">
        <f t="shared" si="13"/>
        <v>1096794.6650369647</v>
      </c>
      <c r="I11" s="11" t="s">
        <v>10</v>
      </c>
      <c r="J11" s="188">
        <f>J12+J14+J17+J24</f>
        <v>1874220.4747633606</v>
      </c>
      <c r="K11" s="188">
        <f>K12+K14+K17+K24</f>
        <v>2118252.3158846577</v>
      </c>
      <c r="L11" s="188">
        <f>L12+L14+L17+L24</f>
        <v>2397470.2226779545</v>
      </c>
      <c r="M11" s="188">
        <f>M12+M14+M17+M24</f>
        <v>2717552.040522221</v>
      </c>
      <c r="N11" s="189">
        <f>N12+N14+N17+N24</f>
        <v>3084950.660085103</v>
      </c>
    </row>
    <row r="12" spans="1:19">
      <c r="A12" s="179" t="s">
        <v>108</v>
      </c>
      <c r="B12" s="36" t="s">
        <v>58</v>
      </c>
      <c r="C12" s="120">
        <f>SUM(C13:C15)</f>
        <v>395100.57137984998</v>
      </c>
      <c r="D12" s="120">
        <f t="shared" ref="D12:G12" si="14">SUM(D13:D15)</f>
        <v>446463.64565923036</v>
      </c>
      <c r="E12" s="120">
        <f t="shared" si="14"/>
        <v>504503.91959493025</v>
      </c>
      <c r="F12" s="120">
        <f t="shared" si="14"/>
        <v>570089.42914227117</v>
      </c>
      <c r="G12" s="162">
        <f t="shared" si="14"/>
        <v>644201.05493076635</v>
      </c>
      <c r="I12" s="13" t="s">
        <v>11</v>
      </c>
      <c r="J12" s="121">
        <f>'Generátory hodnoty'!X12</f>
        <v>860659.6206599999</v>
      </c>
      <c r="K12" s="121">
        <f>'Generátory hodnoty'!Y12</f>
        <v>972545.37134579965</v>
      </c>
      <c r="L12" s="121">
        <f>'Generátory hodnoty'!Z12</f>
        <v>1098976.2696207536</v>
      </c>
      <c r="M12" s="121">
        <f>'Generátory hodnoty'!AA12</f>
        <v>1241843.1846714513</v>
      </c>
      <c r="N12" s="192">
        <f>'Generátory hodnoty'!AB12</f>
        <v>1403282.7986787399</v>
      </c>
    </row>
    <row r="13" spans="1:19">
      <c r="A13" s="179" t="s">
        <v>158</v>
      </c>
      <c r="B13" s="36" t="s">
        <v>59</v>
      </c>
      <c r="C13" s="120">
        <f>C3*0.0675</f>
        <v>289027.48454999999</v>
      </c>
      <c r="D13" s="120">
        <f t="shared" ref="D13:G13" si="15">D3*0.0675</f>
        <v>326601.0575414999</v>
      </c>
      <c r="E13" s="120">
        <f t="shared" si="15"/>
        <v>369059.19502189482</v>
      </c>
      <c r="F13" s="120">
        <f t="shared" si="15"/>
        <v>417036.89037474117</v>
      </c>
      <c r="G13" s="162">
        <f t="shared" si="15"/>
        <v>471251.68612345745</v>
      </c>
      <c r="I13" s="16" t="s">
        <v>12</v>
      </c>
      <c r="J13" s="120">
        <f>J12</f>
        <v>860659.6206599999</v>
      </c>
      <c r="K13" s="120">
        <f t="shared" ref="K13:N13" si="16">K12</f>
        <v>972545.37134579965</v>
      </c>
      <c r="L13" s="120">
        <f t="shared" si="16"/>
        <v>1098976.2696207536</v>
      </c>
      <c r="M13" s="120">
        <f t="shared" si="16"/>
        <v>1241843.1846714513</v>
      </c>
      <c r="N13" s="162">
        <f t="shared" si="16"/>
        <v>1403282.7986787399</v>
      </c>
    </row>
    <row r="14" spans="1:19">
      <c r="A14" s="179" t="s">
        <v>159</v>
      </c>
      <c r="B14" s="36" t="s">
        <v>60</v>
      </c>
      <c r="C14" s="120">
        <f>C13*0.337</f>
        <v>97402.26229335001</v>
      </c>
      <c r="D14" s="120">
        <f t="shared" ref="D14:G14" si="17">D13*0.337</f>
        <v>110064.55639148547</v>
      </c>
      <c r="E14" s="120">
        <f t="shared" si="17"/>
        <v>124372.94872237857</v>
      </c>
      <c r="F14" s="120">
        <f t="shared" si="17"/>
        <v>140541.43205628777</v>
      </c>
      <c r="G14" s="162">
        <f t="shared" si="17"/>
        <v>158811.81822360517</v>
      </c>
      <c r="I14" s="13" t="s">
        <v>13</v>
      </c>
      <c r="J14" s="121">
        <f>J15+J16</f>
        <v>1291.3419338061847</v>
      </c>
      <c r="K14" s="121">
        <f t="shared" ref="K14:N14" si="18">K15+K16</f>
        <v>1543.8212172009885</v>
      </c>
      <c r="L14" s="121">
        <f t="shared" si="18"/>
        <v>1749.1228074371163</v>
      </c>
      <c r="M14" s="121">
        <f t="shared" si="18"/>
        <v>1991.5136044039414</v>
      </c>
      <c r="N14" s="192">
        <f t="shared" si="18"/>
        <v>2275.8152049764535</v>
      </c>
    </row>
    <row r="15" spans="1:19">
      <c r="A15" s="179" t="s">
        <v>160</v>
      </c>
      <c r="B15" s="36" t="s">
        <v>61</v>
      </c>
      <c r="C15" s="120">
        <f>C13*0.03</f>
        <v>8670.8245365000002</v>
      </c>
      <c r="D15" s="120">
        <f t="shared" ref="D15:G15" si="19">D13*0.03</f>
        <v>9798.0317262449971</v>
      </c>
      <c r="E15" s="120">
        <f t="shared" si="19"/>
        <v>11071.775850656844</v>
      </c>
      <c r="F15" s="120">
        <f t="shared" si="19"/>
        <v>12511.106711242235</v>
      </c>
      <c r="G15" s="162">
        <f t="shared" si="19"/>
        <v>14137.550583703724</v>
      </c>
      <c r="I15" s="16" t="s">
        <v>14</v>
      </c>
      <c r="J15" s="120">
        <v>162</v>
      </c>
      <c r="K15" s="120">
        <v>162</v>
      </c>
      <c r="L15" s="120">
        <v>162</v>
      </c>
      <c r="M15" s="120">
        <v>162</v>
      </c>
      <c r="N15" s="162">
        <v>162</v>
      </c>
    </row>
    <row r="16" spans="1:19">
      <c r="A16" s="179" t="s">
        <v>161</v>
      </c>
      <c r="B16" s="36" t="s">
        <v>62</v>
      </c>
      <c r="C16" s="120">
        <f>C3*0.0005</f>
        <v>2140.9443299999998</v>
      </c>
      <c r="D16" s="120">
        <f t="shared" ref="D16:G16" si="20">D3*0.0005</f>
        <v>2419.2670928999992</v>
      </c>
      <c r="E16" s="120">
        <f t="shared" si="20"/>
        <v>2733.7718149769985</v>
      </c>
      <c r="F16" s="120">
        <f t="shared" si="20"/>
        <v>3089.1621509240085</v>
      </c>
      <c r="G16" s="162">
        <f t="shared" si="20"/>
        <v>3490.7532305441291</v>
      </c>
      <c r="I16" s="16" t="s">
        <v>15</v>
      </c>
      <c r="J16" s="120">
        <f>0.008*C37</f>
        <v>1129.3419338061847</v>
      </c>
      <c r="K16" s="120">
        <f t="shared" ref="K16:N16" si="21">0.008*D37</f>
        <v>1381.8212172009885</v>
      </c>
      <c r="L16" s="120">
        <f t="shared" si="21"/>
        <v>1587.1228074371163</v>
      </c>
      <c r="M16" s="120">
        <f t="shared" si="21"/>
        <v>1829.5136044039414</v>
      </c>
      <c r="N16" s="162">
        <f t="shared" si="21"/>
        <v>2113.8152049764535</v>
      </c>
      <c r="P16" s="83"/>
      <c r="Q16" s="83"/>
      <c r="R16" s="83"/>
      <c r="S16" s="83"/>
    </row>
    <row r="17" spans="1:18">
      <c r="A17" s="179" t="s">
        <v>162</v>
      </c>
      <c r="B17" s="36" t="s">
        <v>63</v>
      </c>
      <c r="C17" s="120">
        <f>J4*0.35</f>
        <v>33083.592681999988</v>
      </c>
      <c r="D17" s="120">
        <f t="shared" ref="D17:G17" si="22">K4*0.35</f>
        <v>34786.482783114989</v>
      </c>
      <c r="E17" s="120">
        <f t="shared" si="22"/>
        <v>36386.11513919408</v>
      </c>
      <c r="F17" s="120">
        <f t="shared" si="22"/>
        <v>37842.236348819097</v>
      </c>
      <c r="G17" s="162">
        <f t="shared" si="22"/>
        <v>39096.436182094236</v>
      </c>
      <c r="I17" s="13" t="s">
        <v>16</v>
      </c>
      <c r="J17" s="121">
        <f>'Generátory hodnoty'!X19</f>
        <v>845275.85442955454</v>
      </c>
      <c r="K17" s="121">
        <f>'Generátory hodnoty'!Y19</f>
        <v>955460.29007545719</v>
      </c>
      <c r="L17" s="121">
        <f>'Generátory hodnoty'!Z19</f>
        <v>1083510.628681558</v>
      </c>
      <c r="M17" s="121">
        <f>'Generátory hodnoty'!AA19</f>
        <v>1232762.6944742929</v>
      </c>
      <c r="N17" s="192">
        <f>'Generátory hodnoty'!AB19</f>
        <v>1407113.2942189446</v>
      </c>
    </row>
    <row r="18" spans="1:18">
      <c r="A18" s="179" t="s">
        <v>163</v>
      </c>
      <c r="B18" s="36" t="s">
        <v>64</v>
      </c>
      <c r="C18" s="120">
        <f>C19+C20</f>
        <v>3000</v>
      </c>
      <c r="D18" s="120">
        <f t="shared" ref="D18:G18" si="23">D19+D20</f>
        <v>3000</v>
      </c>
      <c r="E18" s="120">
        <f t="shared" si="23"/>
        <v>3000</v>
      </c>
      <c r="F18" s="120">
        <f t="shared" si="23"/>
        <v>3000</v>
      </c>
      <c r="G18" s="162">
        <f t="shared" si="23"/>
        <v>3000</v>
      </c>
      <c r="I18" s="16" t="s">
        <v>17</v>
      </c>
      <c r="J18" s="120">
        <f>(J17-J20-J21-J22-J23)*0.8</f>
        <v>608601.88096350187</v>
      </c>
      <c r="K18" s="120">
        <f t="shared" ref="K18:N18" si="24">(K17-K20-K21-K22-K23)*0.8</f>
        <v>696673.68569520547</v>
      </c>
      <c r="L18" s="120">
        <f t="shared" si="24"/>
        <v>799052.36610301537</v>
      </c>
      <c r="M18" s="120">
        <f t="shared" si="24"/>
        <v>918381.3014981132</v>
      </c>
      <c r="N18" s="162">
        <f t="shared" si="24"/>
        <v>1057776.4908136628</v>
      </c>
    </row>
    <row r="19" spans="1:18">
      <c r="A19" s="179" t="s">
        <v>164</v>
      </c>
      <c r="B19" s="36" t="s">
        <v>65</v>
      </c>
      <c r="C19" s="120">
        <v>1500</v>
      </c>
      <c r="D19" s="120">
        <v>1500</v>
      </c>
      <c r="E19" s="120">
        <v>1500</v>
      </c>
      <c r="F19" s="120">
        <v>1500</v>
      </c>
      <c r="G19" s="162">
        <v>1500</v>
      </c>
      <c r="I19" s="16" t="s">
        <v>18</v>
      </c>
      <c r="J19" s="120">
        <f>J17-J18-J20-J21-J22-J23</f>
        <v>152150.47024087535</v>
      </c>
      <c r="K19" s="120">
        <f t="shared" ref="K19:N19" si="25">K17-K18-K20-K21-K22-K23</f>
        <v>174168.42142380137</v>
      </c>
      <c r="L19" s="120">
        <f t="shared" si="25"/>
        <v>199763.09152575367</v>
      </c>
      <c r="M19" s="120">
        <f t="shared" si="25"/>
        <v>229595.32537452824</v>
      </c>
      <c r="N19" s="162">
        <f t="shared" si="25"/>
        <v>264444.12270341569</v>
      </c>
      <c r="O19" s="85"/>
    </row>
    <row r="20" spans="1:18">
      <c r="A20" s="179" t="s">
        <v>165</v>
      </c>
      <c r="B20" s="36" t="s">
        <v>66</v>
      </c>
      <c r="C20" s="120">
        <v>1500</v>
      </c>
      <c r="D20" s="120">
        <v>1500</v>
      </c>
      <c r="E20" s="120">
        <v>1500</v>
      </c>
      <c r="F20" s="120">
        <v>1500</v>
      </c>
      <c r="G20" s="162">
        <v>1500</v>
      </c>
      <c r="I20" s="16" t="s">
        <v>19</v>
      </c>
      <c r="J20" s="120">
        <f>0.003*C37</f>
        <v>423.50322517731928</v>
      </c>
      <c r="K20" s="120">
        <f t="shared" ref="K20:N20" si="26">0.003*D37</f>
        <v>518.18295645037063</v>
      </c>
      <c r="L20" s="120">
        <f t="shared" si="26"/>
        <v>595.17105278891859</v>
      </c>
      <c r="M20" s="120">
        <f t="shared" si="26"/>
        <v>686.06760165147807</v>
      </c>
      <c r="N20" s="162">
        <f t="shared" si="26"/>
        <v>792.68070186617001</v>
      </c>
    </row>
    <row r="21" spans="1:18">
      <c r="A21" s="179" t="s">
        <v>166</v>
      </c>
      <c r="B21" s="36" t="s">
        <v>252</v>
      </c>
      <c r="C21" s="120">
        <v>1400</v>
      </c>
      <c r="D21" s="120">
        <v>1400</v>
      </c>
      <c r="E21" s="120">
        <v>1400</v>
      </c>
      <c r="F21" s="120">
        <v>1400</v>
      </c>
      <c r="G21" s="162">
        <v>1400</v>
      </c>
      <c r="I21" s="16" t="s">
        <v>20</v>
      </c>
      <c r="J21" s="120">
        <v>9000</v>
      </c>
      <c r="K21" s="120">
        <v>9000</v>
      </c>
      <c r="L21" s="120">
        <v>9000</v>
      </c>
      <c r="M21" s="120">
        <v>9000</v>
      </c>
      <c r="N21" s="162">
        <v>9000</v>
      </c>
    </row>
    <row r="22" spans="1:18">
      <c r="A22" s="179" t="s">
        <v>167</v>
      </c>
      <c r="B22" s="36" t="s">
        <v>67</v>
      </c>
      <c r="C22" s="120">
        <v>1400</v>
      </c>
      <c r="D22" s="120">
        <v>1400</v>
      </c>
      <c r="E22" s="120">
        <v>1400</v>
      </c>
      <c r="F22" s="120">
        <v>1400</v>
      </c>
      <c r="G22" s="162">
        <v>1400</v>
      </c>
      <c r="I22" s="16" t="s">
        <v>21</v>
      </c>
      <c r="J22" s="120">
        <v>75000</v>
      </c>
      <c r="K22" s="120">
        <v>75000</v>
      </c>
      <c r="L22" s="120">
        <v>75000</v>
      </c>
      <c r="M22" s="120">
        <v>75000</v>
      </c>
      <c r="N22" s="162">
        <v>75000</v>
      </c>
    </row>
    <row r="23" spans="1:18">
      <c r="A23" s="180" t="s">
        <v>168</v>
      </c>
      <c r="B23" s="40" t="s">
        <v>253</v>
      </c>
      <c r="C23" s="120">
        <v>4000</v>
      </c>
      <c r="D23" s="120">
        <v>4000</v>
      </c>
      <c r="E23" s="120">
        <v>4000</v>
      </c>
      <c r="F23" s="120">
        <v>4000</v>
      </c>
      <c r="G23" s="162">
        <v>4000</v>
      </c>
      <c r="I23" s="16" t="s">
        <v>22</v>
      </c>
      <c r="J23" s="120">
        <v>100</v>
      </c>
      <c r="K23" s="120">
        <v>100</v>
      </c>
      <c r="L23" s="120">
        <v>100</v>
      </c>
      <c r="M23" s="120">
        <v>100</v>
      </c>
      <c r="N23" s="162">
        <v>100</v>
      </c>
    </row>
    <row r="24" spans="1:18">
      <c r="A24" s="179" t="s">
        <v>169</v>
      </c>
      <c r="B24" s="36" t="s">
        <v>70</v>
      </c>
      <c r="C24" s="120">
        <v>8624.856990149885</v>
      </c>
      <c r="D24" s="120">
        <v>9907.834898869507</v>
      </c>
      <c r="E24" s="120">
        <v>11352.003435722378</v>
      </c>
      <c r="F24" s="120">
        <v>12962.217382366536</v>
      </c>
      <c r="G24" s="162">
        <v>14751.305642073567</v>
      </c>
      <c r="I24" s="13" t="s">
        <v>23</v>
      </c>
      <c r="J24" s="121">
        <f>'Generátory hodnoty'!X11</f>
        <v>166993.65773999997</v>
      </c>
      <c r="K24" s="121">
        <f>'Generátory hodnoty'!Y11</f>
        <v>188702.83324619994</v>
      </c>
      <c r="L24" s="121">
        <f>'Generátory hodnoty'!Z11</f>
        <v>213234.2015682059</v>
      </c>
      <c r="M24" s="121">
        <f>'Generátory hodnoty'!AA11</f>
        <v>240954.64777207264</v>
      </c>
      <c r="N24" s="192">
        <f>'Generátory hodnoty'!AB11</f>
        <v>272278.75198244205</v>
      </c>
    </row>
    <row r="25" spans="1:18">
      <c r="A25" s="179" t="s">
        <v>170</v>
      </c>
      <c r="B25" s="36" t="s">
        <v>71</v>
      </c>
      <c r="C25" s="120">
        <f>C24*2</f>
        <v>17249.71398029977</v>
      </c>
      <c r="D25" s="120">
        <f t="shared" ref="D25:G25" si="27">D24*2</f>
        <v>19815.669797739014</v>
      </c>
      <c r="E25" s="120">
        <f t="shared" si="27"/>
        <v>22704.006871444755</v>
      </c>
      <c r="F25" s="120">
        <f t="shared" si="27"/>
        <v>25924.434764733072</v>
      </c>
      <c r="G25" s="162">
        <f t="shared" si="27"/>
        <v>29502.611284147133</v>
      </c>
      <c r="I25" s="16" t="s">
        <v>24</v>
      </c>
      <c r="J25" s="120">
        <f>J24*0.09</f>
        <v>15029.429196599996</v>
      </c>
      <c r="K25" s="120">
        <f t="shared" ref="K25:N25" si="28">K24*0.09</f>
        <v>16983.254992157992</v>
      </c>
      <c r="L25" s="120">
        <f t="shared" si="28"/>
        <v>19191.078141138529</v>
      </c>
      <c r="M25" s="120">
        <f t="shared" si="28"/>
        <v>21685.918299486537</v>
      </c>
      <c r="N25" s="162">
        <f t="shared" si="28"/>
        <v>24505.087678419783</v>
      </c>
    </row>
    <row r="26" spans="1:18">
      <c r="A26" s="63" t="s">
        <v>171</v>
      </c>
      <c r="B26" s="35" t="s">
        <v>72</v>
      </c>
      <c r="C26" s="188">
        <f>(C3*'Generátory hodnoty'!J14)-C18+C21</f>
        <v>240326.70928999997</v>
      </c>
      <c r="D26" s="188">
        <f>(D3*'Generátory hodnoty'!K14)-D18+D21</f>
        <v>271777.18149769993</v>
      </c>
      <c r="E26" s="188">
        <f>(E3*'Generátory hodnoty'!L14)-E18+E21</f>
        <v>307316.21509240085</v>
      </c>
      <c r="F26" s="188">
        <f>(F3*'Generátory hodnoty'!M14)-F18+F21</f>
        <v>347475.32305441296</v>
      </c>
      <c r="G26" s="189">
        <f>(G3*'Generátory hodnoty'!N14)-G18+G21</f>
        <v>392855.11505148659</v>
      </c>
      <c r="H26" s="86"/>
      <c r="I26" s="16" t="s">
        <v>25</v>
      </c>
      <c r="J26" s="120">
        <f>J24-J25</f>
        <v>151964.22854339998</v>
      </c>
      <c r="K26" s="120">
        <f t="shared" ref="K26:N26" si="29">K24-K25</f>
        <v>171719.57825404196</v>
      </c>
      <c r="L26" s="120">
        <f t="shared" si="29"/>
        <v>194043.12342706736</v>
      </c>
      <c r="M26" s="120">
        <f t="shared" si="29"/>
        <v>219268.7294725861</v>
      </c>
      <c r="N26" s="162">
        <f t="shared" si="29"/>
        <v>247773.66430402227</v>
      </c>
    </row>
    <row r="27" spans="1:18">
      <c r="A27" s="179" t="s">
        <v>172</v>
      </c>
      <c r="B27" s="36" t="s">
        <v>73</v>
      </c>
      <c r="C27" s="120">
        <f>0.00553967498695061*J26</f>
        <v>841.83243577311885</v>
      </c>
      <c r="D27" s="120">
        <f t="shared" ref="D27:G27" si="30">0.00553967498695061*K26</f>
        <v>951.27065242362426</v>
      </c>
      <c r="E27" s="120">
        <f t="shared" si="30"/>
        <v>1074.9358372386951</v>
      </c>
      <c r="F27" s="120">
        <f t="shared" si="30"/>
        <v>1214.6774960797252</v>
      </c>
      <c r="G27" s="162">
        <f t="shared" si="30"/>
        <v>1372.5855705700894</v>
      </c>
      <c r="H27" s="55"/>
      <c r="I27" s="11" t="s">
        <v>26</v>
      </c>
      <c r="J27" s="120">
        <f>J28</f>
        <v>17127.554639999998</v>
      </c>
      <c r="K27" s="120">
        <f t="shared" ref="K27:N27" si="31">K28</f>
        <v>19354.136743199993</v>
      </c>
      <c r="L27" s="120">
        <f t="shared" si="31"/>
        <v>21870.174519815988</v>
      </c>
      <c r="M27" s="120">
        <f t="shared" si="31"/>
        <v>24713.297207392068</v>
      </c>
      <c r="N27" s="162">
        <f t="shared" si="31"/>
        <v>27926.025844353033</v>
      </c>
    </row>
    <row r="28" spans="1:18">
      <c r="A28" s="179" t="s">
        <v>173</v>
      </c>
      <c r="B28" s="36" t="s">
        <v>74</v>
      </c>
      <c r="C28" s="120">
        <f>J50*0.08</f>
        <v>0.8</v>
      </c>
      <c r="D28" s="120">
        <f>K50*0.08</f>
        <v>0.8</v>
      </c>
      <c r="E28" s="120">
        <f>L50*0.08</f>
        <v>0.8</v>
      </c>
      <c r="F28" s="120">
        <f>M50*0.08</f>
        <v>0.8</v>
      </c>
      <c r="G28" s="162">
        <f>N50*0.08</f>
        <v>0.8</v>
      </c>
      <c r="I28" s="16" t="s">
        <v>27</v>
      </c>
      <c r="J28" s="120">
        <f>'Generátory hodnoty'!X14</f>
        <v>17127.554639999998</v>
      </c>
      <c r="K28" s="120">
        <f>'Generátory hodnoty'!Y14</f>
        <v>19354.136743199993</v>
      </c>
      <c r="L28" s="120">
        <f>'Generátory hodnoty'!Z14</f>
        <v>21870.174519815988</v>
      </c>
      <c r="M28" s="120">
        <f>'Generátory hodnoty'!AA14</f>
        <v>24713.297207392068</v>
      </c>
      <c r="N28" s="162">
        <f>'Generátory hodnoty'!AB14</f>
        <v>27926.025844353033</v>
      </c>
    </row>
    <row r="29" spans="1:18">
      <c r="A29" s="179" t="s">
        <v>174</v>
      </c>
      <c r="B29" s="36" t="s">
        <v>75</v>
      </c>
      <c r="C29" s="120">
        <v>10000</v>
      </c>
      <c r="D29" s="120">
        <v>10000</v>
      </c>
      <c r="E29" s="120">
        <v>10000</v>
      </c>
      <c r="F29" s="120">
        <v>10000</v>
      </c>
      <c r="G29" s="162">
        <v>10000</v>
      </c>
      <c r="I29" s="11" t="s">
        <v>28</v>
      </c>
      <c r="J29" s="188">
        <f>J30+J38</f>
        <v>1985872.5799233606</v>
      </c>
      <c r="K29" s="188">
        <f>K30+K38</f>
        <v>2236996.4034367576</v>
      </c>
      <c r="L29" s="188">
        <f>L30+L38</f>
        <v>2523300.7261668965</v>
      </c>
      <c r="M29" s="188">
        <f>M30+M38</f>
        <v>2850386.0130119538</v>
      </c>
      <c r="N29" s="189">
        <f>N30+N38</f>
        <v>3224580.7893068683</v>
      </c>
      <c r="P29" s="83"/>
      <c r="Q29" s="83"/>
      <c r="R29" s="83"/>
    </row>
    <row r="30" spans="1:18">
      <c r="A30" s="179" t="s">
        <v>175</v>
      </c>
      <c r="B30" s="36" t="s">
        <v>76</v>
      </c>
      <c r="C30" s="120">
        <v>110000</v>
      </c>
      <c r="D30" s="120">
        <v>110000</v>
      </c>
      <c r="E30" s="120">
        <v>120000</v>
      </c>
      <c r="F30" s="120">
        <v>130000</v>
      </c>
      <c r="G30" s="162">
        <v>140000</v>
      </c>
      <c r="I30" s="11" t="s">
        <v>29</v>
      </c>
      <c r="J30" s="188">
        <f>J31+J33+J35+J37</f>
        <v>1102893.5159633607</v>
      </c>
      <c r="K30" s="188">
        <f>K31+K33+K35+K37</f>
        <v>1239348.3611619582</v>
      </c>
      <c r="L30" s="188">
        <f t="shared" ref="L30:N30" si="32">L31+L33+L35+L37</f>
        <v>1396076.7383963733</v>
      </c>
      <c r="M30" s="188">
        <f t="shared" si="32"/>
        <v>1576741.2068312624</v>
      </c>
      <c r="N30" s="189">
        <f t="shared" si="32"/>
        <v>1785480.4583226873</v>
      </c>
    </row>
    <row r="31" spans="1:18">
      <c r="A31" s="63" t="s">
        <v>171</v>
      </c>
      <c r="B31" s="35" t="s">
        <v>77</v>
      </c>
      <c r="C31" s="188">
        <f>C27-C28+C29-C30</f>
        <v>-99158.967564226885</v>
      </c>
      <c r="D31" s="188">
        <f t="shared" ref="D31:G31" si="33">D27-D28+D29-D30</f>
        <v>-99049.529347576376</v>
      </c>
      <c r="E31" s="188">
        <f t="shared" si="33"/>
        <v>-108925.86416276131</v>
      </c>
      <c r="F31" s="188">
        <f t="shared" si="33"/>
        <v>-118786.12250392027</v>
      </c>
      <c r="G31" s="189">
        <f t="shared" si="33"/>
        <v>-128628.21442942991</v>
      </c>
      <c r="I31" s="13" t="s">
        <v>30</v>
      </c>
      <c r="J31" s="121">
        <f>J32</f>
        <v>18750</v>
      </c>
      <c r="K31" s="121">
        <f t="shared" ref="K31:N31" si="34">K32</f>
        <v>18750</v>
      </c>
      <c r="L31" s="121">
        <f t="shared" si="34"/>
        <v>18750</v>
      </c>
      <c r="M31" s="121">
        <f t="shared" si="34"/>
        <v>18750</v>
      </c>
      <c r="N31" s="192">
        <f t="shared" si="34"/>
        <v>18750</v>
      </c>
    </row>
    <row r="32" spans="1:18">
      <c r="A32" s="179" t="s">
        <v>176</v>
      </c>
      <c r="B32" s="36" t="s">
        <v>78</v>
      </c>
      <c r="C32" s="120">
        <f>0.21*(C26+C31)</f>
        <v>29645.225762412345</v>
      </c>
      <c r="D32" s="120">
        <f t="shared" ref="D32:G32" si="35">0.21*(D26+D31)</f>
        <v>36272.806951525949</v>
      </c>
      <c r="E32" s="120">
        <f t="shared" si="35"/>
        <v>41661.973695224304</v>
      </c>
      <c r="F32" s="120">
        <f t="shared" si="35"/>
        <v>48024.73211560346</v>
      </c>
      <c r="G32" s="162">
        <f t="shared" si="35"/>
        <v>55487.6491306319</v>
      </c>
      <c r="I32" s="16" t="s">
        <v>30</v>
      </c>
      <c r="J32" s="120">
        <v>18750</v>
      </c>
      <c r="K32" s="120">
        <v>18750</v>
      </c>
      <c r="L32" s="120">
        <v>18750</v>
      </c>
      <c r="M32" s="120">
        <v>18750</v>
      </c>
      <c r="N32" s="162">
        <v>18750</v>
      </c>
    </row>
    <row r="33" spans="1:18">
      <c r="A33" s="179" t="s">
        <v>177</v>
      </c>
      <c r="B33" s="36" t="s">
        <v>79</v>
      </c>
      <c r="C33" s="120">
        <f>C32-C34</f>
        <v>29971.323245798882</v>
      </c>
      <c r="D33" s="120">
        <f t="shared" ref="D33:G33" si="36">D32-D34</f>
        <v>36671.807827992736</v>
      </c>
      <c r="E33" s="120">
        <f t="shared" si="36"/>
        <v>42120.255405871772</v>
      </c>
      <c r="F33" s="120">
        <f t="shared" si="36"/>
        <v>48553.004168875101</v>
      </c>
      <c r="G33" s="162">
        <f t="shared" si="36"/>
        <v>56098.013271068849</v>
      </c>
      <c r="I33" s="13" t="s">
        <v>31</v>
      </c>
      <c r="J33" s="121">
        <f>J34</f>
        <v>1875</v>
      </c>
      <c r="K33" s="121">
        <f t="shared" ref="K33:N33" si="37">K34</f>
        <v>1875</v>
      </c>
      <c r="L33" s="121">
        <f t="shared" si="37"/>
        <v>1875</v>
      </c>
      <c r="M33" s="121">
        <f t="shared" si="37"/>
        <v>1875</v>
      </c>
      <c r="N33" s="192">
        <f t="shared" si="37"/>
        <v>1875</v>
      </c>
    </row>
    <row r="34" spans="1:18">
      <c r="A34" s="179" t="s">
        <v>178</v>
      </c>
      <c r="B34" s="36" t="s">
        <v>80</v>
      </c>
      <c r="C34" s="120">
        <f>-0.011*C32</f>
        <v>-326.09748338653577</v>
      </c>
      <c r="D34" s="120">
        <f t="shared" ref="D34:G34" si="38">-0.011*D32</f>
        <v>-399.00087646678543</v>
      </c>
      <c r="E34" s="120">
        <f t="shared" si="38"/>
        <v>-458.28171064746732</v>
      </c>
      <c r="F34" s="120">
        <f t="shared" si="38"/>
        <v>-528.27205327163801</v>
      </c>
      <c r="G34" s="162">
        <f t="shared" si="38"/>
        <v>-610.36414043695083</v>
      </c>
      <c r="I34" s="16" t="s">
        <v>32</v>
      </c>
      <c r="J34" s="120">
        <v>1875</v>
      </c>
      <c r="K34" s="120">
        <v>1875</v>
      </c>
      <c r="L34" s="120">
        <v>1875</v>
      </c>
      <c r="M34" s="120">
        <v>1875</v>
      </c>
      <c r="N34" s="162">
        <v>1875</v>
      </c>
    </row>
    <row r="35" spans="1:18">
      <c r="A35" s="63" t="s">
        <v>179</v>
      </c>
      <c r="B35" s="35" t="s">
        <v>81</v>
      </c>
      <c r="C35" s="120">
        <f>C37-C32</f>
        <v>111522.51596336074</v>
      </c>
      <c r="D35" s="120">
        <f t="shared" ref="D35:G35" si="39">D37-D32</f>
        <v>136454.84519859761</v>
      </c>
      <c r="E35" s="120">
        <f t="shared" si="39"/>
        <v>156728.37723441524</v>
      </c>
      <c r="F35" s="120">
        <f t="shared" si="39"/>
        <v>180664.46843488922</v>
      </c>
      <c r="G35" s="162">
        <f t="shared" si="39"/>
        <v>208739.25149142477</v>
      </c>
      <c r="I35" s="13" t="s">
        <v>33</v>
      </c>
      <c r="J35" s="121">
        <f>J36</f>
        <v>970746</v>
      </c>
      <c r="K35" s="121">
        <f t="shared" ref="K35:N35" si="40">K36</f>
        <v>1082268.5159633607</v>
      </c>
      <c r="L35" s="121">
        <f t="shared" si="40"/>
        <v>1218723.3611619582</v>
      </c>
      <c r="M35" s="121">
        <f t="shared" si="40"/>
        <v>1375451.7383963733</v>
      </c>
      <c r="N35" s="192">
        <f t="shared" si="40"/>
        <v>1556116.2068312624</v>
      </c>
    </row>
    <row r="36" spans="1:18">
      <c r="A36" s="63" t="s">
        <v>180</v>
      </c>
      <c r="B36" s="35" t="s">
        <v>82</v>
      </c>
      <c r="C36" s="120">
        <f>C35</f>
        <v>111522.51596336074</v>
      </c>
      <c r="D36" s="120">
        <f t="shared" ref="D36:G36" si="41">D35</f>
        <v>136454.84519859761</v>
      </c>
      <c r="E36" s="120">
        <f t="shared" si="41"/>
        <v>156728.37723441524</v>
      </c>
      <c r="F36" s="120">
        <f t="shared" si="41"/>
        <v>180664.46843488922</v>
      </c>
      <c r="G36" s="162">
        <f t="shared" si="41"/>
        <v>208739.25149142477</v>
      </c>
      <c r="I36" s="16" t="s">
        <v>34</v>
      </c>
      <c r="J36" s="120">
        <f>BS!C38+'P&amp;L'!D35</f>
        <v>970746</v>
      </c>
      <c r="K36" s="120">
        <f>J36+C35</f>
        <v>1082268.5159633607</v>
      </c>
      <c r="L36" s="120">
        <f t="shared" ref="L36:N36" si="42">K36+D35</f>
        <v>1218723.3611619582</v>
      </c>
      <c r="M36" s="120">
        <f t="shared" si="42"/>
        <v>1375451.7383963733</v>
      </c>
      <c r="N36" s="192">
        <f t="shared" si="42"/>
        <v>1556116.2068312624</v>
      </c>
    </row>
    <row r="37" spans="1:18" ht="15" thickBot="1">
      <c r="A37" s="64" t="s">
        <v>181</v>
      </c>
      <c r="B37" s="38" t="s">
        <v>83</v>
      </c>
      <c r="C37" s="190">
        <f>C26+C31</f>
        <v>141167.74172577308</v>
      </c>
      <c r="D37" s="190">
        <f t="shared" ref="D37:G37" si="43">D26+D31</f>
        <v>172727.65215012355</v>
      </c>
      <c r="E37" s="190">
        <f t="shared" si="43"/>
        <v>198390.35092963954</v>
      </c>
      <c r="F37" s="190">
        <f t="shared" si="43"/>
        <v>228689.20055049268</v>
      </c>
      <c r="G37" s="191">
        <f t="shared" si="43"/>
        <v>264226.90062205668</v>
      </c>
      <c r="I37" s="13" t="s">
        <v>35</v>
      </c>
      <c r="J37" s="120">
        <f>C35</f>
        <v>111522.51596336074</v>
      </c>
      <c r="K37" s="120">
        <f t="shared" ref="K37:N37" si="44">D35</f>
        <v>136454.84519859761</v>
      </c>
      <c r="L37" s="120">
        <f t="shared" si="44"/>
        <v>156728.37723441524</v>
      </c>
      <c r="M37" s="120">
        <f t="shared" si="44"/>
        <v>180664.46843488922</v>
      </c>
      <c r="N37" s="162">
        <f t="shared" si="44"/>
        <v>208739.25149142477</v>
      </c>
    </row>
    <row r="38" spans="1:18">
      <c r="A38" s="33"/>
      <c r="B38" s="33"/>
      <c r="C38" s="28"/>
      <c r="I38" s="11" t="s">
        <v>36</v>
      </c>
      <c r="J38" s="188">
        <f>J39+J41+J49</f>
        <v>882979.06395999982</v>
      </c>
      <c r="K38" s="188">
        <f>K39+K41+K49</f>
        <v>997648.04227479955</v>
      </c>
      <c r="L38" s="188">
        <f>L39+L41+L49</f>
        <v>1127223.9877705234</v>
      </c>
      <c r="M38" s="188">
        <f>M39+M41+M49</f>
        <v>1273644.8061806913</v>
      </c>
      <c r="N38" s="189">
        <f>N39+N41+N49</f>
        <v>1439100.330984181</v>
      </c>
    </row>
    <row r="39" spans="1:18">
      <c r="A39" s="33"/>
      <c r="B39" s="33" t="s">
        <v>254</v>
      </c>
      <c r="C39" s="82">
        <f>(C11-C12-C16-C17+C18-C21-C23+C24-C25)-C26</f>
        <v>0</v>
      </c>
      <c r="D39" s="82">
        <f t="shared" ref="D39:G39" si="45">(D11-D12-D16-D17+D18-D21-D23+D24-D25)-D26</f>
        <v>0</v>
      </c>
      <c r="E39" s="82">
        <f t="shared" si="45"/>
        <v>0</v>
      </c>
      <c r="F39" s="82">
        <f t="shared" si="45"/>
        <v>0</v>
      </c>
      <c r="G39" s="82">
        <f t="shared" si="45"/>
        <v>0</v>
      </c>
      <c r="I39" s="13" t="s">
        <v>37</v>
      </c>
      <c r="J39" s="121">
        <f>J40</f>
        <v>900</v>
      </c>
      <c r="K39" s="121">
        <f t="shared" ref="K39:N39" si="46">K40</f>
        <v>900</v>
      </c>
      <c r="L39" s="121">
        <f t="shared" si="46"/>
        <v>900</v>
      </c>
      <c r="M39" s="121">
        <f t="shared" si="46"/>
        <v>900</v>
      </c>
      <c r="N39" s="192">
        <f t="shared" si="46"/>
        <v>900</v>
      </c>
      <c r="P39" s="83"/>
      <c r="Q39" s="83"/>
      <c r="R39" s="83"/>
    </row>
    <row r="40" spans="1:18">
      <c r="A40" s="33"/>
      <c r="B40" s="33" t="s">
        <v>255</v>
      </c>
      <c r="C40" s="28">
        <f>J3-J29</f>
        <v>0</v>
      </c>
      <c r="D40" s="28">
        <f t="shared" ref="D40:G40" si="47">K3-K29</f>
        <v>0</v>
      </c>
      <c r="E40" s="28">
        <f t="shared" si="47"/>
        <v>0</v>
      </c>
      <c r="F40" s="28">
        <f t="shared" si="47"/>
        <v>0</v>
      </c>
      <c r="G40" s="28">
        <f t="shared" si="47"/>
        <v>0</v>
      </c>
      <c r="I40" s="16" t="s">
        <v>38</v>
      </c>
      <c r="J40" s="120">
        <v>900</v>
      </c>
      <c r="K40" s="120">
        <v>900</v>
      </c>
      <c r="L40" s="120">
        <v>900</v>
      </c>
      <c r="M40" s="120">
        <v>900</v>
      </c>
      <c r="N40" s="162">
        <v>900</v>
      </c>
    </row>
    <row r="41" spans="1:18">
      <c r="A41" s="34"/>
      <c r="B41" s="34"/>
      <c r="C41" s="28"/>
      <c r="D41" s="28"/>
      <c r="E41" s="28"/>
      <c r="F41" s="28"/>
      <c r="G41" s="28"/>
      <c r="I41" s="13" t="s">
        <v>39</v>
      </c>
      <c r="J41" s="121">
        <f>'Generátory hodnoty'!X13</f>
        <v>882069.06395999982</v>
      </c>
      <c r="K41" s="121">
        <f>'Generátory hodnoty'!Y13</f>
        <v>996738.04227479955</v>
      </c>
      <c r="L41" s="121">
        <f>'Generátory hodnoty'!Z13</f>
        <v>1126313.9877705234</v>
      </c>
      <c r="M41" s="121">
        <f>'Generátory hodnoty'!AA13</f>
        <v>1272734.8061806913</v>
      </c>
      <c r="N41" s="192">
        <f>'Generátory hodnoty'!AB13</f>
        <v>1438190.330984181</v>
      </c>
    </row>
    <row r="42" spans="1:18">
      <c r="A42" s="34"/>
      <c r="B42" s="34" t="s">
        <v>306</v>
      </c>
      <c r="C42" s="178">
        <v>0.76780000000000004</v>
      </c>
      <c r="D42" s="178">
        <v>0.76832500000000004</v>
      </c>
      <c r="E42" s="178">
        <v>0.76885000000000003</v>
      </c>
      <c r="F42" s="178">
        <v>0.76937499999999992</v>
      </c>
      <c r="G42" s="178">
        <v>0.76990000000000003</v>
      </c>
      <c r="I42" s="16" t="s">
        <v>40</v>
      </c>
      <c r="J42" s="120">
        <f>0.84*J41</f>
        <v>740938.01372639986</v>
      </c>
      <c r="K42" s="120">
        <f t="shared" ref="K42:N42" si="48">0.84*K41</f>
        <v>837259.95551083155</v>
      </c>
      <c r="L42" s="120">
        <f t="shared" si="48"/>
        <v>946103.7497272396</v>
      </c>
      <c r="M42" s="120">
        <f t="shared" si="48"/>
        <v>1069097.2371917807</v>
      </c>
      <c r="N42" s="162">
        <f t="shared" si="48"/>
        <v>1208079.878026712</v>
      </c>
    </row>
    <row r="43" spans="1:18">
      <c r="A43" s="34"/>
      <c r="B43" s="34"/>
      <c r="C43" s="28"/>
      <c r="D43" s="28"/>
      <c r="I43" s="16" t="s">
        <v>41</v>
      </c>
      <c r="J43" s="120">
        <f>0.02*J41</f>
        <v>17641.381279199995</v>
      </c>
      <c r="K43" s="120">
        <f t="shared" ref="K43:N43" si="49">0.02*K41</f>
        <v>19934.760845495992</v>
      </c>
      <c r="L43" s="120">
        <f t="shared" si="49"/>
        <v>22526.279755410469</v>
      </c>
      <c r="M43" s="120">
        <f t="shared" si="49"/>
        <v>25454.696123613827</v>
      </c>
      <c r="N43" s="162">
        <f t="shared" si="49"/>
        <v>28763.806619683623</v>
      </c>
    </row>
    <row r="44" spans="1:18">
      <c r="A44" s="34"/>
      <c r="B44" s="34"/>
      <c r="C44" s="28"/>
      <c r="I44" s="16" t="s">
        <v>42</v>
      </c>
      <c r="J44" s="120">
        <f>0.01*J41</f>
        <v>8820.6906395999977</v>
      </c>
      <c r="K44" s="120">
        <f t="shared" ref="K44:N44" si="50">0.01*K41</f>
        <v>9967.3804227479959</v>
      </c>
      <c r="L44" s="120">
        <f t="shared" si="50"/>
        <v>11263.139877705235</v>
      </c>
      <c r="M44" s="120">
        <f t="shared" si="50"/>
        <v>12727.348061806913</v>
      </c>
      <c r="N44" s="162">
        <f t="shared" si="50"/>
        <v>14381.903309841811</v>
      </c>
    </row>
    <row r="45" spans="1:18">
      <c r="A45" s="34"/>
      <c r="B45" s="34"/>
      <c r="C45" s="28"/>
      <c r="I45" s="16" t="s">
        <v>43</v>
      </c>
      <c r="J45" s="120">
        <f>0.03*J41</f>
        <v>26462.071918799993</v>
      </c>
      <c r="K45" s="120">
        <f t="shared" ref="K45:N45" si="51">0.03*K41</f>
        <v>29902.141268243984</v>
      </c>
      <c r="L45" s="120">
        <f t="shared" si="51"/>
        <v>33789.4196331157</v>
      </c>
      <c r="M45" s="120">
        <f t="shared" si="51"/>
        <v>38182.044185420738</v>
      </c>
      <c r="N45" s="162">
        <f t="shared" si="51"/>
        <v>43145.70992952543</v>
      </c>
    </row>
    <row r="46" spans="1:18">
      <c r="A46" s="34"/>
      <c r="B46" s="34"/>
      <c r="C46" s="28"/>
      <c r="I46" s="16" t="s">
        <v>44</v>
      </c>
      <c r="J46" s="120">
        <f>0.002*J41</f>
        <v>1764.1381279199998</v>
      </c>
      <c r="K46" s="120">
        <f t="shared" ref="K46:N46" si="52">0.002*K41</f>
        <v>1993.4760845495991</v>
      </c>
      <c r="L46" s="120">
        <f t="shared" si="52"/>
        <v>2252.6279755410469</v>
      </c>
      <c r="M46" s="120">
        <f t="shared" si="52"/>
        <v>2545.4696123613826</v>
      </c>
      <c r="N46" s="162">
        <f t="shared" si="52"/>
        <v>2876.3806619683619</v>
      </c>
    </row>
    <row r="47" spans="1:18">
      <c r="A47" s="34"/>
      <c r="B47" s="34"/>
      <c r="C47" s="28"/>
      <c r="I47" s="16" t="s">
        <v>45</v>
      </c>
      <c r="J47" s="120">
        <f>0.095*J41</f>
        <v>83796.561076199985</v>
      </c>
      <c r="K47" s="120">
        <f t="shared" ref="K47:N47" si="53">0.095*K41</f>
        <v>94690.114016105959</v>
      </c>
      <c r="L47" s="120">
        <f t="shared" si="53"/>
        <v>106999.82883819973</v>
      </c>
      <c r="M47" s="120">
        <f t="shared" si="53"/>
        <v>120909.80658716567</v>
      </c>
      <c r="N47" s="162">
        <f t="shared" si="53"/>
        <v>136628.08144349721</v>
      </c>
    </row>
    <row r="48" spans="1:18">
      <c r="A48" s="34"/>
      <c r="B48" s="34"/>
      <c r="C48" s="28"/>
      <c r="I48" s="16" t="s">
        <v>46</v>
      </c>
      <c r="J48" s="120">
        <f>J41-J42-J43-J44-J45-J46-J47</f>
        <v>2646.207191879992</v>
      </c>
      <c r="K48" s="120">
        <f t="shared" ref="K48:N48" si="54">K41-K42-K43-K44-K45-K46-K47</f>
        <v>2990.214126824445</v>
      </c>
      <c r="L48" s="120">
        <f t="shared" si="54"/>
        <v>3378.941963311634</v>
      </c>
      <c r="M48" s="120">
        <f t="shared" si="54"/>
        <v>3818.2044185421255</v>
      </c>
      <c r="N48" s="162">
        <f t="shared" si="54"/>
        <v>4314.5709929525619</v>
      </c>
    </row>
    <row r="49" spans="1:14" ht="15.5">
      <c r="A49" s="34"/>
      <c r="B49" s="181"/>
      <c r="C49" s="28"/>
      <c r="I49" s="13" t="s">
        <v>47</v>
      </c>
      <c r="J49" s="121">
        <f>J50</f>
        <v>10</v>
      </c>
      <c r="K49" s="121">
        <f>K50</f>
        <v>10</v>
      </c>
      <c r="L49" s="121">
        <f>L50</f>
        <v>10</v>
      </c>
      <c r="M49" s="121">
        <f>M50</f>
        <v>10</v>
      </c>
      <c r="N49" s="192">
        <f>N50</f>
        <v>10</v>
      </c>
    </row>
    <row r="50" spans="1:14" ht="15" thickBot="1">
      <c r="A50" s="34"/>
      <c r="B50" s="34"/>
      <c r="C50" s="28"/>
      <c r="I50" s="20" t="s">
        <v>48</v>
      </c>
      <c r="J50" s="167">
        <v>10</v>
      </c>
      <c r="K50" s="167">
        <v>10</v>
      </c>
      <c r="L50" s="167">
        <v>10</v>
      </c>
      <c r="M50" s="167">
        <v>10</v>
      </c>
      <c r="N50" s="168">
        <v>10</v>
      </c>
    </row>
    <row r="51" spans="1:14">
      <c r="A51" s="34"/>
      <c r="B51" s="34"/>
      <c r="C51" s="28"/>
    </row>
    <row r="52" spans="1:14">
      <c r="A52" s="33"/>
      <c r="B52" s="33"/>
    </row>
    <row r="53" spans="1:14">
      <c r="A53" s="33"/>
      <c r="B53" s="33"/>
    </row>
    <row r="54" spans="1:14">
      <c r="A54" s="33"/>
      <c r="B54" s="33"/>
    </row>
    <row r="55" spans="1:14">
      <c r="A55" s="33"/>
      <c r="B55" s="33"/>
    </row>
    <row r="56" spans="1:14">
      <c r="A56" s="33"/>
      <c r="B56" s="33"/>
    </row>
    <row r="57" spans="1:14">
      <c r="A57" s="33"/>
      <c r="B57" s="33"/>
    </row>
    <row r="58" spans="1:14">
      <c r="A58" s="33"/>
      <c r="B58" s="33"/>
    </row>
    <row r="59" spans="1:14">
      <c r="A59" s="33"/>
      <c r="B59" s="33"/>
    </row>
    <row r="60" spans="1:14">
      <c r="A60" s="33"/>
      <c r="B60" s="33"/>
    </row>
    <row r="61" spans="1:14">
      <c r="A61" s="33"/>
      <c r="B61" s="33"/>
    </row>
    <row r="62" spans="1:14">
      <c r="A62" s="33"/>
      <c r="B62" s="33"/>
    </row>
    <row r="63" spans="1:14">
      <c r="A63" s="33"/>
      <c r="B63" s="33"/>
    </row>
    <row r="64" spans="1:14">
      <c r="A64" s="33"/>
      <c r="B64" s="33"/>
    </row>
    <row r="65" spans="1:2">
      <c r="A65" s="33"/>
      <c r="B65" s="33"/>
    </row>
    <row r="66" spans="1:2">
      <c r="A66" s="33"/>
      <c r="B66" s="33"/>
    </row>
    <row r="67" spans="1:2">
      <c r="A67" s="33"/>
      <c r="B67" s="33"/>
    </row>
    <row r="68" spans="1:2">
      <c r="A68" s="33"/>
      <c r="B68" s="33"/>
    </row>
    <row r="69" spans="1:2">
      <c r="A69" s="33"/>
      <c r="B69" s="33"/>
    </row>
    <row r="70" spans="1:2">
      <c r="A70" s="33"/>
      <c r="B70" s="33"/>
    </row>
    <row r="71" spans="1:2">
      <c r="A71" s="33"/>
      <c r="B71" s="33"/>
    </row>
    <row r="72" spans="1:2">
      <c r="A72" s="33"/>
      <c r="B72" s="33"/>
    </row>
    <row r="73" spans="1:2">
      <c r="A73" s="33"/>
      <c r="B73" s="33"/>
    </row>
    <row r="74" spans="1:2">
      <c r="A74" s="33"/>
      <c r="B74" s="33"/>
    </row>
    <row r="75" spans="1:2">
      <c r="A75" s="33"/>
      <c r="B75" s="33"/>
    </row>
    <row r="76" spans="1:2">
      <c r="A76" s="33"/>
      <c r="B76" s="33"/>
    </row>
    <row r="77" spans="1:2">
      <c r="A77" s="33"/>
      <c r="B77" s="33"/>
    </row>
    <row r="78" spans="1:2">
      <c r="A78" s="33"/>
      <c r="B78" s="33"/>
    </row>
    <row r="79" spans="1:2">
      <c r="A79" s="33"/>
      <c r="B79" s="33"/>
    </row>
    <row r="80" spans="1:2">
      <c r="A80" s="33"/>
      <c r="B80" s="33"/>
    </row>
    <row r="81" spans="1:2">
      <c r="A81" s="33"/>
      <c r="B81" s="33"/>
    </row>
    <row r="82" spans="1:2">
      <c r="A82" s="33"/>
      <c r="B82" s="33"/>
    </row>
    <row r="83" spans="1:2">
      <c r="A83" s="33"/>
      <c r="B83" s="33"/>
    </row>
    <row r="84" spans="1:2">
      <c r="A84" s="33"/>
      <c r="B84" s="33"/>
    </row>
    <row r="85" spans="1:2">
      <c r="A85" s="33"/>
      <c r="B85" s="33"/>
    </row>
    <row r="86" spans="1:2">
      <c r="A86" s="33"/>
      <c r="B86" s="33"/>
    </row>
    <row r="87" spans="1:2">
      <c r="A87" s="33"/>
      <c r="B87" s="33"/>
    </row>
    <row r="88" spans="1:2">
      <c r="A88" s="33"/>
      <c r="B88" s="33"/>
    </row>
    <row r="89" spans="1:2">
      <c r="A89" s="33"/>
      <c r="B89" s="33"/>
    </row>
    <row r="90" spans="1:2">
      <c r="A90" s="33"/>
      <c r="B90" s="33"/>
    </row>
    <row r="91" spans="1:2">
      <c r="A91" s="33"/>
      <c r="B91" s="33"/>
    </row>
    <row r="92" spans="1:2">
      <c r="A92" s="33"/>
      <c r="B92" s="33"/>
    </row>
    <row r="93" spans="1:2">
      <c r="A93" s="33"/>
      <c r="B93" s="33"/>
    </row>
    <row r="94" spans="1:2">
      <c r="A94" s="33"/>
      <c r="B94" s="33"/>
    </row>
    <row r="95" spans="1:2">
      <c r="A95" s="33"/>
      <c r="B95" s="33"/>
    </row>
    <row r="96" spans="1:2">
      <c r="A96" s="33"/>
      <c r="B96" s="33"/>
    </row>
    <row r="97" spans="1:2">
      <c r="A97" s="33"/>
      <c r="B97" s="33"/>
    </row>
    <row r="98" spans="1:2">
      <c r="A98" s="33"/>
      <c r="B98" s="33"/>
    </row>
    <row r="99" spans="1:2">
      <c r="A99" s="33"/>
      <c r="B99" s="33"/>
    </row>
    <row r="100" spans="1:2">
      <c r="A100" s="33"/>
      <c r="B100" s="33"/>
    </row>
    <row r="101" spans="1:2">
      <c r="A101" s="33"/>
      <c r="B101" s="33"/>
    </row>
    <row r="102" spans="1:2">
      <c r="A102" s="33"/>
      <c r="B102" s="33"/>
    </row>
    <row r="103" spans="1:2">
      <c r="A103" s="33"/>
      <c r="B103" s="33"/>
    </row>
    <row r="104" spans="1:2">
      <c r="A104" s="33"/>
      <c r="B104" s="33"/>
    </row>
    <row r="105" spans="1:2">
      <c r="A105" s="33"/>
      <c r="B105" s="33"/>
    </row>
    <row r="106" spans="1:2">
      <c r="A106" s="33"/>
      <c r="B106" s="33"/>
    </row>
    <row r="107" spans="1:2">
      <c r="A107" s="33"/>
      <c r="B107" s="33"/>
    </row>
    <row r="108" spans="1:2">
      <c r="A108" s="33"/>
      <c r="B108" s="33"/>
    </row>
    <row r="109" spans="1:2">
      <c r="A109" s="33"/>
      <c r="B109" s="33"/>
    </row>
    <row r="110" spans="1:2">
      <c r="A110" s="33"/>
      <c r="B110" s="33"/>
    </row>
    <row r="111" spans="1:2">
      <c r="A111" s="33"/>
      <c r="B111" s="33"/>
    </row>
    <row r="112" spans="1:2">
      <c r="A112" s="33"/>
      <c r="B112" s="33"/>
    </row>
    <row r="113" spans="1:2">
      <c r="A113" s="33"/>
      <c r="B113" s="33"/>
    </row>
    <row r="114" spans="1:2">
      <c r="A114" s="33"/>
      <c r="B114" s="33"/>
    </row>
    <row r="115" spans="1:2">
      <c r="A115" s="33"/>
      <c r="B115" s="33"/>
    </row>
    <row r="116" spans="1:2">
      <c r="A116" s="33"/>
      <c r="B116" s="33"/>
    </row>
    <row r="117" spans="1:2">
      <c r="A117" s="33"/>
      <c r="B117" s="33"/>
    </row>
    <row r="118" spans="1:2">
      <c r="A118" s="33"/>
      <c r="B118" s="33"/>
    </row>
    <row r="119" spans="1:2">
      <c r="A119" s="33"/>
      <c r="B119" s="33"/>
    </row>
    <row r="120" spans="1:2">
      <c r="A120" s="33"/>
      <c r="B120" s="33"/>
    </row>
    <row r="121" spans="1:2">
      <c r="A121" s="33"/>
      <c r="B121" s="33"/>
    </row>
    <row r="122" spans="1:2">
      <c r="A122" s="33"/>
      <c r="B122" s="33"/>
    </row>
    <row r="123" spans="1:2">
      <c r="A123" s="33"/>
      <c r="B123" s="33"/>
    </row>
    <row r="124" spans="1:2">
      <c r="A124" s="33"/>
      <c r="B124" s="33"/>
    </row>
    <row r="125" spans="1:2">
      <c r="A125" s="33"/>
      <c r="B125" s="33"/>
    </row>
    <row r="126" spans="1:2">
      <c r="A126" s="33"/>
      <c r="B126" s="33"/>
    </row>
    <row r="127" spans="1:2">
      <c r="A127" s="33"/>
      <c r="B127" s="33"/>
    </row>
    <row r="128" spans="1:2">
      <c r="A128" s="33"/>
      <c r="B128" s="33"/>
    </row>
    <row r="129" spans="1:2">
      <c r="A129" s="33"/>
      <c r="B129" s="33"/>
    </row>
    <row r="130" spans="1:2">
      <c r="A130" s="33"/>
      <c r="B130" s="33"/>
    </row>
    <row r="131" spans="1:2">
      <c r="A131" s="33"/>
      <c r="B131" s="33"/>
    </row>
    <row r="132" spans="1:2">
      <c r="A132" s="33"/>
      <c r="B132" s="33"/>
    </row>
    <row r="133" spans="1:2">
      <c r="A133" s="33"/>
      <c r="B133" s="33"/>
    </row>
    <row r="134" spans="1:2">
      <c r="A134" s="33"/>
      <c r="B134" s="33"/>
    </row>
    <row r="135" spans="1:2">
      <c r="A135" s="33"/>
      <c r="B135" s="33"/>
    </row>
    <row r="136" spans="1:2">
      <c r="A136" s="33"/>
      <c r="B136" s="33"/>
    </row>
    <row r="137" spans="1:2">
      <c r="A137" s="33"/>
      <c r="B137" s="33"/>
    </row>
    <row r="138" spans="1:2">
      <c r="A138" s="33"/>
      <c r="B138" s="33"/>
    </row>
    <row r="139" spans="1:2">
      <c r="A139" s="33"/>
      <c r="B139" s="33"/>
    </row>
    <row r="140" spans="1:2">
      <c r="A140" s="33"/>
      <c r="B140" s="33"/>
    </row>
    <row r="141" spans="1:2">
      <c r="A141" s="33"/>
      <c r="B141" s="33"/>
    </row>
    <row r="142" spans="1:2">
      <c r="A142" s="33"/>
      <c r="B142" s="33"/>
    </row>
    <row r="143" spans="1:2">
      <c r="A143" s="33"/>
      <c r="B143" s="33"/>
    </row>
    <row r="144" spans="1:2">
      <c r="A144" s="33"/>
      <c r="B144" s="33"/>
    </row>
    <row r="145" spans="1:2">
      <c r="A145" s="33"/>
      <c r="B145" s="33"/>
    </row>
    <row r="146" spans="1:2">
      <c r="A146" s="33"/>
      <c r="B146" s="33"/>
    </row>
    <row r="147" spans="1:2">
      <c r="A147" s="33"/>
      <c r="B147" s="33"/>
    </row>
    <row r="148" spans="1:2">
      <c r="A148" s="33"/>
      <c r="B148" s="33"/>
    </row>
    <row r="149" spans="1:2">
      <c r="A149" s="33"/>
      <c r="B149" s="33"/>
    </row>
    <row r="150" spans="1:2">
      <c r="A150" s="33"/>
      <c r="B150" s="33"/>
    </row>
    <row r="151" spans="1:2">
      <c r="A151" s="33"/>
      <c r="B151" s="33"/>
    </row>
    <row r="152" spans="1:2">
      <c r="A152" s="33"/>
      <c r="B152" s="33"/>
    </row>
    <row r="153" spans="1:2">
      <c r="A153" s="33"/>
      <c r="B153" s="33"/>
    </row>
    <row r="154" spans="1:2">
      <c r="A154" s="33"/>
      <c r="B154" s="33"/>
    </row>
    <row r="155" spans="1:2">
      <c r="A155" s="33"/>
      <c r="B155" s="33"/>
    </row>
    <row r="156" spans="1:2">
      <c r="A156" s="33"/>
      <c r="B156" s="33"/>
    </row>
    <row r="157" spans="1:2">
      <c r="A157" s="33"/>
      <c r="B157" s="33"/>
    </row>
    <row r="158" spans="1:2">
      <c r="A158" s="33"/>
      <c r="B158" s="33"/>
    </row>
    <row r="159" spans="1:2">
      <c r="A159" s="33"/>
      <c r="B159" s="33"/>
    </row>
    <row r="160" spans="1:2">
      <c r="A160" s="33"/>
      <c r="B160" s="33"/>
    </row>
    <row r="161" spans="1:2">
      <c r="A161" s="33"/>
      <c r="B161" s="33"/>
    </row>
    <row r="162" spans="1:2">
      <c r="A162" s="33"/>
      <c r="B162" s="33"/>
    </row>
    <row r="163" spans="1:2">
      <c r="A163" s="33"/>
      <c r="B163" s="33"/>
    </row>
    <row r="164" spans="1:2">
      <c r="A164" s="33"/>
      <c r="B164" s="33"/>
    </row>
    <row r="165" spans="1:2">
      <c r="A165" s="33"/>
      <c r="B165" s="33"/>
    </row>
    <row r="166" spans="1:2">
      <c r="A166" s="33"/>
      <c r="B166" s="33"/>
    </row>
    <row r="167" spans="1:2">
      <c r="A167" s="33"/>
      <c r="B167" s="33"/>
    </row>
    <row r="168" spans="1:2">
      <c r="A168" s="33"/>
      <c r="B168" s="33"/>
    </row>
    <row r="169" spans="1:2">
      <c r="A169" s="33"/>
      <c r="B169" s="33"/>
    </row>
    <row r="170" spans="1:2">
      <c r="A170" s="33"/>
      <c r="B170" s="33"/>
    </row>
    <row r="171" spans="1:2">
      <c r="A171" s="33"/>
      <c r="B171" s="33"/>
    </row>
    <row r="172" spans="1:2">
      <c r="A172" s="33"/>
      <c r="B172" s="33"/>
    </row>
    <row r="173" spans="1:2">
      <c r="A173" s="33"/>
      <c r="B173" s="33"/>
    </row>
    <row r="174" spans="1:2">
      <c r="A174" s="33"/>
      <c r="B174" s="33"/>
    </row>
    <row r="175" spans="1:2">
      <c r="A175" s="33"/>
      <c r="B175" s="33"/>
    </row>
    <row r="176" spans="1:2">
      <c r="A176" s="33"/>
      <c r="B176" s="33"/>
    </row>
    <row r="177" spans="1:2">
      <c r="A177" s="33"/>
      <c r="B177" s="33"/>
    </row>
    <row r="178" spans="1:2">
      <c r="A178" s="33"/>
      <c r="B178" s="33"/>
    </row>
    <row r="179" spans="1:2">
      <c r="A179" s="33"/>
      <c r="B179" s="33"/>
    </row>
    <row r="180" spans="1:2">
      <c r="A180" s="33"/>
      <c r="B180" s="33"/>
    </row>
    <row r="181" spans="1:2">
      <c r="A181" s="33"/>
      <c r="B181" s="33"/>
    </row>
    <row r="182" spans="1:2">
      <c r="A182" s="33"/>
      <c r="B182" s="33"/>
    </row>
    <row r="183" spans="1:2">
      <c r="A183" s="33"/>
      <c r="B183" s="33"/>
    </row>
    <row r="184" spans="1:2">
      <c r="A184" s="33"/>
      <c r="B184" s="33"/>
    </row>
    <row r="185" spans="1:2">
      <c r="A185" s="33"/>
      <c r="B185" s="33"/>
    </row>
    <row r="186" spans="1:2">
      <c r="A186" s="33"/>
      <c r="B186" s="33"/>
    </row>
    <row r="187" spans="1:2">
      <c r="A187" s="33"/>
      <c r="B187" s="33"/>
    </row>
    <row r="188" spans="1:2">
      <c r="A188" s="33"/>
      <c r="B188" s="33"/>
    </row>
    <row r="189" spans="1:2">
      <c r="A189" s="33"/>
      <c r="B189" s="33"/>
    </row>
    <row r="190" spans="1:2">
      <c r="A190" s="33"/>
      <c r="B190" s="33"/>
    </row>
    <row r="191" spans="1:2">
      <c r="A191" s="33"/>
      <c r="B191" s="33"/>
    </row>
    <row r="192" spans="1:2">
      <c r="A192" s="33"/>
      <c r="B192" s="33"/>
    </row>
    <row r="193" spans="1:2">
      <c r="A193" s="33"/>
      <c r="B193" s="33"/>
    </row>
    <row r="194" spans="1:2">
      <c r="A194" s="33"/>
      <c r="B194" s="33"/>
    </row>
    <row r="195" spans="1:2">
      <c r="A195" s="33"/>
      <c r="B195" s="33"/>
    </row>
    <row r="196" spans="1:2">
      <c r="A196" s="33"/>
      <c r="B196" s="33"/>
    </row>
    <row r="197" spans="1:2">
      <c r="A197" s="33"/>
      <c r="B197" s="33"/>
    </row>
    <row r="198" spans="1:2">
      <c r="A198" s="33"/>
      <c r="B198" s="33"/>
    </row>
    <row r="199" spans="1:2">
      <c r="A199" s="33"/>
      <c r="B199" s="33"/>
    </row>
    <row r="200" spans="1:2">
      <c r="A200" s="33"/>
      <c r="B200" s="33"/>
    </row>
    <row r="201" spans="1:2">
      <c r="A201" s="33"/>
      <c r="B201" s="33"/>
    </row>
    <row r="202" spans="1:2">
      <c r="A202" s="33"/>
      <c r="B202" s="33"/>
    </row>
    <row r="203" spans="1:2">
      <c r="A203" s="33"/>
      <c r="B203" s="33"/>
    </row>
    <row r="204" spans="1:2">
      <c r="A204" s="33"/>
      <c r="B204" s="33"/>
    </row>
    <row r="205" spans="1:2">
      <c r="A205" s="33"/>
      <c r="B205" s="33"/>
    </row>
    <row r="206" spans="1:2">
      <c r="A206" s="33"/>
      <c r="B206" s="33"/>
    </row>
    <row r="207" spans="1:2">
      <c r="A207" s="33"/>
      <c r="B207" s="33"/>
    </row>
    <row r="208" spans="1:2">
      <c r="A208" s="33"/>
      <c r="B208" s="33"/>
    </row>
    <row r="209" spans="1:2">
      <c r="A209" s="33"/>
      <c r="B209" s="33"/>
    </row>
    <row r="210" spans="1:2">
      <c r="A210" s="33"/>
      <c r="B210" s="33"/>
    </row>
    <row r="211" spans="1:2">
      <c r="A211" s="33"/>
      <c r="B211" s="33"/>
    </row>
    <row r="212" spans="1:2">
      <c r="A212" s="33"/>
      <c r="B212" s="33"/>
    </row>
    <row r="213" spans="1:2">
      <c r="A213" s="33"/>
      <c r="B213" s="33"/>
    </row>
    <row r="214" spans="1:2">
      <c r="A214" s="33"/>
      <c r="B214" s="33"/>
    </row>
    <row r="215" spans="1:2">
      <c r="A215" s="33"/>
      <c r="B215" s="33"/>
    </row>
    <row r="216" spans="1:2">
      <c r="A216" s="33"/>
      <c r="B216" s="33"/>
    </row>
    <row r="217" spans="1:2">
      <c r="A217" s="33"/>
      <c r="B217" s="33"/>
    </row>
    <row r="218" spans="1:2">
      <c r="A218" s="33"/>
      <c r="B218" s="33"/>
    </row>
    <row r="219" spans="1:2">
      <c r="A219" s="33"/>
      <c r="B219" s="33"/>
    </row>
    <row r="220" spans="1:2">
      <c r="A220" s="33"/>
      <c r="B220" s="33"/>
    </row>
    <row r="221" spans="1:2">
      <c r="A221" s="33"/>
      <c r="B221" s="33"/>
    </row>
    <row r="222" spans="1:2">
      <c r="A222" s="33"/>
      <c r="B222" s="33"/>
    </row>
    <row r="223" spans="1:2">
      <c r="A223" s="33"/>
      <c r="B223" s="33"/>
    </row>
    <row r="224" spans="1:2">
      <c r="A224" s="33"/>
      <c r="B224" s="33"/>
    </row>
    <row r="225" spans="1:2">
      <c r="A225" s="33"/>
      <c r="B225" s="33"/>
    </row>
    <row r="226" spans="1:2">
      <c r="A226" s="33"/>
      <c r="B226" s="33"/>
    </row>
    <row r="227" spans="1:2">
      <c r="A227" s="33"/>
      <c r="B227" s="33"/>
    </row>
    <row r="228" spans="1:2">
      <c r="A228" s="33"/>
      <c r="B228" s="33"/>
    </row>
    <row r="229" spans="1:2">
      <c r="A229" s="33"/>
      <c r="B229" s="33"/>
    </row>
    <row r="230" spans="1:2">
      <c r="A230" s="33"/>
      <c r="B230" s="33"/>
    </row>
    <row r="231" spans="1:2">
      <c r="A231" s="33"/>
      <c r="B231" s="33"/>
    </row>
    <row r="232" spans="1:2">
      <c r="A232" s="33"/>
      <c r="B232" s="33"/>
    </row>
    <row r="233" spans="1:2">
      <c r="A233" s="33"/>
      <c r="B233" s="33"/>
    </row>
    <row r="234" spans="1:2">
      <c r="A234" s="33"/>
      <c r="B234" s="33"/>
    </row>
    <row r="235" spans="1:2">
      <c r="A235" s="33"/>
      <c r="B235" s="33"/>
    </row>
    <row r="236" spans="1:2">
      <c r="A236" s="33"/>
      <c r="B236" s="33"/>
    </row>
    <row r="237" spans="1:2">
      <c r="A237" s="33"/>
      <c r="B237" s="33"/>
    </row>
    <row r="238" spans="1:2">
      <c r="A238" s="33"/>
      <c r="B238" s="33"/>
    </row>
    <row r="239" spans="1:2">
      <c r="A239" s="33"/>
      <c r="B239" s="33"/>
    </row>
    <row r="240" spans="1:2">
      <c r="A240" s="33"/>
      <c r="B240" s="33"/>
    </row>
    <row r="241" spans="1:2">
      <c r="A241" s="33"/>
      <c r="B241" s="33"/>
    </row>
    <row r="242" spans="1:2">
      <c r="A242" s="33"/>
      <c r="B242" s="33"/>
    </row>
    <row r="243" spans="1:2">
      <c r="A243" s="33"/>
      <c r="B243" s="33"/>
    </row>
    <row r="244" spans="1:2">
      <c r="A244" s="33"/>
      <c r="B244" s="33"/>
    </row>
    <row r="245" spans="1:2">
      <c r="A245" s="33"/>
      <c r="B245" s="33"/>
    </row>
    <row r="246" spans="1:2">
      <c r="A246" s="33"/>
      <c r="B246" s="33"/>
    </row>
    <row r="247" spans="1:2">
      <c r="A247" s="33"/>
      <c r="B247" s="33"/>
    </row>
    <row r="248" spans="1:2">
      <c r="A248" s="33"/>
      <c r="B248" s="33"/>
    </row>
    <row r="249" spans="1:2">
      <c r="A249" s="33"/>
      <c r="B249" s="33"/>
    </row>
    <row r="250" spans="1:2">
      <c r="A250" s="33"/>
      <c r="B250" s="33"/>
    </row>
    <row r="251" spans="1:2">
      <c r="A251" s="33"/>
      <c r="B251" s="33"/>
    </row>
    <row r="252" spans="1:2">
      <c r="A252" s="33"/>
      <c r="B252" s="33"/>
    </row>
    <row r="253" spans="1:2">
      <c r="A253" s="33"/>
      <c r="B253" s="33"/>
    </row>
    <row r="254" spans="1:2">
      <c r="A254" s="33"/>
      <c r="B254" s="33"/>
    </row>
    <row r="255" spans="1:2">
      <c r="A255" s="33"/>
      <c r="B255" s="33"/>
    </row>
    <row r="256" spans="1:2">
      <c r="A256" s="33"/>
      <c r="B256" s="33"/>
    </row>
    <row r="257" spans="1:2">
      <c r="A257" s="33"/>
      <c r="B257" s="33"/>
    </row>
    <row r="258" spans="1:2">
      <c r="A258" s="33"/>
      <c r="B258" s="33"/>
    </row>
    <row r="259" spans="1:2">
      <c r="A259" s="33"/>
      <c r="B259" s="33"/>
    </row>
    <row r="260" spans="1:2">
      <c r="A260" s="33"/>
      <c r="B260" s="33"/>
    </row>
    <row r="261" spans="1:2">
      <c r="A261" s="33"/>
      <c r="B261" s="33"/>
    </row>
    <row r="262" spans="1:2">
      <c r="A262" s="33"/>
      <c r="B262" s="33"/>
    </row>
    <row r="263" spans="1:2">
      <c r="A263" s="33"/>
      <c r="B263" s="33"/>
    </row>
    <row r="264" spans="1:2">
      <c r="A264" s="33"/>
      <c r="B264" s="33"/>
    </row>
    <row r="265" spans="1:2">
      <c r="A265" s="33"/>
      <c r="B265" s="33"/>
    </row>
    <row r="266" spans="1:2">
      <c r="A266" s="33"/>
      <c r="B266" s="33"/>
    </row>
    <row r="267" spans="1:2">
      <c r="A267" s="33"/>
      <c r="B267" s="33"/>
    </row>
    <row r="268" spans="1:2">
      <c r="A268" s="33"/>
      <c r="B268" s="33"/>
    </row>
    <row r="269" spans="1:2">
      <c r="A269" s="33"/>
      <c r="B269" s="33"/>
    </row>
    <row r="270" spans="1:2">
      <c r="A270" s="33"/>
      <c r="B270" s="33"/>
    </row>
    <row r="271" spans="1:2">
      <c r="A271" s="33"/>
      <c r="B271" s="33"/>
    </row>
    <row r="272" spans="1:2">
      <c r="A272" s="33"/>
      <c r="B272" s="33"/>
    </row>
    <row r="273" spans="1:2">
      <c r="A273" s="33"/>
      <c r="B273" s="33"/>
    </row>
    <row r="274" spans="1:2">
      <c r="A274" s="33"/>
      <c r="B274" s="33"/>
    </row>
    <row r="275" spans="1:2">
      <c r="A275" s="33"/>
      <c r="B275" s="33"/>
    </row>
    <row r="276" spans="1:2">
      <c r="A276" s="33"/>
      <c r="B276" s="33"/>
    </row>
    <row r="277" spans="1:2">
      <c r="A277" s="33"/>
      <c r="B277" s="33"/>
    </row>
    <row r="278" spans="1:2">
      <c r="A278" s="33"/>
      <c r="B278" s="33"/>
    </row>
    <row r="279" spans="1:2">
      <c r="A279" s="33"/>
      <c r="B279" s="33"/>
    </row>
    <row r="280" spans="1:2">
      <c r="A280" s="33"/>
      <c r="B280" s="33"/>
    </row>
    <row r="281" spans="1:2">
      <c r="A281" s="33"/>
      <c r="B281" s="33"/>
    </row>
  </sheetData>
  <mergeCells count="2">
    <mergeCell ref="I1:N1"/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1"/>
  <sheetViews>
    <sheetView zoomScale="70" zoomScaleNormal="70" workbookViewId="0"/>
  </sheetViews>
  <sheetFormatPr defaultRowHeight="14.5"/>
  <cols>
    <col min="1" max="1" width="2.7265625" bestFit="1" customWidth="1"/>
    <col min="2" max="2" width="67.453125" customWidth="1"/>
    <col min="3" max="8" width="11.7265625" customWidth="1"/>
    <col min="16" max="16" width="42.81640625" bestFit="1" customWidth="1"/>
    <col min="17" max="17" width="15.7265625" bestFit="1" customWidth="1"/>
  </cols>
  <sheetData>
    <row r="1" spans="1:17" ht="15" thickBot="1">
      <c r="A1" s="184"/>
      <c r="B1" s="182"/>
      <c r="C1" s="183">
        <f>'Finanční Plán'!C2</f>
        <v>2016</v>
      </c>
      <c r="D1" s="183">
        <f>'Finanční Plán'!D2</f>
        <v>2017</v>
      </c>
      <c r="E1" s="183">
        <f>'Finanční Plán'!E2</f>
        <v>2018</v>
      </c>
      <c r="F1" s="183">
        <f>'Finanční Plán'!F2</f>
        <v>2019</v>
      </c>
      <c r="G1" s="183">
        <f>'Finanční Plán'!G2</f>
        <v>2020</v>
      </c>
      <c r="H1" s="101" t="s">
        <v>278</v>
      </c>
      <c r="J1" s="217" t="s">
        <v>307</v>
      </c>
      <c r="K1" s="218"/>
      <c r="L1" s="218"/>
      <c r="M1" s="218"/>
      <c r="N1" s="219"/>
    </row>
    <row r="2" spans="1:17">
      <c r="A2" s="99" t="s">
        <v>256</v>
      </c>
      <c r="B2" s="100" t="s">
        <v>264</v>
      </c>
      <c r="C2" s="97">
        <f>'Finanční Plán'!C26-'Finanční Plán'!C18+'Finanční Plán'!C21+'Finanční Plán'!C27-'Finanční Plán'!C28</f>
        <v>239567.74172577311</v>
      </c>
      <c r="D2" s="94">
        <f>'Finanční Plán'!D26-'Finanční Plán'!D18+'Finanční Plán'!D21+'Finanční Plán'!D27-'Finanční Plán'!D28</f>
        <v>271127.65215012355</v>
      </c>
      <c r="E2" s="97">
        <f>'Finanční Plán'!E26-'Finanční Plán'!E18+'Finanční Plán'!E21+'Finanční Plán'!E27-'Finanční Plán'!E28</f>
        <v>306790.35092963954</v>
      </c>
      <c r="F2" s="94">
        <f>'Finanční Plán'!F26-'Finanční Plán'!F18+'Finanční Plán'!F21+'Finanční Plán'!F27-'Finanční Plán'!F28</f>
        <v>347089.20055049268</v>
      </c>
      <c r="G2" s="98">
        <f>'Finanční Plán'!G26-'Finanční Plán'!G18+'Finanční Plán'!G21+'Finanční Plán'!G27-'Finanční Plán'!G28</f>
        <v>392626.90062205668</v>
      </c>
      <c r="H2" s="94"/>
      <c r="J2" s="185"/>
      <c r="K2" s="186" t="s">
        <v>273</v>
      </c>
      <c r="L2" s="186" t="s">
        <v>274</v>
      </c>
      <c r="M2" s="186" t="s">
        <v>275</v>
      </c>
      <c r="N2" s="187" t="s">
        <v>276</v>
      </c>
    </row>
    <row r="3" spans="1:17" ht="15" thickBot="1">
      <c r="A3" s="91" t="s">
        <v>257</v>
      </c>
      <c r="B3" s="87" t="s">
        <v>265</v>
      </c>
      <c r="C3" s="90">
        <f>C2*0.19</f>
        <v>45517.870927896889</v>
      </c>
      <c r="D3" s="88">
        <f t="shared" ref="D3:G3" si="0">D2*0.19</f>
        <v>51514.253908523475</v>
      </c>
      <c r="E3" s="90">
        <f t="shared" si="0"/>
        <v>58290.16667663151</v>
      </c>
      <c r="F3" s="88">
        <f t="shared" si="0"/>
        <v>65946.948104593612</v>
      </c>
      <c r="G3" s="92">
        <f t="shared" si="0"/>
        <v>74599.111118190776</v>
      </c>
      <c r="J3" s="111" t="s">
        <v>277</v>
      </c>
      <c r="K3" s="112">
        <v>3.9E-2</v>
      </c>
      <c r="L3" s="112">
        <v>4.3999999999999997E-2</v>
      </c>
      <c r="M3" s="112">
        <v>4.2999999999999997E-2</v>
      </c>
      <c r="N3" s="113">
        <v>3.9E-2</v>
      </c>
      <c r="P3" t="s">
        <v>279</v>
      </c>
      <c r="Q3" s="7">
        <f>AVERAGE(K3:N3)</f>
        <v>4.1250000000000002E-2</v>
      </c>
    </row>
    <row r="4" spans="1:17">
      <c r="A4" s="93" t="s">
        <v>258</v>
      </c>
      <c r="B4" s="104" t="s">
        <v>266</v>
      </c>
      <c r="C4" s="89">
        <f>C2-C3</f>
        <v>194049.87079787621</v>
      </c>
      <c r="D4" s="89">
        <f>D2-D3</f>
        <v>219613.39824160008</v>
      </c>
      <c r="E4" s="89">
        <f>E2-E3</f>
        <v>248500.18425300802</v>
      </c>
      <c r="F4" s="89">
        <f>F2-F3</f>
        <v>281142.25244589907</v>
      </c>
      <c r="G4" s="95">
        <f>G2-G3</f>
        <v>318027.78950386588</v>
      </c>
      <c r="P4" t="s">
        <v>280</v>
      </c>
      <c r="Q4" s="7">
        <v>6.5000000000000002E-2</v>
      </c>
    </row>
    <row r="5" spans="1:17">
      <c r="A5" s="102" t="s">
        <v>259</v>
      </c>
      <c r="B5" s="106" t="s">
        <v>267</v>
      </c>
      <c r="C5" s="90">
        <f>'Finanční Plán'!C17</f>
        <v>33083.592681999988</v>
      </c>
      <c r="D5" s="90">
        <f>'Finanční Plán'!D17</f>
        <v>34786.482783114989</v>
      </c>
      <c r="E5" s="90">
        <f>'Finanční Plán'!E17</f>
        <v>36386.11513919408</v>
      </c>
      <c r="F5" s="90">
        <f>'Finanční Plán'!F17</f>
        <v>37842.236348819097</v>
      </c>
      <c r="G5" s="103">
        <f>'Finanční Plán'!G17</f>
        <v>39096.436182094236</v>
      </c>
    </row>
    <row r="6" spans="1:17">
      <c r="A6" s="93" t="s">
        <v>260</v>
      </c>
      <c r="B6" s="105" t="s">
        <v>268</v>
      </c>
      <c r="C6" s="97">
        <f>C4+C5</f>
        <v>227133.4634798762</v>
      </c>
      <c r="D6" s="97">
        <f t="shared" ref="D6:G6" si="1">D4+D5</f>
        <v>254399.88102471508</v>
      </c>
      <c r="E6" s="97">
        <f t="shared" si="1"/>
        <v>284886.29939220211</v>
      </c>
      <c r="F6" s="97">
        <f t="shared" si="1"/>
        <v>318984.48879471817</v>
      </c>
      <c r="G6" s="95">
        <f t="shared" si="1"/>
        <v>357124.22568596009</v>
      </c>
      <c r="P6" t="s">
        <v>281</v>
      </c>
      <c r="Q6" s="2">
        <f>H9/(Q4-Q3)</f>
        <v>4803903.968296851</v>
      </c>
    </row>
    <row r="7" spans="1:17">
      <c r="A7" s="93" t="s">
        <v>261</v>
      </c>
      <c r="B7" s="105" t="s">
        <v>269</v>
      </c>
      <c r="C7" s="97">
        <f>'Generátory hodnoty'!X22-'Generátory hodnoty'!Q8</f>
        <v>127216.62350955454</v>
      </c>
      <c r="D7" s="97">
        <f>'Generátory hodnoty'!Y22-'Generátory hodnoty'!X22</f>
        <v>131336.96562630229</v>
      </c>
      <c r="E7" s="97">
        <f>'Generátory hodnoty'!Z22-'Generátory hodnoty'!Y22</f>
        <v>151952.69748395309</v>
      </c>
      <c r="F7" s="97">
        <f>'Generátory hodnoty'!AA22-'Generátory hodnoty'!Z22</f>
        <v>176261.73132470786</v>
      </c>
      <c r="G7" s="95">
        <f>'Generátory hodnoty'!AB22-'Generátory hodnoty'!AA22</f>
        <v>204871.52179578063</v>
      </c>
      <c r="P7" t="s">
        <v>284</v>
      </c>
      <c r="Q7" s="2">
        <f>Q6/(1+Q4)^5</f>
        <v>3506277.4469468403</v>
      </c>
    </row>
    <row r="8" spans="1:17">
      <c r="A8" s="102" t="s">
        <v>262</v>
      </c>
      <c r="B8" s="106" t="s">
        <v>270</v>
      </c>
      <c r="C8" s="90">
        <f>('Finanční Plán'!J4-BS!C5)+C5</f>
        <v>33699.143201999963</v>
      </c>
      <c r="D8" s="90">
        <f>('Finanční Plán'!K4-'Finanční Plán'!J4)+D5</f>
        <v>39651.883072014985</v>
      </c>
      <c r="E8" s="90">
        <f>('Finanční Plán'!L4-'Finanční Plán'!K4)+E5</f>
        <v>40956.493299420064</v>
      </c>
      <c r="F8" s="90">
        <f>('Finanční Plán'!M4-'Finanční Plán'!L4)+F5</f>
        <v>42002.582662033434</v>
      </c>
      <c r="G8" s="90">
        <f>('Finanční Plán'!N4-'Finanční Plán'!M4)+G5</f>
        <v>42679.86427716606</v>
      </c>
      <c r="H8" s="88"/>
      <c r="P8" t="s">
        <v>282</v>
      </c>
      <c r="Q8" s="2">
        <f>(C9/(1+$Q$4)^1)+(D9/(1+$Q$4)^2)+(E9/(1+$Q$4)^3)+(F9/(1+$Q$4)^4)+(G9/(1+$Q$4)^5)</f>
        <v>370126.75129543594</v>
      </c>
    </row>
    <row r="9" spans="1:17" ht="15" thickBot="1">
      <c r="A9" s="96" t="s">
        <v>263</v>
      </c>
      <c r="B9" s="107" t="s">
        <v>271</v>
      </c>
      <c r="C9" s="108">
        <f>C6-C7-C8</f>
        <v>66217.696768321694</v>
      </c>
      <c r="D9" s="108">
        <f t="shared" ref="D9:G9" si="2">D6-D7-D8</f>
        <v>83411.032326397806</v>
      </c>
      <c r="E9" s="108">
        <f t="shared" si="2"/>
        <v>91977.108608828959</v>
      </c>
      <c r="F9" s="108">
        <f t="shared" si="2"/>
        <v>100720.17480797687</v>
      </c>
      <c r="G9" s="109">
        <f t="shared" si="2"/>
        <v>109572.83961301341</v>
      </c>
      <c r="H9" s="108">
        <f>G9*(1+Q3)</f>
        <v>114092.71924705021</v>
      </c>
      <c r="P9" t="s">
        <v>283</v>
      </c>
      <c r="Q9" s="114">
        <f>Q7+Q8</f>
        <v>3876404.198242276</v>
      </c>
    </row>
    <row r="11" spans="1:17">
      <c r="Q11">
        <f>Q9/BS!C32</f>
        <v>3.910140893874626</v>
      </c>
    </row>
  </sheetData>
  <mergeCells count="1">
    <mergeCell ref="J1:N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BS</vt:lpstr>
      <vt:lpstr>P&amp;L</vt:lpstr>
      <vt:lpstr>základní a poměrové ukazatele</vt:lpstr>
      <vt:lpstr>zlatá bilanční pravidla</vt:lpstr>
      <vt:lpstr>CF</vt:lpstr>
      <vt:lpstr>Du Pontův pyramidový rozklad</vt:lpstr>
      <vt:lpstr>Generátory hodnoty</vt:lpstr>
      <vt:lpstr>Finanční Plán</vt:lpstr>
      <vt:lpstr>FCF</vt:lpstr>
      <vt:lpstr>ukazatele finančního plánu</vt:lpstr>
      <vt:lpstr>ocenění substanční hodnotou</vt:lpstr>
      <vt:lpstr>analýza atraktivity odvětví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Nováková</dc:creator>
  <cp:lastModifiedBy>novakova</cp:lastModifiedBy>
  <dcterms:created xsi:type="dcterms:W3CDTF">2015-10-08T04:41:40Z</dcterms:created>
  <dcterms:modified xsi:type="dcterms:W3CDTF">2016-12-06T21:31:29Z</dcterms:modified>
</cp:coreProperties>
</file>