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jakubpesek/Desktop/Thesis/"/>
    </mc:Choice>
  </mc:AlternateContent>
  <bookViews>
    <workbookView xWindow="0" yWindow="460" windowWidth="28800" windowHeight="16060" tabRatio="500"/>
  </bookViews>
  <sheets>
    <sheet name="UK" sheetId="1" r:id="rId1"/>
    <sheet name="SWE" sheetId="3" r:id="rId2"/>
    <sheet name="CZE" sheetId="6" r:id="rId3"/>
    <sheet name="Comparison" sheetId="7" r:id="rId4"/>
    <sheet name="SWE-Average Salary" sheetId="10" r:id="rId5"/>
    <sheet name="Length of the Leave" sheetId="8" r:id="rId6"/>
  </sheets>
  <definedNames>
    <definedName name="_ftn1" localSheetId="5">'Length of the Leave'!$A$7</definedName>
    <definedName name="_ftnref1" localSheetId="5">'Length of the Leave'!#REF!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0" l="1"/>
  <c r="C15" i="10"/>
  <c r="R8" i="10"/>
  <c r="C16" i="10"/>
  <c r="E29" i="1"/>
  <c r="L29" i="1"/>
  <c r="M29" i="1"/>
  <c r="O29" i="1"/>
  <c r="N30" i="1"/>
  <c r="O30" i="1"/>
  <c r="C50" i="1"/>
  <c r="D50" i="1"/>
  <c r="G50" i="1"/>
  <c r="H29" i="1"/>
  <c r="H30" i="1"/>
  <c r="J50" i="1"/>
  <c r="N16" i="1"/>
  <c r="M15" i="1"/>
  <c r="E15" i="1"/>
  <c r="L15" i="1"/>
  <c r="O15" i="1"/>
  <c r="O16" i="1"/>
  <c r="C41" i="1"/>
  <c r="D41" i="1"/>
  <c r="G41" i="1"/>
  <c r="H41" i="1"/>
  <c r="E41" i="1"/>
  <c r="F42" i="3"/>
  <c r="E42" i="3"/>
  <c r="F41" i="3"/>
  <c r="E41" i="3"/>
  <c r="F40" i="3"/>
  <c r="E40" i="3"/>
  <c r="F39" i="3"/>
  <c r="E39" i="3"/>
  <c r="F38" i="3"/>
  <c r="E38" i="3"/>
  <c r="E5" i="3"/>
  <c r="B5" i="3"/>
  <c r="D21" i="3"/>
  <c r="L21" i="3"/>
  <c r="T21" i="3"/>
  <c r="U21" i="3"/>
  <c r="W21" i="3"/>
  <c r="D22" i="3"/>
  <c r="L22" i="3"/>
  <c r="T22" i="3"/>
  <c r="W22" i="3"/>
  <c r="C42" i="3"/>
  <c r="G42" i="3"/>
  <c r="I42" i="3"/>
  <c r="D19" i="3"/>
  <c r="L19" i="3"/>
  <c r="T19" i="3"/>
  <c r="U19" i="3"/>
  <c r="W19" i="3"/>
  <c r="D20" i="3"/>
  <c r="L20" i="3"/>
  <c r="T20" i="3"/>
  <c r="W20" i="3"/>
  <c r="C41" i="3"/>
  <c r="G41" i="3"/>
  <c r="I41" i="3"/>
  <c r="D18" i="3"/>
  <c r="L18" i="3"/>
  <c r="T18" i="3"/>
  <c r="W18" i="3"/>
  <c r="D17" i="3"/>
  <c r="L17" i="3"/>
  <c r="T17" i="3"/>
  <c r="U17" i="3"/>
  <c r="W17" i="3"/>
  <c r="C40" i="3"/>
  <c r="G40" i="3"/>
  <c r="I40" i="3"/>
  <c r="D15" i="3"/>
  <c r="L15" i="3"/>
  <c r="T15" i="3"/>
  <c r="U15" i="3"/>
  <c r="W15" i="3"/>
  <c r="D16" i="3"/>
  <c r="L16" i="3"/>
  <c r="T16" i="3"/>
  <c r="W16" i="3"/>
  <c r="C39" i="3"/>
  <c r="G39" i="3"/>
  <c r="I39" i="3"/>
  <c r="U14" i="3"/>
  <c r="T14" i="3"/>
  <c r="W14" i="3"/>
  <c r="C38" i="3"/>
  <c r="G38" i="3"/>
  <c r="I38" i="3"/>
  <c r="D27" i="3"/>
  <c r="L27" i="3"/>
  <c r="T27" i="3"/>
  <c r="U27" i="3"/>
  <c r="W27" i="3"/>
  <c r="D28" i="3"/>
  <c r="L28" i="3"/>
  <c r="T28" i="3"/>
  <c r="U28" i="3"/>
  <c r="W28" i="3"/>
  <c r="C47" i="3"/>
  <c r="G47" i="3"/>
  <c r="I47" i="3"/>
  <c r="D30" i="3"/>
  <c r="L30" i="3"/>
  <c r="T30" i="3"/>
  <c r="U30" i="3"/>
  <c r="W30" i="3"/>
  <c r="D29" i="3"/>
  <c r="L29" i="3"/>
  <c r="T29" i="3"/>
  <c r="U29" i="3"/>
  <c r="W29" i="3"/>
  <c r="C48" i="3"/>
  <c r="G48" i="3"/>
  <c r="I48" i="3"/>
  <c r="D31" i="3"/>
  <c r="L31" i="3"/>
  <c r="T31" i="3"/>
  <c r="U31" i="3"/>
  <c r="W31" i="3"/>
  <c r="D32" i="3"/>
  <c r="L32" i="3"/>
  <c r="T32" i="3"/>
  <c r="U32" i="3"/>
  <c r="W32" i="3"/>
  <c r="C49" i="3"/>
  <c r="G49" i="3"/>
  <c r="I49" i="3"/>
  <c r="D33" i="3"/>
  <c r="L33" i="3"/>
  <c r="T33" i="3"/>
  <c r="U33" i="3"/>
  <c r="W33" i="3"/>
  <c r="D34" i="3"/>
  <c r="L34" i="3"/>
  <c r="T34" i="3"/>
  <c r="U34" i="3"/>
  <c r="W34" i="3"/>
  <c r="C50" i="3"/>
  <c r="G50" i="3"/>
  <c r="I50" i="3"/>
  <c r="U26" i="3"/>
  <c r="T26" i="3"/>
  <c r="W26" i="3"/>
  <c r="C46" i="3"/>
  <c r="G46" i="3"/>
  <c r="I46" i="3"/>
  <c r="F50" i="3"/>
  <c r="E50" i="3"/>
  <c r="F49" i="3"/>
  <c r="E49" i="3"/>
  <c r="F48" i="3"/>
  <c r="E48" i="3"/>
  <c r="F47" i="3"/>
  <c r="E47" i="3"/>
  <c r="F46" i="3"/>
  <c r="E46" i="3"/>
  <c r="D52" i="1"/>
  <c r="F52" i="1"/>
  <c r="E52" i="1"/>
  <c r="D51" i="1"/>
  <c r="F51" i="1"/>
  <c r="E51" i="1"/>
  <c r="F50" i="1"/>
  <c r="E50" i="1"/>
  <c r="D49" i="1"/>
  <c r="F49" i="1"/>
  <c r="E49" i="1"/>
  <c r="F48" i="1"/>
  <c r="E48" i="1"/>
  <c r="M33" i="1"/>
  <c r="E33" i="1"/>
  <c r="L33" i="1"/>
  <c r="O33" i="1"/>
  <c r="N34" i="1"/>
  <c r="O34" i="1"/>
  <c r="C52" i="1"/>
  <c r="G52" i="1"/>
  <c r="I52" i="1"/>
  <c r="M31" i="1"/>
  <c r="E31" i="1"/>
  <c r="L31" i="1"/>
  <c r="O31" i="1"/>
  <c r="N32" i="1"/>
  <c r="O32" i="1"/>
  <c r="C51" i="1"/>
  <c r="G51" i="1"/>
  <c r="I51" i="1"/>
  <c r="I50" i="1"/>
  <c r="M27" i="1"/>
  <c r="E27" i="1"/>
  <c r="L27" i="1"/>
  <c r="O27" i="1"/>
  <c r="N28" i="1"/>
  <c r="O28" i="1"/>
  <c r="C49" i="1"/>
  <c r="G49" i="1"/>
  <c r="I49" i="1"/>
  <c r="I48" i="1"/>
  <c r="I41" i="1"/>
  <c r="M17" i="1"/>
  <c r="E17" i="1"/>
  <c r="L17" i="1"/>
  <c r="O17" i="1"/>
  <c r="N18" i="1"/>
  <c r="O18" i="1"/>
  <c r="C42" i="1"/>
  <c r="D42" i="1"/>
  <c r="G42" i="1"/>
  <c r="I42" i="1"/>
  <c r="M19" i="1"/>
  <c r="E19" i="1"/>
  <c r="L19" i="1"/>
  <c r="O19" i="1"/>
  <c r="N20" i="1"/>
  <c r="O20" i="1"/>
  <c r="C43" i="1"/>
  <c r="D43" i="1"/>
  <c r="G43" i="1"/>
  <c r="I43" i="1"/>
  <c r="M21" i="1"/>
  <c r="E21" i="1"/>
  <c r="L21" i="1"/>
  <c r="O21" i="1"/>
  <c r="N22" i="1"/>
  <c r="O22" i="1"/>
  <c r="C44" i="1"/>
  <c r="D44" i="1"/>
  <c r="G44" i="1"/>
  <c r="I44" i="1"/>
  <c r="I40" i="1"/>
  <c r="R22" i="6"/>
  <c r="V22" i="6"/>
  <c r="Y22" i="6"/>
  <c r="F22" i="6"/>
  <c r="G22" i="6"/>
  <c r="D22" i="6"/>
  <c r="M22" i="6"/>
  <c r="N22" i="6"/>
  <c r="Q22" i="6"/>
  <c r="Z22" i="6"/>
  <c r="C43" i="6"/>
  <c r="AA22" i="6"/>
  <c r="D43" i="6"/>
  <c r="G43" i="6"/>
  <c r="I43" i="6"/>
  <c r="R20" i="6"/>
  <c r="V20" i="6"/>
  <c r="Y20" i="6"/>
  <c r="F20" i="6"/>
  <c r="G20" i="6"/>
  <c r="D20" i="6"/>
  <c r="M20" i="6"/>
  <c r="N20" i="6"/>
  <c r="Q20" i="6"/>
  <c r="Z20" i="6"/>
  <c r="C42" i="6"/>
  <c r="AA20" i="6"/>
  <c r="D42" i="6"/>
  <c r="G42" i="6"/>
  <c r="I42" i="6"/>
  <c r="R18" i="6"/>
  <c r="V18" i="6"/>
  <c r="Y18" i="6"/>
  <c r="F18" i="6"/>
  <c r="G18" i="6"/>
  <c r="D18" i="6"/>
  <c r="M18" i="6"/>
  <c r="N18" i="6"/>
  <c r="Q18" i="6"/>
  <c r="Z18" i="6"/>
  <c r="C41" i="6"/>
  <c r="AA18" i="6"/>
  <c r="D41" i="6"/>
  <c r="G41" i="6"/>
  <c r="I41" i="6"/>
  <c r="F16" i="6"/>
  <c r="G16" i="6"/>
  <c r="D16" i="6"/>
  <c r="V16" i="6"/>
  <c r="L16" i="6"/>
  <c r="R16" i="6"/>
  <c r="Y16" i="6"/>
  <c r="M16" i="6"/>
  <c r="N16" i="6"/>
  <c r="Q16" i="6"/>
  <c r="Z16" i="6"/>
  <c r="C40" i="6"/>
  <c r="AA16" i="6"/>
  <c r="D40" i="6"/>
  <c r="G40" i="6"/>
  <c r="I40" i="6"/>
  <c r="Y15" i="6"/>
  <c r="N15" i="6"/>
  <c r="Q15" i="6"/>
  <c r="Z15" i="6"/>
  <c r="C39" i="6"/>
  <c r="AA15" i="6"/>
  <c r="D39" i="6"/>
  <c r="G39" i="6"/>
  <c r="I39" i="6"/>
  <c r="R34" i="6"/>
  <c r="V34" i="6"/>
  <c r="Y34" i="6"/>
  <c r="F34" i="6"/>
  <c r="G34" i="6"/>
  <c r="D34" i="6"/>
  <c r="M34" i="6"/>
  <c r="N34" i="6"/>
  <c r="Q34" i="6"/>
  <c r="Z34" i="6"/>
  <c r="R35" i="6"/>
  <c r="V35" i="6"/>
  <c r="Y35" i="6"/>
  <c r="Z35" i="6"/>
  <c r="C51" i="6"/>
  <c r="AA34" i="6"/>
  <c r="AA35" i="6"/>
  <c r="D51" i="6"/>
  <c r="G51" i="6"/>
  <c r="I51" i="6"/>
  <c r="R32" i="6"/>
  <c r="V32" i="6"/>
  <c r="Y32" i="6"/>
  <c r="F32" i="6"/>
  <c r="G32" i="6"/>
  <c r="D32" i="6"/>
  <c r="M32" i="6"/>
  <c r="N32" i="6"/>
  <c r="Q32" i="6"/>
  <c r="Z32" i="6"/>
  <c r="R33" i="6"/>
  <c r="V33" i="6"/>
  <c r="Y33" i="6"/>
  <c r="Z33" i="6"/>
  <c r="C50" i="6"/>
  <c r="AA32" i="6"/>
  <c r="AA33" i="6"/>
  <c r="D50" i="6"/>
  <c r="G50" i="6"/>
  <c r="I50" i="6"/>
  <c r="R31" i="6"/>
  <c r="V31" i="6"/>
  <c r="Y31" i="6"/>
  <c r="Z31" i="6"/>
  <c r="R30" i="6"/>
  <c r="V30" i="6"/>
  <c r="Y30" i="6"/>
  <c r="F30" i="6"/>
  <c r="G30" i="6"/>
  <c r="D30" i="6"/>
  <c r="M30" i="6"/>
  <c r="N30" i="6"/>
  <c r="Q30" i="6"/>
  <c r="Z30" i="6"/>
  <c r="C49" i="6"/>
  <c r="AA31" i="6"/>
  <c r="AA30" i="6"/>
  <c r="D49" i="6"/>
  <c r="G49" i="6"/>
  <c r="I49" i="6"/>
  <c r="F28" i="6"/>
  <c r="G28" i="6"/>
  <c r="D28" i="6"/>
  <c r="V28" i="6"/>
  <c r="Y28" i="6"/>
  <c r="M28" i="6"/>
  <c r="N28" i="6"/>
  <c r="Q28" i="6"/>
  <c r="Z28" i="6"/>
  <c r="F29" i="6"/>
  <c r="G29" i="6"/>
  <c r="D29" i="6"/>
  <c r="V29" i="6"/>
  <c r="Y29" i="6"/>
  <c r="Z29" i="6"/>
  <c r="C48" i="6"/>
  <c r="AA28" i="6"/>
  <c r="AA29" i="6"/>
  <c r="D48" i="6"/>
  <c r="G48" i="6"/>
  <c r="I48" i="6"/>
  <c r="Y27" i="6"/>
  <c r="N27" i="6"/>
  <c r="Q27" i="6"/>
  <c r="Z27" i="6"/>
  <c r="C47" i="6"/>
  <c r="AA27" i="6"/>
  <c r="D47" i="6"/>
  <c r="G47" i="6"/>
  <c r="I47" i="6"/>
  <c r="H47" i="6"/>
  <c r="F41" i="1"/>
  <c r="F42" i="1"/>
  <c r="F43" i="1"/>
  <c r="F44" i="1"/>
  <c r="F40" i="1"/>
  <c r="E42" i="1"/>
  <c r="E43" i="1"/>
  <c r="E44" i="1"/>
  <c r="E40" i="1"/>
  <c r="B5" i="1"/>
  <c r="F48" i="6"/>
  <c r="F49" i="6"/>
  <c r="F50" i="6"/>
  <c r="F51" i="6"/>
  <c r="F47" i="6"/>
  <c r="E48" i="6"/>
  <c r="E49" i="6"/>
  <c r="E50" i="6"/>
  <c r="E51" i="6"/>
  <c r="E47" i="6"/>
  <c r="F43" i="6"/>
  <c r="F42" i="6"/>
  <c r="F41" i="6"/>
  <c r="F40" i="6"/>
  <c r="F39" i="6"/>
  <c r="E43" i="6"/>
  <c r="E42" i="6"/>
  <c r="E41" i="6"/>
  <c r="E40" i="6"/>
  <c r="E39" i="6"/>
  <c r="K31" i="6"/>
  <c r="H31" i="6"/>
  <c r="K30" i="6"/>
  <c r="H30" i="6"/>
  <c r="J49" i="6"/>
  <c r="K18" i="6"/>
  <c r="H18" i="6"/>
  <c r="J41" i="6"/>
  <c r="AB22" i="6"/>
  <c r="AB20" i="6"/>
  <c r="AB18" i="6"/>
  <c r="AB16" i="6"/>
  <c r="AB15" i="6"/>
  <c r="AB35" i="6"/>
  <c r="AB34" i="6"/>
  <c r="AB33" i="6"/>
  <c r="AB32" i="6"/>
  <c r="AB31" i="6"/>
  <c r="AB30" i="6"/>
  <c r="AB29" i="6"/>
  <c r="AB28" i="6"/>
  <c r="AB27" i="6"/>
  <c r="H38" i="3"/>
  <c r="E6" i="3"/>
  <c r="B6" i="3"/>
  <c r="C6" i="3"/>
  <c r="K38" i="3"/>
  <c r="Y26" i="3"/>
  <c r="AB26" i="3"/>
  <c r="H33" i="1"/>
  <c r="H34" i="1"/>
  <c r="J52" i="1"/>
  <c r="H27" i="1"/>
  <c r="H28" i="1"/>
  <c r="J49" i="1"/>
  <c r="H31" i="1"/>
  <c r="H32" i="1"/>
  <c r="J51" i="1"/>
  <c r="H19" i="1"/>
  <c r="H20" i="1"/>
  <c r="J43" i="1"/>
  <c r="C5" i="1"/>
  <c r="V14" i="1"/>
  <c r="R27" i="1"/>
  <c r="V27" i="1"/>
  <c r="I27" i="1"/>
  <c r="U27" i="1"/>
  <c r="R34" i="1"/>
  <c r="R33" i="1"/>
  <c r="R32" i="1"/>
  <c r="R31" i="1"/>
  <c r="R30" i="1"/>
  <c r="R29" i="1"/>
  <c r="R28" i="1"/>
  <c r="R22" i="1"/>
  <c r="R21" i="1"/>
  <c r="R20" i="1"/>
  <c r="R19" i="1"/>
  <c r="R18" i="1"/>
  <c r="R17" i="1"/>
  <c r="R16" i="1"/>
  <c r="R15" i="1"/>
  <c r="J15" i="1"/>
  <c r="J16" i="1"/>
  <c r="J19" i="1"/>
  <c r="J20" i="1"/>
  <c r="J21" i="1"/>
  <c r="I33" i="1"/>
  <c r="J33" i="1"/>
  <c r="J27" i="1"/>
  <c r="J28" i="1"/>
  <c r="J29" i="1"/>
  <c r="J30" i="1"/>
  <c r="J32" i="1"/>
  <c r="J34" i="1"/>
  <c r="J31" i="1"/>
  <c r="B4" i="1"/>
  <c r="E4" i="1"/>
  <c r="D4" i="1"/>
  <c r="G15" i="1"/>
  <c r="F15" i="1"/>
  <c r="L28" i="6"/>
  <c r="R28" i="6"/>
  <c r="L29" i="6"/>
  <c r="R29" i="6"/>
  <c r="X28" i="6"/>
  <c r="T28" i="6"/>
  <c r="G27" i="6"/>
  <c r="D27" i="6"/>
  <c r="L27" i="6"/>
  <c r="L30" i="6"/>
  <c r="F31" i="6"/>
  <c r="G31" i="6"/>
  <c r="D31" i="6"/>
  <c r="L31" i="6"/>
  <c r="L32" i="6"/>
  <c r="F33" i="6"/>
  <c r="G33" i="6"/>
  <c r="D33" i="6"/>
  <c r="L33" i="6"/>
  <c r="L34" i="6"/>
  <c r="F35" i="6"/>
  <c r="G35" i="6"/>
  <c r="D35" i="6"/>
  <c r="L35" i="6"/>
  <c r="G15" i="6"/>
  <c r="D15" i="6"/>
  <c r="L15" i="6"/>
  <c r="F17" i="6"/>
  <c r="G17" i="6"/>
  <c r="D17" i="6"/>
  <c r="L17" i="6"/>
  <c r="L18" i="6"/>
  <c r="F19" i="6"/>
  <c r="G19" i="6"/>
  <c r="D19" i="6"/>
  <c r="L19" i="6"/>
  <c r="L20" i="6"/>
  <c r="F21" i="6"/>
  <c r="G21" i="6"/>
  <c r="D21" i="6"/>
  <c r="L21" i="6"/>
  <c r="L22" i="6"/>
  <c r="F23" i="6"/>
  <c r="G23" i="6"/>
  <c r="D23" i="6"/>
  <c r="L23" i="6"/>
  <c r="E6" i="6"/>
  <c r="B6" i="6"/>
  <c r="K39" i="6"/>
  <c r="K40" i="6"/>
  <c r="K35" i="6"/>
  <c r="H35" i="6"/>
  <c r="K34" i="6"/>
  <c r="H34" i="6"/>
  <c r="J51" i="6"/>
  <c r="K33" i="6"/>
  <c r="H33" i="6"/>
  <c r="K32" i="6"/>
  <c r="H32" i="6"/>
  <c r="J50" i="6"/>
  <c r="K28" i="6"/>
  <c r="H28" i="6"/>
  <c r="K29" i="6"/>
  <c r="H29" i="6"/>
  <c r="J48" i="6"/>
  <c r="K22" i="6"/>
  <c r="H22" i="6"/>
  <c r="J43" i="6"/>
  <c r="K20" i="6"/>
  <c r="H20" i="6"/>
  <c r="J42" i="6"/>
  <c r="K16" i="6"/>
  <c r="H16" i="6"/>
  <c r="J40" i="6"/>
  <c r="K43" i="6"/>
  <c r="K42" i="6"/>
  <c r="K41" i="6"/>
  <c r="K51" i="6"/>
  <c r="K50" i="6"/>
  <c r="K49" i="6"/>
  <c r="K48" i="6"/>
  <c r="AC27" i="6"/>
  <c r="AF27" i="6"/>
  <c r="AE27" i="6"/>
  <c r="AH27" i="6"/>
  <c r="AC32" i="6"/>
  <c r="AF32" i="6"/>
  <c r="AE32" i="6"/>
  <c r="AG32" i="6"/>
  <c r="AC28" i="6"/>
  <c r="AC29" i="6"/>
  <c r="AF29" i="6"/>
  <c r="AE29" i="6"/>
  <c r="AG29" i="6"/>
  <c r="AF28" i="6"/>
  <c r="AE28" i="6"/>
  <c r="AG28" i="6"/>
  <c r="S22" i="6"/>
  <c r="S20" i="6"/>
  <c r="S18" i="6"/>
  <c r="K23" i="6"/>
  <c r="H23" i="6"/>
  <c r="I23" i="6"/>
  <c r="E23" i="6"/>
  <c r="AC22" i="6"/>
  <c r="AF22" i="6"/>
  <c r="AE22" i="6"/>
  <c r="AH22" i="6"/>
  <c r="AG22" i="6"/>
  <c r="AD22" i="6"/>
  <c r="X22" i="6"/>
  <c r="T22" i="6"/>
  <c r="U22" i="6"/>
  <c r="P22" i="6"/>
  <c r="O22" i="6"/>
  <c r="I22" i="6"/>
  <c r="E22" i="6"/>
  <c r="K21" i="6"/>
  <c r="H21" i="6"/>
  <c r="I21" i="6"/>
  <c r="E21" i="6"/>
  <c r="AC20" i="6"/>
  <c r="AF20" i="6"/>
  <c r="AE20" i="6"/>
  <c r="AH20" i="6"/>
  <c r="AG20" i="6"/>
  <c r="AD20" i="6"/>
  <c r="X20" i="6"/>
  <c r="T20" i="6"/>
  <c r="U20" i="6"/>
  <c r="P20" i="6"/>
  <c r="O20" i="6"/>
  <c r="I20" i="6"/>
  <c r="E20" i="6"/>
  <c r="K19" i="6"/>
  <c r="H19" i="6"/>
  <c r="I19" i="6"/>
  <c r="E19" i="6"/>
  <c r="AC18" i="6"/>
  <c r="AF18" i="6"/>
  <c r="AE18" i="6"/>
  <c r="AH18" i="6"/>
  <c r="AG18" i="6"/>
  <c r="AD18" i="6"/>
  <c r="X18" i="6"/>
  <c r="T18" i="6"/>
  <c r="U18" i="6"/>
  <c r="P18" i="6"/>
  <c r="O18" i="6"/>
  <c r="I18" i="6"/>
  <c r="E18" i="6"/>
  <c r="K17" i="6"/>
  <c r="H17" i="6"/>
  <c r="I17" i="6"/>
  <c r="E17" i="6"/>
  <c r="AC16" i="6"/>
  <c r="AF16" i="6"/>
  <c r="AE16" i="6"/>
  <c r="AH16" i="6"/>
  <c r="AG16" i="6"/>
  <c r="AD16" i="6"/>
  <c r="X16" i="6"/>
  <c r="T16" i="6"/>
  <c r="U16" i="6"/>
  <c r="P16" i="6"/>
  <c r="O16" i="6"/>
  <c r="I16" i="6"/>
  <c r="E16" i="6"/>
  <c r="AC15" i="6"/>
  <c r="AF15" i="6"/>
  <c r="AE15" i="6"/>
  <c r="AH15" i="6"/>
  <c r="AD15" i="6"/>
  <c r="X15" i="6"/>
  <c r="T15" i="6"/>
  <c r="U15" i="6"/>
  <c r="P15" i="6"/>
  <c r="O15" i="6"/>
  <c r="K15" i="6"/>
  <c r="H15" i="6"/>
  <c r="I15" i="6"/>
  <c r="E15" i="6"/>
  <c r="X30" i="6"/>
  <c r="AC33" i="6"/>
  <c r="AF33" i="6"/>
  <c r="AE33" i="6"/>
  <c r="AH28" i="6"/>
  <c r="AH29" i="6"/>
  <c r="AC30" i="6"/>
  <c r="AF30" i="6"/>
  <c r="AE30" i="6"/>
  <c r="AH30" i="6"/>
  <c r="AC31" i="6"/>
  <c r="AF31" i="6"/>
  <c r="AE31" i="6"/>
  <c r="AH31" i="6"/>
  <c r="AH32" i="6"/>
  <c r="AH33" i="6"/>
  <c r="AC34" i="6"/>
  <c r="AF34" i="6"/>
  <c r="AE34" i="6"/>
  <c r="AH34" i="6"/>
  <c r="AC35" i="6"/>
  <c r="AF35" i="6"/>
  <c r="AE35" i="6"/>
  <c r="AH35" i="6"/>
  <c r="AG30" i="6"/>
  <c r="AG31" i="6"/>
  <c r="AG33" i="6"/>
  <c r="AG34" i="6"/>
  <c r="AG35" i="6"/>
  <c r="AD28" i="6"/>
  <c r="AD29" i="6"/>
  <c r="AD30" i="6"/>
  <c r="AD31" i="6"/>
  <c r="AD32" i="6"/>
  <c r="AD33" i="6"/>
  <c r="AD34" i="6"/>
  <c r="AD35" i="6"/>
  <c r="AD27" i="6"/>
  <c r="E5" i="6"/>
  <c r="B5" i="6"/>
  <c r="P27" i="6"/>
  <c r="O27" i="6"/>
  <c r="P34" i="6"/>
  <c r="O34" i="6"/>
  <c r="P32" i="6"/>
  <c r="O32" i="6"/>
  <c r="P30" i="6"/>
  <c r="O30" i="6"/>
  <c r="P28" i="6"/>
  <c r="O28" i="6"/>
  <c r="X27" i="6"/>
  <c r="T27" i="6"/>
  <c r="U27" i="6"/>
  <c r="X29" i="6"/>
  <c r="T29" i="6"/>
  <c r="T30" i="6"/>
  <c r="X31" i="6"/>
  <c r="T31" i="6"/>
  <c r="X32" i="6"/>
  <c r="T32" i="6"/>
  <c r="X33" i="6"/>
  <c r="T33" i="6"/>
  <c r="X34" i="6"/>
  <c r="T34" i="6"/>
  <c r="X35" i="6"/>
  <c r="T35" i="6"/>
  <c r="I35" i="6"/>
  <c r="I34" i="6"/>
  <c r="I33" i="6"/>
  <c r="I32" i="6"/>
  <c r="I31" i="6"/>
  <c r="I30" i="6"/>
  <c r="I29" i="6"/>
  <c r="I28" i="6"/>
  <c r="K27" i="6"/>
  <c r="H27" i="6"/>
  <c r="I27" i="6"/>
  <c r="E28" i="6"/>
  <c r="E29" i="6"/>
  <c r="E30" i="6"/>
  <c r="E31" i="6"/>
  <c r="E32" i="6"/>
  <c r="E33" i="6"/>
  <c r="E34" i="6"/>
  <c r="E35" i="6"/>
  <c r="E27" i="6"/>
  <c r="U35" i="6"/>
  <c r="U34" i="6"/>
  <c r="U33" i="6"/>
  <c r="U32" i="6"/>
  <c r="H43" i="6"/>
  <c r="C6" i="6"/>
  <c r="H51" i="6"/>
  <c r="U31" i="6"/>
  <c r="H42" i="6"/>
  <c r="H50" i="6"/>
  <c r="U30" i="6"/>
  <c r="H41" i="6"/>
  <c r="H49" i="6"/>
  <c r="U29" i="6"/>
  <c r="H40" i="6"/>
  <c r="H48" i="6"/>
  <c r="U28" i="6"/>
  <c r="H39" i="6"/>
  <c r="O16" i="3"/>
  <c r="K15" i="3"/>
  <c r="H15" i="3"/>
  <c r="K16" i="3"/>
  <c r="H16" i="3"/>
  <c r="J39" i="3"/>
  <c r="Y15" i="3"/>
  <c r="AB15" i="3"/>
  <c r="AC15" i="3"/>
  <c r="Y14" i="3"/>
  <c r="I14" i="3"/>
  <c r="M14" i="3"/>
  <c r="O14" i="3"/>
  <c r="N14" i="3"/>
  <c r="Q14" i="3"/>
  <c r="S14" i="3"/>
  <c r="R14" i="3"/>
  <c r="Z14" i="3"/>
  <c r="AB14" i="3"/>
  <c r="AA14" i="3"/>
  <c r="AD14" i="3"/>
  <c r="C5" i="3"/>
  <c r="E15" i="3"/>
  <c r="D5" i="3"/>
  <c r="F15" i="3"/>
  <c r="G15" i="3"/>
  <c r="I15" i="3"/>
  <c r="M15" i="3"/>
  <c r="O15" i="3"/>
  <c r="N15" i="3"/>
  <c r="Q15" i="3"/>
  <c r="S15" i="3"/>
  <c r="R15" i="3"/>
  <c r="Z15" i="3"/>
  <c r="AA15" i="3"/>
  <c r="AD15" i="3"/>
  <c r="H39" i="3"/>
  <c r="K39" i="3"/>
  <c r="E16" i="3"/>
  <c r="F16" i="3"/>
  <c r="G16" i="3"/>
  <c r="I16" i="3"/>
  <c r="M16" i="3"/>
  <c r="N16" i="3"/>
  <c r="Y16" i="3"/>
  <c r="Z16" i="3"/>
  <c r="AB16" i="3"/>
  <c r="AA16" i="3"/>
  <c r="AC16" i="3"/>
  <c r="AD16" i="3"/>
  <c r="H40" i="3"/>
  <c r="K18" i="3"/>
  <c r="H18" i="3"/>
  <c r="K17" i="3"/>
  <c r="H17" i="3"/>
  <c r="J40" i="3"/>
  <c r="K40" i="3"/>
  <c r="E17" i="3"/>
  <c r="F17" i="3"/>
  <c r="G17" i="3"/>
  <c r="I17" i="3"/>
  <c r="M17" i="3"/>
  <c r="O17" i="3"/>
  <c r="N17" i="3"/>
  <c r="Q17" i="3"/>
  <c r="S17" i="3"/>
  <c r="R17" i="3"/>
  <c r="Y17" i="3"/>
  <c r="Z17" i="3"/>
  <c r="AB17" i="3"/>
  <c r="AA17" i="3"/>
  <c r="AC17" i="3"/>
  <c r="AD17" i="3"/>
  <c r="H41" i="3"/>
  <c r="K19" i="3"/>
  <c r="H19" i="3"/>
  <c r="K20" i="3"/>
  <c r="H20" i="3"/>
  <c r="J41" i="3"/>
  <c r="K41" i="3"/>
  <c r="E18" i="3"/>
  <c r="F18" i="3"/>
  <c r="G18" i="3"/>
  <c r="I18" i="3"/>
  <c r="M18" i="3"/>
  <c r="O18" i="3"/>
  <c r="N18" i="3"/>
  <c r="Y18" i="3"/>
  <c r="Z18" i="3"/>
  <c r="AB18" i="3"/>
  <c r="AA18" i="3"/>
  <c r="AC18" i="3"/>
  <c r="AD18" i="3"/>
  <c r="H42" i="3"/>
  <c r="K21" i="3"/>
  <c r="H21" i="3"/>
  <c r="K22" i="3"/>
  <c r="H22" i="3"/>
  <c r="J42" i="3"/>
  <c r="K42" i="3"/>
  <c r="E19" i="3"/>
  <c r="F19" i="3"/>
  <c r="G19" i="3"/>
  <c r="I19" i="3"/>
  <c r="M19" i="3"/>
  <c r="O19" i="3"/>
  <c r="N19" i="3"/>
  <c r="Q19" i="3"/>
  <c r="S19" i="3"/>
  <c r="R19" i="3"/>
  <c r="Y19" i="3"/>
  <c r="Z19" i="3"/>
  <c r="AB19" i="3"/>
  <c r="AA19" i="3"/>
  <c r="AC19" i="3"/>
  <c r="AD19" i="3"/>
  <c r="E20" i="3"/>
  <c r="F20" i="3"/>
  <c r="G20" i="3"/>
  <c r="I20" i="3"/>
  <c r="M20" i="3"/>
  <c r="O20" i="3"/>
  <c r="N20" i="3"/>
  <c r="Y20" i="3"/>
  <c r="Z20" i="3"/>
  <c r="AB20" i="3"/>
  <c r="AA20" i="3"/>
  <c r="AC20" i="3"/>
  <c r="AD20" i="3"/>
  <c r="E21" i="3"/>
  <c r="F21" i="3"/>
  <c r="G21" i="3"/>
  <c r="I21" i="3"/>
  <c r="M21" i="3"/>
  <c r="O21" i="3"/>
  <c r="N21" i="3"/>
  <c r="Q21" i="3"/>
  <c r="S21" i="3"/>
  <c r="R21" i="3"/>
  <c r="Y21" i="3"/>
  <c r="Z21" i="3"/>
  <c r="AB21" i="3"/>
  <c r="AA21" i="3"/>
  <c r="AC21" i="3"/>
  <c r="AD21" i="3"/>
  <c r="E22" i="3"/>
  <c r="F22" i="3"/>
  <c r="G22" i="3"/>
  <c r="I22" i="3"/>
  <c r="M22" i="3"/>
  <c r="O22" i="3"/>
  <c r="N22" i="3"/>
  <c r="Y22" i="3"/>
  <c r="Z22" i="3"/>
  <c r="AB22" i="3"/>
  <c r="AA22" i="3"/>
  <c r="AC22" i="3"/>
  <c r="AD22" i="3"/>
  <c r="K28" i="3"/>
  <c r="H28" i="3"/>
  <c r="K27" i="3"/>
  <c r="H27" i="3"/>
  <c r="K29" i="3"/>
  <c r="H29" i="3"/>
  <c r="K30" i="3"/>
  <c r="H30" i="3"/>
  <c r="K31" i="3"/>
  <c r="H31" i="3"/>
  <c r="K32" i="3"/>
  <c r="H32" i="3"/>
  <c r="K33" i="3"/>
  <c r="H33" i="3"/>
  <c r="K34" i="3"/>
  <c r="H34" i="3"/>
  <c r="J50" i="3"/>
  <c r="J49" i="3"/>
  <c r="J48" i="3"/>
  <c r="J47" i="3"/>
  <c r="H47" i="3"/>
  <c r="K47" i="3"/>
  <c r="H48" i="3"/>
  <c r="K48" i="3"/>
  <c r="H49" i="3"/>
  <c r="K49" i="3"/>
  <c r="H50" i="3"/>
  <c r="K50" i="3"/>
  <c r="H46" i="3"/>
  <c r="K46" i="3"/>
  <c r="Y30" i="3"/>
  <c r="AB30" i="3"/>
  <c r="AC30" i="3"/>
  <c r="Y31" i="3"/>
  <c r="AB31" i="3"/>
  <c r="AC31" i="3"/>
  <c r="Y34" i="3"/>
  <c r="AB34" i="3"/>
  <c r="AC34" i="3"/>
  <c r="Y33" i="3"/>
  <c r="AB33" i="3"/>
  <c r="AC33" i="3"/>
  <c r="Y32" i="3"/>
  <c r="AB32" i="3"/>
  <c r="AC32" i="3"/>
  <c r="Y29" i="3"/>
  <c r="AB29" i="3"/>
  <c r="AC29" i="3"/>
  <c r="Y28" i="3"/>
  <c r="AB28" i="3"/>
  <c r="AC28" i="3"/>
  <c r="Y27" i="3"/>
  <c r="AB27" i="3"/>
  <c r="AC27" i="3"/>
  <c r="AA26" i="3"/>
  <c r="Z26" i="3"/>
  <c r="AD34" i="3"/>
  <c r="AA34" i="3"/>
  <c r="Z34" i="3"/>
  <c r="AD33" i="3"/>
  <c r="AA33" i="3"/>
  <c r="Z33" i="3"/>
  <c r="AD32" i="3"/>
  <c r="AA32" i="3"/>
  <c r="Z32" i="3"/>
  <c r="AD31" i="3"/>
  <c r="AA31" i="3"/>
  <c r="Z31" i="3"/>
  <c r="AD30" i="3"/>
  <c r="AA30" i="3"/>
  <c r="Z30" i="3"/>
  <c r="AD29" i="3"/>
  <c r="AA29" i="3"/>
  <c r="Z29" i="3"/>
  <c r="AD28" i="3"/>
  <c r="AA28" i="3"/>
  <c r="Z28" i="3"/>
  <c r="AD27" i="3"/>
  <c r="AA27" i="3"/>
  <c r="Z27" i="3"/>
  <c r="AD26" i="3"/>
  <c r="S26" i="3"/>
  <c r="S27" i="3"/>
  <c r="S28" i="3"/>
  <c r="S29" i="3"/>
  <c r="S30" i="3"/>
  <c r="S31" i="3"/>
  <c r="S32" i="3"/>
  <c r="S33" i="3"/>
  <c r="S34" i="3"/>
  <c r="E7" i="3"/>
  <c r="I27" i="3"/>
  <c r="I28" i="3"/>
  <c r="I29" i="3"/>
  <c r="I30" i="3"/>
  <c r="I31" i="3"/>
  <c r="I32" i="3"/>
  <c r="I33" i="3"/>
  <c r="I34" i="3"/>
  <c r="I26" i="3"/>
  <c r="K52" i="1"/>
  <c r="I34" i="1"/>
  <c r="U34" i="1"/>
  <c r="U33" i="1"/>
  <c r="I32" i="1"/>
  <c r="U32" i="1"/>
  <c r="I31" i="1"/>
  <c r="U31" i="1"/>
  <c r="I30" i="1"/>
  <c r="U30" i="1"/>
  <c r="I29" i="1"/>
  <c r="U29" i="1"/>
  <c r="I28" i="1"/>
  <c r="U28" i="1"/>
  <c r="Q22" i="1"/>
  <c r="T22" i="1"/>
  <c r="V26" i="1"/>
  <c r="H15" i="1"/>
  <c r="H16" i="1"/>
  <c r="J41" i="1"/>
  <c r="H52" i="1"/>
  <c r="H51" i="1"/>
  <c r="H50" i="1"/>
  <c r="H49" i="1"/>
  <c r="H42" i="1"/>
  <c r="H43" i="1"/>
  <c r="H44" i="1"/>
  <c r="K40" i="1"/>
  <c r="I26" i="1"/>
  <c r="I14" i="1"/>
  <c r="I16" i="1"/>
  <c r="I19" i="1"/>
  <c r="I20" i="1"/>
  <c r="I15" i="1"/>
  <c r="F19" i="1"/>
  <c r="F31" i="1"/>
  <c r="K49" i="1"/>
  <c r="Q27" i="1"/>
  <c r="D27" i="1"/>
  <c r="D28" i="1"/>
  <c r="Q16" i="1"/>
  <c r="T16" i="1"/>
  <c r="U16" i="1"/>
  <c r="Q17" i="1"/>
  <c r="T17" i="1"/>
  <c r="Q18" i="1"/>
  <c r="T18" i="1"/>
  <c r="Q19" i="1"/>
  <c r="T19" i="1"/>
  <c r="U19" i="1"/>
  <c r="Q20" i="1"/>
  <c r="T20" i="1"/>
  <c r="U20" i="1"/>
  <c r="Q21" i="1"/>
  <c r="T21" i="1"/>
  <c r="Q15" i="1"/>
  <c r="T15" i="1"/>
  <c r="U15" i="1"/>
  <c r="D15" i="1"/>
  <c r="D16" i="1"/>
  <c r="O28" i="3"/>
  <c r="O29" i="3"/>
  <c r="O30" i="3"/>
  <c r="O31" i="3"/>
  <c r="O32" i="3"/>
  <c r="O33" i="3"/>
  <c r="O34" i="3"/>
  <c r="O27" i="3"/>
  <c r="E30" i="3"/>
  <c r="G31" i="3"/>
  <c r="G27" i="3"/>
  <c r="D29" i="1"/>
  <c r="D30" i="1"/>
  <c r="D31" i="1"/>
  <c r="D32" i="1"/>
  <c r="D33" i="1"/>
  <c r="D34" i="1"/>
  <c r="K51" i="1"/>
  <c r="K50" i="1"/>
  <c r="K44" i="1"/>
  <c r="K43" i="1"/>
  <c r="K42" i="1"/>
  <c r="K41" i="1"/>
  <c r="D19" i="1"/>
  <c r="D20" i="1"/>
  <c r="D17" i="1"/>
  <c r="D18" i="1"/>
  <c r="D21" i="1"/>
  <c r="D22" i="1"/>
  <c r="C5" i="6"/>
  <c r="E7" i="6"/>
  <c r="G28" i="3"/>
  <c r="G29" i="3"/>
  <c r="G30" i="3"/>
  <c r="G32" i="3"/>
  <c r="G33" i="3"/>
  <c r="G34" i="3"/>
  <c r="O26" i="3"/>
  <c r="Q26" i="3"/>
  <c r="R26" i="3"/>
  <c r="Q28" i="3"/>
  <c r="R28" i="3"/>
  <c r="Q29" i="3"/>
  <c r="R29" i="3"/>
  <c r="Q30" i="3"/>
  <c r="R30" i="3"/>
  <c r="Q31" i="3"/>
  <c r="R31" i="3"/>
  <c r="Q32" i="3"/>
  <c r="R32" i="3"/>
  <c r="Q33" i="3"/>
  <c r="R33" i="3"/>
  <c r="Q34" i="3"/>
  <c r="R34" i="3"/>
  <c r="Q27" i="3"/>
  <c r="R27" i="3"/>
  <c r="N27" i="3"/>
  <c r="N28" i="3"/>
  <c r="N29" i="3"/>
  <c r="N30" i="3"/>
  <c r="N31" i="3"/>
  <c r="N32" i="3"/>
  <c r="N33" i="3"/>
  <c r="N34" i="3"/>
  <c r="N26" i="3"/>
  <c r="M27" i="3"/>
  <c r="M28" i="3"/>
  <c r="M29" i="3"/>
  <c r="M30" i="3"/>
  <c r="M31" i="3"/>
  <c r="M32" i="3"/>
  <c r="M33" i="3"/>
  <c r="M34" i="3"/>
  <c r="M26" i="3"/>
  <c r="Q28" i="1"/>
  <c r="T28" i="1"/>
  <c r="S28" i="1"/>
  <c r="Q29" i="1"/>
  <c r="T29" i="1"/>
  <c r="S29" i="1"/>
  <c r="Q30" i="1"/>
  <c r="T30" i="1"/>
  <c r="S30" i="1"/>
  <c r="Q31" i="1"/>
  <c r="T31" i="1"/>
  <c r="S31" i="1"/>
  <c r="Q32" i="1"/>
  <c r="T32" i="1"/>
  <c r="S32" i="1"/>
  <c r="Q33" i="1"/>
  <c r="T33" i="1"/>
  <c r="S33" i="1"/>
  <c r="Q34" i="1"/>
  <c r="T34" i="1"/>
  <c r="S34" i="1"/>
  <c r="T27" i="1"/>
  <c r="S27" i="1"/>
  <c r="S16" i="1"/>
  <c r="S17" i="1"/>
  <c r="S18" i="1"/>
  <c r="S19" i="1"/>
  <c r="S20" i="1"/>
  <c r="S21" i="1"/>
  <c r="S22" i="1"/>
  <c r="F27" i="3"/>
  <c r="F34" i="3"/>
  <c r="F33" i="3"/>
  <c r="F32" i="3"/>
  <c r="F31" i="3"/>
  <c r="F30" i="3"/>
  <c r="F29" i="3"/>
  <c r="F28" i="3"/>
  <c r="V28" i="1"/>
  <c r="V29" i="1"/>
  <c r="V30" i="1"/>
  <c r="V31" i="1"/>
  <c r="V32" i="1"/>
  <c r="V33" i="1"/>
  <c r="V34" i="1"/>
  <c r="E28" i="1"/>
  <c r="E30" i="1"/>
  <c r="E32" i="1"/>
  <c r="E34" i="1"/>
  <c r="G34" i="1"/>
  <c r="F34" i="1"/>
  <c r="G33" i="1"/>
  <c r="F33" i="1"/>
  <c r="G32" i="1"/>
  <c r="F32" i="1"/>
  <c r="G31" i="1"/>
  <c r="G30" i="1"/>
  <c r="F30" i="1"/>
  <c r="G29" i="1"/>
  <c r="F29" i="1"/>
  <c r="G28" i="1"/>
  <c r="F28" i="1"/>
  <c r="G27" i="1"/>
  <c r="F27" i="1"/>
  <c r="V16" i="1"/>
  <c r="V17" i="1"/>
  <c r="V18" i="1"/>
  <c r="V19" i="1"/>
  <c r="V20" i="1"/>
  <c r="V21" i="1"/>
  <c r="V22" i="1"/>
  <c r="V15" i="1"/>
  <c r="E16" i="1"/>
  <c r="E18" i="1"/>
  <c r="E20" i="1"/>
  <c r="E22" i="1"/>
  <c r="F21" i="1"/>
  <c r="G21" i="1"/>
  <c r="F22" i="1"/>
  <c r="G22" i="1"/>
  <c r="F20" i="1"/>
  <c r="G20" i="1"/>
  <c r="G19" i="1"/>
  <c r="F18" i="1"/>
  <c r="G18" i="1"/>
  <c r="F17" i="1"/>
  <c r="G17" i="1"/>
  <c r="F16" i="1"/>
  <c r="G16" i="1"/>
  <c r="E6" i="1"/>
  <c r="D5" i="1"/>
  <c r="E33" i="3"/>
  <c r="E31" i="3"/>
  <c r="E29" i="3"/>
  <c r="E27" i="3"/>
  <c r="E34" i="3"/>
  <c r="E32" i="3"/>
  <c r="E28" i="3"/>
  <c r="H22" i="1"/>
  <c r="I22" i="1"/>
  <c r="J22" i="1"/>
  <c r="U22" i="1"/>
  <c r="H21" i="1"/>
  <c r="I21" i="1"/>
  <c r="J44" i="1"/>
  <c r="U21" i="1"/>
  <c r="U17" i="1"/>
  <c r="H17" i="1"/>
  <c r="J17" i="1"/>
  <c r="I17" i="1"/>
  <c r="H18" i="1"/>
  <c r="I18" i="1"/>
  <c r="J42" i="1"/>
  <c r="J18" i="1"/>
  <c r="U18" i="1"/>
  <c r="K47" i="6"/>
</calcChain>
</file>

<file path=xl/sharedStrings.xml><?xml version="1.0" encoding="utf-8"?>
<sst xmlns="http://schemas.openxmlformats.org/spreadsheetml/2006/main" count="657" uniqueCount="98">
  <si>
    <t>United Kingdom of Great Britain and Nothern Ireland</t>
  </si>
  <si>
    <t>Average salary</t>
  </si>
  <si>
    <t>daily</t>
  </si>
  <si>
    <t>weekly</t>
  </si>
  <si>
    <t>monthly</t>
  </si>
  <si>
    <t>annually</t>
  </si>
  <si>
    <t>before taxes and deductions</t>
  </si>
  <si>
    <t>Average net salary</t>
  </si>
  <si>
    <t>Replacement</t>
  </si>
  <si>
    <t>Eligible</t>
  </si>
  <si>
    <t>Earn over</t>
  </si>
  <si>
    <t>Maternity</t>
  </si>
  <si>
    <t>Mother</t>
  </si>
  <si>
    <t>Father</t>
  </si>
  <si>
    <t>Must use</t>
  </si>
  <si>
    <t>weeks</t>
  </si>
  <si>
    <t>Family</t>
  </si>
  <si>
    <t>A</t>
  </si>
  <si>
    <t>B</t>
  </si>
  <si>
    <t>C</t>
  </si>
  <si>
    <t>D</t>
  </si>
  <si>
    <t>E</t>
  </si>
  <si>
    <t>Total</t>
  </si>
  <si>
    <t>Total received</t>
  </si>
  <si>
    <t>Average</t>
  </si>
  <si>
    <t>N/A</t>
  </si>
  <si>
    <t>Kingdom of Sweden</t>
  </si>
  <si>
    <t>Average salary - 2015 OECD statistics</t>
  </si>
  <si>
    <t>YEAR</t>
  </si>
  <si>
    <t>Averafe salary</t>
  </si>
  <si>
    <t>GDP (Millions)</t>
  </si>
  <si>
    <t>To estimate</t>
  </si>
  <si>
    <t>Y</t>
  </si>
  <si>
    <t>X</t>
  </si>
  <si>
    <t>Everyone</t>
  </si>
  <si>
    <t>Max</t>
  </si>
  <si>
    <t>Min</t>
  </si>
  <si>
    <t>income</t>
  </si>
  <si>
    <t>days</t>
  </si>
  <si>
    <t>Parental leave</t>
  </si>
  <si>
    <t>anually</t>
  </si>
  <si>
    <t>Equally divided</t>
  </si>
  <si>
    <t>45 days each</t>
  </si>
  <si>
    <t>Father will take only 90 days</t>
  </si>
  <si>
    <t>the Czech Republic</t>
  </si>
  <si>
    <t>total</t>
  </si>
  <si>
    <t>Months min</t>
  </si>
  <si>
    <t>daily*30*0.7</t>
  </si>
  <si>
    <t>monthly-first 9 months</t>
  </si>
  <si>
    <t>monthly-rest</t>
  </si>
  <si>
    <t xml:space="preserve">Parental leave </t>
  </si>
  <si>
    <t>28 weeks</t>
  </si>
  <si>
    <t>UK</t>
  </si>
  <si>
    <t>CZE</t>
  </si>
  <si>
    <t>SWE</t>
  </si>
  <si>
    <t>AVERAGE PER FAMILY</t>
  </si>
  <si>
    <t>Eaqually devided</t>
  </si>
  <si>
    <t>SWE-1</t>
  </si>
  <si>
    <t>UK-1</t>
  </si>
  <si>
    <t>CZE-1</t>
  </si>
  <si>
    <t>UK-2</t>
  </si>
  <si>
    <t>SWE-2</t>
  </si>
  <si>
    <t>CZE-2</t>
  </si>
  <si>
    <t>Min Average</t>
  </si>
  <si>
    <t>Net salary</t>
  </si>
  <si>
    <t>Gross salary</t>
  </si>
  <si>
    <t>6 weeks</t>
  </si>
  <si>
    <t>33 weeks</t>
  </si>
  <si>
    <t>2 weeks</t>
  </si>
  <si>
    <t>Total length</t>
  </si>
  <si>
    <t>together</t>
  </si>
  <si>
    <t>Each 45 days</t>
  </si>
  <si>
    <t>Mother-90 days</t>
  </si>
  <si>
    <t>195+F10</t>
  </si>
  <si>
    <t>M-300,F-100 days</t>
  </si>
  <si>
    <t>Paternity</t>
  </si>
  <si>
    <t>M-90 days</t>
  </si>
  <si>
    <t>Total  received</t>
  </si>
  <si>
    <t>Father takes nothing</t>
  </si>
  <si>
    <t xml:space="preserve">Length </t>
  </si>
  <si>
    <t>The UK</t>
  </si>
  <si>
    <t>Sweden</t>
  </si>
  <si>
    <t>The Czech Republic</t>
  </si>
  <si>
    <t>17 weeks</t>
  </si>
  <si>
    <t>16+2 weeks</t>
  </si>
  <si>
    <t>Compared to the average net salary</t>
  </si>
  <si>
    <t>Replacement rate of the net salary</t>
  </si>
  <si>
    <t>Equality bonus</t>
  </si>
  <si>
    <t>Maternity-28 weeks</t>
  </si>
  <si>
    <t>months</t>
  </si>
  <si>
    <t>Proportional part</t>
  </si>
  <si>
    <t>Flat-rate part</t>
  </si>
  <si>
    <t>Replacement rate</t>
  </si>
  <si>
    <t>Eligibility</t>
  </si>
  <si>
    <t>Average gross salary</t>
  </si>
  <si>
    <t>Father takes a minimum</t>
  </si>
  <si>
    <t>Replacement Rate</t>
  </si>
  <si>
    <t xml:space="preserve">Replacement rate of the net salary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</si>
</sst>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CZK&quot;_-;\-* #,##0.00\ &quot;CZK&quot;_-;_-* &quot;-&quot;??\ &quot;CZK&quot;_-;_-@_-"/>
    <numFmt numFmtId="164" formatCode="_-[$£-809]* #,##0.00_-;\-[$£-809]* #,##0.00_-;_-[$£-809]* &quot;-&quot;??_-;_-@_-"/>
    <numFmt numFmtId="165" formatCode="_-[$£-809]* #,##0_-;\-[$£-809]* #,##0_-;_-[$£-809]* &quot;-&quot;??_-;_-@_-"/>
    <numFmt numFmtId="166" formatCode="_-* #,##0\ [$SEK-143B]_-;\-* #,##0\ [$SEK-143B]_-;_-* &quot;-&quot;\ [$SEK-143B]_-;_-@_-"/>
    <numFmt numFmtId="167" formatCode="_-* #,##0\ [$SEK]_-;\-* #,##0\ [$SEK]_-;_-* &quot;-&quot;\ [$SEK]_-;_-@_-"/>
    <numFmt numFmtId="168" formatCode="0.0%"/>
    <numFmt numFmtId="169" formatCode="_-* #,##0\ &quot;CZK&quot;_-;\-* #,##0\ &quot;CZK&quot;_-;_-* &quot;-&quot;??\ &quot;CZK&quot;_-;_-@_-"/>
    <numFmt numFmtId="170" formatCode="#,##0\ &quot;CZK&quot;"/>
    <numFmt numFmtId="171" formatCode="#,##0\ [$SEK]"/>
    <numFmt numFmtId="172" formatCode="_-* #,##0.0\ &quot;CZK&quot;_-;\-* #,##0.0\ &quot;CZK&quot;_-;_-* &quot;-&quot;??\ &quot;CZK&quot;_-;_-@_-"/>
    <numFmt numFmtId="173" formatCode="0.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8">
    <xf numFmtId="0" fontId="0" fillId="0" borderId="0" xfId="0"/>
    <xf numFmtId="0" fontId="0" fillId="0" borderId="8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14" xfId="0" applyFill="1" applyBorder="1"/>
    <xf numFmtId="0" fontId="0" fillId="2" borderId="17" xfId="0" applyFill="1" applyBorder="1"/>
    <xf numFmtId="0" fontId="0" fillId="2" borderId="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164" fontId="0" fillId="2" borderId="0" xfId="0" applyNumberFormat="1" applyFill="1" applyBorder="1"/>
    <xf numFmtId="0" fontId="0" fillId="2" borderId="22" xfId="0" applyFill="1" applyBorder="1"/>
    <xf numFmtId="164" fontId="0" fillId="2" borderId="22" xfId="0" applyNumberFormat="1" applyFill="1" applyBorder="1"/>
    <xf numFmtId="0" fontId="0" fillId="2" borderId="23" xfId="0" applyFill="1" applyBorder="1"/>
    <xf numFmtId="0" fontId="0" fillId="0" borderId="0" xfId="0" applyFill="1" applyBorder="1"/>
    <xf numFmtId="166" fontId="0" fillId="0" borderId="0" xfId="0" applyNumberFormat="1" applyFill="1" applyBorder="1"/>
    <xf numFmtId="166" fontId="0" fillId="0" borderId="9" xfId="0" applyNumberFormat="1" applyFill="1" applyBorder="1"/>
    <xf numFmtId="166" fontId="0" fillId="0" borderId="0" xfId="0" applyNumberFormat="1"/>
    <xf numFmtId="166" fontId="4" fillId="0" borderId="1" xfId="0" applyNumberFormat="1" applyFont="1" applyBorder="1"/>
    <xf numFmtId="166" fontId="0" fillId="0" borderId="1" xfId="0" applyNumberFormat="1" applyBorder="1"/>
    <xf numFmtId="167" fontId="0" fillId="2" borderId="0" xfId="0" applyNumberFormat="1" applyFill="1" applyBorder="1"/>
    <xf numFmtId="167" fontId="0" fillId="2" borderId="0" xfId="1" applyNumberFormat="1" applyFont="1" applyFill="1" applyBorder="1"/>
    <xf numFmtId="167" fontId="0" fillId="2" borderId="14" xfId="0" applyNumberFormat="1" applyFill="1" applyBorder="1"/>
    <xf numFmtId="167" fontId="0" fillId="2" borderId="7" xfId="0" applyNumberFormat="1" applyFill="1" applyBorder="1"/>
    <xf numFmtId="167" fontId="0" fillId="2" borderId="18" xfId="0" applyNumberFormat="1" applyFill="1" applyBorder="1"/>
    <xf numFmtId="165" fontId="0" fillId="2" borderId="2" xfId="0" applyNumberFormat="1" applyFill="1" applyBorder="1" applyAlignment="1">
      <alignment horizontal="left"/>
    </xf>
    <xf numFmtId="165" fontId="0" fillId="2" borderId="3" xfId="0" applyNumberFormat="1" applyFill="1" applyBorder="1" applyAlignment="1">
      <alignment horizontal="left"/>
    </xf>
    <xf numFmtId="167" fontId="0" fillId="2" borderId="3" xfId="0" applyNumberFormat="1" applyFill="1" applyBorder="1"/>
    <xf numFmtId="168" fontId="0" fillId="2" borderId="7" xfId="2" applyNumberFormat="1" applyFont="1" applyFill="1" applyBorder="1"/>
    <xf numFmtId="9" fontId="0" fillId="2" borderId="18" xfId="2" applyNumberFormat="1" applyFont="1" applyFill="1" applyBorder="1"/>
    <xf numFmtId="169" fontId="0" fillId="2" borderId="0" xfId="1" applyNumberFormat="1" applyFont="1" applyFill="1" applyBorder="1"/>
    <xf numFmtId="169" fontId="0" fillId="2" borderId="14" xfId="1" applyNumberFormat="1" applyFont="1" applyFill="1" applyBorder="1"/>
    <xf numFmtId="169" fontId="0" fillId="2" borderId="7" xfId="1" applyNumberFormat="1" applyFont="1" applyFill="1" applyBorder="1"/>
    <xf numFmtId="169" fontId="0" fillId="2" borderId="18" xfId="1" applyNumberFormat="1" applyFont="1" applyFill="1" applyBorder="1"/>
    <xf numFmtId="0" fontId="0" fillId="2" borderId="0" xfId="0" applyFill="1"/>
    <xf numFmtId="0" fontId="0" fillId="2" borderId="0" xfId="2" applyNumberFormat="1" applyFont="1" applyFill="1"/>
    <xf numFmtId="0" fontId="7" fillId="2" borderId="0" xfId="0" applyFont="1" applyFill="1"/>
    <xf numFmtId="9" fontId="0" fillId="2" borderId="0" xfId="2" applyFont="1" applyFill="1"/>
    <xf numFmtId="9" fontId="0" fillId="2" borderId="0" xfId="0" applyNumberFormat="1" applyFill="1"/>
    <xf numFmtId="165" fontId="0" fillId="3" borderId="33" xfId="0" applyNumberFormat="1" applyFill="1" applyBorder="1"/>
    <xf numFmtId="165" fontId="0" fillId="3" borderId="36" xfId="0" applyNumberFormat="1" applyFill="1" applyBorder="1"/>
    <xf numFmtId="167" fontId="0" fillId="3" borderId="33" xfId="0" applyNumberFormat="1" applyFill="1" applyBorder="1"/>
    <xf numFmtId="167" fontId="0" fillId="3" borderId="36" xfId="0" applyNumberFormat="1" applyFill="1" applyBorder="1"/>
    <xf numFmtId="167" fontId="0" fillId="3" borderId="45" xfId="0" applyNumberFormat="1" applyFill="1" applyBorder="1"/>
    <xf numFmtId="167" fontId="0" fillId="3" borderId="29" xfId="0" applyNumberFormat="1" applyFill="1" applyBorder="1"/>
    <xf numFmtId="165" fontId="0" fillId="3" borderId="45" xfId="0" applyNumberFormat="1" applyFill="1" applyBorder="1"/>
    <xf numFmtId="165" fontId="0" fillId="3" borderId="29" xfId="0" applyNumberFormat="1" applyFill="1" applyBorder="1"/>
    <xf numFmtId="167" fontId="0" fillId="3" borderId="42" xfId="0" applyNumberFormat="1" applyFill="1" applyBorder="1"/>
    <xf numFmtId="167" fontId="0" fillId="3" borderId="44" xfId="0" applyNumberFormat="1" applyFill="1" applyBorder="1"/>
    <xf numFmtId="167" fontId="0" fillId="3" borderId="32" xfId="0" applyNumberFormat="1" applyFill="1" applyBorder="1"/>
    <xf numFmtId="167" fontId="0" fillId="3" borderId="34" xfId="0" applyNumberFormat="1" applyFill="1" applyBorder="1"/>
    <xf numFmtId="167" fontId="0" fillId="3" borderId="35" xfId="0" applyNumberFormat="1" applyFill="1" applyBorder="1"/>
    <xf numFmtId="167" fontId="0" fillId="3" borderId="37" xfId="0" applyNumberFormat="1" applyFill="1" applyBorder="1"/>
    <xf numFmtId="0" fontId="10" fillId="2" borderId="30" xfId="0" applyFont="1" applyFill="1" applyBorder="1" applyAlignment="1">
      <alignment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vertical="center" wrapText="1"/>
    </xf>
    <xf numFmtId="0" fontId="9" fillId="2" borderId="30" xfId="0" applyFont="1" applyFill="1" applyBorder="1" applyAlignment="1">
      <alignment vertical="center" wrapText="1"/>
    </xf>
    <xf numFmtId="0" fontId="11" fillId="2" borderId="30" xfId="0" applyFont="1" applyFill="1" applyBorder="1" applyAlignment="1">
      <alignment vertical="center" wrapText="1"/>
    </xf>
    <xf numFmtId="0" fontId="5" fillId="2" borderId="0" xfId="37" applyFill="1" applyAlignment="1">
      <alignment vertical="center"/>
    </xf>
    <xf numFmtId="0" fontId="0" fillId="2" borderId="15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3" xfId="0" applyFill="1" applyBorder="1"/>
    <xf numFmtId="0" fontId="0" fillId="2" borderId="0" xfId="0" applyFill="1" applyBorder="1" applyAlignment="1"/>
    <xf numFmtId="0" fontId="0" fillId="2" borderId="10" xfId="0" applyFill="1" applyBorder="1"/>
    <xf numFmtId="9" fontId="0" fillId="2" borderId="11" xfId="0" applyNumberFormat="1" applyFill="1" applyBorder="1"/>
    <xf numFmtId="9" fontId="0" fillId="2" borderId="14" xfId="2" applyFont="1" applyFill="1" applyBorder="1"/>
    <xf numFmtId="0" fontId="0" fillId="2" borderId="32" xfId="0" applyFill="1" applyBorder="1"/>
    <xf numFmtId="0" fontId="0" fillId="2" borderId="63" xfId="0" applyFill="1" applyBorder="1"/>
    <xf numFmtId="165" fontId="0" fillId="2" borderId="11" xfId="1" applyNumberFormat="1" applyFont="1" applyFill="1" applyBorder="1"/>
    <xf numFmtId="0" fontId="0" fillId="2" borderId="39" xfId="0" applyFill="1" applyBorder="1"/>
    <xf numFmtId="0" fontId="0" fillId="2" borderId="68" xfId="1" applyNumberFormat="1" applyFont="1" applyFill="1" applyBorder="1"/>
    <xf numFmtId="0" fontId="0" fillId="2" borderId="57" xfId="0" applyFill="1" applyBorder="1"/>
    <xf numFmtId="0" fontId="0" fillId="2" borderId="10" xfId="0" applyFill="1" applyBorder="1" applyAlignment="1">
      <alignment vertical="center"/>
    </xf>
    <xf numFmtId="165" fontId="0" fillId="2" borderId="22" xfId="0" applyNumberFormat="1" applyFill="1" applyBorder="1"/>
    <xf numFmtId="165" fontId="0" fillId="2" borderId="23" xfId="0" applyNumberFormat="1" applyFill="1" applyBorder="1"/>
    <xf numFmtId="0" fontId="0" fillId="2" borderId="21" xfId="0" applyFill="1" applyBorder="1" applyAlignment="1">
      <alignment vertical="center"/>
    </xf>
    <xf numFmtId="165" fontId="0" fillId="2" borderId="22" xfId="1" applyNumberFormat="1" applyFont="1" applyFill="1" applyBorder="1"/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3" xfId="0" applyFill="1" applyBorder="1"/>
    <xf numFmtId="0" fontId="0" fillId="2" borderId="42" xfId="0" applyFill="1" applyBorder="1"/>
    <xf numFmtId="0" fontId="0" fillId="2" borderId="33" xfId="0" applyFill="1" applyBorder="1" applyAlignment="1">
      <alignment horizontal="left" vertical="center"/>
    </xf>
    <xf numFmtId="0" fontId="0" fillId="2" borderId="34" xfId="0" applyFill="1" applyBorder="1"/>
    <xf numFmtId="0" fontId="0" fillId="2" borderId="45" xfId="0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8" xfId="0" applyFill="1" applyBorder="1" applyAlignment="1">
      <alignment horizontal="left" vertical="center"/>
    </xf>
    <xf numFmtId="0" fontId="0" fillId="2" borderId="38" xfId="0" applyFill="1" applyBorder="1"/>
    <xf numFmtId="0" fontId="0" fillId="2" borderId="31" xfId="0" applyFill="1" applyBorder="1"/>
    <xf numFmtId="0" fontId="0" fillId="2" borderId="0" xfId="0" applyFont="1" applyFill="1"/>
    <xf numFmtId="0" fontId="0" fillId="2" borderId="39" xfId="0" applyFont="1" applyFill="1" applyBorder="1" applyAlignment="1">
      <alignment horizontal="center" vertical="center"/>
    </xf>
    <xf numFmtId="0" fontId="0" fillId="2" borderId="41" xfId="0" applyFont="1" applyFill="1" applyBorder="1"/>
    <xf numFmtId="165" fontId="0" fillId="2" borderId="46" xfId="0" applyNumberFormat="1" applyFont="1" applyFill="1" applyBorder="1"/>
    <xf numFmtId="165" fontId="0" fillId="2" borderId="40" xfId="0" applyNumberFormat="1" applyFont="1" applyFill="1" applyBorder="1"/>
    <xf numFmtId="165" fontId="0" fillId="2" borderId="40" xfId="0" applyNumberFormat="1" applyFill="1" applyBorder="1"/>
    <xf numFmtId="165" fontId="0" fillId="2" borderId="43" xfId="0" applyNumberFormat="1" applyFont="1" applyFill="1" applyBorder="1"/>
    <xf numFmtId="165" fontId="0" fillId="2" borderId="39" xfId="0" applyNumberFormat="1" applyFont="1" applyFill="1" applyBorder="1"/>
    <xf numFmtId="0" fontId="0" fillId="2" borderId="40" xfId="0" applyNumberFormat="1" applyFont="1" applyFill="1" applyBorder="1"/>
    <xf numFmtId="165" fontId="0" fillId="2" borderId="41" xfId="0" applyNumberFormat="1" applyFont="1" applyFill="1" applyBorder="1"/>
    <xf numFmtId="0" fontId="0" fillId="2" borderId="50" xfId="0" applyFont="1" applyFill="1" applyBorder="1"/>
    <xf numFmtId="9" fontId="0" fillId="2" borderId="50" xfId="2" applyFont="1" applyFill="1" applyBorder="1"/>
    <xf numFmtId="9" fontId="0" fillId="2" borderId="0" xfId="2" applyFont="1" applyFill="1" applyBorder="1"/>
    <xf numFmtId="165" fontId="0" fillId="2" borderId="45" xfId="0" applyNumberFormat="1" applyFill="1" applyBorder="1"/>
    <xf numFmtId="165" fontId="0" fillId="2" borderId="33" xfId="0" applyNumberFormat="1" applyFill="1" applyBorder="1"/>
    <xf numFmtId="165" fontId="0" fillId="2" borderId="32" xfId="0" applyNumberFormat="1" applyFill="1" applyBorder="1"/>
    <xf numFmtId="0" fontId="0" fillId="2" borderId="33" xfId="0" applyNumberFormat="1" applyFill="1" applyBorder="1"/>
    <xf numFmtId="165" fontId="0" fillId="2" borderId="34" xfId="0" applyNumberFormat="1" applyFill="1" applyBorder="1"/>
    <xf numFmtId="165" fontId="0" fillId="2" borderId="42" xfId="0" applyNumberFormat="1" applyFill="1" applyBorder="1"/>
    <xf numFmtId="9" fontId="0" fillId="2" borderId="58" xfId="2" applyNumberFormat="1" applyFont="1" applyFill="1" applyBorder="1"/>
    <xf numFmtId="9" fontId="0" fillId="2" borderId="58" xfId="2" applyFont="1" applyFill="1" applyBorder="1"/>
    <xf numFmtId="165" fontId="0" fillId="2" borderId="0" xfId="0" applyNumberFormat="1" applyFill="1" applyAlignment="1">
      <alignment vertical="center"/>
    </xf>
    <xf numFmtId="0" fontId="0" fillId="2" borderId="37" xfId="0" applyFill="1" applyBorder="1"/>
    <xf numFmtId="165" fontId="0" fillId="2" borderId="29" xfId="0" applyNumberFormat="1" applyFill="1" applyBorder="1"/>
    <xf numFmtId="165" fontId="0" fillId="2" borderId="36" xfId="0" applyNumberFormat="1" applyFill="1" applyBorder="1"/>
    <xf numFmtId="0" fontId="0" fillId="2" borderId="36" xfId="0" applyFill="1" applyBorder="1"/>
    <xf numFmtId="165" fontId="0" fillId="2" borderId="44" xfId="0" applyNumberFormat="1" applyFill="1" applyBorder="1"/>
    <xf numFmtId="165" fontId="0" fillId="2" borderId="35" xfId="0" applyNumberFormat="1" applyFill="1" applyBorder="1"/>
    <xf numFmtId="0" fontId="0" fillId="2" borderId="36" xfId="0" applyNumberFormat="1" applyFill="1" applyBorder="1"/>
    <xf numFmtId="165" fontId="0" fillId="2" borderId="37" xfId="0" applyNumberFormat="1" applyFill="1" applyBorder="1"/>
    <xf numFmtId="9" fontId="0" fillId="2" borderId="59" xfId="2" applyFont="1" applyFill="1" applyBorder="1"/>
    <xf numFmtId="165" fontId="0" fillId="2" borderId="31" xfId="0" applyNumberFormat="1" applyFill="1" applyBorder="1"/>
    <xf numFmtId="165" fontId="0" fillId="2" borderId="8" xfId="0" applyNumberFormat="1" applyFill="1" applyBorder="1"/>
    <xf numFmtId="165" fontId="0" fillId="2" borderId="2" xfId="0" applyNumberFormat="1" applyFill="1" applyBorder="1"/>
    <xf numFmtId="165" fontId="0" fillId="2" borderId="19" xfId="0" applyNumberFormat="1" applyFill="1" applyBorder="1"/>
    <xf numFmtId="0" fontId="0" fillId="2" borderId="8" xfId="0" applyNumberFormat="1" applyFill="1" applyBorder="1"/>
    <xf numFmtId="9" fontId="0" fillId="2" borderId="62" xfId="2" applyFont="1" applyFill="1" applyBorder="1"/>
    <xf numFmtId="0" fontId="7" fillId="2" borderId="0" xfId="0" applyFont="1" applyFill="1" applyBorder="1" applyAlignment="1">
      <alignment wrapText="1"/>
    </xf>
    <xf numFmtId="165" fontId="0" fillId="2" borderId="0" xfId="0" applyNumberFormat="1" applyFill="1"/>
    <xf numFmtId="0" fontId="0" fillId="2" borderId="48" xfId="0" applyFill="1" applyBorder="1"/>
    <xf numFmtId="165" fontId="0" fillId="2" borderId="53" xfId="0" applyNumberFormat="1" applyFill="1" applyBorder="1"/>
    <xf numFmtId="165" fontId="0" fillId="2" borderId="9" xfId="0" applyNumberFormat="1" applyFill="1" applyBorder="1"/>
    <xf numFmtId="0" fontId="0" fillId="2" borderId="4" xfId="0" applyFill="1" applyBorder="1"/>
    <xf numFmtId="165" fontId="0" fillId="2" borderId="15" xfId="0" applyNumberFormat="1" applyFill="1" applyBorder="1"/>
    <xf numFmtId="0" fontId="0" fillId="2" borderId="9" xfId="0" applyNumberFormat="1" applyFill="1" applyBorder="1"/>
    <xf numFmtId="165" fontId="0" fillId="2" borderId="4" xfId="0" applyNumberFormat="1" applyFill="1" applyBorder="1"/>
    <xf numFmtId="9" fontId="0" fillId="2" borderId="60" xfId="2" applyFont="1" applyFill="1" applyBorder="1"/>
    <xf numFmtId="0" fontId="0" fillId="2" borderId="0" xfId="0" applyFont="1" applyFill="1" applyBorder="1" applyAlignment="1">
      <alignment horizontal="center" vertical="center"/>
    </xf>
    <xf numFmtId="9" fontId="0" fillId="2" borderId="0" xfId="2" applyFont="1" applyFill="1" applyBorder="1" applyAlignment="1">
      <alignment horizontal="center" vertical="center"/>
    </xf>
    <xf numFmtId="0" fontId="0" fillId="2" borderId="30" xfId="0" applyFont="1" applyFill="1" applyBorder="1"/>
    <xf numFmtId="9" fontId="0" fillId="2" borderId="30" xfId="2" applyFont="1" applyFill="1" applyBorder="1"/>
    <xf numFmtId="0" fontId="0" fillId="2" borderId="0" xfId="0" applyFont="1" applyFill="1" applyBorder="1"/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165" fontId="0" fillId="2" borderId="32" xfId="0" applyNumberFormat="1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1" fontId="0" fillId="2" borderId="33" xfId="0" applyNumberFormat="1" applyFont="1" applyFill="1" applyBorder="1" applyAlignment="1">
      <alignment horizontal="center" vertical="center"/>
    </xf>
    <xf numFmtId="165" fontId="0" fillId="2" borderId="33" xfId="0" applyNumberFormat="1" applyFont="1" applyFill="1" applyBorder="1" applyAlignment="1">
      <alignment horizontal="center" vertical="center"/>
    </xf>
    <xf numFmtId="165" fontId="0" fillId="2" borderId="34" xfId="0" applyNumberForma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9" fontId="0" fillId="2" borderId="16" xfId="2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3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56" xfId="0" applyNumberFormat="1" applyFill="1" applyBorder="1" applyAlignment="1">
      <alignment horizontal="center" vertical="center"/>
    </xf>
    <xf numFmtId="9" fontId="0" fillId="2" borderId="20" xfId="2" applyFont="1" applyFill="1" applyBorder="1" applyAlignment="1">
      <alignment horizontal="center" vertical="center"/>
    </xf>
    <xf numFmtId="9" fontId="0" fillId="2" borderId="20" xfId="2" applyNumberFormat="1" applyFont="1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165" fontId="0" fillId="2" borderId="35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173" fontId="0" fillId="2" borderId="36" xfId="0" applyNumberFormat="1" applyFont="1" applyFill="1" applyBorder="1" applyAlignment="1">
      <alignment horizontal="center" vertical="center"/>
    </xf>
    <xf numFmtId="165" fontId="0" fillId="2" borderId="36" xfId="0" applyNumberForma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9" fontId="0" fillId="2" borderId="63" xfId="2" applyFont="1" applyFill="1" applyBorder="1" applyAlignment="1">
      <alignment horizontal="center" vertical="center"/>
    </xf>
    <xf numFmtId="169" fontId="0" fillId="2" borderId="0" xfId="1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2" borderId="32" xfId="0" applyNumberFormat="1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165" fontId="0" fillId="2" borderId="33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9" fontId="0" fillId="2" borderId="16" xfId="2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" fontId="0" fillId="2" borderId="0" xfId="1" applyNumberFormat="1" applyFont="1" applyFill="1" applyBorder="1" applyAlignment="1">
      <alignment horizontal="center" vertical="center"/>
    </xf>
    <xf numFmtId="173" fontId="0" fillId="2" borderId="0" xfId="1" applyNumberFormat="1" applyFont="1" applyFill="1" applyBorder="1" applyAlignment="1">
      <alignment horizontal="center" vertical="center"/>
    </xf>
    <xf numFmtId="167" fontId="0" fillId="2" borderId="32" xfId="0" applyNumberFormat="1" applyFill="1" applyBorder="1"/>
    <xf numFmtId="167" fontId="0" fillId="2" borderId="33" xfId="0" applyNumberFormat="1" applyFill="1" applyBorder="1"/>
    <xf numFmtId="167" fontId="0" fillId="2" borderId="34" xfId="0" applyNumberFormat="1" applyFill="1" applyBorder="1"/>
    <xf numFmtId="167" fontId="0" fillId="2" borderId="45" xfId="0" applyNumberFormat="1" applyFill="1" applyBorder="1"/>
    <xf numFmtId="167" fontId="0" fillId="2" borderId="42" xfId="0" applyNumberFormat="1" applyFill="1" applyBorder="1"/>
    <xf numFmtId="0" fontId="0" fillId="2" borderId="32" xfId="0" applyFill="1" applyBorder="1" applyAlignment="1">
      <alignment horizontal="left" vertical="center"/>
    </xf>
    <xf numFmtId="167" fontId="0" fillId="2" borderId="19" xfId="0" applyNumberFormat="1" applyFill="1" applyBorder="1"/>
    <xf numFmtId="167" fontId="0" fillId="2" borderId="8" xfId="0" applyNumberFormat="1" applyFill="1" applyBorder="1"/>
    <xf numFmtId="167" fontId="0" fillId="2" borderId="38" xfId="0" applyNumberFormat="1" applyFill="1" applyBorder="1"/>
    <xf numFmtId="167" fontId="0" fillId="2" borderId="31" xfId="0" applyNumberFormat="1" applyFill="1" applyBorder="1"/>
    <xf numFmtId="167" fontId="0" fillId="2" borderId="2" xfId="0" applyNumberFormat="1" applyFill="1" applyBorder="1"/>
    <xf numFmtId="167" fontId="0" fillId="2" borderId="39" xfId="0" applyNumberFormat="1" applyFont="1" applyFill="1" applyBorder="1" applyAlignment="1">
      <alignment horizontal="center" vertical="center"/>
    </xf>
    <xf numFmtId="167" fontId="0" fillId="2" borderId="41" xfId="0" applyNumberFormat="1" applyFont="1" applyFill="1" applyBorder="1"/>
    <xf numFmtId="167" fontId="0" fillId="2" borderId="39" xfId="0" applyNumberFormat="1" applyFont="1" applyFill="1" applyBorder="1"/>
    <xf numFmtId="167" fontId="0" fillId="2" borderId="40" xfId="0" applyNumberFormat="1" applyFont="1" applyFill="1" applyBorder="1"/>
    <xf numFmtId="167" fontId="0" fillId="2" borderId="46" xfId="0" applyNumberFormat="1" applyFill="1" applyBorder="1"/>
    <xf numFmtId="167" fontId="0" fillId="2" borderId="43" xfId="0" applyNumberFormat="1" applyFont="1" applyFill="1" applyBorder="1"/>
    <xf numFmtId="167" fontId="0" fillId="2" borderId="46" xfId="0" applyNumberFormat="1" applyFont="1" applyFill="1" applyBorder="1"/>
    <xf numFmtId="167" fontId="0" fillId="2" borderId="41" xfId="0" applyNumberFormat="1" applyFill="1" applyBorder="1"/>
    <xf numFmtId="0" fontId="0" fillId="2" borderId="39" xfId="0" applyNumberFormat="1" applyFont="1" applyFill="1" applyBorder="1"/>
    <xf numFmtId="9" fontId="0" fillId="2" borderId="40" xfId="2" applyFont="1" applyFill="1" applyBorder="1"/>
    <xf numFmtId="9" fontId="0" fillId="2" borderId="41" xfId="2" applyFont="1" applyFill="1" applyBorder="1"/>
    <xf numFmtId="167" fontId="0" fillId="2" borderId="48" xfId="0" applyNumberFormat="1" applyFill="1" applyBorder="1"/>
    <xf numFmtId="167" fontId="0" fillId="2" borderId="15" xfId="0" applyNumberFormat="1" applyFill="1" applyBorder="1"/>
    <xf numFmtId="167" fontId="0" fillId="2" borderId="9" xfId="0" applyNumberFormat="1" applyFill="1" applyBorder="1"/>
    <xf numFmtId="167" fontId="0" fillId="2" borderId="53" xfId="0" applyNumberFormat="1" applyFill="1" applyBorder="1"/>
    <xf numFmtId="167" fontId="0" fillId="2" borderId="4" xfId="0" applyNumberFormat="1" applyFill="1" applyBorder="1"/>
    <xf numFmtId="0" fontId="0" fillId="2" borderId="15" xfId="0" applyNumberFormat="1" applyFill="1" applyBorder="1"/>
    <xf numFmtId="9" fontId="0" fillId="2" borderId="9" xfId="2" applyFont="1" applyFill="1" applyBorder="1"/>
    <xf numFmtId="9" fontId="0" fillId="2" borderId="48" xfId="2" applyFont="1" applyFill="1" applyBorder="1"/>
    <xf numFmtId="0" fontId="0" fillId="2" borderId="19" xfId="0" applyNumberFormat="1" applyFill="1" applyBorder="1"/>
    <xf numFmtId="9" fontId="0" fillId="2" borderId="8" xfId="2" applyFont="1" applyFill="1" applyBorder="1"/>
    <xf numFmtId="9" fontId="0" fillId="2" borderId="38" xfId="2" applyFont="1" applyFill="1" applyBorder="1"/>
    <xf numFmtId="0" fontId="0" fillId="2" borderId="32" xfId="0" applyNumberFormat="1" applyFill="1" applyBorder="1"/>
    <xf numFmtId="9" fontId="0" fillId="2" borderId="33" xfId="2" applyFont="1" applyFill="1" applyBorder="1"/>
    <xf numFmtId="9" fontId="0" fillId="2" borderId="34" xfId="2" applyFont="1" applyFill="1" applyBorder="1"/>
    <xf numFmtId="167" fontId="0" fillId="2" borderId="37" xfId="0" applyNumberFormat="1" applyFill="1" applyBorder="1"/>
    <xf numFmtId="167" fontId="0" fillId="2" borderId="35" xfId="0" applyNumberFormat="1" applyFill="1" applyBorder="1"/>
    <xf numFmtId="167" fontId="0" fillId="2" borderId="36" xfId="0" applyNumberFormat="1" applyFill="1" applyBorder="1"/>
    <xf numFmtId="167" fontId="0" fillId="2" borderId="29" xfId="0" applyNumberFormat="1" applyFill="1" applyBorder="1"/>
    <xf numFmtId="167" fontId="0" fillId="2" borderId="44" xfId="0" applyNumberFormat="1" applyFill="1" applyBorder="1"/>
    <xf numFmtId="0" fontId="0" fillId="2" borderId="35" xfId="0" applyNumberFormat="1" applyFill="1" applyBorder="1"/>
    <xf numFmtId="9" fontId="0" fillId="2" borderId="36" xfId="2" applyFont="1" applyFill="1" applyBorder="1"/>
    <xf numFmtId="9" fontId="0" fillId="2" borderId="37" xfId="2" applyFont="1" applyFill="1" applyBorder="1"/>
    <xf numFmtId="167" fontId="0" fillId="2" borderId="68" xfId="0" applyNumberFormat="1" applyFill="1" applyBorder="1" applyAlignment="1">
      <alignment horizontal="center" vertical="center"/>
    </xf>
    <xf numFmtId="167" fontId="0" fillId="2" borderId="68" xfId="0" applyNumberFormat="1" applyFill="1" applyBorder="1"/>
    <xf numFmtId="0" fontId="0" fillId="2" borderId="68" xfId="0" applyNumberFormat="1" applyFill="1" applyBorder="1"/>
    <xf numFmtId="9" fontId="0" fillId="2" borderId="68" xfId="2" applyFont="1" applyFill="1" applyBorder="1"/>
    <xf numFmtId="0" fontId="0" fillId="2" borderId="0" xfId="0" applyFill="1" applyBorder="1" applyAlignment="1">
      <alignment wrapText="1"/>
    </xf>
    <xf numFmtId="165" fontId="0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73" fontId="0" fillId="2" borderId="0" xfId="0" applyNumberFormat="1" applyFont="1" applyFill="1" applyBorder="1" applyAlignment="1">
      <alignment horizontal="center" vertical="center"/>
    </xf>
    <xf numFmtId="9" fontId="0" fillId="2" borderId="0" xfId="2" applyNumberFormat="1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73" fontId="0" fillId="2" borderId="9" xfId="0" applyNumberFormat="1" applyFont="1" applyFill="1" applyBorder="1" applyAlignment="1">
      <alignment horizontal="center" vertical="center"/>
    </xf>
    <xf numFmtId="167" fontId="0" fillId="2" borderId="48" xfId="0" applyNumberFormat="1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9" fontId="0" fillId="2" borderId="34" xfId="2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167" fontId="0" fillId="2" borderId="53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67" fontId="0" fillId="2" borderId="9" xfId="0" applyNumberFormat="1" applyFont="1" applyFill="1" applyBorder="1" applyAlignment="1">
      <alignment horizontal="center" vertical="center"/>
    </xf>
    <xf numFmtId="167" fontId="0" fillId="2" borderId="56" xfId="0" applyNumberFormat="1" applyFont="1" applyFill="1" applyBorder="1" applyAlignment="1">
      <alignment horizontal="center" vertical="center"/>
    </xf>
    <xf numFmtId="9" fontId="0" fillId="2" borderId="19" xfId="2" applyFont="1" applyFill="1" applyBorder="1" applyAlignment="1">
      <alignment horizontal="center" vertical="center"/>
    </xf>
    <xf numFmtId="9" fontId="0" fillId="2" borderId="48" xfId="2" applyFont="1" applyFill="1" applyBorder="1" applyAlignment="1">
      <alignment horizontal="center" vertical="center"/>
    </xf>
    <xf numFmtId="167" fontId="0" fillId="2" borderId="0" xfId="0" applyNumberFormat="1" applyFont="1" applyFill="1"/>
    <xf numFmtId="171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center"/>
    </xf>
    <xf numFmtId="171" fontId="0" fillId="2" borderId="0" xfId="0" applyNumberFormat="1" applyFont="1" applyFill="1"/>
    <xf numFmtId="9" fontId="0" fillId="2" borderId="0" xfId="2" applyFont="1" applyFill="1" applyAlignment="1">
      <alignment horizontal="center" vertical="center"/>
    </xf>
    <xf numFmtId="171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9" fontId="0" fillId="2" borderId="0" xfId="2" applyFont="1" applyFill="1" applyAlignment="1">
      <alignment vertical="center"/>
    </xf>
    <xf numFmtId="167" fontId="0" fillId="2" borderId="28" xfId="0" applyNumberFormat="1" applyFont="1" applyFill="1" applyBorder="1" applyAlignment="1">
      <alignment horizontal="center" vertical="center"/>
    </xf>
    <xf numFmtId="1" fontId="0" fillId="2" borderId="36" xfId="0" applyNumberFormat="1" applyFont="1" applyFill="1" applyBorder="1" applyAlignment="1">
      <alignment horizontal="center" vertical="center"/>
    </xf>
    <xf numFmtId="167" fontId="0" fillId="2" borderId="51" xfId="0" applyNumberFormat="1" applyFont="1" applyFill="1" applyBorder="1" applyAlignment="1">
      <alignment horizontal="center" vertical="center"/>
    </xf>
    <xf numFmtId="167" fontId="0" fillId="2" borderId="37" xfId="0" applyNumberFormat="1" applyFont="1" applyFill="1" applyBorder="1" applyAlignment="1">
      <alignment horizontal="center" vertical="center"/>
    </xf>
    <xf numFmtId="9" fontId="0" fillId="2" borderId="35" xfId="2" applyFont="1" applyFill="1" applyBorder="1" applyAlignment="1">
      <alignment horizontal="center" vertical="center"/>
    </xf>
    <xf numFmtId="9" fontId="0" fillId="2" borderId="52" xfId="2" applyFont="1" applyFill="1" applyBorder="1" applyAlignment="1">
      <alignment horizontal="center" vertical="center"/>
    </xf>
    <xf numFmtId="0" fontId="0" fillId="2" borderId="0" xfId="0" applyNumberFormat="1" applyFont="1" applyFill="1"/>
    <xf numFmtId="0" fontId="0" fillId="2" borderId="35" xfId="0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3" fillId="2" borderId="0" xfId="0" applyFont="1" applyFill="1"/>
    <xf numFmtId="167" fontId="0" fillId="2" borderId="17" xfId="0" applyNumberFormat="1" applyFont="1" applyFill="1" applyBorder="1" applyAlignment="1">
      <alignment horizontal="center" vertical="center"/>
    </xf>
    <xf numFmtId="167" fontId="0" fillId="2" borderId="1" xfId="0" applyNumberFormat="1" applyFont="1" applyFill="1" applyBorder="1" applyAlignment="1">
      <alignment horizontal="center" vertical="center"/>
    </xf>
    <xf numFmtId="9" fontId="0" fillId="2" borderId="31" xfId="2" applyFont="1" applyFill="1" applyBorder="1" applyAlignment="1">
      <alignment horizontal="center" vertical="center"/>
    </xf>
    <xf numFmtId="167" fontId="0" fillId="2" borderId="35" xfId="0" applyNumberFormat="1" applyFont="1" applyFill="1" applyBorder="1" applyAlignment="1">
      <alignment horizontal="center" vertical="center"/>
    </xf>
    <xf numFmtId="167" fontId="0" fillId="2" borderId="36" xfId="0" applyNumberFormat="1" applyFont="1" applyFill="1" applyBorder="1" applyAlignment="1">
      <alignment horizontal="center" vertical="center"/>
    </xf>
    <xf numFmtId="9" fontId="0" fillId="2" borderId="29" xfId="2" applyFont="1" applyFill="1" applyBorder="1" applyAlignment="1">
      <alignment horizontal="center" vertical="center"/>
    </xf>
    <xf numFmtId="167" fontId="0" fillId="2" borderId="0" xfId="0" applyNumberFormat="1" applyFill="1"/>
    <xf numFmtId="167" fontId="0" fillId="2" borderId="0" xfId="0" applyNumberFormat="1" applyFill="1" applyAlignment="1">
      <alignment horizontal="center" vertical="center"/>
    </xf>
    <xf numFmtId="169" fontId="1" fillId="2" borderId="3" xfId="1" applyNumberFormat="1" applyFont="1" applyFill="1" applyBorder="1"/>
    <xf numFmtId="0" fontId="0" fillId="2" borderId="63" xfId="0" applyFill="1" applyBorder="1" applyAlignment="1"/>
    <xf numFmtId="165" fontId="0" fillId="2" borderId="35" xfId="0" applyNumberFormat="1" applyFill="1" applyBorder="1" applyAlignment="1">
      <alignment horizontal="left"/>
    </xf>
    <xf numFmtId="0" fontId="0" fillId="2" borderId="0" xfId="0" applyNumberFormat="1" applyFill="1"/>
    <xf numFmtId="0" fontId="0" fillId="2" borderId="0" xfId="0" applyNumberFormat="1" applyFill="1" applyBorder="1"/>
    <xf numFmtId="166" fontId="0" fillId="2" borderId="0" xfId="0" applyNumberFormat="1" applyFill="1" applyBorder="1"/>
    <xf numFmtId="172" fontId="0" fillId="2" borderId="0" xfId="1" applyNumberFormat="1" applyFont="1" applyFill="1" applyBorder="1"/>
    <xf numFmtId="166" fontId="4" fillId="2" borderId="0" xfId="0" applyNumberFormat="1" applyFont="1" applyFill="1" applyBorder="1"/>
    <xf numFmtId="0" fontId="4" fillId="2" borderId="0" xfId="0" applyNumberFormat="1" applyFont="1" applyFill="1" applyBorder="1"/>
    <xf numFmtId="0" fontId="0" fillId="2" borderId="67" xfId="0" applyFill="1" applyBorder="1"/>
    <xf numFmtId="44" fontId="0" fillId="2" borderId="0" xfId="1" applyFont="1" applyFill="1"/>
    <xf numFmtId="0" fontId="0" fillId="2" borderId="42" xfId="0" applyNumberFormat="1" applyFill="1" applyBorder="1"/>
    <xf numFmtId="167" fontId="0" fillId="2" borderId="47" xfId="0" applyNumberFormat="1" applyFill="1" applyBorder="1"/>
    <xf numFmtId="0" fontId="0" fillId="2" borderId="2" xfId="0" applyNumberFormat="1" applyFill="1" applyBorder="1"/>
    <xf numFmtId="167" fontId="0" fillId="2" borderId="10" xfId="0" applyNumberFormat="1" applyFont="1" applyFill="1" applyBorder="1" applyAlignment="1">
      <alignment horizontal="center" vertical="center"/>
    </xf>
    <xf numFmtId="167" fontId="0" fillId="2" borderId="65" xfId="0" applyNumberFormat="1" applyFont="1" applyFill="1" applyBorder="1"/>
    <xf numFmtId="169" fontId="0" fillId="2" borderId="25" xfId="1" applyNumberFormat="1" applyFont="1" applyFill="1" applyBorder="1"/>
    <xf numFmtId="169" fontId="0" fillId="2" borderId="66" xfId="1" applyNumberFormat="1" applyFont="1" applyFill="1" applyBorder="1"/>
    <xf numFmtId="169" fontId="0" fillId="2" borderId="10" xfId="1" applyNumberFormat="1" applyFont="1" applyFill="1" applyBorder="1"/>
    <xf numFmtId="169" fontId="0" fillId="2" borderId="64" xfId="1" applyNumberFormat="1" applyFont="1" applyFill="1" applyBorder="1"/>
    <xf numFmtId="169" fontId="0" fillId="2" borderId="65" xfId="1" applyNumberFormat="1" applyFont="1" applyFill="1" applyBorder="1"/>
    <xf numFmtId="0" fontId="0" fillId="2" borderId="66" xfId="1" applyNumberFormat="1" applyFont="1" applyFill="1" applyBorder="1"/>
    <xf numFmtId="0" fontId="0" fillId="2" borderId="10" xfId="1" applyNumberFormat="1" applyFont="1" applyFill="1" applyBorder="1"/>
    <xf numFmtId="0" fontId="0" fillId="2" borderId="64" xfId="1" applyNumberFormat="1" applyFont="1" applyFill="1" applyBorder="1"/>
    <xf numFmtId="1" fontId="0" fillId="2" borderId="64" xfId="1" applyNumberFormat="1" applyFont="1" applyFill="1" applyBorder="1"/>
    <xf numFmtId="169" fontId="0" fillId="2" borderId="11" xfId="1" applyNumberFormat="1" applyFont="1" applyFill="1" applyBorder="1"/>
    <xf numFmtId="9" fontId="0" fillId="2" borderId="10" xfId="2" applyFont="1" applyFill="1" applyBorder="1"/>
    <xf numFmtId="9" fontId="0" fillId="2" borderId="65" xfId="2" applyFont="1" applyFill="1" applyBorder="1"/>
    <xf numFmtId="169" fontId="0" fillId="2" borderId="45" xfId="1" applyNumberFormat="1" applyFont="1" applyFill="1" applyBorder="1"/>
    <xf numFmtId="169" fontId="0" fillId="2" borderId="42" xfId="1" applyNumberFormat="1" applyFont="1" applyFill="1" applyBorder="1"/>
    <xf numFmtId="169" fontId="0" fillId="2" borderId="32" xfId="1" applyNumberFormat="1" applyFont="1" applyFill="1" applyBorder="1"/>
    <xf numFmtId="169" fontId="0" fillId="2" borderId="33" xfId="1" applyNumberFormat="1" applyFont="1" applyFill="1" applyBorder="1"/>
    <xf numFmtId="169" fontId="0" fillId="2" borderId="34" xfId="1" applyNumberFormat="1" applyFont="1" applyFill="1" applyBorder="1"/>
    <xf numFmtId="0" fontId="0" fillId="2" borderId="42" xfId="1" applyNumberFormat="1" applyFont="1" applyFill="1" applyBorder="1"/>
    <xf numFmtId="0" fontId="0" fillId="2" borderId="32" xfId="1" applyNumberFormat="1" applyFont="1" applyFill="1" applyBorder="1"/>
    <xf numFmtId="1" fontId="0" fillId="2" borderId="33" xfId="1" applyNumberFormat="1" applyFont="1" applyFill="1" applyBorder="1"/>
    <xf numFmtId="173" fontId="0" fillId="2" borderId="33" xfId="1" applyNumberFormat="1" applyFont="1" applyFill="1" applyBorder="1"/>
    <xf numFmtId="169" fontId="0" fillId="2" borderId="47" xfId="1" applyNumberFormat="1" applyFont="1" applyFill="1" applyBorder="1"/>
    <xf numFmtId="9" fontId="0" fillId="2" borderId="32" xfId="2" applyFont="1" applyFill="1" applyBorder="1"/>
    <xf numFmtId="169" fontId="0" fillId="2" borderId="29" xfId="1" applyNumberFormat="1" applyFont="1" applyFill="1" applyBorder="1"/>
    <xf numFmtId="169" fontId="0" fillId="2" borderId="44" xfId="1" applyNumberFormat="1" applyFont="1" applyFill="1" applyBorder="1"/>
    <xf numFmtId="169" fontId="0" fillId="2" borderId="35" xfId="1" applyNumberFormat="1" applyFont="1" applyFill="1" applyBorder="1"/>
    <xf numFmtId="169" fontId="0" fillId="2" borderId="36" xfId="1" applyNumberFormat="1" applyFont="1" applyFill="1" applyBorder="1"/>
    <xf numFmtId="169" fontId="0" fillId="2" borderId="37" xfId="1" applyNumberFormat="1" applyFont="1" applyFill="1" applyBorder="1"/>
    <xf numFmtId="0" fontId="0" fillId="2" borderId="44" xfId="1" applyNumberFormat="1" applyFont="1" applyFill="1" applyBorder="1"/>
    <xf numFmtId="0" fontId="0" fillId="2" borderId="35" xfId="1" applyNumberFormat="1" applyFont="1" applyFill="1" applyBorder="1"/>
    <xf numFmtId="1" fontId="0" fillId="2" borderId="36" xfId="1" applyNumberFormat="1" applyFont="1" applyFill="1" applyBorder="1"/>
    <xf numFmtId="169" fontId="0" fillId="2" borderId="67" xfId="1" applyNumberFormat="1" applyFont="1" applyFill="1" applyBorder="1"/>
    <xf numFmtId="9" fontId="0" fillId="2" borderId="35" xfId="2" applyFont="1" applyFill="1" applyBorder="1"/>
    <xf numFmtId="169" fontId="0" fillId="2" borderId="53" xfId="1" applyNumberFormat="1" applyFont="1" applyFill="1" applyBorder="1"/>
    <xf numFmtId="169" fontId="0" fillId="2" borderId="4" xfId="1" applyNumberFormat="1" applyFont="1" applyFill="1" applyBorder="1"/>
    <xf numFmtId="169" fontId="0" fillId="2" borderId="15" xfId="1" applyNumberFormat="1" applyFont="1" applyFill="1" applyBorder="1"/>
    <xf numFmtId="169" fontId="0" fillId="2" borderId="9" xfId="1" applyNumberFormat="1" applyFont="1" applyFill="1" applyBorder="1"/>
    <xf numFmtId="169" fontId="0" fillId="2" borderId="48" xfId="1" applyNumberFormat="1" applyFont="1" applyFill="1" applyBorder="1"/>
    <xf numFmtId="0" fontId="0" fillId="2" borderId="4" xfId="1" applyNumberFormat="1" applyFont="1" applyFill="1" applyBorder="1"/>
    <xf numFmtId="0" fontId="0" fillId="2" borderId="15" xfId="1" applyNumberFormat="1" applyFont="1" applyFill="1" applyBorder="1"/>
    <xf numFmtId="1" fontId="0" fillId="2" borderId="9" xfId="1" applyNumberFormat="1" applyFont="1" applyFill="1" applyBorder="1"/>
    <xf numFmtId="169" fontId="0" fillId="2" borderId="5" xfId="1" applyNumberFormat="1" applyFont="1" applyFill="1" applyBorder="1"/>
    <xf numFmtId="9" fontId="0" fillId="2" borderId="15" xfId="2" applyFont="1" applyFill="1" applyBorder="1"/>
    <xf numFmtId="169" fontId="0" fillId="2" borderId="0" xfId="0" applyNumberFormat="1" applyFont="1" applyFill="1"/>
    <xf numFmtId="1" fontId="0" fillId="2" borderId="33" xfId="1" applyNumberFormat="1" applyFont="1" applyFill="1" applyBorder="1" applyAlignment="1">
      <alignment horizontal="center" vertical="center"/>
    </xf>
    <xf numFmtId="169" fontId="0" fillId="2" borderId="42" xfId="1" applyNumberFormat="1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9" fontId="0" fillId="2" borderId="18" xfId="2" applyFont="1" applyFill="1" applyBorder="1" applyAlignment="1">
      <alignment horizontal="center" vertical="center"/>
    </xf>
    <xf numFmtId="0" fontId="0" fillId="2" borderId="33" xfId="1" applyNumberFormat="1" applyFont="1" applyFill="1" applyBorder="1"/>
    <xf numFmtId="169" fontId="0" fillId="2" borderId="17" xfId="1" applyNumberFormat="1" applyFont="1" applyFill="1" applyBorder="1" applyAlignment="1">
      <alignment horizontal="center" vertical="center"/>
    </xf>
    <xf numFmtId="1" fontId="0" fillId="2" borderId="1" xfId="1" applyNumberFormat="1" applyFont="1" applyFill="1" applyBorder="1" applyAlignment="1">
      <alignment horizontal="center" vertical="center"/>
    </xf>
    <xf numFmtId="173" fontId="0" fillId="2" borderId="1" xfId="1" applyNumberFormat="1" applyFont="1" applyFill="1" applyBorder="1" applyAlignment="1">
      <alignment horizontal="center" vertical="center"/>
    </xf>
    <xf numFmtId="169" fontId="0" fillId="2" borderId="6" xfId="1" applyNumberFormat="1" applyFont="1" applyFill="1" applyBorder="1" applyAlignment="1">
      <alignment horizontal="center" vertical="center"/>
    </xf>
    <xf numFmtId="169" fontId="0" fillId="2" borderId="1" xfId="1" applyNumberFormat="1" applyFont="1" applyFill="1" applyBorder="1" applyAlignment="1">
      <alignment horizontal="center" vertical="center"/>
    </xf>
    <xf numFmtId="9" fontId="0" fillId="2" borderId="61" xfId="2" applyFont="1" applyFill="1" applyBorder="1" applyAlignment="1">
      <alignment horizontal="center" vertical="center"/>
    </xf>
    <xf numFmtId="169" fontId="0" fillId="2" borderId="35" xfId="1" applyNumberFormat="1" applyFont="1" applyFill="1" applyBorder="1" applyAlignment="1">
      <alignment horizontal="center" vertical="center"/>
    </xf>
    <xf numFmtId="1" fontId="0" fillId="2" borderId="36" xfId="1" applyNumberFormat="1" applyFont="1" applyFill="1" applyBorder="1" applyAlignment="1">
      <alignment horizontal="center" vertical="center"/>
    </xf>
    <xf numFmtId="173" fontId="0" fillId="2" borderId="36" xfId="1" applyNumberFormat="1" applyFont="1" applyFill="1" applyBorder="1" applyAlignment="1">
      <alignment horizontal="center" vertical="center"/>
    </xf>
    <xf numFmtId="169" fontId="0" fillId="2" borderId="44" xfId="1" applyNumberFormat="1" applyFont="1" applyFill="1" applyBorder="1" applyAlignment="1">
      <alignment horizontal="center" vertical="center"/>
    </xf>
    <xf numFmtId="169" fontId="0" fillId="2" borderId="36" xfId="1" applyNumberFormat="1" applyFont="1" applyFill="1" applyBorder="1" applyAlignment="1">
      <alignment horizontal="center" vertical="center"/>
    </xf>
    <xf numFmtId="169" fontId="0" fillId="2" borderId="52" xfId="1" applyNumberFormat="1" applyFont="1" applyFill="1" applyBorder="1"/>
    <xf numFmtId="9" fontId="0" fillId="2" borderId="59" xfId="2" applyFont="1" applyFill="1" applyBorder="1" applyAlignment="1">
      <alignment horizontal="center" vertical="center"/>
    </xf>
    <xf numFmtId="167" fontId="0" fillId="2" borderId="0" xfId="0" applyNumberFormat="1" applyFill="1" applyBorder="1" applyAlignment="1">
      <alignment vertical="center"/>
    </xf>
    <xf numFmtId="169" fontId="0" fillId="3" borderId="53" xfId="1" applyNumberFormat="1" applyFont="1" applyFill="1" applyBorder="1"/>
    <xf numFmtId="169" fontId="0" fillId="3" borderId="4" xfId="1" applyNumberFormat="1" applyFont="1" applyFill="1" applyBorder="1"/>
    <xf numFmtId="169" fontId="0" fillId="3" borderId="15" xfId="1" applyNumberFormat="1" applyFont="1" applyFill="1" applyBorder="1"/>
    <xf numFmtId="169" fontId="0" fillId="3" borderId="9" xfId="1" applyNumberFormat="1" applyFont="1" applyFill="1" applyBorder="1"/>
    <xf numFmtId="169" fontId="0" fillId="3" borderId="48" xfId="1" applyNumberFormat="1" applyFont="1" applyFill="1" applyBorder="1"/>
    <xf numFmtId="169" fontId="0" fillId="3" borderId="29" xfId="1" applyNumberFormat="1" applyFont="1" applyFill="1" applyBorder="1"/>
    <xf numFmtId="169" fontId="0" fillId="3" borderId="44" xfId="1" applyNumberFormat="1" applyFont="1" applyFill="1" applyBorder="1"/>
    <xf numFmtId="169" fontId="0" fillId="3" borderId="35" xfId="1" applyNumberFormat="1" applyFont="1" applyFill="1" applyBorder="1"/>
    <xf numFmtId="169" fontId="0" fillId="3" borderId="36" xfId="1" applyNumberFormat="1" applyFont="1" applyFill="1" applyBorder="1"/>
    <xf numFmtId="169" fontId="0" fillId="3" borderId="37" xfId="1" applyNumberFormat="1" applyFont="1" applyFill="1" applyBorder="1"/>
    <xf numFmtId="165" fontId="0" fillId="2" borderId="44" xfId="0" applyNumberFormat="1" applyFill="1" applyBorder="1" applyAlignment="1">
      <alignment horizontal="left"/>
    </xf>
    <xf numFmtId="165" fontId="0" fillId="2" borderId="67" xfId="0" applyNumberFormat="1" applyFill="1" applyBorder="1" applyAlignment="1">
      <alignment horizontal="left"/>
    </xf>
    <xf numFmtId="167" fontId="0" fillId="2" borderId="67" xfId="0" applyNumberFormat="1" applyFill="1" applyBorder="1"/>
    <xf numFmtId="0" fontId="0" fillId="2" borderId="32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left" wrapText="1"/>
    </xf>
    <xf numFmtId="0" fontId="0" fillId="2" borderId="23" xfId="0" applyFill="1" applyBorder="1" applyAlignment="1">
      <alignment horizontal="left" wrapText="1"/>
    </xf>
    <xf numFmtId="0" fontId="0" fillId="2" borderId="24" xfId="0" applyFill="1" applyBorder="1" applyAlignment="1">
      <alignment horizontal="left" wrapText="1"/>
    </xf>
    <xf numFmtId="0" fontId="0" fillId="2" borderId="27" xfId="0" applyFill="1" applyBorder="1" applyAlignment="1">
      <alignment horizontal="left" wrapText="1"/>
    </xf>
    <xf numFmtId="0" fontId="0" fillId="2" borderId="49" xfId="0" applyFill="1" applyBorder="1" applyAlignment="1">
      <alignment horizontal="left" wrapText="1"/>
    </xf>
    <xf numFmtId="0" fontId="0" fillId="2" borderId="50" xfId="0" applyFill="1" applyBorder="1" applyAlignment="1">
      <alignment horizontal="left" wrapText="1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165" fontId="0" fillId="2" borderId="66" xfId="0" applyNumberFormat="1" applyFill="1" applyBorder="1" applyAlignment="1">
      <alignment horizontal="left"/>
    </xf>
    <xf numFmtId="165" fontId="0" fillId="2" borderId="11" xfId="0" applyNumberFormat="1" applyFill="1" applyBorder="1" applyAlignment="1">
      <alignment horizontal="left"/>
    </xf>
    <xf numFmtId="165" fontId="0" fillId="2" borderId="43" xfId="0" applyNumberFormat="1" applyFill="1" applyBorder="1" applyAlignment="1">
      <alignment horizontal="left"/>
    </xf>
    <xf numFmtId="165" fontId="0" fillId="2" borderId="68" xfId="0" applyNumberFormat="1" applyFill="1" applyBorder="1" applyAlignment="1">
      <alignment horizontal="left"/>
    </xf>
    <xf numFmtId="0" fontId="7" fillId="2" borderId="49" xfId="0" applyFont="1" applyFill="1" applyBorder="1" applyAlignment="1">
      <alignment horizontal="left" wrapText="1"/>
    </xf>
    <xf numFmtId="0" fontId="7" fillId="2" borderId="50" xfId="0" applyFont="1" applyFill="1" applyBorder="1" applyAlignment="1">
      <alignment horizontal="left" wrapText="1"/>
    </xf>
    <xf numFmtId="0" fontId="0" fillId="2" borderId="10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165" fontId="0" fillId="2" borderId="6" xfId="0" applyNumberFormat="1" applyFill="1" applyBorder="1" applyAlignment="1">
      <alignment horizontal="left"/>
    </xf>
    <xf numFmtId="165" fontId="0" fillId="2" borderId="7" xfId="0" applyNumberFormat="1" applyFill="1" applyBorder="1" applyAlignment="1">
      <alignment horizontal="left"/>
    </xf>
    <xf numFmtId="0" fontId="0" fillId="2" borderId="19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167" fontId="0" fillId="2" borderId="0" xfId="0" applyNumberFormat="1" applyFill="1" applyAlignment="1">
      <alignment horizontal="center" vertical="center"/>
    </xf>
    <xf numFmtId="167" fontId="0" fillId="2" borderId="15" xfId="0" applyNumberFormat="1" applyFill="1" applyBorder="1" applyAlignment="1">
      <alignment horizontal="center" vertical="center"/>
    </xf>
    <xf numFmtId="167" fontId="0" fillId="2" borderId="19" xfId="0" applyNumberFormat="1" applyFill="1" applyBorder="1" applyAlignment="1">
      <alignment horizontal="center" vertical="center"/>
    </xf>
    <xf numFmtId="167" fontId="0" fillId="2" borderId="48" xfId="0" applyNumberFormat="1" applyFill="1" applyBorder="1" applyAlignment="1">
      <alignment horizontal="center" vertical="center"/>
    </xf>
    <xf numFmtId="167" fontId="0" fillId="2" borderId="38" xfId="0" applyNumberFormat="1" applyFill="1" applyBorder="1" applyAlignment="1">
      <alignment horizontal="center" vertical="center"/>
    </xf>
    <xf numFmtId="167" fontId="0" fillId="2" borderId="32" xfId="0" applyNumberFormat="1" applyFill="1" applyBorder="1" applyAlignment="1">
      <alignment horizontal="center" vertical="center"/>
    </xf>
    <xf numFmtId="167" fontId="0" fillId="2" borderId="35" xfId="0" applyNumberFormat="1" applyFill="1" applyBorder="1" applyAlignment="1">
      <alignment horizontal="center" vertical="center"/>
    </xf>
    <xf numFmtId="167" fontId="0" fillId="2" borderId="34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left" wrapText="1"/>
    </xf>
    <xf numFmtId="0" fontId="0" fillId="2" borderId="34" xfId="0" applyFill="1" applyBorder="1" applyAlignment="1">
      <alignment horizontal="left" wrapText="1"/>
    </xf>
    <xf numFmtId="0" fontId="7" fillId="2" borderId="12" xfId="0" applyFont="1" applyFill="1" applyBorder="1" applyAlignment="1">
      <alignment horizontal="left" wrapText="1"/>
    </xf>
    <xf numFmtId="0" fontId="7" fillId="2" borderId="23" xfId="0" applyFont="1" applyFill="1" applyBorder="1" applyAlignment="1">
      <alignment horizontal="left" wrapText="1"/>
    </xf>
    <xf numFmtId="0" fontId="7" fillId="2" borderId="32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left" wrapText="1"/>
    </xf>
    <xf numFmtId="0" fontId="7" fillId="2" borderId="34" xfId="0" applyFont="1" applyFill="1" applyBorder="1" applyAlignment="1">
      <alignment horizontal="left" wrapText="1"/>
    </xf>
    <xf numFmtId="0" fontId="7" fillId="2" borderId="38" xfId="0" applyFont="1" applyFill="1" applyBorder="1" applyAlignment="1">
      <alignment horizontal="left" wrapText="1"/>
    </xf>
    <xf numFmtId="9" fontId="0" fillId="2" borderId="67" xfId="0" applyNumberFormat="1" applyFill="1" applyBorder="1" applyAlignment="1">
      <alignment horizontal="right"/>
    </xf>
    <xf numFmtId="170" fontId="0" fillId="2" borderId="33" xfId="0" applyNumberFormat="1" applyFont="1" applyFill="1" applyBorder="1" applyAlignment="1">
      <alignment horizontal="center" vertical="center"/>
    </xf>
    <xf numFmtId="170" fontId="0" fillId="2" borderId="34" xfId="0" applyNumberFormat="1" applyFont="1" applyFill="1" applyBorder="1" applyAlignment="1">
      <alignment horizontal="center" vertical="center"/>
    </xf>
    <xf numFmtId="170" fontId="0" fillId="2" borderId="36" xfId="0" applyNumberFormat="1" applyFont="1" applyFill="1" applyBorder="1" applyAlignment="1">
      <alignment horizontal="center" vertical="center"/>
    </xf>
    <xf numFmtId="170" fontId="0" fillId="2" borderId="37" xfId="0" applyNumberFormat="1" applyFont="1" applyFill="1" applyBorder="1" applyAlignment="1">
      <alignment horizontal="center" vertical="center"/>
    </xf>
    <xf numFmtId="170" fontId="0" fillId="2" borderId="9" xfId="0" applyNumberFormat="1" applyFont="1" applyFill="1" applyBorder="1" applyAlignment="1">
      <alignment horizontal="center" vertical="center"/>
    </xf>
    <xf numFmtId="170" fontId="0" fillId="2" borderId="48" xfId="0" applyNumberFormat="1" applyFont="1" applyFill="1" applyBorder="1" applyAlignment="1">
      <alignment horizontal="center" vertical="center"/>
    </xf>
  </cellXfs>
  <cellStyles count="53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Replacement Rate of the Net Salary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Equally divided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UK!$B$41:$B$44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</c:strCache>
            </c:strRef>
          </c:cat>
          <c:val>
            <c:numRef>
              <c:f>UK!$J$49:$J$52</c:f>
              <c:numCache>
                <c:formatCode>0%</c:formatCode>
                <c:ptCount val="4"/>
                <c:pt idx="0">
                  <c:v>0.656947785098937</c:v>
                </c:pt>
                <c:pt idx="1">
                  <c:v>0.430287803472544</c:v>
                </c:pt>
                <c:pt idx="2">
                  <c:v>0.460265325270713</c:v>
                </c:pt>
                <c:pt idx="3">
                  <c:v>0.258198754128443</c:v>
                </c:pt>
              </c:numCache>
            </c:numRef>
          </c:val>
          <c:smooth val="0"/>
        </c:ser>
        <c:ser>
          <c:idx val="1"/>
          <c:order val="1"/>
          <c:tx>
            <c:v>Father takes a minimum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UK!$B$41:$B$44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</c:strCache>
            </c:strRef>
          </c:cat>
          <c:val>
            <c:numRef>
              <c:f>UK!$J$41:$J$44</c:f>
              <c:numCache>
                <c:formatCode>0%</c:formatCode>
                <c:ptCount val="4"/>
                <c:pt idx="0">
                  <c:v>0.656947785098937</c:v>
                </c:pt>
                <c:pt idx="1">
                  <c:v>0.518472734957432</c:v>
                </c:pt>
                <c:pt idx="2">
                  <c:v>0.460265325270713</c:v>
                </c:pt>
                <c:pt idx="3">
                  <c:v>0.333624625708843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67028512"/>
        <c:axId val="-1102768512"/>
      </c:lineChart>
      <c:catAx>
        <c:axId val="-106702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2768512"/>
        <c:crosses val="autoZero"/>
        <c:auto val="1"/>
        <c:lblAlgn val="ctr"/>
        <c:lblOffset val="100"/>
        <c:noMultiLvlLbl val="0"/>
      </c:catAx>
      <c:valAx>
        <c:axId val="-1102768512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670285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Compared to the Average Net Salary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Comparison!$C$30</c:f>
              <c:strCache>
                <c:ptCount val="1"/>
                <c:pt idx="0">
                  <c:v>SWE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Comparison!$B$31:$B$35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Comparison!$C$31:$C$35</c:f>
              <c:numCache>
                <c:formatCode>0%</c:formatCode>
                <c:ptCount val="5"/>
                <c:pt idx="0">
                  <c:v>0.265474616838385</c:v>
                </c:pt>
                <c:pt idx="1">
                  <c:v>0.481639615455119</c:v>
                </c:pt>
                <c:pt idx="2">
                  <c:v>0.821722174297927</c:v>
                </c:pt>
                <c:pt idx="3">
                  <c:v>0.893933618596253</c:v>
                </c:pt>
                <c:pt idx="4">
                  <c:v>0.94912428975201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Comparison!$D$30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Comparison!$B$31:$B$35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Comparison!$D$31:$D$35</c:f>
              <c:numCache>
                <c:formatCode>0%</c:formatCode>
                <c:ptCount val="5"/>
                <c:pt idx="0">
                  <c:v>0.0</c:v>
                </c:pt>
                <c:pt idx="1">
                  <c:v>0.378033352863931</c:v>
                </c:pt>
                <c:pt idx="2">
                  <c:v>0.419149339067322</c:v>
                </c:pt>
                <c:pt idx="3">
                  <c:v>0.460265325270713</c:v>
                </c:pt>
                <c:pt idx="4">
                  <c:v>0.624729270084278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Comparison!$E$30</c:f>
              <c:strCache>
                <c:ptCount val="1"/>
                <c:pt idx="0">
                  <c:v>CZE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Comparison!$B$31:$B$35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Comparison!$E$31:$E$35</c:f>
              <c:numCache>
                <c:formatCode>0%</c:formatCode>
                <c:ptCount val="5"/>
                <c:pt idx="0">
                  <c:v>0.214136572865752</c:v>
                </c:pt>
                <c:pt idx="1">
                  <c:v>0.453320496164262</c:v>
                </c:pt>
                <c:pt idx="2">
                  <c:v>0.581586702934255</c:v>
                </c:pt>
                <c:pt idx="3">
                  <c:v>0.638993179891499</c:v>
                </c:pt>
                <c:pt idx="4">
                  <c:v>0.7427034503588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02936864"/>
        <c:axId val="-1102934816"/>
      </c:lineChart>
      <c:catAx>
        <c:axId val="-110293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2934816"/>
        <c:crosses val="autoZero"/>
        <c:auto val="1"/>
        <c:lblAlgn val="ctr"/>
        <c:lblOffset val="100"/>
        <c:noMultiLvlLbl val="0"/>
      </c:catAx>
      <c:valAx>
        <c:axId val="-110293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293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Replacement Rate of the Net Salary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Comparison!$C$45</c:f>
              <c:strCache>
                <c:ptCount val="1"/>
                <c:pt idx="0">
                  <c:v>SWE-1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Comparison!$B$46:$B$49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</c:strCache>
            </c:strRef>
          </c:cat>
          <c:val>
            <c:numRef>
              <c:f>Comparison!$C$46:$C$49</c:f>
              <c:numCache>
                <c:formatCode>0%</c:formatCode>
                <c:ptCount val="4"/>
                <c:pt idx="0">
                  <c:v>0.850402260688471</c:v>
                </c:pt>
                <c:pt idx="1">
                  <c:v>0.846384660774932</c:v>
                </c:pt>
                <c:pt idx="2">
                  <c:v>0.862412885726261</c:v>
                </c:pt>
                <c:pt idx="3">
                  <c:v>0.487505424090466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Comparison!$D$45</c:f>
              <c:strCache>
                <c:ptCount val="1"/>
                <c:pt idx="0">
                  <c:v>UK-1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Comparison!$B$46:$B$49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</c:strCache>
            </c:strRef>
          </c:cat>
          <c:val>
            <c:numRef>
              <c:f>Comparison!$D$46:$D$49</c:f>
              <c:numCache>
                <c:formatCode>0%</c:formatCode>
                <c:ptCount val="4"/>
                <c:pt idx="0">
                  <c:v>0.656947785098937</c:v>
                </c:pt>
                <c:pt idx="1">
                  <c:v>0.518472734957432</c:v>
                </c:pt>
                <c:pt idx="2">
                  <c:v>0.460265325270713</c:v>
                </c:pt>
                <c:pt idx="3">
                  <c:v>0.333624625708843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Comparison!$E$45</c:f>
              <c:strCache>
                <c:ptCount val="1"/>
                <c:pt idx="0">
                  <c:v>CZE-1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Comparison!$B$46:$B$49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</c:strCache>
            </c:strRef>
          </c:cat>
          <c:val>
            <c:numRef>
              <c:f>Comparison!$E$46:$E$49</c:f>
              <c:numCache>
                <c:formatCode>0%</c:formatCode>
                <c:ptCount val="4"/>
                <c:pt idx="0">
                  <c:v>0.825511822992524</c:v>
                </c:pt>
                <c:pt idx="1">
                  <c:v>0.751196848969265</c:v>
                </c:pt>
                <c:pt idx="2">
                  <c:v>0.638993179891499</c:v>
                </c:pt>
                <c:pt idx="3">
                  <c:v>0.390522988482446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Comparison!$F$45</c:f>
              <c:strCache>
                <c:ptCount val="1"/>
                <c:pt idx="0">
                  <c:v>SWE-2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Comparison!$B$46:$B$49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</c:strCache>
            </c:strRef>
          </c:cat>
          <c:val>
            <c:numRef>
              <c:f>Comparison!$F$46:$F$49</c:f>
              <c:numCache>
                <c:formatCode>0%</c:formatCode>
                <c:ptCount val="4"/>
                <c:pt idx="0">
                  <c:v>0.909953867004675</c:v>
                </c:pt>
                <c:pt idx="1">
                  <c:v>0.838021179783533</c:v>
                </c:pt>
                <c:pt idx="2">
                  <c:v>0.893933618596253</c:v>
                </c:pt>
                <c:pt idx="3">
                  <c:v>0.423775794992509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Comparison!$G$45</c:f>
              <c:strCache>
                <c:ptCount val="1"/>
                <c:pt idx="0">
                  <c:v>UK-2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Comparison!$B$46:$B$49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</c:strCache>
            </c:strRef>
          </c:cat>
          <c:val>
            <c:numRef>
              <c:f>Comparison!$G$46:$G$49</c:f>
              <c:numCache>
                <c:formatCode>0%</c:formatCode>
                <c:ptCount val="4"/>
                <c:pt idx="0">
                  <c:v>0.656947785098937</c:v>
                </c:pt>
                <c:pt idx="1">
                  <c:v>0.430287803472544</c:v>
                </c:pt>
                <c:pt idx="2">
                  <c:v>0.460265325270713</c:v>
                </c:pt>
                <c:pt idx="3">
                  <c:v>0.258198754128443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Comparison!$H$45</c:f>
              <c:strCache>
                <c:ptCount val="1"/>
                <c:pt idx="0">
                  <c:v>CZE-2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</c:marker>
          <c:cat>
            <c:strRef>
              <c:f>Comparison!$B$46:$B$49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</c:strCache>
            </c:strRef>
          </c:cat>
          <c:val>
            <c:numRef>
              <c:f>Comparison!$H$46:$H$49</c:f>
              <c:numCache>
                <c:formatCode>0%</c:formatCode>
                <c:ptCount val="4"/>
                <c:pt idx="0">
                  <c:v>0.825511822992524</c:v>
                </c:pt>
                <c:pt idx="1">
                  <c:v>0.622877898840361</c:v>
                </c:pt>
                <c:pt idx="2">
                  <c:v>0.638993179891499</c:v>
                </c:pt>
                <c:pt idx="3">
                  <c:v>0.292712301733412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7440528"/>
        <c:axId val="-1067336752"/>
      </c:lineChart>
      <c:catAx>
        <c:axId val="-106744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67336752"/>
        <c:crosses val="autoZero"/>
        <c:auto val="1"/>
        <c:lblAlgn val="ctr"/>
        <c:lblOffset val="100"/>
        <c:noMultiLvlLbl val="0"/>
      </c:catAx>
      <c:valAx>
        <c:axId val="-1067336752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6744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Compared to the Average Net Salary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Comparison!$L$45</c:f>
              <c:strCache>
                <c:ptCount val="1"/>
                <c:pt idx="0">
                  <c:v>SWE-1</c:v>
                </c:pt>
              </c:strCache>
            </c:strRef>
          </c:tx>
          <c:spPr>
            <a:ln w="920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Comparison!$K$46:$K$50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Comparison!$L$46:$L$50</c:f>
              <c:numCache>
                <c:formatCode>0%</c:formatCode>
                <c:ptCount val="5"/>
                <c:pt idx="0">
                  <c:v>0.265474616838385</c:v>
                </c:pt>
                <c:pt idx="1">
                  <c:v>0.450118882585126</c:v>
                </c:pt>
                <c:pt idx="2">
                  <c:v>0.721600302337274</c:v>
                </c:pt>
                <c:pt idx="3">
                  <c:v>0.86241288572626</c:v>
                </c:pt>
                <c:pt idx="4">
                  <c:v>0.917603556882017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Comparison!$M$45</c:f>
              <c:strCache>
                <c:ptCount val="1"/>
                <c:pt idx="0">
                  <c:v>UK-1</c:v>
                </c:pt>
              </c:strCache>
            </c:strRef>
          </c:tx>
          <c:spPr>
            <a:ln w="952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Comparison!$K$46:$K$50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Comparison!$M$46:$M$50</c:f>
              <c:numCache>
                <c:formatCode>0%</c:formatCode>
                <c:ptCount val="5"/>
                <c:pt idx="0">
                  <c:v>0.0</c:v>
                </c:pt>
                <c:pt idx="1">
                  <c:v>0.378033352863931</c:v>
                </c:pt>
                <c:pt idx="2">
                  <c:v>0.419149339067322</c:v>
                </c:pt>
                <c:pt idx="3">
                  <c:v>0.460265325270713</c:v>
                </c:pt>
                <c:pt idx="4">
                  <c:v>0.624729270084278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Comparison!$N$45</c:f>
              <c:strCache>
                <c:ptCount val="1"/>
                <c:pt idx="0">
                  <c:v>CZE-1</c:v>
                </c:pt>
              </c:strCache>
            </c:strRef>
          </c:tx>
          <c:spPr>
            <a:ln w="1047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Comparison!$K$46:$K$50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Comparison!$N$46:$N$50</c:f>
              <c:numCache>
                <c:formatCode>0%</c:formatCode>
                <c:ptCount val="5"/>
                <c:pt idx="0">
                  <c:v>0.214136572865752</c:v>
                </c:pt>
                <c:pt idx="1">
                  <c:v>0.453320496164262</c:v>
                </c:pt>
                <c:pt idx="2">
                  <c:v>0.581586702934255</c:v>
                </c:pt>
                <c:pt idx="3">
                  <c:v>0.638993179891499</c:v>
                </c:pt>
                <c:pt idx="4">
                  <c:v>0.7427034503588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Comparison!$O$45</c:f>
              <c:strCache>
                <c:ptCount val="1"/>
                <c:pt idx="0">
                  <c:v>SWE-2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Comparison!$K$46:$K$50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Comparison!$O$46:$O$50</c:f>
              <c:numCache>
                <c:formatCode>0%</c:formatCode>
                <c:ptCount val="5"/>
                <c:pt idx="0">
                  <c:v>0.265474616838385</c:v>
                </c:pt>
                <c:pt idx="1">
                  <c:v>0.481639615455119</c:v>
                </c:pt>
                <c:pt idx="2">
                  <c:v>0.821722174297927</c:v>
                </c:pt>
                <c:pt idx="3">
                  <c:v>0.893933618596253</c:v>
                </c:pt>
                <c:pt idx="4">
                  <c:v>0.94912428975201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Comparison!$P$45</c:f>
              <c:strCache>
                <c:ptCount val="1"/>
                <c:pt idx="0">
                  <c:v>UK-2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Comparison!$K$46:$K$50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Comparison!$P$46:$P$50</c:f>
              <c:numCache>
                <c:formatCode>0%</c:formatCode>
                <c:ptCount val="5"/>
                <c:pt idx="0">
                  <c:v>0.0</c:v>
                </c:pt>
                <c:pt idx="1">
                  <c:v>0.378033352863931</c:v>
                </c:pt>
                <c:pt idx="2">
                  <c:v>0.419149339067322</c:v>
                </c:pt>
                <c:pt idx="3">
                  <c:v>0.460265325270713</c:v>
                </c:pt>
                <c:pt idx="4">
                  <c:v>0.624729270084278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Comparison!$Q$45</c:f>
              <c:strCache>
                <c:ptCount val="1"/>
                <c:pt idx="0">
                  <c:v>CZE-2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</c:marker>
          <c:cat>
            <c:strRef>
              <c:f>Comparison!$K$46:$K$50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Comparison!$Q$46:$Q$50</c:f>
              <c:numCache>
                <c:formatCode>0%</c:formatCode>
                <c:ptCount val="5"/>
                <c:pt idx="0">
                  <c:v>0.214136572865752</c:v>
                </c:pt>
                <c:pt idx="1">
                  <c:v>0.453320496164262</c:v>
                </c:pt>
                <c:pt idx="2">
                  <c:v>0.581586702934255</c:v>
                </c:pt>
                <c:pt idx="3">
                  <c:v>0.638993179891499</c:v>
                </c:pt>
                <c:pt idx="4">
                  <c:v>0.7427034503588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02989616"/>
        <c:axId val="-1102987984"/>
      </c:lineChart>
      <c:catAx>
        <c:axId val="-110298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2987984"/>
        <c:crosses val="autoZero"/>
        <c:auto val="1"/>
        <c:lblAlgn val="ctr"/>
        <c:lblOffset val="100"/>
        <c:noMultiLvlLbl val="0"/>
      </c:catAx>
      <c:valAx>
        <c:axId val="-110298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298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Average Salary to GDP</a:t>
            </a:r>
          </a:p>
        </c:rich>
      </c:tx>
      <c:layout>
        <c:manualLayout>
          <c:xMode val="edge"/>
          <c:yMode val="edge"/>
          <c:x val="0.270914264936409"/>
          <c:y val="0.0306302450123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'SWE-Average Salary'!$A$9</c:f>
              <c:strCache>
                <c:ptCount val="1"/>
                <c:pt idx="0">
                  <c:v>GDP (Millions)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63500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38100" cap="rnd">
                <a:solidFill>
                  <a:schemeClr val="accent1"/>
                </a:solidFill>
              </a:ln>
              <a:effectLst/>
            </c:spPr>
            <c:trendlineType val="linear"/>
            <c:forward val="200000.0"/>
            <c:dispRSqr val="1"/>
            <c:dispEq val="1"/>
            <c:trendlineLbl>
              <c:layout>
                <c:manualLayout>
                  <c:x val="-0.357743530277243"/>
                  <c:y val="-0.0089516225244571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'SWE-Average Salary'!$B$9:$Q$9</c:f>
              <c:numCache>
                <c:formatCode>_-* #,##0\ [$SEK-143B]_-;\-* #,##0\ [$SEK-143B]_-;_-* "-"\ [$SEK-143B]_-;_-@_-</c:formatCode>
                <c:ptCount val="16"/>
                <c:pt idx="0">
                  <c:v>2.380358E6</c:v>
                </c:pt>
                <c:pt idx="1">
                  <c:v>2.47813E6</c:v>
                </c:pt>
                <c:pt idx="2">
                  <c:v>2.569876E6</c:v>
                </c:pt>
                <c:pt idx="3">
                  <c:v>2.677446E6</c:v>
                </c:pt>
                <c:pt idx="4">
                  <c:v>2.805115E6</c:v>
                </c:pt>
                <c:pt idx="5">
                  <c:v>2.907352E6</c:v>
                </c:pt>
                <c:pt idx="6">
                  <c:v>3.099081E6</c:v>
                </c:pt>
                <c:pt idx="7">
                  <c:v>3.297053E6</c:v>
                </c:pt>
                <c:pt idx="8">
                  <c:v>3.387599E6</c:v>
                </c:pt>
                <c:pt idx="9">
                  <c:v>3.288509E6</c:v>
                </c:pt>
                <c:pt idx="10">
                  <c:v>3.519994E6</c:v>
                </c:pt>
                <c:pt idx="11">
                  <c:v>3.656577E6</c:v>
                </c:pt>
                <c:pt idx="12">
                  <c:v>3.6848E6</c:v>
                </c:pt>
                <c:pt idx="13">
                  <c:v>3.769909E6</c:v>
                </c:pt>
                <c:pt idx="14">
                  <c:v>3.93684E6</c:v>
                </c:pt>
                <c:pt idx="15">
                  <c:v>4.181103E6</c:v>
                </c:pt>
              </c:numCache>
            </c:numRef>
          </c:xVal>
          <c:yVal>
            <c:numRef>
              <c:f>'SWE-Average Salary'!$B$8:$Q$8</c:f>
              <c:numCache>
                <c:formatCode>_-* #,##0\ [$SEK-143B]_-;\-* #,##0\ [$SEK-143B]_-;_-* "-"\ [$SEK-143B]_-;_-@_-</c:formatCode>
                <c:ptCount val="16"/>
                <c:pt idx="0">
                  <c:v>250086.0</c:v>
                </c:pt>
                <c:pt idx="1">
                  <c:v>256870.0</c:v>
                </c:pt>
                <c:pt idx="2">
                  <c:v>262768.0</c:v>
                </c:pt>
                <c:pt idx="3">
                  <c:v>270342.0</c:v>
                </c:pt>
                <c:pt idx="4">
                  <c:v>280731.0</c:v>
                </c:pt>
                <c:pt idx="5">
                  <c:v>289360.0</c:v>
                </c:pt>
                <c:pt idx="6">
                  <c:v>299918.0</c:v>
                </c:pt>
                <c:pt idx="7">
                  <c:v>314038.0</c:v>
                </c:pt>
                <c:pt idx="8">
                  <c:v>328289.0</c:v>
                </c:pt>
                <c:pt idx="9">
                  <c:v>337842.0</c:v>
                </c:pt>
                <c:pt idx="10">
                  <c:v>344916.0</c:v>
                </c:pt>
                <c:pt idx="11">
                  <c:v>355060.0</c:v>
                </c:pt>
                <c:pt idx="12">
                  <c:v>364771.0</c:v>
                </c:pt>
                <c:pt idx="13">
                  <c:v>371189.0</c:v>
                </c:pt>
                <c:pt idx="14">
                  <c:v>378907.0</c:v>
                </c:pt>
                <c:pt idx="15">
                  <c:v>389385.0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63500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'SWE-Average Salary'!$R$9</c:f>
              <c:numCache>
                <c:formatCode>_-* #,##0\ [$SEK-143B]_-;\-* #,##0\ [$SEK-143B]_-;_-* "-"\ [$SEK-143B]_-;_-@_-</c:formatCode>
                <c:ptCount val="1"/>
                <c:pt idx="0">
                  <c:v>4.378578E6</c:v>
                </c:pt>
              </c:numCache>
            </c:numRef>
          </c:xVal>
          <c:yVal>
            <c:numRef>
              <c:f>'SWE-Average Salary'!$R$8</c:f>
              <c:numCache>
                <c:formatCode>_-* #,##0\ [$SEK-143B]_-;\-* #,##0\ [$SEK-143B]_-;_-* "-"\ [$SEK-143B]_-;_-@_-</c:formatCode>
                <c:ptCount val="1"/>
                <c:pt idx="0">
                  <c:v>415284.4098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85040144"/>
        <c:axId val="-1185923264"/>
      </c:scatterChart>
      <c:valAx>
        <c:axId val="-1185040144"/>
        <c:scaling>
          <c:orientation val="minMax"/>
          <c:max val="4.5E6"/>
          <c:min val="2.2E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GDP (Millions)</a:t>
                </a:r>
              </a:p>
              <a:p>
                <a:pPr>
                  <a:defRPr sz="1600"/>
                </a:pPr>
                <a:endParaRPr lang="en-US" sz="1600"/>
              </a:p>
            </c:rich>
          </c:tx>
          <c:layout>
            <c:manualLayout>
              <c:xMode val="edge"/>
              <c:yMode val="edge"/>
              <c:x val="0.416585174426012"/>
              <c:y val="0.8723322683706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5923264"/>
        <c:crosses val="autoZero"/>
        <c:crossBetween val="midCat"/>
        <c:majorUnit val="200000.0"/>
      </c:valAx>
      <c:valAx>
        <c:axId val="-1185923264"/>
        <c:scaling>
          <c:orientation val="minMax"/>
          <c:max val="420000.0"/>
          <c:min val="2200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Average Salary</a:t>
                </a:r>
              </a:p>
            </c:rich>
          </c:tx>
          <c:layout>
            <c:manualLayout>
              <c:xMode val="edge"/>
              <c:yMode val="edge"/>
              <c:x val="0.00906148867313916"/>
              <c:y val="0.2870234711076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[$SEK-143B]_-;\-* #,##0\ [$SEK-143B]_-;_-* &quot;-&quot;\ [$SEK-143B]_-;_-@_-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5040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portrait" horizontalDpi="0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Overall</a:t>
            </a:r>
            <a:r>
              <a:rPr lang="en-US" baseline="0"/>
              <a:t> length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'Length of the Leave'!$A$2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'Length of the Leave'!$B$1:$D$1</c:f>
              <c:strCache>
                <c:ptCount val="3"/>
                <c:pt idx="0">
                  <c:v>The UK</c:v>
                </c:pt>
                <c:pt idx="1">
                  <c:v>Sweden</c:v>
                </c:pt>
                <c:pt idx="2">
                  <c:v>The Czech Republic</c:v>
                </c:pt>
              </c:strCache>
            </c:strRef>
          </c:cat>
          <c:val>
            <c:numRef>
              <c:f>'Length of the Leave'!$B$2:$D$2</c:f>
              <c:numCache>
                <c:formatCode>General</c:formatCode>
                <c:ptCount val="3"/>
                <c:pt idx="0">
                  <c:v>42.0</c:v>
                </c:pt>
                <c:pt idx="1">
                  <c:v>90.0</c:v>
                </c:pt>
                <c:pt idx="2">
                  <c:v>196.0</c:v>
                </c:pt>
              </c:numCache>
            </c:numRef>
          </c:val>
        </c:ser>
        <c:ser>
          <c:idx val="1"/>
          <c:order val="1"/>
          <c:tx>
            <c:strRef>
              <c:f>'Length of the Leave'!$A$3</c:f>
              <c:strCache>
                <c:ptCount val="1"/>
                <c:pt idx="0">
                  <c:v>Paternity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'Length of the Leave'!$B$1:$D$1</c:f>
              <c:strCache>
                <c:ptCount val="3"/>
                <c:pt idx="0">
                  <c:v>The UK</c:v>
                </c:pt>
                <c:pt idx="1">
                  <c:v>Sweden</c:v>
                </c:pt>
                <c:pt idx="2">
                  <c:v>The Czech Republic</c:v>
                </c:pt>
              </c:strCache>
            </c:strRef>
          </c:cat>
          <c:val>
            <c:numRef>
              <c:f>'Length of the Leave'!$B$3:$D$3</c:f>
              <c:numCache>
                <c:formatCode>General</c:formatCode>
                <c:ptCount val="3"/>
                <c:pt idx="0">
                  <c:v>14.0</c:v>
                </c:pt>
                <c:pt idx="1">
                  <c:v>100.0</c:v>
                </c:pt>
                <c:pt idx="2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'Length of the Leave'!$A$4</c:f>
              <c:strCache>
                <c:ptCount val="1"/>
                <c:pt idx="0">
                  <c:v>Parental leave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'Length of the Leave'!$B$1:$D$1</c:f>
              <c:strCache>
                <c:ptCount val="3"/>
                <c:pt idx="0">
                  <c:v>The UK</c:v>
                </c:pt>
                <c:pt idx="1">
                  <c:v>Sweden</c:v>
                </c:pt>
                <c:pt idx="2">
                  <c:v>The Czech Republic</c:v>
                </c:pt>
              </c:strCache>
            </c:strRef>
          </c:cat>
          <c:val>
            <c:numRef>
              <c:f>'Length of the Leave'!$B$4:$D$4</c:f>
              <c:numCache>
                <c:formatCode>General</c:formatCode>
                <c:ptCount val="3"/>
                <c:pt idx="0">
                  <c:v>231.0</c:v>
                </c:pt>
                <c:pt idx="1">
                  <c:v>300.0</c:v>
                </c:pt>
                <c:pt idx="2">
                  <c:v>578.0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103047296"/>
        <c:axId val="-1103094928"/>
      </c:barChart>
      <c:catAx>
        <c:axId val="-110304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3094928"/>
        <c:crosses val="autoZero"/>
        <c:auto val="1"/>
        <c:lblAlgn val="ctr"/>
        <c:lblOffset val="100"/>
        <c:noMultiLvlLbl val="0"/>
      </c:catAx>
      <c:valAx>
        <c:axId val="-110309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304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Comprared</a:t>
            </a:r>
            <a:r>
              <a:rPr lang="en-US" sz="1800" baseline="0"/>
              <a:t> to the Average Net Salary</a:t>
            </a:r>
            <a:endParaRPr lang="en-US" sz="1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Equally divided</c:v>
          </c:tx>
          <c:spPr>
            <a:ln w="952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UK!$B$40:$B$44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UK!$K$40:$K$44</c:f>
              <c:numCache>
                <c:formatCode>0%</c:formatCode>
                <c:ptCount val="5"/>
                <c:pt idx="0">
                  <c:v>0.0</c:v>
                </c:pt>
                <c:pt idx="1">
                  <c:v>0.378033352863931</c:v>
                </c:pt>
                <c:pt idx="2">
                  <c:v>0.419149339067322</c:v>
                </c:pt>
                <c:pt idx="3">
                  <c:v>0.460265325270713</c:v>
                </c:pt>
                <c:pt idx="4">
                  <c:v>0.624729270084278</c:v>
                </c:pt>
              </c:numCache>
            </c:numRef>
          </c:val>
          <c:smooth val="0"/>
        </c:ser>
        <c:ser>
          <c:idx val="1"/>
          <c:order val="1"/>
          <c:tx>
            <c:v>Father takes a minimum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UK!$B$40:$B$44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UK!$K$48:$K$52</c:f>
              <c:numCache>
                <c:formatCode>0%</c:formatCode>
                <c:ptCount val="5"/>
                <c:pt idx="0">
                  <c:v>0.0</c:v>
                </c:pt>
                <c:pt idx="1">
                  <c:v>0.378033352863931</c:v>
                </c:pt>
                <c:pt idx="2">
                  <c:v>0.419149339067322</c:v>
                </c:pt>
                <c:pt idx="3">
                  <c:v>0.460265325270713</c:v>
                </c:pt>
                <c:pt idx="4">
                  <c:v>0.624729270084278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4433328"/>
        <c:axId val="-1102498992"/>
      </c:lineChart>
      <c:catAx>
        <c:axId val="-104443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2498992"/>
        <c:crosses val="autoZero"/>
        <c:auto val="1"/>
        <c:lblAlgn val="ctr"/>
        <c:lblOffset val="100"/>
        <c:noMultiLvlLbl val="0"/>
      </c:catAx>
      <c:valAx>
        <c:axId val="-110249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4443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 Replacement Rate</a:t>
            </a:r>
            <a:r>
              <a:rPr lang="en-US" sz="1400" b="0" i="0" u="none" strike="noStrike" baseline="0"/>
              <a:t> </a:t>
            </a:r>
            <a:r>
              <a:rPr lang="en-US" sz="1400" b="0" i="0" u="none" strike="noStrike" baseline="0">
                <a:effectLst/>
              </a:rPr>
              <a:t>of the Net Salary 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Equally divided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SWE!$B$47:$B$50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</c:strCache>
            </c:strRef>
          </c:cat>
          <c:val>
            <c:numRef>
              <c:f>SWE!$J$47:$J$50</c:f>
              <c:numCache>
                <c:formatCode>0%</c:formatCode>
                <c:ptCount val="4"/>
                <c:pt idx="0">
                  <c:v>0.909953867004675</c:v>
                </c:pt>
                <c:pt idx="1">
                  <c:v>0.838021179783533</c:v>
                </c:pt>
                <c:pt idx="2">
                  <c:v>0.893933618596253</c:v>
                </c:pt>
                <c:pt idx="3">
                  <c:v>0.423775794992509</c:v>
                </c:pt>
              </c:numCache>
            </c:numRef>
          </c:val>
          <c:smooth val="0"/>
        </c:ser>
        <c:ser>
          <c:idx val="0"/>
          <c:order val="1"/>
          <c:tx>
            <c:v>Father takes a minimum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SWE!$B$47:$B$50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</c:strCache>
            </c:strRef>
          </c:cat>
          <c:val>
            <c:numRef>
              <c:f>SWE!$J$39:$J$42</c:f>
              <c:numCache>
                <c:formatCode>0%</c:formatCode>
                <c:ptCount val="4"/>
                <c:pt idx="0">
                  <c:v>0.850402260688471</c:v>
                </c:pt>
                <c:pt idx="1">
                  <c:v>0.846384660774932</c:v>
                </c:pt>
                <c:pt idx="2">
                  <c:v>0.862412885726261</c:v>
                </c:pt>
                <c:pt idx="3">
                  <c:v>0.487505424090466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4504128"/>
        <c:axId val="-1044484016"/>
      </c:lineChart>
      <c:catAx>
        <c:axId val="-104450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44484016"/>
        <c:crosses val="autoZero"/>
        <c:auto val="1"/>
        <c:lblAlgn val="ctr"/>
        <c:lblOffset val="100"/>
        <c:noMultiLvlLbl val="0"/>
      </c:catAx>
      <c:valAx>
        <c:axId val="-1044484016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4450412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 Compared to the Average Net Salary </a:t>
            </a:r>
            <a:r>
              <a:rPr lang="en-US" sz="1400" b="0" i="0" u="none" strike="noStrike" baseline="0"/>
              <a:t> 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Equally divided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SWE!$B$46:$B$50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SWE!$K$46:$K$50</c:f>
              <c:numCache>
                <c:formatCode>0%</c:formatCode>
                <c:ptCount val="5"/>
                <c:pt idx="0">
                  <c:v>0.265474616838385</c:v>
                </c:pt>
                <c:pt idx="1">
                  <c:v>0.481639615455119</c:v>
                </c:pt>
                <c:pt idx="2">
                  <c:v>0.821722174297927</c:v>
                </c:pt>
                <c:pt idx="3">
                  <c:v>0.893933618596253</c:v>
                </c:pt>
                <c:pt idx="4">
                  <c:v>0.94912428975201</c:v>
                </c:pt>
              </c:numCache>
            </c:numRef>
          </c:val>
          <c:smooth val="0"/>
        </c:ser>
        <c:ser>
          <c:idx val="2"/>
          <c:order val="1"/>
          <c:tx>
            <c:v>Father takes a minimum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SWE!$B$46:$B$50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SWE!$K$38:$K$42</c:f>
              <c:numCache>
                <c:formatCode>0%</c:formatCode>
                <c:ptCount val="5"/>
                <c:pt idx="0">
                  <c:v>0.265474616838385</c:v>
                </c:pt>
                <c:pt idx="1">
                  <c:v>0.450118882585126</c:v>
                </c:pt>
                <c:pt idx="2">
                  <c:v>0.721600302337274</c:v>
                </c:pt>
                <c:pt idx="3">
                  <c:v>0.86241288572626</c:v>
                </c:pt>
                <c:pt idx="4">
                  <c:v>0.917603556882017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02796976"/>
        <c:axId val="-1102794656"/>
      </c:lineChart>
      <c:catAx>
        <c:axId val="-110279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2794656"/>
        <c:crosses val="autoZero"/>
        <c:auto val="1"/>
        <c:lblAlgn val="ctr"/>
        <c:lblOffset val="100"/>
        <c:noMultiLvlLbl val="0"/>
      </c:catAx>
      <c:valAx>
        <c:axId val="-1102794656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279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u="none" strike="noStrike" baseline="0">
                <a:effectLst/>
              </a:rPr>
              <a:t>Compared to the Average Net Salary </a:t>
            </a:r>
            <a:r>
              <a:rPr lang="cs-CZ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Equally divided</c:v>
          </c:tx>
          <c:spPr>
            <a:ln w="952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CZE!$B$47:$B$51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CZE!$K$47:$K$51</c:f>
              <c:numCache>
                <c:formatCode>0%</c:formatCode>
                <c:ptCount val="5"/>
                <c:pt idx="0">
                  <c:v>0.214136572865752</c:v>
                </c:pt>
                <c:pt idx="1">
                  <c:v>0.453320496164262</c:v>
                </c:pt>
                <c:pt idx="2">
                  <c:v>0.581586702934255</c:v>
                </c:pt>
                <c:pt idx="3">
                  <c:v>0.638993179891499</c:v>
                </c:pt>
                <c:pt idx="4">
                  <c:v>0.7427034503588</c:v>
                </c:pt>
              </c:numCache>
            </c:numRef>
          </c:val>
          <c:smooth val="0"/>
        </c:ser>
        <c:ser>
          <c:idx val="1"/>
          <c:order val="1"/>
          <c:tx>
            <c:v>Father takes nothing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CZE!$B$47:$B$51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CZE!$K$39:$K$43</c:f>
              <c:numCache>
                <c:formatCode>0%</c:formatCode>
                <c:ptCount val="5"/>
                <c:pt idx="0">
                  <c:v>0.214136572865752</c:v>
                </c:pt>
                <c:pt idx="1">
                  <c:v>0.453320496164262</c:v>
                </c:pt>
                <c:pt idx="2">
                  <c:v>0.581586702934255</c:v>
                </c:pt>
                <c:pt idx="3">
                  <c:v>0.638993179891499</c:v>
                </c:pt>
                <c:pt idx="4">
                  <c:v>0.7427034503588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8715232"/>
        <c:axId val="-1148712912"/>
      </c:lineChart>
      <c:catAx>
        <c:axId val="-114871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8712912"/>
        <c:crosses val="autoZero"/>
        <c:auto val="1"/>
        <c:lblAlgn val="ctr"/>
        <c:lblOffset val="100"/>
        <c:noMultiLvlLbl val="0"/>
      </c:catAx>
      <c:valAx>
        <c:axId val="-1148712912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871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 Replacement Rate of the Net Salary 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Equally divided</c:v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CZE!$B$48:$B$51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</c:strCache>
            </c:strRef>
          </c:cat>
          <c:val>
            <c:numRef>
              <c:f>CZE!$J$48:$J$51</c:f>
              <c:numCache>
                <c:formatCode>0%</c:formatCode>
                <c:ptCount val="4"/>
                <c:pt idx="0">
                  <c:v>0.825511822992524</c:v>
                </c:pt>
                <c:pt idx="1">
                  <c:v>0.622877898840361</c:v>
                </c:pt>
                <c:pt idx="2">
                  <c:v>0.638993179891499</c:v>
                </c:pt>
                <c:pt idx="3">
                  <c:v>0.292712301733412</c:v>
                </c:pt>
              </c:numCache>
            </c:numRef>
          </c:val>
          <c:smooth val="0"/>
        </c:ser>
        <c:ser>
          <c:idx val="2"/>
          <c:order val="1"/>
          <c:tx>
            <c:v>Father takes nothing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CZE!$B$48:$B$51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</c:strCache>
            </c:strRef>
          </c:cat>
          <c:val>
            <c:numRef>
              <c:f>CZE!$J$40:$J$43</c:f>
              <c:numCache>
                <c:formatCode>0%</c:formatCode>
                <c:ptCount val="4"/>
                <c:pt idx="0">
                  <c:v>0.825511822992524</c:v>
                </c:pt>
                <c:pt idx="1">
                  <c:v>0.751196848969265</c:v>
                </c:pt>
                <c:pt idx="2">
                  <c:v>0.638993179891499</c:v>
                </c:pt>
                <c:pt idx="3">
                  <c:v>0.390522988482446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8691680"/>
        <c:axId val="-1106104624"/>
      </c:lineChart>
      <c:catAx>
        <c:axId val="-114869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6104624"/>
        <c:crosses val="autoZero"/>
        <c:auto val="1"/>
        <c:lblAlgn val="ctr"/>
        <c:lblOffset val="100"/>
        <c:noMultiLvlLbl val="0"/>
      </c:catAx>
      <c:valAx>
        <c:axId val="-1106104624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869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Replacement Rate of the</a:t>
            </a:r>
            <a:r>
              <a:rPr lang="en-US" sz="1800" baseline="0"/>
              <a:t> </a:t>
            </a:r>
            <a:r>
              <a:rPr lang="en-US" sz="1800"/>
              <a:t>Net Salary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Comparison!$C$5</c:f>
              <c:strCache>
                <c:ptCount val="1"/>
                <c:pt idx="0">
                  <c:v>SWE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Comparison!$B$6:$B$9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</c:strCache>
            </c:strRef>
          </c:cat>
          <c:val>
            <c:numRef>
              <c:f>Comparison!$C$6:$C$9</c:f>
              <c:numCache>
                <c:formatCode>0%</c:formatCode>
                <c:ptCount val="4"/>
                <c:pt idx="0">
                  <c:v>0.850402260688471</c:v>
                </c:pt>
                <c:pt idx="1">
                  <c:v>0.846384660774932</c:v>
                </c:pt>
                <c:pt idx="2">
                  <c:v>0.862412885726261</c:v>
                </c:pt>
                <c:pt idx="3">
                  <c:v>0.487505424090466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Comparison!$D$5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Comparison!$B$6:$B$9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</c:strCache>
            </c:strRef>
          </c:cat>
          <c:val>
            <c:numRef>
              <c:f>Comparison!$D$6:$D$9</c:f>
              <c:numCache>
                <c:formatCode>0%</c:formatCode>
                <c:ptCount val="4"/>
                <c:pt idx="0">
                  <c:v>0.656947785098937</c:v>
                </c:pt>
                <c:pt idx="1">
                  <c:v>0.518472734957432</c:v>
                </c:pt>
                <c:pt idx="2">
                  <c:v>0.460265325270713</c:v>
                </c:pt>
                <c:pt idx="3">
                  <c:v>0.333624625708843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Comparison!$E$5</c:f>
              <c:strCache>
                <c:ptCount val="1"/>
                <c:pt idx="0">
                  <c:v>CZE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Comparison!$B$6:$B$9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</c:strCache>
            </c:strRef>
          </c:cat>
          <c:val>
            <c:numRef>
              <c:f>Comparison!$E$6:$E$9</c:f>
              <c:numCache>
                <c:formatCode>0%</c:formatCode>
                <c:ptCount val="4"/>
                <c:pt idx="0">
                  <c:v>0.825511822992524</c:v>
                </c:pt>
                <c:pt idx="1">
                  <c:v>0.751196848969265</c:v>
                </c:pt>
                <c:pt idx="2">
                  <c:v>0.638993179891499</c:v>
                </c:pt>
                <c:pt idx="3">
                  <c:v>0.390522988482446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02839888"/>
        <c:axId val="-1102838256"/>
      </c:lineChart>
      <c:catAx>
        <c:axId val="-110283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2838256"/>
        <c:crosses val="autoZero"/>
        <c:auto val="1"/>
        <c:lblAlgn val="ctr"/>
        <c:lblOffset val="100"/>
        <c:noMultiLvlLbl val="0"/>
      </c:catAx>
      <c:valAx>
        <c:axId val="-1102838256"/>
        <c:scaling>
          <c:orientation val="minMax"/>
          <c:min val="0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283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Compared</a:t>
            </a:r>
            <a:r>
              <a:rPr lang="en-US" sz="1800" baseline="0"/>
              <a:t> to the Average Net Salary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Comparison!$C$11</c:f>
              <c:strCache>
                <c:ptCount val="1"/>
                <c:pt idx="0">
                  <c:v>SWE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Comparison!$B$12:$B$16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Comparison!$C$12:$C$16</c:f>
              <c:numCache>
                <c:formatCode>0%</c:formatCode>
                <c:ptCount val="5"/>
                <c:pt idx="0">
                  <c:v>0.265474616838385</c:v>
                </c:pt>
                <c:pt idx="1">
                  <c:v>0.450118882585126</c:v>
                </c:pt>
                <c:pt idx="2">
                  <c:v>0.721600302337274</c:v>
                </c:pt>
                <c:pt idx="3">
                  <c:v>0.86241288572626</c:v>
                </c:pt>
                <c:pt idx="4">
                  <c:v>0.917603556882017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Comparison!$D$11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Comparison!$B$12:$B$16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Comparison!$D$12:$D$16</c:f>
              <c:numCache>
                <c:formatCode>0%</c:formatCode>
                <c:ptCount val="5"/>
                <c:pt idx="0">
                  <c:v>0.0</c:v>
                </c:pt>
                <c:pt idx="1">
                  <c:v>0.378033352863931</c:v>
                </c:pt>
                <c:pt idx="2">
                  <c:v>0.419149339067322</c:v>
                </c:pt>
                <c:pt idx="3">
                  <c:v>0.460265325270713</c:v>
                </c:pt>
                <c:pt idx="4">
                  <c:v>0.624729270084278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Comparison!$E$11</c:f>
              <c:strCache>
                <c:ptCount val="1"/>
                <c:pt idx="0">
                  <c:v>CZE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Comparison!$B$12:$B$16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Comparison!$E$12:$E$16</c:f>
              <c:numCache>
                <c:formatCode>0%</c:formatCode>
                <c:ptCount val="5"/>
                <c:pt idx="0">
                  <c:v>0.214136572865752</c:v>
                </c:pt>
                <c:pt idx="1">
                  <c:v>0.453320496164262</c:v>
                </c:pt>
                <c:pt idx="2">
                  <c:v>0.581586702934255</c:v>
                </c:pt>
                <c:pt idx="3">
                  <c:v>0.638993179891499</c:v>
                </c:pt>
                <c:pt idx="4">
                  <c:v>0.7427034503588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02897440"/>
        <c:axId val="-1102895392"/>
      </c:lineChart>
      <c:catAx>
        <c:axId val="-110289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2895392"/>
        <c:crosses val="autoZero"/>
        <c:auto val="1"/>
        <c:lblAlgn val="ctr"/>
        <c:lblOffset val="100"/>
        <c:noMultiLvlLbl val="0"/>
      </c:catAx>
      <c:valAx>
        <c:axId val="-110289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289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Replacement Rate of the Net Salary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Comparison!$C$24</c:f>
              <c:strCache>
                <c:ptCount val="1"/>
                <c:pt idx="0">
                  <c:v>SWE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Comparison!$B$25:$B$28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</c:strCache>
            </c:strRef>
          </c:cat>
          <c:val>
            <c:numRef>
              <c:f>Comparison!$C$25:$C$28</c:f>
              <c:numCache>
                <c:formatCode>0%</c:formatCode>
                <c:ptCount val="4"/>
                <c:pt idx="0">
                  <c:v>0.909953867004675</c:v>
                </c:pt>
                <c:pt idx="1">
                  <c:v>0.838021179783533</c:v>
                </c:pt>
                <c:pt idx="2">
                  <c:v>0.893933618596253</c:v>
                </c:pt>
                <c:pt idx="3">
                  <c:v>0.423775794992509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Comparison!$D$24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Comparison!$B$25:$B$28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</c:strCache>
            </c:strRef>
          </c:cat>
          <c:val>
            <c:numRef>
              <c:f>Comparison!$D$25:$D$28</c:f>
              <c:numCache>
                <c:formatCode>0%</c:formatCode>
                <c:ptCount val="4"/>
                <c:pt idx="0">
                  <c:v>0.656947785098937</c:v>
                </c:pt>
                <c:pt idx="1">
                  <c:v>0.430287803472544</c:v>
                </c:pt>
                <c:pt idx="2">
                  <c:v>0.460265325270713</c:v>
                </c:pt>
                <c:pt idx="3">
                  <c:v>0.258198754128443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Comparison!$E$24</c:f>
              <c:strCache>
                <c:ptCount val="1"/>
                <c:pt idx="0">
                  <c:v>CZE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Comparison!$B$25:$B$28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</c:strCache>
            </c:strRef>
          </c:cat>
          <c:val>
            <c:numRef>
              <c:f>Comparison!$E$25:$E$28</c:f>
              <c:numCache>
                <c:formatCode>0%</c:formatCode>
                <c:ptCount val="4"/>
                <c:pt idx="0">
                  <c:v>0.825511822992524</c:v>
                </c:pt>
                <c:pt idx="1">
                  <c:v>0.622877898840361</c:v>
                </c:pt>
                <c:pt idx="2">
                  <c:v>0.638993179891499</c:v>
                </c:pt>
                <c:pt idx="3">
                  <c:v>0.292712301733412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05796416"/>
        <c:axId val="-1105794368"/>
      </c:lineChart>
      <c:catAx>
        <c:axId val="-110579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5794368"/>
        <c:crosses val="autoZero"/>
        <c:auto val="1"/>
        <c:lblAlgn val="ctr"/>
        <c:lblOffset val="100"/>
        <c:noMultiLvlLbl val="0"/>
      </c:catAx>
      <c:valAx>
        <c:axId val="-1105794368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0579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6" Type="http://schemas.openxmlformats.org/officeDocument/2006/relationships/chart" Target="../charts/chart12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1565978</xdr:colOff>
      <xdr:row>74</xdr:row>
      <xdr:rowOff>116412</xdr:rowOff>
    </xdr:from>
    <xdr:to>
      <xdr:col>11</xdr:col>
      <xdr:colOff>30480</xdr:colOff>
      <xdr:row>97</xdr:row>
      <xdr:rowOff>60960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1566810</xdr:colOff>
      <xdr:row>52</xdr:row>
      <xdr:rowOff>130227</xdr:rowOff>
    </xdr:from>
    <xdr:to>
      <xdr:col>11</xdr:col>
      <xdr:colOff>10160</xdr:colOff>
      <xdr:row>73</xdr:row>
      <xdr:rowOff>193040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1982022</xdr:colOff>
      <xdr:row>72</xdr:row>
      <xdr:rowOff>149179</xdr:rowOff>
    </xdr:from>
    <xdr:to>
      <xdr:col>10</xdr:col>
      <xdr:colOff>1041399</xdr:colOff>
      <xdr:row>94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1992402</xdr:colOff>
      <xdr:row>50</xdr:row>
      <xdr:rowOff>107297</xdr:rowOff>
    </xdr:from>
    <xdr:to>
      <xdr:col>10</xdr:col>
      <xdr:colOff>1063877</xdr:colOff>
      <xdr:row>72</xdr:row>
      <xdr:rowOff>70356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1995715</xdr:colOff>
      <xdr:row>51</xdr:row>
      <xdr:rowOff>111650</xdr:rowOff>
    </xdr:from>
    <xdr:to>
      <xdr:col>10</xdr:col>
      <xdr:colOff>1158351</xdr:colOff>
      <xdr:row>75</xdr:row>
      <xdr:rowOff>111649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76</xdr:row>
      <xdr:rowOff>83736</xdr:rowOff>
    </xdr:from>
    <xdr:to>
      <xdr:col>11</xdr:col>
      <xdr:colOff>97692</xdr:colOff>
      <xdr:row>102</xdr:row>
      <xdr:rowOff>139561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820163</xdr:colOff>
      <xdr:row>1</xdr:row>
      <xdr:rowOff>23742</xdr:rowOff>
    </xdr:from>
    <xdr:to>
      <xdr:col>15</xdr:col>
      <xdr:colOff>11044</xdr:colOff>
      <xdr:row>21</xdr:row>
      <xdr:rowOff>154607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313266</xdr:colOff>
      <xdr:row>0</xdr:row>
      <xdr:rowOff>184150</xdr:rowOff>
    </xdr:from>
    <xdr:to>
      <xdr:col>24</xdr:col>
      <xdr:colOff>132521</xdr:colOff>
      <xdr:row>21</xdr:row>
      <xdr:rowOff>154608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819150</xdr:colOff>
      <xdr:row>21</xdr:row>
      <xdr:rowOff>76200</xdr:rowOff>
    </xdr:from>
    <xdr:to>
      <xdr:col>15</xdr:col>
      <xdr:colOff>97367</xdr:colOff>
      <xdr:row>42</xdr:row>
      <xdr:rowOff>50800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230717</xdr:colOff>
      <xdr:row>21</xdr:row>
      <xdr:rowOff>171450</xdr:rowOff>
    </xdr:from>
    <xdr:to>
      <xdr:col>24</xdr:col>
      <xdr:colOff>186267</xdr:colOff>
      <xdr:row>42</xdr:row>
      <xdr:rowOff>25400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252252</xdr:colOff>
      <xdr:row>50</xdr:row>
      <xdr:rowOff>5245</xdr:rowOff>
    </xdr:from>
    <xdr:to>
      <xdr:col>9</xdr:col>
      <xdr:colOff>461802</xdr:colOff>
      <xdr:row>69</xdr:row>
      <xdr:rowOff>24295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706782</xdr:colOff>
      <xdr:row>49</xdr:row>
      <xdr:rowOff>183322</xdr:rowOff>
    </xdr:from>
    <xdr:to>
      <xdr:col>19</xdr:col>
      <xdr:colOff>121478</xdr:colOff>
      <xdr:row>69</xdr:row>
      <xdr:rowOff>55217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12</xdr:col>
      <xdr:colOff>660400</xdr:colOff>
      <xdr:row>37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101600</xdr:rowOff>
    </xdr:from>
    <xdr:to>
      <xdr:col>9</xdr:col>
      <xdr:colOff>736600</xdr:colOff>
      <xdr:row>29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U56"/>
  <sheetViews>
    <sheetView tabSelected="1" workbookViewId="0">
      <selection activeCell="G9" sqref="G9"/>
    </sheetView>
  </sheetViews>
  <sheetFormatPr baseColWidth="10" defaultRowHeight="16" x14ac:dyDescent="0.2"/>
  <cols>
    <col min="1" max="1" width="20.6640625" style="36" customWidth="1"/>
    <col min="2" max="2" width="10.83203125" style="36" customWidth="1"/>
    <col min="3" max="3" width="10.1640625" style="36" customWidth="1"/>
    <col min="4" max="4" width="11.33203125" style="36" customWidth="1"/>
    <col min="5" max="5" width="10.83203125" style="36" customWidth="1"/>
    <col min="6" max="6" width="13" style="36" customWidth="1"/>
    <col min="7" max="7" width="12.1640625" style="36" customWidth="1"/>
    <col min="8" max="8" width="10.83203125" style="36" customWidth="1"/>
    <col min="9" max="9" width="9.1640625" style="36" customWidth="1"/>
    <col min="10" max="10" width="12.5" style="36" customWidth="1"/>
    <col min="11" max="11" width="10.83203125" style="36" customWidth="1"/>
    <col min="12" max="12" width="7.83203125" style="36" customWidth="1"/>
    <col min="13" max="13" width="8.5" style="36" customWidth="1"/>
    <col min="14" max="14" width="10.5" style="36" customWidth="1"/>
    <col min="15" max="16" width="10.6640625" style="36" customWidth="1"/>
    <col min="17" max="17" width="10.83203125" style="36" customWidth="1"/>
    <col min="18" max="18" width="7.5" style="36" customWidth="1"/>
    <col min="19" max="20" width="10.83203125" style="36" customWidth="1"/>
    <col min="21" max="21" width="15.83203125" style="36" customWidth="1"/>
    <col min="22" max="23" width="15.5" style="36" customWidth="1"/>
    <col min="24" max="24" width="7.6640625" style="36" customWidth="1"/>
    <col min="25" max="25" width="13.6640625" style="36" customWidth="1"/>
    <col min="26" max="29" width="10.83203125" style="36"/>
    <col min="30" max="30" width="8.5" style="36" customWidth="1"/>
    <col min="31" max="31" width="10.83203125" style="36" customWidth="1"/>
    <col min="32" max="32" width="17" style="36" customWidth="1"/>
    <col min="33" max="33" width="17.1640625" style="36" customWidth="1"/>
    <col min="34" max="41" width="10.83203125" style="36"/>
    <col min="42" max="42" width="10.83203125" style="36" customWidth="1"/>
    <col min="43" max="44" width="17.1640625" style="36" customWidth="1"/>
    <col min="45" max="16384" width="10.83203125" style="36"/>
  </cols>
  <sheetData>
    <row r="1" spans="1:47" x14ac:dyDescent="0.2">
      <c r="A1" s="36" t="s">
        <v>0</v>
      </c>
    </row>
    <row r="2" spans="1:47" ht="17" thickBot="1" x14ac:dyDescent="0.25"/>
    <row r="3" spans="1:47" x14ac:dyDescent="0.2">
      <c r="A3" s="75" t="s">
        <v>94</v>
      </c>
      <c r="B3" s="2" t="s">
        <v>2</v>
      </c>
      <c r="C3" s="2" t="s">
        <v>3</v>
      </c>
      <c r="D3" s="2" t="s">
        <v>4</v>
      </c>
      <c r="E3" s="3" t="s">
        <v>5</v>
      </c>
    </row>
    <row r="4" spans="1:47" ht="17" thickBot="1" x14ac:dyDescent="0.25">
      <c r="A4" s="78"/>
      <c r="B4" s="76">
        <f>C4/7</f>
        <v>71.857142857142861</v>
      </c>
      <c r="C4" s="79">
        <v>503</v>
      </c>
      <c r="D4" s="76">
        <f>E4/12</f>
        <v>2185.6547619047619</v>
      </c>
      <c r="E4" s="77">
        <f>B4*365</f>
        <v>26227.857142857145</v>
      </c>
    </row>
    <row r="5" spans="1:47" ht="17" thickBot="1" x14ac:dyDescent="0.25">
      <c r="A5" s="11" t="s">
        <v>7</v>
      </c>
      <c r="B5" s="76">
        <f>E5/365</f>
        <v>57.545205479452058</v>
      </c>
      <c r="C5" s="76">
        <f>B5*7</f>
        <v>402.81643835616438</v>
      </c>
      <c r="D5" s="76">
        <f>E5/12</f>
        <v>1750.3333333333333</v>
      </c>
      <c r="E5" s="77">
        <v>21004</v>
      </c>
    </row>
    <row r="6" spans="1:47" ht="17" thickBot="1" x14ac:dyDescent="0.25">
      <c r="A6" s="64" t="s">
        <v>92</v>
      </c>
      <c r="B6" s="4"/>
      <c r="C6" s="4"/>
      <c r="D6" s="4"/>
      <c r="E6" s="68">
        <f>E5/E4</f>
        <v>0.80082790925678793</v>
      </c>
    </row>
    <row r="7" spans="1:47" ht="17" thickBot="1" x14ac:dyDescent="0.25">
      <c r="A7" s="66" t="s">
        <v>93</v>
      </c>
      <c r="B7" s="396" t="s">
        <v>10</v>
      </c>
      <c r="C7" s="397"/>
      <c r="D7" s="71">
        <v>112</v>
      </c>
      <c r="E7" s="3" t="s">
        <v>3</v>
      </c>
    </row>
    <row r="8" spans="1:47" ht="17" thickBot="1" x14ac:dyDescent="0.25">
      <c r="A8" s="72" t="s">
        <v>14</v>
      </c>
      <c r="B8" s="398" t="s">
        <v>12</v>
      </c>
      <c r="C8" s="399"/>
      <c r="D8" s="73">
        <v>2</v>
      </c>
      <c r="E8" s="74" t="s">
        <v>15</v>
      </c>
    </row>
    <row r="9" spans="1:47" x14ac:dyDescent="0.2">
      <c r="A9" s="66" t="s">
        <v>90</v>
      </c>
      <c r="B9" s="67">
        <v>0.9</v>
      </c>
      <c r="C9" s="2"/>
      <c r="D9" s="2"/>
      <c r="E9" s="3"/>
    </row>
    <row r="10" spans="1:47" ht="17" thickBot="1" x14ac:dyDescent="0.25">
      <c r="A10" s="11" t="s">
        <v>91</v>
      </c>
      <c r="B10" s="14">
        <v>139.58000000000001</v>
      </c>
      <c r="C10" s="13"/>
      <c r="D10" s="13"/>
      <c r="E10" s="15"/>
    </row>
    <row r="11" spans="1:47" ht="17" thickBot="1" x14ac:dyDescent="0.25">
      <c r="B11" s="80"/>
      <c r="C11" s="80"/>
      <c r="D11" s="65"/>
      <c r="E11" s="65"/>
      <c r="F11" s="65"/>
      <c r="G11" s="65"/>
      <c r="H11" s="65"/>
      <c r="I11" s="65"/>
    </row>
    <row r="12" spans="1:47" x14ac:dyDescent="0.2">
      <c r="A12" s="36" t="s">
        <v>95</v>
      </c>
      <c r="B12" s="380" t="s">
        <v>16</v>
      </c>
      <c r="C12" s="393"/>
      <c r="D12" s="69" t="s">
        <v>65</v>
      </c>
      <c r="E12" s="82" t="s">
        <v>65</v>
      </c>
      <c r="F12" s="82" t="s">
        <v>65</v>
      </c>
      <c r="G12" s="82" t="s">
        <v>65</v>
      </c>
      <c r="H12" s="82" t="s">
        <v>64</v>
      </c>
      <c r="I12" s="82" t="s">
        <v>64</v>
      </c>
      <c r="J12" s="82" t="s">
        <v>64</v>
      </c>
      <c r="K12" s="82" t="s">
        <v>64</v>
      </c>
      <c r="L12" s="82" t="s">
        <v>66</v>
      </c>
      <c r="M12" s="82" t="s">
        <v>67</v>
      </c>
      <c r="N12" s="83" t="s">
        <v>68</v>
      </c>
      <c r="O12" s="69" t="s">
        <v>23</v>
      </c>
      <c r="P12" s="84" t="s">
        <v>69</v>
      </c>
      <c r="Q12" s="82" t="s">
        <v>24</v>
      </c>
      <c r="R12" s="85" t="s">
        <v>24</v>
      </c>
      <c r="S12" s="86" t="s">
        <v>24</v>
      </c>
      <c r="T12" s="83" t="s">
        <v>24</v>
      </c>
      <c r="U12" s="385" t="s">
        <v>86</v>
      </c>
      <c r="V12" s="387" t="s">
        <v>85</v>
      </c>
      <c r="W12" s="4"/>
    </row>
    <row r="13" spans="1:47" ht="17" thickBot="1" x14ac:dyDescent="0.25">
      <c r="B13" s="394"/>
      <c r="C13" s="395"/>
      <c r="D13" s="9" t="s">
        <v>2</v>
      </c>
      <c r="E13" s="87" t="s">
        <v>3</v>
      </c>
      <c r="F13" s="87" t="s">
        <v>4</v>
      </c>
      <c r="G13" s="87" t="s">
        <v>5</v>
      </c>
      <c r="H13" s="87" t="s">
        <v>2</v>
      </c>
      <c r="I13" s="87" t="s">
        <v>3</v>
      </c>
      <c r="J13" s="87" t="s">
        <v>4</v>
      </c>
      <c r="K13" s="87" t="s">
        <v>5</v>
      </c>
      <c r="L13" s="87" t="s">
        <v>3</v>
      </c>
      <c r="M13" s="87" t="s">
        <v>3</v>
      </c>
      <c r="N13" s="88" t="s">
        <v>3</v>
      </c>
      <c r="O13" s="9"/>
      <c r="P13" s="89" t="s">
        <v>15</v>
      </c>
      <c r="Q13" s="87" t="s">
        <v>2</v>
      </c>
      <c r="R13" s="90" t="s">
        <v>3</v>
      </c>
      <c r="S13" s="91" t="s">
        <v>4</v>
      </c>
      <c r="T13" s="88" t="s">
        <v>40</v>
      </c>
      <c r="U13" s="386"/>
      <c r="V13" s="388"/>
      <c r="W13" s="4"/>
    </row>
    <row r="14" spans="1:47" s="92" customFormat="1" ht="17" thickBot="1" x14ac:dyDescent="0.25">
      <c r="B14" s="93" t="s">
        <v>17</v>
      </c>
      <c r="C14" s="94" t="s">
        <v>12</v>
      </c>
      <c r="D14" s="95">
        <v>0</v>
      </c>
      <c r="E14" s="96">
        <v>0</v>
      </c>
      <c r="F14" s="96">
        <v>0</v>
      </c>
      <c r="G14" s="96">
        <v>0</v>
      </c>
      <c r="H14" s="96">
        <v>0</v>
      </c>
      <c r="I14" s="97">
        <f t="shared" ref="I14:I22" si="0">H14*7</f>
        <v>0</v>
      </c>
      <c r="J14" s="96">
        <v>0</v>
      </c>
      <c r="K14" s="96">
        <v>0</v>
      </c>
      <c r="L14" s="96">
        <v>0</v>
      </c>
      <c r="M14" s="96">
        <v>0</v>
      </c>
      <c r="N14" s="98">
        <v>0</v>
      </c>
      <c r="O14" s="99">
        <v>0</v>
      </c>
      <c r="P14" s="100">
        <v>0</v>
      </c>
      <c r="Q14" s="96">
        <v>0</v>
      </c>
      <c r="R14" s="101">
        <v>0</v>
      </c>
      <c r="S14" s="95">
        <v>0</v>
      </c>
      <c r="T14" s="98">
        <v>0</v>
      </c>
      <c r="U14" s="102" t="s">
        <v>25</v>
      </c>
      <c r="V14" s="103">
        <f>R14/$C$5</f>
        <v>0</v>
      </c>
      <c r="W14" s="104"/>
      <c r="AS14" s="36"/>
      <c r="AT14" s="36"/>
      <c r="AU14" s="36"/>
    </row>
    <row r="15" spans="1:47" x14ac:dyDescent="0.2">
      <c r="B15" s="380" t="s">
        <v>18</v>
      </c>
      <c r="C15" s="85" t="s">
        <v>12</v>
      </c>
      <c r="D15" s="105">
        <f t="shared" ref="D15:G16" si="1">B$4*0.5</f>
        <v>35.928571428571431</v>
      </c>
      <c r="E15" s="106">
        <f>C$4*0.5</f>
        <v>251.5</v>
      </c>
      <c r="F15" s="106">
        <f>D$4*0.5</f>
        <v>1092.827380952381</v>
      </c>
      <c r="G15" s="106">
        <f>E$4*0.5</f>
        <v>13113.928571428572</v>
      </c>
      <c r="H15" s="106">
        <f>K15/365</f>
        <v>33.113753424657538</v>
      </c>
      <c r="I15" s="106">
        <f>H15*7</f>
        <v>231.79627397260276</v>
      </c>
      <c r="J15" s="106">
        <f t="shared" ref="J15:J21" si="2">K15/12</f>
        <v>1007.21</v>
      </c>
      <c r="K15" s="106">
        <v>12086.52</v>
      </c>
      <c r="L15" s="106">
        <f>E15*0.9</f>
        <v>226.35</v>
      </c>
      <c r="M15" s="106">
        <f>$B$10</f>
        <v>139.58000000000001</v>
      </c>
      <c r="N15" s="83"/>
      <c r="O15" s="107">
        <f>L15*6+M15*33</f>
        <v>5964.24</v>
      </c>
      <c r="P15" s="108">
        <v>39</v>
      </c>
      <c r="Q15" s="106">
        <f>R15/7</f>
        <v>21.847032967032966</v>
      </c>
      <c r="R15" s="109">
        <f t="shared" ref="R15:R22" si="3">O15/P15</f>
        <v>152.92923076923077</v>
      </c>
      <c r="S15" s="105">
        <v>665</v>
      </c>
      <c r="T15" s="110">
        <f>Q15*365</f>
        <v>7974.1670329670324</v>
      </c>
      <c r="U15" s="111">
        <f>T15/K15</f>
        <v>0.65975707093249603</v>
      </c>
      <c r="V15" s="112">
        <f>R15/$C$5</f>
        <v>0.37964992539359327</v>
      </c>
      <c r="W15" s="104"/>
      <c r="AS15" s="113"/>
      <c r="AT15" s="113"/>
      <c r="AU15" s="113"/>
    </row>
    <row r="16" spans="1:47" ht="17" thickBot="1" x14ac:dyDescent="0.25">
      <c r="B16" s="381"/>
      <c r="C16" s="114" t="s">
        <v>13</v>
      </c>
      <c r="D16" s="115">
        <f t="shared" si="1"/>
        <v>35.928571428571431</v>
      </c>
      <c r="E16" s="116">
        <f t="shared" si="1"/>
        <v>251.5</v>
      </c>
      <c r="F16" s="116">
        <f t="shared" si="1"/>
        <v>1092.827380952381</v>
      </c>
      <c r="G16" s="116">
        <f t="shared" si="1"/>
        <v>13113.928571428572</v>
      </c>
      <c r="H16" s="116">
        <f t="shared" ref="H16:H21" si="4">K16/365</f>
        <v>33.113753424657538</v>
      </c>
      <c r="I16" s="116">
        <f t="shared" si="0"/>
        <v>231.79627397260276</v>
      </c>
      <c r="J16" s="116">
        <f t="shared" si="2"/>
        <v>1007.21</v>
      </c>
      <c r="K16" s="116">
        <v>12086.52</v>
      </c>
      <c r="L16" s="117"/>
      <c r="M16" s="117"/>
      <c r="N16" s="118">
        <f>$B$10</f>
        <v>139.58000000000001</v>
      </c>
      <c r="O16" s="119">
        <f>N16*2</f>
        <v>279.16000000000003</v>
      </c>
      <c r="P16" s="120">
        <v>2</v>
      </c>
      <c r="Q16" s="116">
        <f t="shared" ref="Q16:Q22" si="5">R16/7</f>
        <v>19.940000000000001</v>
      </c>
      <c r="R16" s="121">
        <f t="shared" si="3"/>
        <v>139.58000000000001</v>
      </c>
      <c r="S16" s="115">
        <f t="shared" ref="S16:S22" si="6">T16/12</f>
        <v>606.50833333333333</v>
      </c>
      <c r="T16" s="118">
        <f t="shared" ref="T16:T22" si="7">Q16*365</f>
        <v>7278.1</v>
      </c>
      <c r="U16" s="122">
        <f t="shared" ref="U16:U21" si="8">T16/K16</f>
        <v>0.60216671134453925</v>
      </c>
      <c r="V16" s="122">
        <f t="shared" ref="V16:V22" si="9">R16/$C$5</f>
        <v>0.34651018853551707</v>
      </c>
      <c r="W16" s="104"/>
      <c r="AS16" s="113"/>
      <c r="AT16" s="113"/>
      <c r="AU16" s="113"/>
    </row>
    <row r="17" spans="1:47" x14ac:dyDescent="0.2">
      <c r="B17" s="380" t="s">
        <v>19</v>
      </c>
      <c r="C17" s="85" t="s">
        <v>12</v>
      </c>
      <c r="D17" s="105">
        <f>B$4*0.75</f>
        <v>53.892857142857146</v>
      </c>
      <c r="E17" s="106">
        <f>C$4*0.75</f>
        <v>377.25</v>
      </c>
      <c r="F17" s="106">
        <f>D$4*0.75</f>
        <v>1639.2410714285716</v>
      </c>
      <c r="G17" s="106">
        <f>E$4*0.75</f>
        <v>19670.892857142859</v>
      </c>
      <c r="H17" s="106">
        <f t="shared" si="4"/>
        <v>45.329534246575342</v>
      </c>
      <c r="I17" s="106">
        <f t="shared" si="0"/>
        <v>317.30673972602739</v>
      </c>
      <c r="J17" s="106">
        <f t="shared" si="2"/>
        <v>1378.7733333333333</v>
      </c>
      <c r="K17" s="106">
        <v>16545.28</v>
      </c>
      <c r="L17" s="106">
        <f>E17*0.9</f>
        <v>339.52500000000003</v>
      </c>
      <c r="M17" s="106">
        <f>$B$10</f>
        <v>139.58000000000001</v>
      </c>
      <c r="N17" s="83"/>
      <c r="O17" s="107">
        <f>L17*6+M17*33</f>
        <v>6643.2900000000009</v>
      </c>
      <c r="P17" s="108">
        <v>39</v>
      </c>
      <c r="Q17" s="106">
        <f t="shared" si="5"/>
        <v>24.334395604395606</v>
      </c>
      <c r="R17" s="109">
        <f t="shared" si="3"/>
        <v>170.34076923076924</v>
      </c>
      <c r="S17" s="105">
        <f t="shared" si="6"/>
        <v>740.17119963369976</v>
      </c>
      <c r="T17" s="110">
        <f t="shared" si="7"/>
        <v>8882.0543956043966</v>
      </c>
      <c r="U17" s="112">
        <f t="shared" si="8"/>
        <v>0.53683312676511952</v>
      </c>
      <c r="V17" s="112">
        <f t="shared" si="9"/>
        <v>0.42287442370997885</v>
      </c>
      <c r="W17" s="104"/>
      <c r="AS17" s="113"/>
      <c r="AT17" s="113"/>
      <c r="AU17" s="113"/>
    </row>
    <row r="18" spans="1:47" ht="17" thickBot="1" x14ac:dyDescent="0.25">
      <c r="B18" s="394"/>
      <c r="C18" s="90" t="s">
        <v>13</v>
      </c>
      <c r="D18" s="123">
        <f>B$4*1.25</f>
        <v>89.821428571428584</v>
      </c>
      <c r="E18" s="124">
        <f>C$4*1.25</f>
        <v>628.75</v>
      </c>
      <c r="F18" s="124">
        <f>D$4*1.25</f>
        <v>2732.0684523809523</v>
      </c>
      <c r="G18" s="124">
        <f>E$4*1.25</f>
        <v>32784.821428571435</v>
      </c>
      <c r="H18" s="124">
        <f t="shared" si="4"/>
        <v>69.761095890410957</v>
      </c>
      <c r="I18" s="124">
        <f t="shared" si="0"/>
        <v>488.3276712328767</v>
      </c>
      <c r="J18" s="124">
        <f t="shared" si="2"/>
        <v>2121.9</v>
      </c>
      <c r="K18" s="124">
        <v>25462.799999999999</v>
      </c>
      <c r="L18" s="87"/>
      <c r="M18" s="87"/>
      <c r="N18" s="125">
        <f>$B$10</f>
        <v>139.58000000000001</v>
      </c>
      <c r="O18" s="126">
        <f>N18*2</f>
        <v>279.16000000000003</v>
      </c>
      <c r="P18" s="127">
        <v>2</v>
      </c>
      <c r="Q18" s="124">
        <f t="shared" si="5"/>
        <v>19.940000000000001</v>
      </c>
      <c r="R18" s="121">
        <f t="shared" si="3"/>
        <v>139.58000000000001</v>
      </c>
      <c r="S18" s="123">
        <f t="shared" si="6"/>
        <v>606.50833333333333</v>
      </c>
      <c r="T18" s="125">
        <f t="shared" si="7"/>
        <v>7278.1</v>
      </c>
      <c r="U18" s="128">
        <f t="shared" si="8"/>
        <v>0.28583266569269683</v>
      </c>
      <c r="V18" s="128">
        <f t="shared" si="9"/>
        <v>0.34651018853551707</v>
      </c>
      <c r="W18" s="104"/>
      <c r="AS18" s="113"/>
      <c r="AT18" s="113"/>
      <c r="AU18" s="113"/>
    </row>
    <row r="19" spans="1:47" x14ac:dyDescent="0.2">
      <c r="B19" s="380" t="s">
        <v>20</v>
      </c>
      <c r="C19" s="85" t="s">
        <v>12</v>
      </c>
      <c r="D19" s="47">
        <f t="shared" ref="D19:G20" si="10">B$4</f>
        <v>71.857142857142861</v>
      </c>
      <c r="E19" s="41">
        <f t="shared" si="10"/>
        <v>503</v>
      </c>
      <c r="F19" s="41">
        <f>D$4</f>
        <v>2185.6547619047619</v>
      </c>
      <c r="G19" s="41">
        <f t="shared" si="10"/>
        <v>26227.857142857145</v>
      </c>
      <c r="H19" s="41">
        <f t="shared" si="4"/>
        <v>57.545205479452058</v>
      </c>
      <c r="I19" s="41">
        <f t="shared" si="0"/>
        <v>402.81643835616438</v>
      </c>
      <c r="J19" s="41">
        <f t="shared" si="2"/>
        <v>1750.3333333333333</v>
      </c>
      <c r="K19" s="41">
        <v>21004</v>
      </c>
      <c r="L19" s="106">
        <f>E19*0.9</f>
        <v>452.7</v>
      </c>
      <c r="M19" s="106">
        <f>$B$10</f>
        <v>139.58000000000001</v>
      </c>
      <c r="N19" s="83"/>
      <c r="O19" s="107">
        <f>L19*6+M19*33</f>
        <v>7322.34</v>
      </c>
      <c r="P19" s="108">
        <v>39</v>
      </c>
      <c r="Q19" s="106">
        <f t="shared" si="5"/>
        <v>26.821758241758243</v>
      </c>
      <c r="R19" s="109">
        <f t="shared" si="3"/>
        <v>187.75230769230771</v>
      </c>
      <c r="S19" s="105">
        <f t="shared" si="6"/>
        <v>815.82847985347996</v>
      </c>
      <c r="T19" s="110">
        <f t="shared" si="7"/>
        <v>9789.9417582417591</v>
      </c>
      <c r="U19" s="112">
        <f t="shared" si="8"/>
        <v>0.46609892202636444</v>
      </c>
      <c r="V19" s="112">
        <f t="shared" si="9"/>
        <v>0.46609892202636444</v>
      </c>
      <c r="W19" s="104"/>
      <c r="AS19" s="113"/>
      <c r="AT19" s="113"/>
      <c r="AU19" s="113"/>
    </row>
    <row r="20" spans="1:47" ht="17" thickBot="1" x14ac:dyDescent="0.25">
      <c r="B20" s="381"/>
      <c r="C20" s="114" t="s">
        <v>13</v>
      </c>
      <c r="D20" s="48">
        <f t="shared" si="10"/>
        <v>71.857142857142861</v>
      </c>
      <c r="E20" s="42">
        <f t="shared" si="10"/>
        <v>503</v>
      </c>
      <c r="F20" s="42">
        <f t="shared" si="10"/>
        <v>2185.6547619047619</v>
      </c>
      <c r="G20" s="42">
        <f t="shared" si="10"/>
        <v>26227.857142857145</v>
      </c>
      <c r="H20" s="42">
        <f t="shared" si="4"/>
        <v>57.545205479452058</v>
      </c>
      <c r="I20" s="42">
        <f t="shared" si="0"/>
        <v>402.81643835616438</v>
      </c>
      <c r="J20" s="42">
        <f t="shared" si="2"/>
        <v>1750.3333333333333</v>
      </c>
      <c r="K20" s="42">
        <v>21004</v>
      </c>
      <c r="L20" s="117"/>
      <c r="M20" s="117"/>
      <c r="N20" s="118">
        <f>$B$10</f>
        <v>139.58000000000001</v>
      </c>
      <c r="O20" s="119">
        <f>N20*2</f>
        <v>279.16000000000003</v>
      </c>
      <c r="P20" s="120">
        <v>2</v>
      </c>
      <c r="Q20" s="116">
        <f t="shared" si="5"/>
        <v>19.940000000000001</v>
      </c>
      <c r="R20" s="121">
        <f t="shared" si="3"/>
        <v>139.58000000000001</v>
      </c>
      <c r="S20" s="115">
        <f t="shared" si="6"/>
        <v>606.50833333333333</v>
      </c>
      <c r="T20" s="118">
        <f t="shared" si="7"/>
        <v>7278.1</v>
      </c>
      <c r="U20" s="122">
        <f t="shared" si="8"/>
        <v>0.34651018853551707</v>
      </c>
      <c r="V20" s="122">
        <f t="shared" si="9"/>
        <v>0.34651018853551707</v>
      </c>
      <c r="W20" s="104"/>
      <c r="AI20" s="129"/>
      <c r="AJ20" s="129"/>
      <c r="AK20" s="4"/>
      <c r="AQ20" s="130"/>
      <c r="AR20" s="130"/>
      <c r="AS20" s="113"/>
      <c r="AT20" s="113"/>
      <c r="AU20" s="113"/>
    </row>
    <row r="21" spans="1:47" x14ac:dyDescent="0.2">
      <c r="B21" s="382" t="s">
        <v>21</v>
      </c>
      <c r="C21" s="131" t="s">
        <v>12</v>
      </c>
      <c r="D21" s="132">
        <f>B$4*2</f>
        <v>143.71428571428572</v>
      </c>
      <c r="E21" s="133">
        <f>C$4*2</f>
        <v>1006</v>
      </c>
      <c r="F21" s="133">
        <f>D$4*2</f>
        <v>4371.3095238095239</v>
      </c>
      <c r="G21" s="133">
        <f>E$4*2</f>
        <v>52455.71428571429</v>
      </c>
      <c r="H21" s="133">
        <f t="shared" si="4"/>
        <v>103.82158904109588</v>
      </c>
      <c r="I21" s="133">
        <f t="shared" si="0"/>
        <v>726.75112328767113</v>
      </c>
      <c r="J21" s="133">
        <f t="shared" si="2"/>
        <v>3157.9066666666663</v>
      </c>
      <c r="K21" s="133">
        <v>37894.879999999997</v>
      </c>
      <c r="L21" s="133">
        <f>E21*0.9</f>
        <v>905.4</v>
      </c>
      <c r="M21" s="133">
        <f>$B$10</f>
        <v>139.58000000000001</v>
      </c>
      <c r="N21" s="134"/>
      <c r="O21" s="135">
        <f>L21*6+M21*33</f>
        <v>10038.540000000001</v>
      </c>
      <c r="P21" s="136">
        <v>39</v>
      </c>
      <c r="Q21" s="133">
        <f t="shared" si="5"/>
        <v>36.771208791208792</v>
      </c>
      <c r="R21" s="109">
        <f t="shared" si="3"/>
        <v>257.39846153846156</v>
      </c>
      <c r="S21" s="132">
        <f t="shared" si="6"/>
        <v>1118.4576007326007</v>
      </c>
      <c r="T21" s="137">
        <f t="shared" si="7"/>
        <v>13421.491208791209</v>
      </c>
      <c r="U21" s="138">
        <f t="shared" si="8"/>
        <v>0.35417690223035964</v>
      </c>
      <c r="V21" s="138">
        <f t="shared" si="9"/>
        <v>0.63899691529190683</v>
      </c>
      <c r="W21" s="104"/>
      <c r="AI21" s="129"/>
      <c r="AJ21" s="129"/>
      <c r="AK21" s="4"/>
      <c r="AQ21" s="130"/>
      <c r="AR21" s="130"/>
      <c r="AS21" s="113"/>
      <c r="AT21" s="113"/>
      <c r="AU21" s="113"/>
    </row>
    <row r="22" spans="1:47" ht="17" thickBot="1" x14ac:dyDescent="0.25">
      <c r="B22" s="381"/>
      <c r="C22" s="114" t="s">
        <v>13</v>
      </c>
      <c r="D22" s="115">
        <f>B$4*4</f>
        <v>287.42857142857144</v>
      </c>
      <c r="E22" s="116">
        <f>C$4*4</f>
        <v>2012</v>
      </c>
      <c r="F22" s="116">
        <f>D$4*4</f>
        <v>8742.6190476190477</v>
      </c>
      <c r="G22" s="116">
        <f>E$4*4</f>
        <v>104911.42857142858</v>
      </c>
      <c r="H22" s="116">
        <f>K22/365</f>
        <v>184.48432876712329</v>
      </c>
      <c r="I22" s="116">
        <f t="shared" si="0"/>
        <v>1291.390301369863</v>
      </c>
      <c r="J22" s="116">
        <f t="shared" ref="J22" si="11">K22/12</f>
        <v>5611.3983333333335</v>
      </c>
      <c r="K22" s="116">
        <v>67336.78</v>
      </c>
      <c r="L22" s="117"/>
      <c r="M22" s="117"/>
      <c r="N22" s="118">
        <f>$B$10</f>
        <v>139.58000000000001</v>
      </c>
      <c r="O22" s="119">
        <f>N22*2</f>
        <v>279.16000000000003</v>
      </c>
      <c r="P22" s="120">
        <v>2</v>
      </c>
      <c r="Q22" s="116">
        <f t="shared" si="5"/>
        <v>19.940000000000001</v>
      </c>
      <c r="R22" s="121">
        <f t="shared" si="3"/>
        <v>139.58000000000001</v>
      </c>
      <c r="S22" s="115">
        <f t="shared" si="6"/>
        <v>606.50833333333333</v>
      </c>
      <c r="T22" s="118">
        <f t="shared" si="7"/>
        <v>7278.1</v>
      </c>
      <c r="U22" s="122">
        <f>T22/K22</f>
        <v>0.1080850613884418</v>
      </c>
      <c r="V22" s="122">
        <f t="shared" si="9"/>
        <v>0.34651018853551707</v>
      </c>
      <c r="W22" s="104"/>
      <c r="AI22" s="139"/>
      <c r="AJ22" s="140"/>
      <c r="AK22" s="4"/>
      <c r="AQ22" s="130"/>
      <c r="AR22" s="130"/>
      <c r="AS22" s="113"/>
      <c r="AT22" s="113"/>
      <c r="AU22" s="113"/>
    </row>
    <row r="23" spans="1:47" ht="17" thickBot="1" x14ac:dyDescent="0.25">
      <c r="AI23" s="140"/>
      <c r="AJ23" s="140"/>
      <c r="AK23" s="4"/>
    </row>
    <row r="24" spans="1:47" ht="16" customHeight="1" x14ac:dyDescent="0.2">
      <c r="A24" s="36" t="s">
        <v>41</v>
      </c>
      <c r="B24" s="380" t="s">
        <v>16</v>
      </c>
      <c r="C24" s="393"/>
      <c r="D24" s="69" t="s">
        <v>65</v>
      </c>
      <c r="E24" s="82" t="s">
        <v>65</v>
      </c>
      <c r="F24" s="82" t="s">
        <v>65</v>
      </c>
      <c r="G24" s="82" t="s">
        <v>65</v>
      </c>
      <c r="H24" s="82" t="s">
        <v>64</v>
      </c>
      <c r="I24" s="82" t="s">
        <v>64</v>
      </c>
      <c r="J24" s="82" t="s">
        <v>64</v>
      </c>
      <c r="K24" s="82" t="s">
        <v>64</v>
      </c>
      <c r="L24" s="82" t="s">
        <v>66</v>
      </c>
      <c r="M24" s="82" t="s">
        <v>83</v>
      </c>
      <c r="N24" s="83" t="s">
        <v>84</v>
      </c>
      <c r="O24" s="69" t="s">
        <v>23</v>
      </c>
      <c r="P24" s="84" t="s">
        <v>69</v>
      </c>
      <c r="Q24" s="82" t="s">
        <v>24</v>
      </c>
      <c r="R24" s="85" t="s">
        <v>24</v>
      </c>
      <c r="S24" s="86" t="s">
        <v>24</v>
      </c>
      <c r="T24" s="83" t="s">
        <v>24</v>
      </c>
      <c r="U24" s="385" t="s">
        <v>86</v>
      </c>
      <c r="V24" s="387" t="s">
        <v>85</v>
      </c>
      <c r="AI24" s="140"/>
      <c r="AJ24" s="140"/>
      <c r="AK24" s="4"/>
    </row>
    <row r="25" spans="1:47" ht="17" thickBot="1" x14ac:dyDescent="0.25">
      <c r="B25" s="394"/>
      <c r="C25" s="395"/>
      <c r="D25" s="9" t="s">
        <v>2</v>
      </c>
      <c r="E25" s="87" t="s">
        <v>3</v>
      </c>
      <c r="F25" s="87" t="s">
        <v>4</v>
      </c>
      <c r="G25" s="87" t="s">
        <v>5</v>
      </c>
      <c r="H25" s="87" t="s">
        <v>2</v>
      </c>
      <c r="I25" s="87" t="s">
        <v>3</v>
      </c>
      <c r="J25" s="87" t="s">
        <v>4</v>
      </c>
      <c r="K25" s="87" t="s">
        <v>5</v>
      </c>
      <c r="L25" s="87" t="s">
        <v>3</v>
      </c>
      <c r="M25" s="87" t="s">
        <v>3</v>
      </c>
      <c r="N25" s="88" t="s">
        <v>3</v>
      </c>
      <c r="O25" s="9"/>
      <c r="P25" s="89" t="s">
        <v>15</v>
      </c>
      <c r="Q25" s="87" t="s">
        <v>2</v>
      </c>
      <c r="R25" s="90" t="s">
        <v>3</v>
      </c>
      <c r="S25" s="91" t="s">
        <v>4</v>
      </c>
      <c r="T25" s="88" t="s">
        <v>40</v>
      </c>
      <c r="U25" s="386"/>
      <c r="V25" s="388"/>
      <c r="AI25" s="140"/>
      <c r="AJ25" s="140"/>
      <c r="AK25" s="4"/>
    </row>
    <row r="26" spans="1:47" s="92" customFormat="1" ht="17" thickBot="1" x14ac:dyDescent="0.25">
      <c r="B26" s="93" t="s">
        <v>17</v>
      </c>
      <c r="C26" s="94" t="s">
        <v>12</v>
      </c>
      <c r="D26" s="95">
        <v>0</v>
      </c>
      <c r="E26" s="96">
        <v>0</v>
      </c>
      <c r="F26" s="96">
        <v>0</v>
      </c>
      <c r="G26" s="96">
        <v>0</v>
      </c>
      <c r="H26" s="96">
        <v>0</v>
      </c>
      <c r="I26" s="97">
        <f t="shared" ref="I26:I34" si="12">H26*7</f>
        <v>0</v>
      </c>
      <c r="J26" s="96">
        <v>0</v>
      </c>
      <c r="K26" s="96">
        <v>0</v>
      </c>
      <c r="L26" s="96">
        <v>0</v>
      </c>
      <c r="M26" s="96">
        <v>0</v>
      </c>
      <c r="N26" s="98">
        <v>0</v>
      </c>
      <c r="O26" s="99">
        <v>0</v>
      </c>
      <c r="P26" s="100">
        <v>0</v>
      </c>
      <c r="Q26" s="96">
        <v>0</v>
      </c>
      <c r="R26" s="101">
        <v>0</v>
      </c>
      <c r="S26" s="95">
        <v>0</v>
      </c>
      <c r="T26" s="98">
        <v>0</v>
      </c>
      <c r="U26" s="141" t="s">
        <v>25</v>
      </c>
      <c r="V26" s="142">
        <f>R26/$C$5</f>
        <v>0</v>
      </c>
      <c r="AI26" s="140"/>
      <c r="AJ26" s="140"/>
      <c r="AK26" s="143"/>
    </row>
    <row r="27" spans="1:47" x14ac:dyDescent="0.2">
      <c r="B27" s="380" t="s">
        <v>18</v>
      </c>
      <c r="C27" s="85" t="s">
        <v>12</v>
      </c>
      <c r="D27" s="105">
        <f t="shared" ref="D27:G28" si="13">B$4*0.5</f>
        <v>35.928571428571431</v>
      </c>
      <c r="E27" s="106">
        <f t="shared" si="13"/>
        <v>251.5</v>
      </c>
      <c r="F27" s="106">
        <f t="shared" si="13"/>
        <v>1092.827380952381</v>
      </c>
      <c r="G27" s="106">
        <f t="shared" si="13"/>
        <v>13113.928571428572</v>
      </c>
      <c r="H27" s="106">
        <f>K27/365</f>
        <v>33.113753424657538</v>
      </c>
      <c r="I27" s="106">
        <f>H27*7</f>
        <v>231.79627397260276</v>
      </c>
      <c r="J27" s="106">
        <f>K27/12</f>
        <v>1007.21</v>
      </c>
      <c r="K27" s="106">
        <v>12086.52</v>
      </c>
      <c r="L27" s="106">
        <f>E27*0.9</f>
        <v>226.35</v>
      </c>
      <c r="M27" s="106">
        <f>$B$10</f>
        <v>139.58000000000001</v>
      </c>
      <c r="N27" s="83"/>
      <c r="O27" s="107">
        <f>L27*6+M27*17</f>
        <v>3730.96</v>
      </c>
      <c r="P27" s="108">
        <v>23</v>
      </c>
      <c r="Q27" s="106">
        <f>R27/7</f>
        <v>23.173664596273291</v>
      </c>
      <c r="R27" s="109">
        <f t="shared" ref="R27:R34" si="14">O27/P27</f>
        <v>162.21565217391304</v>
      </c>
      <c r="S27" s="105">
        <f>T27/12</f>
        <v>704.86563146997923</v>
      </c>
      <c r="T27" s="110">
        <f>Q27*365</f>
        <v>8458.3875776397508</v>
      </c>
      <c r="U27" s="112">
        <f>R27/I27</f>
        <v>0.69981992977629215</v>
      </c>
      <c r="V27" s="112">
        <f>R27/$C$5</f>
        <v>0.40270365538182018</v>
      </c>
      <c r="W27" s="39"/>
      <c r="AI27" s="4"/>
      <c r="AJ27" s="4"/>
      <c r="AK27" s="4"/>
    </row>
    <row r="28" spans="1:47" ht="17" thickBot="1" x14ac:dyDescent="0.25">
      <c r="B28" s="381"/>
      <c r="C28" s="114" t="s">
        <v>13</v>
      </c>
      <c r="D28" s="115">
        <f t="shared" si="13"/>
        <v>35.928571428571431</v>
      </c>
      <c r="E28" s="116">
        <f t="shared" si="13"/>
        <v>251.5</v>
      </c>
      <c r="F28" s="116">
        <f t="shared" si="13"/>
        <v>1092.827380952381</v>
      </c>
      <c r="G28" s="116">
        <f t="shared" si="13"/>
        <v>13113.928571428572</v>
      </c>
      <c r="H28" s="116">
        <f t="shared" ref="H28:H32" si="15">K28/365</f>
        <v>33.113753424657538</v>
      </c>
      <c r="I28" s="116">
        <f t="shared" si="12"/>
        <v>231.79627397260276</v>
      </c>
      <c r="J28" s="116">
        <f t="shared" ref="J28:J30" si="16">K28/12</f>
        <v>1007.21</v>
      </c>
      <c r="K28" s="116">
        <v>12086.52</v>
      </c>
      <c r="L28" s="117"/>
      <c r="M28" s="117"/>
      <c r="N28" s="118">
        <f>$B$10</f>
        <v>139.58000000000001</v>
      </c>
      <c r="O28" s="119">
        <f>N28*18</f>
        <v>2512.44</v>
      </c>
      <c r="P28" s="120">
        <v>18</v>
      </c>
      <c r="Q28" s="116">
        <f t="shared" ref="Q28:Q34" si="17">R28/7</f>
        <v>19.940000000000001</v>
      </c>
      <c r="R28" s="121">
        <f t="shared" si="14"/>
        <v>139.58000000000001</v>
      </c>
      <c r="S28" s="115">
        <f t="shared" ref="S28:S34" si="18">T28/12</f>
        <v>606.50833333333333</v>
      </c>
      <c r="T28" s="118">
        <f t="shared" ref="T28:T34" si="19">Q28*365</f>
        <v>7278.1</v>
      </c>
      <c r="U28" s="122">
        <f t="shared" ref="U28:U34" si="20">R28/I28</f>
        <v>0.60216671134453925</v>
      </c>
      <c r="V28" s="122">
        <f t="shared" ref="V28:V34" si="21">R28/$C$5</f>
        <v>0.34651018853551707</v>
      </c>
      <c r="W28" s="39"/>
      <c r="AI28" s="129"/>
      <c r="AJ28" s="129"/>
      <c r="AK28" s="4"/>
    </row>
    <row r="29" spans="1:47" x14ac:dyDescent="0.2">
      <c r="B29" s="380" t="s">
        <v>19</v>
      </c>
      <c r="C29" s="85" t="s">
        <v>12</v>
      </c>
      <c r="D29" s="105">
        <f>B$4*0.75</f>
        <v>53.892857142857146</v>
      </c>
      <c r="E29" s="106">
        <f>C$4*0.75</f>
        <v>377.25</v>
      </c>
      <c r="F29" s="106">
        <f>D$4*0.75</f>
        <v>1639.2410714285716</v>
      </c>
      <c r="G29" s="106">
        <f>E$4*0.75</f>
        <v>19670.892857142859</v>
      </c>
      <c r="H29" s="106">
        <f t="shared" si="15"/>
        <v>45.329534246575342</v>
      </c>
      <c r="I29" s="106">
        <f t="shared" si="12"/>
        <v>317.30673972602739</v>
      </c>
      <c r="J29" s="106">
        <f t="shared" si="16"/>
        <v>1378.7733333333333</v>
      </c>
      <c r="K29" s="106">
        <v>16545.28</v>
      </c>
      <c r="L29" s="106">
        <f>E29*0.9</f>
        <v>339.52500000000003</v>
      </c>
      <c r="M29" s="106">
        <f>$B$10</f>
        <v>139.58000000000001</v>
      </c>
      <c r="N29" s="83"/>
      <c r="O29" s="107">
        <f>L29*6+M29*17</f>
        <v>4410.01</v>
      </c>
      <c r="P29" s="108">
        <v>23</v>
      </c>
      <c r="Q29" s="106">
        <f t="shared" si="17"/>
        <v>27.391366459627331</v>
      </c>
      <c r="R29" s="109">
        <f t="shared" si="14"/>
        <v>191.73956521739132</v>
      </c>
      <c r="S29" s="105">
        <f t="shared" si="18"/>
        <v>833.15406314699794</v>
      </c>
      <c r="T29" s="110">
        <f t="shared" si="19"/>
        <v>9997.8487577639753</v>
      </c>
      <c r="U29" s="112">
        <f t="shared" si="20"/>
        <v>0.60427195899760999</v>
      </c>
      <c r="V29" s="112">
        <f t="shared" si="21"/>
        <v>0.47599736991830011</v>
      </c>
      <c r="W29" s="39"/>
      <c r="AI29" s="129"/>
      <c r="AJ29" s="129"/>
      <c r="AK29" s="4"/>
    </row>
    <row r="30" spans="1:47" ht="17" thickBot="1" x14ac:dyDescent="0.25">
      <c r="B30" s="394"/>
      <c r="C30" s="90" t="s">
        <v>13</v>
      </c>
      <c r="D30" s="123">
        <f>B$4*1.25</f>
        <v>89.821428571428584</v>
      </c>
      <c r="E30" s="124">
        <f>C$4*1.25</f>
        <v>628.75</v>
      </c>
      <c r="F30" s="124">
        <f>D$4*1.25</f>
        <v>2732.0684523809523</v>
      </c>
      <c r="G30" s="124">
        <f>E$4*1.25</f>
        <v>32784.821428571435</v>
      </c>
      <c r="H30" s="124">
        <f t="shared" si="15"/>
        <v>69.761095890410957</v>
      </c>
      <c r="I30" s="124">
        <f t="shared" si="12"/>
        <v>488.3276712328767</v>
      </c>
      <c r="J30" s="124">
        <f t="shared" si="16"/>
        <v>2121.9</v>
      </c>
      <c r="K30" s="124">
        <v>25462.799999999999</v>
      </c>
      <c r="L30" s="87"/>
      <c r="M30" s="87"/>
      <c r="N30" s="125">
        <f>$B$10</f>
        <v>139.58000000000001</v>
      </c>
      <c r="O30" s="119">
        <f>N30*18</f>
        <v>2512.44</v>
      </c>
      <c r="P30" s="127">
        <v>18</v>
      </c>
      <c r="Q30" s="124">
        <f t="shared" si="17"/>
        <v>19.940000000000001</v>
      </c>
      <c r="R30" s="121">
        <f t="shared" si="14"/>
        <v>139.58000000000001</v>
      </c>
      <c r="S30" s="123">
        <f t="shared" si="18"/>
        <v>606.50833333333333</v>
      </c>
      <c r="T30" s="125">
        <f t="shared" si="19"/>
        <v>7278.1</v>
      </c>
      <c r="U30" s="128">
        <f t="shared" si="20"/>
        <v>0.28583266569269683</v>
      </c>
      <c r="V30" s="128">
        <f t="shared" si="21"/>
        <v>0.34651018853551707</v>
      </c>
      <c r="W30" s="39"/>
      <c r="AI30" s="139"/>
      <c r="AJ30" s="140"/>
      <c r="AK30" s="4"/>
    </row>
    <row r="31" spans="1:47" x14ac:dyDescent="0.2">
      <c r="B31" s="380" t="s">
        <v>20</v>
      </c>
      <c r="C31" s="85" t="s">
        <v>12</v>
      </c>
      <c r="D31" s="47">
        <f t="shared" ref="D31:G32" si="22">B$4</f>
        <v>71.857142857142861</v>
      </c>
      <c r="E31" s="41">
        <f t="shared" si="22"/>
        <v>503</v>
      </c>
      <c r="F31" s="41">
        <f>D$4</f>
        <v>2185.6547619047619</v>
      </c>
      <c r="G31" s="41">
        <f t="shared" si="22"/>
        <v>26227.857142857145</v>
      </c>
      <c r="H31" s="41">
        <f t="shared" si="15"/>
        <v>57.545205479452058</v>
      </c>
      <c r="I31" s="41">
        <f t="shared" si="12"/>
        <v>402.81643835616438</v>
      </c>
      <c r="J31" s="41">
        <f>K31/12</f>
        <v>1750.3333333333333</v>
      </c>
      <c r="K31" s="41">
        <v>21004</v>
      </c>
      <c r="L31" s="106">
        <f>E31*0.9</f>
        <v>452.7</v>
      </c>
      <c r="M31" s="106">
        <f>$B$10</f>
        <v>139.58000000000001</v>
      </c>
      <c r="N31" s="83"/>
      <c r="O31" s="107">
        <f>L31*6+M31*17</f>
        <v>5089.0599999999995</v>
      </c>
      <c r="P31" s="108">
        <v>23</v>
      </c>
      <c r="Q31" s="106">
        <f t="shared" si="17"/>
        <v>31.609068322981361</v>
      </c>
      <c r="R31" s="109">
        <f t="shared" si="14"/>
        <v>221.26347826086953</v>
      </c>
      <c r="S31" s="105">
        <f t="shared" si="18"/>
        <v>961.44249482401631</v>
      </c>
      <c r="T31" s="110">
        <f t="shared" si="19"/>
        <v>11537.309937888196</v>
      </c>
      <c r="U31" s="112">
        <f t="shared" si="20"/>
        <v>0.54929108445477992</v>
      </c>
      <c r="V31" s="112">
        <f t="shared" si="21"/>
        <v>0.54929108445477992</v>
      </c>
      <c r="W31" s="39"/>
      <c r="AI31" s="140"/>
      <c r="AJ31" s="140"/>
      <c r="AK31" s="4"/>
    </row>
    <row r="32" spans="1:47" ht="17" thickBot="1" x14ac:dyDescent="0.25">
      <c r="B32" s="381"/>
      <c r="C32" s="114" t="s">
        <v>13</v>
      </c>
      <c r="D32" s="48">
        <f t="shared" si="22"/>
        <v>71.857142857142861</v>
      </c>
      <c r="E32" s="42">
        <f t="shared" si="22"/>
        <v>503</v>
      </c>
      <c r="F32" s="42">
        <f t="shared" si="22"/>
        <v>2185.6547619047619</v>
      </c>
      <c r="G32" s="42">
        <f t="shared" si="22"/>
        <v>26227.857142857145</v>
      </c>
      <c r="H32" s="42">
        <f t="shared" si="15"/>
        <v>57.545205479452058</v>
      </c>
      <c r="I32" s="42">
        <f t="shared" si="12"/>
        <v>402.81643835616438</v>
      </c>
      <c r="J32" s="42">
        <f t="shared" ref="J32:J34" si="23">K32/12</f>
        <v>1750.3333333333333</v>
      </c>
      <c r="K32" s="42">
        <v>21004</v>
      </c>
      <c r="L32" s="117"/>
      <c r="M32" s="117"/>
      <c r="N32" s="118">
        <f>$B$10</f>
        <v>139.58000000000001</v>
      </c>
      <c r="O32" s="119">
        <f>N32*18</f>
        <v>2512.44</v>
      </c>
      <c r="P32" s="120">
        <v>18</v>
      </c>
      <c r="Q32" s="116">
        <f t="shared" si="17"/>
        <v>19.940000000000001</v>
      </c>
      <c r="R32" s="121">
        <f t="shared" si="14"/>
        <v>139.58000000000001</v>
      </c>
      <c r="S32" s="115">
        <f t="shared" si="18"/>
        <v>606.50833333333333</v>
      </c>
      <c r="T32" s="118">
        <f t="shared" si="19"/>
        <v>7278.1</v>
      </c>
      <c r="U32" s="122">
        <f t="shared" si="20"/>
        <v>0.34651018853551707</v>
      </c>
      <c r="V32" s="122">
        <f t="shared" si="21"/>
        <v>0.34651018853551707</v>
      </c>
      <c r="W32" s="39"/>
      <c r="AI32" s="140"/>
      <c r="AJ32" s="140"/>
      <c r="AK32" s="4"/>
    </row>
    <row r="33" spans="1:37" x14ac:dyDescent="0.2">
      <c r="B33" s="382" t="s">
        <v>21</v>
      </c>
      <c r="C33" s="131" t="s">
        <v>12</v>
      </c>
      <c r="D33" s="132">
        <f>B$4*2</f>
        <v>143.71428571428572</v>
      </c>
      <c r="E33" s="133">
        <f>C$4*2</f>
        <v>1006</v>
      </c>
      <c r="F33" s="133">
        <f>D$4*2</f>
        <v>4371.3095238095239</v>
      </c>
      <c r="G33" s="133">
        <f>E$4*2</f>
        <v>52455.71428571429</v>
      </c>
      <c r="H33" s="133">
        <f>K33/365</f>
        <v>103.82158904109588</v>
      </c>
      <c r="I33" s="133">
        <f>H33*7</f>
        <v>726.75112328767113</v>
      </c>
      <c r="J33" s="133">
        <f>K33/12</f>
        <v>3157.9066666666663</v>
      </c>
      <c r="K33" s="133">
        <v>37894.879999999997</v>
      </c>
      <c r="L33" s="133">
        <f>E33*0.9</f>
        <v>905.4</v>
      </c>
      <c r="M33" s="133">
        <f>$B$10</f>
        <v>139.58000000000001</v>
      </c>
      <c r="N33" s="134"/>
      <c r="O33" s="107">
        <f>L33*6+M33*17</f>
        <v>7805.26</v>
      </c>
      <c r="P33" s="136">
        <v>23</v>
      </c>
      <c r="Q33" s="133">
        <f t="shared" si="17"/>
        <v>48.47987577639752</v>
      </c>
      <c r="R33" s="109">
        <f t="shared" si="14"/>
        <v>339.35913043478263</v>
      </c>
      <c r="S33" s="132">
        <f t="shared" si="18"/>
        <v>1474.5962215320912</v>
      </c>
      <c r="T33" s="137">
        <f t="shared" si="19"/>
        <v>17695.154658385094</v>
      </c>
      <c r="U33" s="138">
        <f t="shared" si="20"/>
        <v>0.46695370610449477</v>
      </c>
      <c r="V33" s="138">
        <f t="shared" si="21"/>
        <v>0.84246594260069962</v>
      </c>
      <c r="W33" s="39"/>
      <c r="AI33" s="140"/>
      <c r="AJ33" s="140"/>
      <c r="AK33" s="4"/>
    </row>
    <row r="34" spans="1:37" ht="17" thickBot="1" x14ac:dyDescent="0.25">
      <c r="B34" s="381"/>
      <c r="C34" s="114" t="s">
        <v>13</v>
      </c>
      <c r="D34" s="115">
        <f>B$4*4</f>
        <v>287.42857142857144</v>
      </c>
      <c r="E34" s="116">
        <f>C$4*4</f>
        <v>2012</v>
      </c>
      <c r="F34" s="116">
        <f>D$4*4</f>
        <v>8742.6190476190477</v>
      </c>
      <c r="G34" s="116">
        <f>E$4*4</f>
        <v>104911.42857142858</v>
      </c>
      <c r="H34" s="116">
        <f>K34/365</f>
        <v>184.48432876712329</v>
      </c>
      <c r="I34" s="116">
        <f t="shared" si="12"/>
        <v>1291.390301369863</v>
      </c>
      <c r="J34" s="116">
        <f t="shared" si="23"/>
        <v>5611.3983333333335</v>
      </c>
      <c r="K34" s="116">
        <v>67336.78</v>
      </c>
      <c r="L34" s="117"/>
      <c r="M34" s="117"/>
      <c r="N34" s="118">
        <f>$B$10</f>
        <v>139.58000000000001</v>
      </c>
      <c r="O34" s="119">
        <f>N34*18</f>
        <v>2512.44</v>
      </c>
      <c r="P34" s="120">
        <v>18</v>
      </c>
      <c r="Q34" s="116">
        <f t="shared" si="17"/>
        <v>19.940000000000001</v>
      </c>
      <c r="R34" s="121">
        <f t="shared" si="14"/>
        <v>139.58000000000001</v>
      </c>
      <c r="S34" s="115">
        <f t="shared" si="18"/>
        <v>606.50833333333333</v>
      </c>
      <c r="T34" s="118">
        <f t="shared" si="19"/>
        <v>7278.1</v>
      </c>
      <c r="U34" s="122">
        <f t="shared" si="20"/>
        <v>0.10808506138844182</v>
      </c>
      <c r="V34" s="122">
        <f t="shared" si="21"/>
        <v>0.34651018853551707</v>
      </c>
      <c r="W34" s="39"/>
      <c r="AI34" s="140"/>
      <c r="AJ34" s="140"/>
      <c r="AK34" s="4"/>
    </row>
    <row r="35" spans="1:37" x14ac:dyDescent="0.2">
      <c r="AI35" s="4"/>
      <c r="AJ35" s="4"/>
      <c r="AK35" s="4"/>
    </row>
    <row r="36" spans="1:37" x14ac:dyDescent="0.2"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7" thickBot="1" x14ac:dyDescent="0.25"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x14ac:dyDescent="0.2">
      <c r="A38" s="36" t="s">
        <v>95</v>
      </c>
      <c r="B38" s="391" t="s">
        <v>16</v>
      </c>
      <c r="C38" s="144" t="s">
        <v>23</v>
      </c>
      <c r="D38" s="145" t="s">
        <v>69</v>
      </c>
      <c r="E38" s="145" t="s">
        <v>69</v>
      </c>
      <c r="F38" s="145" t="s">
        <v>69</v>
      </c>
      <c r="G38" s="146" t="s">
        <v>24</v>
      </c>
      <c r="H38" s="145" t="s">
        <v>24</v>
      </c>
      <c r="I38" s="146" t="s">
        <v>24</v>
      </c>
      <c r="J38" s="387" t="s">
        <v>86</v>
      </c>
      <c r="K38" s="383" t="s">
        <v>85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7" thickBot="1" x14ac:dyDescent="0.25">
      <c r="B39" s="392"/>
      <c r="C39" s="147" t="s">
        <v>70</v>
      </c>
      <c r="D39" s="148" t="s">
        <v>38</v>
      </c>
      <c r="E39" s="148" t="s">
        <v>15</v>
      </c>
      <c r="F39" s="148" t="s">
        <v>89</v>
      </c>
      <c r="G39" s="149" t="s">
        <v>2</v>
      </c>
      <c r="H39" s="148" t="s">
        <v>3</v>
      </c>
      <c r="I39" s="149" t="s">
        <v>4</v>
      </c>
      <c r="J39" s="388"/>
      <c r="K39" s="38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7" thickBot="1" x14ac:dyDescent="0.25">
      <c r="B40" s="150" t="s">
        <v>17</v>
      </c>
      <c r="C40" s="151">
        <v>0</v>
      </c>
      <c r="D40" s="152">
        <v>0</v>
      </c>
      <c r="E40" s="152">
        <f>D40/7</f>
        <v>0</v>
      </c>
      <c r="F40" s="153">
        <f>D40/365*12</f>
        <v>0</v>
      </c>
      <c r="G40" s="154">
        <v>0</v>
      </c>
      <c r="H40" s="154">
        <v>0</v>
      </c>
      <c r="I40" s="155">
        <f>G40*365/12</f>
        <v>0</v>
      </c>
      <c r="J40" s="156" t="s">
        <v>25</v>
      </c>
      <c r="K40" s="157">
        <f>C40/$C$5</f>
        <v>0</v>
      </c>
      <c r="L40" s="92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7" thickBot="1" x14ac:dyDescent="0.25">
      <c r="B41" s="158" t="s">
        <v>18</v>
      </c>
      <c r="C41" s="159">
        <f>O15+O16</f>
        <v>6243.4</v>
      </c>
      <c r="D41" s="160">
        <f>39*7+2*7</f>
        <v>287</v>
      </c>
      <c r="E41" s="161">
        <f>D41/7</f>
        <v>41</v>
      </c>
      <c r="F41" s="162">
        <f t="shared" ref="F41:F44" si="24">D41/365*12</f>
        <v>9.4356164383561634</v>
      </c>
      <c r="G41" s="163">
        <f>C41/D41</f>
        <v>21.754006968641114</v>
      </c>
      <c r="H41" s="163">
        <f>G41*7</f>
        <v>152.27804878048781</v>
      </c>
      <c r="I41" s="164">
        <f t="shared" ref="I41:I44" si="25">G41*365/12</f>
        <v>661.68437862950054</v>
      </c>
      <c r="J41" s="165">
        <f>G41/((H15*39*7+H16*2*7)/D41)</f>
        <v>0.65694778509893714</v>
      </c>
      <c r="K41" s="165">
        <f>G41/$B$5</f>
        <v>0.37803335286393097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7" thickBot="1" x14ac:dyDescent="0.25">
      <c r="B42" s="158" t="s">
        <v>19</v>
      </c>
      <c r="C42" s="159">
        <f>O17+O18</f>
        <v>6922.4500000000007</v>
      </c>
      <c r="D42" s="160">
        <f>39*7+2*7</f>
        <v>287</v>
      </c>
      <c r="E42" s="161">
        <f t="shared" ref="E42:E44" si="26">D42/7</f>
        <v>41</v>
      </c>
      <c r="F42" s="162">
        <f t="shared" si="24"/>
        <v>9.4356164383561634</v>
      </c>
      <c r="G42" s="163">
        <f>C42/D42</f>
        <v>24.120034843205577</v>
      </c>
      <c r="H42" s="163">
        <f>G42*7</f>
        <v>168.84024390243903</v>
      </c>
      <c r="I42" s="164">
        <f t="shared" si="25"/>
        <v>733.65105981416957</v>
      </c>
      <c r="J42" s="165">
        <f>G42/((H17*39*7+H18*2*7)/D42)</f>
        <v>0.51847273495743162</v>
      </c>
      <c r="K42" s="165">
        <f>G42/$B$5</f>
        <v>0.41914933906732216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7" thickBot="1" x14ac:dyDescent="0.25">
      <c r="B43" s="158" t="s">
        <v>20</v>
      </c>
      <c r="C43" s="159">
        <f>O19+O20</f>
        <v>7601.5</v>
      </c>
      <c r="D43" s="160">
        <f>39*7+2*7</f>
        <v>287</v>
      </c>
      <c r="E43" s="161">
        <f t="shared" si="26"/>
        <v>41</v>
      </c>
      <c r="F43" s="162">
        <f t="shared" si="24"/>
        <v>9.4356164383561634</v>
      </c>
      <c r="G43" s="163">
        <f>C43/D43</f>
        <v>26.486062717770036</v>
      </c>
      <c r="H43" s="163">
        <f>G43*7</f>
        <v>185.40243902439025</v>
      </c>
      <c r="I43" s="164">
        <f t="shared" si="25"/>
        <v>805.6177409988386</v>
      </c>
      <c r="J43" s="166">
        <f>G43/((H19*39*7+H20*2*7)/D43)</f>
        <v>0.46026532527071323</v>
      </c>
      <c r="K43" s="165">
        <f>G43/$B$5</f>
        <v>0.46026532527071334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7" thickBot="1" x14ac:dyDescent="0.25">
      <c r="B44" s="167" t="s">
        <v>21</v>
      </c>
      <c r="C44" s="168">
        <f>O21+O22</f>
        <v>10317.700000000001</v>
      </c>
      <c r="D44" s="169">
        <f>39*7+2*7</f>
        <v>287</v>
      </c>
      <c r="E44" s="170">
        <f t="shared" si="26"/>
        <v>41</v>
      </c>
      <c r="F44" s="171">
        <f t="shared" si="24"/>
        <v>9.4356164383561634</v>
      </c>
      <c r="G44" s="172">
        <f>C44/D44</f>
        <v>35.950174216027875</v>
      </c>
      <c r="H44" s="172">
        <f>G44*7</f>
        <v>251.65121951219513</v>
      </c>
      <c r="I44" s="173">
        <f t="shared" si="25"/>
        <v>1093.4844657375145</v>
      </c>
      <c r="J44" s="174">
        <f>G44/((H21*39*7+H22*2*7)/D44)</f>
        <v>0.33362462570884333</v>
      </c>
      <c r="K44" s="174">
        <f>G44/$B$5</f>
        <v>0.62472927008427792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7" thickBot="1" x14ac:dyDescent="0.25">
      <c r="L45" s="175"/>
    </row>
    <row r="46" spans="1:37" x14ac:dyDescent="0.2">
      <c r="A46" s="36" t="s">
        <v>41</v>
      </c>
      <c r="B46" s="389" t="s">
        <v>16</v>
      </c>
      <c r="C46" s="176" t="s">
        <v>23</v>
      </c>
      <c r="D46" s="177" t="s">
        <v>69</v>
      </c>
      <c r="E46" s="145" t="s">
        <v>69</v>
      </c>
      <c r="F46" s="145" t="s">
        <v>69</v>
      </c>
      <c r="G46" s="146" t="s">
        <v>24</v>
      </c>
      <c r="H46" s="177" t="s">
        <v>24</v>
      </c>
      <c r="I46" s="178" t="s">
        <v>24</v>
      </c>
      <c r="J46" s="387" t="s">
        <v>86</v>
      </c>
      <c r="K46" s="383" t="s">
        <v>85</v>
      </c>
      <c r="L46" s="175"/>
    </row>
    <row r="47" spans="1:37" ht="17" thickBot="1" x14ac:dyDescent="0.25">
      <c r="B47" s="390"/>
      <c r="C47" s="179" t="s">
        <v>70</v>
      </c>
      <c r="D47" s="180" t="s">
        <v>38</v>
      </c>
      <c r="E47" s="148" t="s">
        <v>15</v>
      </c>
      <c r="F47" s="148" t="s">
        <v>89</v>
      </c>
      <c r="G47" s="149" t="s">
        <v>2</v>
      </c>
      <c r="H47" s="180" t="s">
        <v>3</v>
      </c>
      <c r="I47" s="181" t="s">
        <v>4</v>
      </c>
      <c r="J47" s="388"/>
      <c r="K47" s="384"/>
      <c r="L47" s="175"/>
    </row>
    <row r="48" spans="1:37" ht="17" thickBot="1" x14ac:dyDescent="0.25">
      <c r="B48" s="150" t="s">
        <v>17</v>
      </c>
      <c r="C48" s="182">
        <v>0</v>
      </c>
      <c r="D48" s="183">
        <v>0</v>
      </c>
      <c r="E48" s="152">
        <f>D48/7</f>
        <v>0</v>
      </c>
      <c r="F48" s="153">
        <f>D48/365*12</f>
        <v>0</v>
      </c>
      <c r="G48" s="184">
        <v>0</v>
      </c>
      <c r="H48" s="184">
        <v>0</v>
      </c>
      <c r="I48" s="155">
        <f>G48*365/12</f>
        <v>0</v>
      </c>
      <c r="J48" s="185" t="s">
        <v>25</v>
      </c>
      <c r="K48" s="186">
        <v>0</v>
      </c>
      <c r="L48" s="4"/>
    </row>
    <row r="49" spans="2:12" ht="17" thickBot="1" x14ac:dyDescent="0.25">
      <c r="B49" s="158" t="s">
        <v>18</v>
      </c>
      <c r="C49" s="159">
        <f>O27+O28</f>
        <v>6243.4</v>
      </c>
      <c r="D49" s="160">
        <f>39*7+2*7</f>
        <v>287</v>
      </c>
      <c r="E49" s="161">
        <f t="shared" ref="E49:E52" si="27">D49/7</f>
        <v>41</v>
      </c>
      <c r="F49" s="162">
        <f t="shared" ref="F49:F52" si="28">D49/365*12</f>
        <v>9.4356164383561634</v>
      </c>
      <c r="G49" s="163">
        <f>C49/D49</f>
        <v>21.754006968641114</v>
      </c>
      <c r="H49" s="163">
        <f>G49*7</f>
        <v>152.27804878048781</v>
      </c>
      <c r="I49" s="164">
        <f t="shared" ref="I49:I52" si="29">G49*365/12</f>
        <v>661.68437862950054</v>
      </c>
      <c r="J49" s="165">
        <f>G49/((H27*P27*7+H28*P28*7)/D49)</f>
        <v>0.65694778509893725</v>
      </c>
      <c r="K49" s="165">
        <f>G49/$B$5</f>
        <v>0.37803335286393097</v>
      </c>
      <c r="L49" s="187"/>
    </row>
    <row r="50" spans="2:12" ht="17" thickBot="1" x14ac:dyDescent="0.25">
      <c r="B50" s="158" t="s">
        <v>19</v>
      </c>
      <c r="C50" s="159">
        <f>O29+O30</f>
        <v>6922.4500000000007</v>
      </c>
      <c r="D50" s="160">
        <f>39*7+2*7</f>
        <v>287</v>
      </c>
      <c r="E50" s="161">
        <f t="shared" si="27"/>
        <v>41</v>
      </c>
      <c r="F50" s="162">
        <f t="shared" si="28"/>
        <v>9.4356164383561634</v>
      </c>
      <c r="G50" s="163">
        <f>C50/D50</f>
        <v>24.120034843205577</v>
      </c>
      <c r="H50" s="163">
        <f>G50*7</f>
        <v>168.84024390243903</v>
      </c>
      <c r="I50" s="164">
        <f t="shared" si="29"/>
        <v>733.65105981416957</v>
      </c>
      <c r="J50" s="165">
        <f>G50/((H29*P29*7+H30*P30*7)/D50)</f>
        <v>0.43028780347254414</v>
      </c>
      <c r="K50" s="165">
        <f>G50/$B$5</f>
        <v>0.41914933906732216</v>
      </c>
      <c r="L50" s="187"/>
    </row>
    <row r="51" spans="2:12" ht="17" thickBot="1" x14ac:dyDescent="0.25">
      <c r="B51" s="158" t="s">
        <v>20</v>
      </c>
      <c r="C51" s="159">
        <f>O31+O32</f>
        <v>7601.5</v>
      </c>
      <c r="D51" s="160">
        <f>39*7+2*7</f>
        <v>287</v>
      </c>
      <c r="E51" s="161">
        <f t="shared" si="27"/>
        <v>41</v>
      </c>
      <c r="F51" s="162">
        <f t="shared" si="28"/>
        <v>9.4356164383561634</v>
      </c>
      <c r="G51" s="163">
        <f>C51/D51</f>
        <v>26.486062717770036</v>
      </c>
      <c r="H51" s="163">
        <f>G51*7</f>
        <v>185.40243902439025</v>
      </c>
      <c r="I51" s="164">
        <f t="shared" si="29"/>
        <v>805.6177409988386</v>
      </c>
      <c r="J51" s="166">
        <f>G51/((H31*P31*7+H32*P32*7)/D51)</f>
        <v>0.46026532527071334</v>
      </c>
      <c r="K51" s="165">
        <f>G51/$B$5</f>
        <v>0.46026532527071334</v>
      </c>
      <c r="L51" s="175"/>
    </row>
    <row r="52" spans="2:12" ht="17" thickBot="1" x14ac:dyDescent="0.25">
      <c r="B52" s="167" t="s">
        <v>21</v>
      </c>
      <c r="C52" s="168">
        <f>O33+O34</f>
        <v>10317.700000000001</v>
      </c>
      <c r="D52" s="169">
        <f>39*7+2*7</f>
        <v>287</v>
      </c>
      <c r="E52" s="170">
        <f t="shared" si="27"/>
        <v>41</v>
      </c>
      <c r="F52" s="171">
        <f t="shared" si="28"/>
        <v>9.4356164383561634</v>
      </c>
      <c r="G52" s="172">
        <f>C52/D52</f>
        <v>35.950174216027875</v>
      </c>
      <c r="H52" s="172">
        <f>G52*7</f>
        <v>251.65121951219513</v>
      </c>
      <c r="I52" s="173">
        <f t="shared" si="29"/>
        <v>1093.4844657375145</v>
      </c>
      <c r="J52" s="174">
        <f>G52/((H33*P33*7+H34*P34*7)/D52)</f>
        <v>0.25819875412844323</v>
      </c>
      <c r="K52" s="174">
        <f>G52/$B$5</f>
        <v>0.62472927008427792</v>
      </c>
      <c r="L52" s="175"/>
    </row>
    <row r="53" spans="2:12" x14ac:dyDescent="0.2">
      <c r="J53" s="130"/>
      <c r="K53" s="130"/>
      <c r="L53" s="175"/>
    </row>
    <row r="54" spans="2:12" x14ac:dyDescent="0.2">
      <c r="B54" s="187"/>
      <c r="C54" s="175"/>
      <c r="D54" s="188"/>
      <c r="E54" s="188"/>
      <c r="F54" s="188"/>
      <c r="G54" s="188"/>
      <c r="H54" s="188"/>
      <c r="I54" s="189"/>
      <c r="J54" s="175"/>
      <c r="K54" s="175"/>
      <c r="L54" s="175"/>
    </row>
    <row r="55" spans="2:12" x14ac:dyDescent="0.2">
      <c r="B55" s="187"/>
      <c r="C55" s="175"/>
      <c r="D55" s="188"/>
      <c r="E55" s="188"/>
      <c r="F55" s="188"/>
      <c r="G55" s="188"/>
      <c r="H55" s="188"/>
      <c r="I55" s="189"/>
      <c r="J55" s="175"/>
      <c r="K55" s="175"/>
      <c r="L55" s="175"/>
    </row>
    <row r="56" spans="2:12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</sheetData>
  <mergeCells count="22">
    <mergeCell ref="B7:C7"/>
    <mergeCell ref="B8:C8"/>
    <mergeCell ref="B15:B16"/>
    <mergeCell ref="B17:B18"/>
    <mergeCell ref="B19:B20"/>
    <mergeCell ref="V12:V13"/>
    <mergeCell ref="U12:U13"/>
    <mergeCell ref="B24:C25"/>
    <mergeCell ref="B27:B28"/>
    <mergeCell ref="B29:B30"/>
    <mergeCell ref="B21:B22"/>
    <mergeCell ref="B12:C13"/>
    <mergeCell ref="B31:B32"/>
    <mergeCell ref="B33:B34"/>
    <mergeCell ref="K46:K47"/>
    <mergeCell ref="U24:U25"/>
    <mergeCell ref="V24:V25"/>
    <mergeCell ref="J38:J39"/>
    <mergeCell ref="K38:K39"/>
    <mergeCell ref="J46:J47"/>
    <mergeCell ref="B46:B47"/>
    <mergeCell ref="B38:B39"/>
  </mergeCells>
  <phoneticPr fontId="8" type="noConversion"/>
  <pageMargins left="0.7" right="0.7" top="0.75" bottom="0.75" header="0.3" footer="0.3"/>
  <pageSetup paperSize="9" scale="1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D55"/>
  <sheetViews>
    <sheetView topLeftCell="A46" workbookViewId="0">
      <selection activeCell="G9" sqref="G9"/>
    </sheetView>
  </sheetViews>
  <sheetFormatPr baseColWidth="10" defaultRowHeight="16" x14ac:dyDescent="0.2"/>
  <cols>
    <col min="1" max="1" width="26.5" style="36" customWidth="1"/>
    <col min="2" max="2" width="12.6640625" style="36" customWidth="1"/>
    <col min="3" max="3" width="12.5" style="36" customWidth="1"/>
    <col min="4" max="4" width="13" style="36" customWidth="1"/>
    <col min="5" max="5" width="12.5" style="36" customWidth="1"/>
    <col min="6" max="6" width="13" style="36" customWidth="1"/>
    <col min="7" max="7" width="13.6640625" style="36" customWidth="1"/>
    <col min="8" max="9" width="11.33203125" style="36" customWidth="1"/>
    <col min="10" max="10" width="12.5" style="36" customWidth="1"/>
    <col min="11" max="11" width="13.83203125" style="36" customWidth="1"/>
    <col min="12" max="12" width="11.5" style="36" customWidth="1"/>
    <col min="13" max="15" width="13.83203125" style="36" customWidth="1"/>
    <col min="16" max="16" width="12" style="36" customWidth="1"/>
    <col min="17" max="22" width="13.6640625" style="36" customWidth="1"/>
    <col min="23" max="23" width="12.33203125" style="36" customWidth="1"/>
    <col min="24" max="24" width="10.5" style="36" customWidth="1"/>
    <col min="25" max="25" width="9.5" style="36" customWidth="1"/>
    <col min="26" max="27" width="13.6640625" style="36" customWidth="1"/>
    <col min="28" max="28" width="14.33203125" style="36" customWidth="1"/>
    <col min="29" max="29" width="15.5" style="36" customWidth="1"/>
    <col min="30" max="30" width="16.83203125" style="36" customWidth="1"/>
    <col min="31" max="33" width="10.83203125" style="36"/>
    <col min="34" max="34" width="12.83203125" style="36" customWidth="1"/>
    <col min="35" max="38" width="10.83203125" style="36"/>
    <col min="39" max="39" width="10.83203125" style="36" customWidth="1"/>
    <col min="40" max="40" width="12" style="36" customWidth="1"/>
    <col min="41" max="41" width="16.1640625" style="36" customWidth="1"/>
    <col min="42" max="42" width="16.83203125" style="36" customWidth="1"/>
    <col min="43" max="44" width="10.83203125" style="36"/>
    <col min="45" max="45" width="12.5" style="36" customWidth="1"/>
    <col min="46" max="49" width="11.6640625" style="36" customWidth="1"/>
    <col min="50" max="50" width="10.1640625" style="36" customWidth="1"/>
    <col min="51" max="51" width="13.5" style="36" customWidth="1"/>
    <col min="52" max="52" width="15.83203125" style="36" customWidth="1"/>
    <col min="53" max="53" width="17.1640625" style="36" customWidth="1"/>
    <col min="54" max="75" width="15.83203125" style="36" customWidth="1"/>
    <col min="76" max="16384" width="10.83203125" style="36"/>
  </cols>
  <sheetData>
    <row r="1" spans="1:31" x14ac:dyDescent="0.2">
      <c r="A1" s="36" t="s">
        <v>26</v>
      </c>
    </row>
    <row r="2" spans="1:31" ht="17" thickBot="1" x14ac:dyDescent="0.25">
      <c r="I2" s="4"/>
    </row>
    <row r="3" spans="1:31" x14ac:dyDescent="0.2">
      <c r="A3" s="402" t="s">
        <v>1</v>
      </c>
      <c r="B3" s="2" t="s">
        <v>6</v>
      </c>
      <c r="C3" s="2"/>
      <c r="D3" s="2"/>
      <c r="E3" s="3"/>
      <c r="I3" s="4"/>
    </row>
    <row r="4" spans="1:31" x14ac:dyDescent="0.2">
      <c r="A4" s="403"/>
      <c r="B4" s="4" t="s">
        <v>2</v>
      </c>
      <c r="C4" s="4" t="s">
        <v>3</v>
      </c>
      <c r="D4" s="4" t="s">
        <v>4</v>
      </c>
      <c r="E4" s="5" t="s">
        <v>5</v>
      </c>
      <c r="I4" s="4"/>
    </row>
    <row r="5" spans="1:31" x14ac:dyDescent="0.2">
      <c r="A5" s="404"/>
      <c r="B5" s="22">
        <f>E5/365</f>
        <v>1137.7655063013697</v>
      </c>
      <c r="C5" s="23">
        <f>B5*7</f>
        <v>7964.3585441095875</v>
      </c>
      <c r="D5" s="22">
        <f>E5/12</f>
        <v>34607.034149999999</v>
      </c>
      <c r="E5" s="24">
        <f>'SWE-Average Salary'!R8</f>
        <v>415284.40979999996</v>
      </c>
      <c r="H5" s="4"/>
      <c r="I5" s="4"/>
    </row>
    <row r="6" spans="1:31" x14ac:dyDescent="0.2">
      <c r="A6" s="6" t="s">
        <v>7</v>
      </c>
      <c r="B6" s="25">
        <f>E6/365</f>
        <v>874.06027397260277</v>
      </c>
      <c r="C6" s="25">
        <f>B6*7</f>
        <v>6118.4219178082194</v>
      </c>
      <c r="D6" s="25">
        <v>26586</v>
      </c>
      <c r="E6" s="26">
        <f>D6*12</f>
        <v>319032</v>
      </c>
    </row>
    <row r="7" spans="1:31" x14ac:dyDescent="0.2">
      <c r="A7" s="6" t="s">
        <v>8</v>
      </c>
      <c r="B7" s="7"/>
      <c r="C7" s="7"/>
      <c r="D7" s="7"/>
      <c r="E7" s="31">
        <f>E6/E5</f>
        <v>0.76822532334802818</v>
      </c>
    </row>
    <row r="8" spans="1:31" x14ac:dyDescent="0.2">
      <c r="A8" s="407" t="s">
        <v>9</v>
      </c>
      <c r="B8" s="405" t="s">
        <v>34</v>
      </c>
      <c r="C8" s="406"/>
      <c r="D8" s="30">
        <v>0.77600000000000002</v>
      </c>
      <c r="E8" s="8" t="s">
        <v>37</v>
      </c>
    </row>
    <row r="9" spans="1:31" x14ac:dyDescent="0.2">
      <c r="A9" s="403"/>
      <c r="B9" s="405" t="s">
        <v>35</v>
      </c>
      <c r="C9" s="406"/>
      <c r="D9" s="25">
        <v>942</v>
      </c>
      <c r="E9" s="10" t="s">
        <v>2</v>
      </c>
    </row>
    <row r="10" spans="1:31" ht="17" thickBot="1" x14ac:dyDescent="0.25">
      <c r="A10" s="408"/>
      <c r="B10" s="377" t="s">
        <v>36</v>
      </c>
      <c r="C10" s="378"/>
      <c r="D10" s="379">
        <v>250</v>
      </c>
      <c r="E10" s="70" t="s">
        <v>2</v>
      </c>
    </row>
    <row r="11" spans="1:31" ht="17" thickBot="1" x14ac:dyDescent="0.25"/>
    <row r="12" spans="1:31" x14ac:dyDescent="0.2">
      <c r="A12" s="36" t="s">
        <v>43</v>
      </c>
      <c r="B12" s="420" t="s">
        <v>16</v>
      </c>
      <c r="C12" s="422"/>
      <c r="D12" s="190" t="s">
        <v>65</v>
      </c>
      <c r="E12" s="191" t="s">
        <v>65</v>
      </c>
      <c r="F12" s="191" t="s">
        <v>65</v>
      </c>
      <c r="G12" s="191" t="s">
        <v>65</v>
      </c>
      <c r="H12" s="192" t="s">
        <v>64</v>
      </c>
      <c r="I12" s="193" t="s">
        <v>64</v>
      </c>
      <c r="J12" s="191" t="s">
        <v>64</v>
      </c>
      <c r="K12" s="194" t="s">
        <v>64</v>
      </c>
      <c r="L12" s="190" t="s">
        <v>74</v>
      </c>
      <c r="M12" s="191" t="s">
        <v>74</v>
      </c>
      <c r="N12" s="191" t="s">
        <v>74</v>
      </c>
      <c r="O12" s="191" t="s">
        <v>74</v>
      </c>
      <c r="P12" s="192" t="s">
        <v>76</v>
      </c>
      <c r="Q12" s="193" t="s">
        <v>72</v>
      </c>
      <c r="R12" s="191" t="s">
        <v>72</v>
      </c>
      <c r="S12" s="191" t="s">
        <v>72</v>
      </c>
      <c r="T12" s="191" t="s">
        <v>74</v>
      </c>
      <c r="U12" s="194" t="s">
        <v>72</v>
      </c>
      <c r="V12" s="190" t="s">
        <v>87</v>
      </c>
      <c r="W12" s="85" t="s">
        <v>23</v>
      </c>
      <c r="X12" s="195" t="s">
        <v>69</v>
      </c>
      <c r="Y12" s="192" t="s">
        <v>24</v>
      </c>
      <c r="Z12" s="193" t="s">
        <v>24</v>
      </c>
      <c r="AA12" s="191" t="s">
        <v>24</v>
      </c>
      <c r="AB12" s="191" t="s">
        <v>24</v>
      </c>
      <c r="AC12" s="423" t="s">
        <v>86</v>
      </c>
      <c r="AD12" s="424" t="s">
        <v>85</v>
      </c>
    </row>
    <row r="13" spans="1:31" s="92" customFormat="1" ht="17" thickBot="1" x14ac:dyDescent="0.25">
      <c r="A13" s="36"/>
      <c r="B13" s="417"/>
      <c r="C13" s="419"/>
      <c r="D13" s="196" t="s">
        <v>2</v>
      </c>
      <c r="E13" s="197" t="s">
        <v>3</v>
      </c>
      <c r="F13" s="197" t="s">
        <v>4</v>
      </c>
      <c r="G13" s="197" t="s">
        <v>5</v>
      </c>
      <c r="H13" s="198" t="s">
        <v>2</v>
      </c>
      <c r="I13" s="199" t="s">
        <v>3</v>
      </c>
      <c r="J13" s="197" t="s">
        <v>4</v>
      </c>
      <c r="K13" s="200" t="s">
        <v>5</v>
      </c>
      <c r="L13" s="196" t="s">
        <v>2</v>
      </c>
      <c r="M13" s="197" t="s">
        <v>3</v>
      </c>
      <c r="N13" s="197" t="s">
        <v>4</v>
      </c>
      <c r="O13" s="197" t="s">
        <v>40</v>
      </c>
      <c r="P13" s="198" t="s">
        <v>2</v>
      </c>
      <c r="Q13" s="199" t="s">
        <v>3</v>
      </c>
      <c r="R13" s="197" t="s">
        <v>4</v>
      </c>
      <c r="S13" s="197" t="s">
        <v>40</v>
      </c>
      <c r="T13" s="197" t="s">
        <v>22</v>
      </c>
      <c r="U13" s="200"/>
      <c r="V13" s="196" t="s">
        <v>22</v>
      </c>
      <c r="W13" s="198"/>
      <c r="X13" s="63" t="s">
        <v>38</v>
      </c>
      <c r="Y13" s="198" t="s">
        <v>2</v>
      </c>
      <c r="Z13" s="199" t="s">
        <v>3</v>
      </c>
      <c r="AA13" s="197" t="s">
        <v>4</v>
      </c>
      <c r="AB13" s="197" t="s">
        <v>5</v>
      </c>
      <c r="AC13" s="412"/>
      <c r="AD13" s="414"/>
      <c r="AE13" s="36"/>
    </row>
    <row r="14" spans="1:31" ht="17" thickBot="1" x14ac:dyDescent="0.25">
      <c r="A14" s="92"/>
      <c r="B14" s="201" t="s">
        <v>17</v>
      </c>
      <c r="C14" s="202" t="s">
        <v>12</v>
      </c>
      <c r="D14" s="203">
        <v>0</v>
      </c>
      <c r="E14" s="204">
        <v>0</v>
      </c>
      <c r="F14" s="204">
        <v>0</v>
      </c>
      <c r="G14" s="204">
        <v>0</v>
      </c>
      <c r="H14" s="202">
        <v>0</v>
      </c>
      <c r="I14" s="205">
        <f>H14*7</f>
        <v>0</v>
      </c>
      <c r="J14" s="204">
        <v>0</v>
      </c>
      <c r="K14" s="206">
        <v>0</v>
      </c>
      <c r="L14" s="203">
        <v>250</v>
      </c>
      <c r="M14" s="204">
        <f>L14*7</f>
        <v>1750</v>
      </c>
      <c r="N14" s="204">
        <f>O14/12</f>
        <v>7604.166666666667</v>
      </c>
      <c r="O14" s="204">
        <f>L14*365</f>
        <v>91250</v>
      </c>
      <c r="P14" s="202">
        <v>180</v>
      </c>
      <c r="Q14" s="207">
        <f>P14*7</f>
        <v>1260</v>
      </c>
      <c r="R14" s="204">
        <f t="shared" ref="R14:R21" si="0">S14/12</f>
        <v>5475</v>
      </c>
      <c r="S14" s="204">
        <f>P14*365</f>
        <v>65700</v>
      </c>
      <c r="T14" s="204">
        <f>L14*390</f>
        <v>97500</v>
      </c>
      <c r="U14" s="206">
        <f>45*180*2</f>
        <v>16200</v>
      </c>
      <c r="V14" s="203">
        <v>0</v>
      </c>
      <c r="W14" s="208">
        <f t="shared" ref="W14:W22" si="1">U14+T14+V14</f>
        <v>113700</v>
      </c>
      <c r="X14" s="209">
        <v>480</v>
      </c>
      <c r="Y14" s="202">
        <f>W14/X14</f>
        <v>236.875</v>
      </c>
      <c r="Z14" s="207">
        <f t="shared" ref="Z14:Z22" si="2">Y14*7</f>
        <v>1658.125</v>
      </c>
      <c r="AA14" s="204">
        <f>AB14/12</f>
        <v>7204.947916666667</v>
      </c>
      <c r="AB14" s="204">
        <f t="shared" ref="AB14:AB22" si="3">Y14*365</f>
        <v>86459.375</v>
      </c>
      <c r="AC14" s="210" t="s">
        <v>25</v>
      </c>
      <c r="AD14" s="211">
        <f>AB14/$E$6</f>
        <v>0.27100533802251814</v>
      </c>
      <c r="AE14" s="92"/>
    </row>
    <row r="15" spans="1:31" x14ac:dyDescent="0.2">
      <c r="B15" s="416" t="s">
        <v>18</v>
      </c>
      <c r="C15" s="212" t="s">
        <v>12</v>
      </c>
      <c r="D15" s="213">
        <f>B$5*0.5</f>
        <v>568.88275315068483</v>
      </c>
      <c r="E15" s="214">
        <f t="shared" ref="E15:E16" si="4">C$5*0.5</f>
        <v>3982.1792720547937</v>
      </c>
      <c r="F15" s="214">
        <f>D$5*0.5</f>
        <v>17303.517075</v>
      </c>
      <c r="G15" s="214">
        <f t="shared" ref="G15:G16" si="5">E$5*0.5</f>
        <v>207642.20489999998</v>
      </c>
      <c r="H15" s="212">
        <f t="shared" ref="H15" si="6">K15/365</f>
        <v>462.64109589041095</v>
      </c>
      <c r="I15" s="215">
        <f t="shared" ref="I15:I22" si="7">H15*7</f>
        <v>3238.4876712328769</v>
      </c>
      <c r="J15" s="214">
        <v>14072</v>
      </c>
      <c r="K15" s="216">
        <f t="shared" ref="K15:K18" si="8">J15*12</f>
        <v>168864</v>
      </c>
      <c r="L15" s="213">
        <f>IF(D15*0.776&gt;942,942,D15*0.776)</f>
        <v>441.45301644493145</v>
      </c>
      <c r="M15" s="214">
        <f t="shared" ref="M15:M22" si="9">L15*7</f>
        <v>3090.17111511452</v>
      </c>
      <c r="N15" s="214">
        <f t="shared" ref="N15:N22" si="10">O15/12</f>
        <v>13427.529250199999</v>
      </c>
      <c r="O15" s="214">
        <f t="shared" ref="O15:O22" si="11">L15*365</f>
        <v>161130.35100239998</v>
      </c>
      <c r="P15" s="212">
        <v>180</v>
      </c>
      <c r="Q15" s="215">
        <f>P15*7</f>
        <v>1260</v>
      </c>
      <c r="R15" s="214">
        <f t="shared" si="0"/>
        <v>5475</v>
      </c>
      <c r="S15" s="214">
        <f>P15*365</f>
        <v>65700</v>
      </c>
      <c r="T15" s="214">
        <f>L15*300</f>
        <v>132435.90493347944</v>
      </c>
      <c r="U15" s="216">
        <f>90*180</f>
        <v>16200</v>
      </c>
      <c r="V15" s="213">
        <v>0</v>
      </c>
      <c r="W15" s="212">
        <f t="shared" si="1"/>
        <v>148635.90493347944</v>
      </c>
      <c r="X15" s="217">
        <v>390</v>
      </c>
      <c r="Y15" s="212">
        <f>W15/X15</f>
        <v>381.1177049576396</v>
      </c>
      <c r="Z15" s="215">
        <f t="shared" si="2"/>
        <v>2667.8239347034773</v>
      </c>
      <c r="AA15" s="214">
        <f t="shared" ref="AA15:AA22" si="12">AB15/12</f>
        <v>11592.330192461537</v>
      </c>
      <c r="AB15" s="214">
        <f t="shared" si="3"/>
        <v>139107.96230953844</v>
      </c>
      <c r="AC15" s="218">
        <f t="shared" ref="AC15:AC22" si="13">AB15/K15</f>
        <v>0.82378696649101313</v>
      </c>
      <c r="AD15" s="219">
        <f>AB15/$E$6</f>
        <v>0.43603137713313539</v>
      </c>
      <c r="AE15" s="39"/>
    </row>
    <row r="16" spans="1:31" ht="17" thickBot="1" x14ac:dyDescent="0.25">
      <c r="B16" s="417"/>
      <c r="C16" s="198" t="s">
        <v>13</v>
      </c>
      <c r="D16" s="196">
        <f>B$5*0.5</f>
        <v>568.88275315068483</v>
      </c>
      <c r="E16" s="197">
        <f t="shared" si="4"/>
        <v>3982.1792720547937</v>
      </c>
      <c r="F16" s="197">
        <f t="shared" ref="F16" si="14">D$5*0.5</f>
        <v>17303.517075</v>
      </c>
      <c r="G16" s="197">
        <f t="shared" si="5"/>
        <v>207642.20489999998</v>
      </c>
      <c r="H16" s="198">
        <f>K16/365</f>
        <v>462.64109589041095</v>
      </c>
      <c r="I16" s="199">
        <f t="shared" si="7"/>
        <v>3238.4876712328769</v>
      </c>
      <c r="J16" s="197">
        <v>14072</v>
      </c>
      <c r="K16" s="200">
        <f t="shared" si="8"/>
        <v>168864</v>
      </c>
      <c r="L16" s="196">
        <f t="shared" ref="L16:L22" si="15">IF(D16*0.776&gt;942,942,D16*0.776)</f>
        <v>441.45301644493145</v>
      </c>
      <c r="M16" s="197">
        <f t="shared" si="9"/>
        <v>3090.17111511452</v>
      </c>
      <c r="N16" s="197">
        <f t="shared" si="10"/>
        <v>13427.529250199999</v>
      </c>
      <c r="O16" s="197">
        <f>L16*365</f>
        <v>161130.35100239998</v>
      </c>
      <c r="P16" s="198"/>
      <c r="Q16" s="199"/>
      <c r="R16" s="197"/>
      <c r="S16" s="197"/>
      <c r="T16" s="197">
        <f>L16*100</f>
        <v>44145.301644493142</v>
      </c>
      <c r="U16" s="200"/>
      <c r="V16" s="196">
        <v>0</v>
      </c>
      <c r="W16" s="198">
        <f t="shared" si="1"/>
        <v>44145.301644493142</v>
      </c>
      <c r="X16" s="220">
        <v>100</v>
      </c>
      <c r="Y16" s="198">
        <f t="shared" ref="Y16:Y22" si="16">W16/X16</f>
        <v>441.45301644493139</v>
      </c>
      <c r="Z16" s="199">
        <f t="shared" si="2"/>
        <v>3090.1711151145196</v>
      </c>
      <c r="AA16" s="197">
        <f t="shared" si="12"/>
        <v>13427.529250199996</v>
      </c>
      <c r="AB16" s="197">
        <f t="shared" si="3"/>
        <v>161130.35100239996</v>
      </c>
      <c r="AC16" s="221">
        <f t="shared" si="13"/>
        <v>0.95420190805855576</v>
      </c>
      <c r="AD16" s="222">
        <f t="shared" ref="AD16:AD22" si="17">AB16/$E$6</f>
        <v>0.50506015384788971</v>
      </c>
      <c r="AE16" s="39"/>
    </row>
    <row r="17" spans="1:56" x14ac:dyDescent="0.2">
      <c r="B17" s="420" t="s">
        <v>19</v>
      </c>
      <c r="C17" s="192" t="s">
        <v>12</v>
      </c>
      <c r="D17" s="190">
        <f>B$5*0.75</f>
        <v>853.32412972602719</v>
      </c>
      <c r="E17" s="191">
        <f>C$5*0.75</f>
        <v>5973.268908082191</v>
      </c>
      <c r="F17" s="191">
        <f>D$5*0.75</f>
        <v>25955.275612500001</v>
      </c>
      <c r="G17" s="191">
        <f>E$5*0.75</f>
        <v>311463.30734999996</v>
      </c>
      <c r="H17" s="192">
        <f t="shared" ref="H17:H18" si="18">K17/365</f>
        <v>670.61917808219175</v>
      </c>
      <c r="I17" s="193">
        <f t="shared" si="7"/>
        <v>4694.3342465753421</v>
      </c>
      <c r="J17" s="191">
        <v>20398</v>
      </c>
      <c r="K17" s="194">
        <f t="shared" si="8"/>
        <v>244776</v>
      </c>
      <c r="L17" s="190">
        <f t="shared" si="15"/>
        <v>662.17952466739712</v>
      </c>
      <c r="M17" s="191">
        <f t="shared" si="9"/>
        <v>4635.2566726717796</v>
      </c>
      <c r="N17" s="191">
        <f t="shared" si="10"/>
        <v>20141.293875299994</v>
      </c>
      <c r="O17" s="191">
        <f t="shared" si="11"/>
        <v>241695.52650359995</v>
      </c>
      <c r="P17" s="192">
        <v>180</v>
      </c>
      <c r="Q17" s="193">
        <f t="shared" ref="Q17:Q21" si="19">P17*7</f>
        <v>1260</v>
      </c>
      <c r="R17" s="191">
        <f t="shared" si="0"/>
        <v>5475</v>
      </c>
      <c r="S17" s="191">
        <f t="shared" ref="S17:S21" si="20">P17*365</f>
        <v>65700</v>
      </c>
      <c r="T17" s="191">
        <f>L17*300</f>
        <v>198653.85740021913</v>
      </c>
      <c r="U17" s="194">
        <f>90*180</f>
        <v>16200</v>
      </c>
      <c r="V17" s="190">
        <v>0</v>
      </c>
      <c r="W17" s="192">
        <f t="shared" si="1"/>
        <v>214853.85740021913</v>
      </c>
      <c r="X17" s="223">
        <v>390</v>
      </c>
      <c r="Y17" s="192">
        <f t="shared" si="16"/>
        <v>550.90732666722852</v>
      </c>
      <c r="Z17" s="193">
        <f t="shared" si="2"/>
        <v>3856.3512866705996</v>
      </c>
      <c r="AA17" s="191">
        <f t="shared" si="12"/>
        <v>16756.764519461536</v>
      </c>
      <c r="AB17" s="191">
        <f t="shared" si="3"/>
        <v>201081.17423353842</v>
      </c>
      <c r="AC17" s="224">
        <f t="shared" si="13"/>
        <v>0.82149056375436491</v>
      </c>
      <c r="AD17" s="225">
        <f t="shared" si="17"/>
        <v>0.63028528245924675</v>
      </c>
      <c r="AE17" s="39"/>
    </row>
    <row r="18" spans="1:56" ht="17" thickBot="1" x14ac:dyDescent="0.25">
      <c r="B18" s="421"/>
      <c r="C18" s="226" t="s">
        <v>13</v>
      </c>
      <c r="D18" s="227">
        <f>B$5*1.25</f>
        <v>1422.2068828767121</v>
      </c>
      <c r="E18" s="228">
        <f>C$5*1.25</f>
        <v>9955.4481801369839</v>
      </c>
      <c r="F18" s="228">
        <f>D$5*1.25</f>
        <v>43258.792687499998</v>
      </c>
      <c r="G18" s="228">
        <f>E$5*1.25</f>
        <v>519105.51224999997</v>
      </c>
      <c r="H18" s="226">
        <f t="shared" si="18"/>
        <v>1036.0438356164384</v>
      </c>
      <c r="I18" s="229">
        <f t="shared" si="7"/>
        <v>7252.3068493150686</v>
      </c>
      <c r="J18" s="228">
        <v>31513</v>
      </c>
      <c r="K18" s="230">
        <f t="shared" si="8"/>
        <v>378156</v>
      </c>
      <c r="L18" s="227">
        <f t="shared" si="15"/>
        <v>942</v>
      </c>
      <c r="M18" s="228">
        <f t="shared" si="9"/>
        <v>6594</v>
      </c>
      <c r="N18" s="228">
        <f t="shared" si="10"/>
        <v>28652.5</v>
      </c>
      <c r="O18" s="228">
        <f t="shared" si="11"/>
        <v>343830</v>
      </c>
      <c r="P18" s="226"/>
      <c r="Q18" s="229"/>
      <c r="R18" s="228"/>
      <c r="S18" s="228"/>
      <c r="T18" s="228">
        <f>L18*100</f>
        <v>94200</v>
      </c>
      <c r="U18" s="230"/>
      <c r="V18" s="227">
        <v>0</v>
      </c>
      <c r="W18" s="226">
        <f t="shared" si="1"/>
        <v>94200</v>
      </c>
      <c r="X18" s="231">
        <v>100</v>
      </c>
      <c r="Y18" s="226">
        <f t="shared" si="16"/>
        <v>942</v>
      </c>
      <c r="Z18" s="229">
        <f t="shared" si="2"/>
        <v>6594</v>
      </c>
      <c r="AA18" s="228">
        <f t="shared" si="12"/>
        <v>28652.5</v>
      </c>
      <c r="AB18" s="228">
        <f t="shared" si="3"/>
        <v>343830</v>
      </c>
      <c r="AC18" s="232">
        <f t="shared" si="13"/>
        <v>0.90922793767651444</v>
      </c>
      <c r="AD18" s="233">
        <f t="shared" si="17"/>
        <v>1.0777288798615814</v>
      </c>
      <c r="AE18" s="39"/>
    </row>
    <row r="19" spans="1:56" x14ac:dyDescent="0.2">
      <c r="B19" s="420" t="s">
        <v>20</v>
      </c>
      <c r="C19" s="192" t="s">
        <v>12</v>
      </c>
      <c r="D19" s="51">
        <f>B$5</f>
        <v>1137.7655063013697</v>
      </c>
      <c r="E19" s="43">
        <f t="shared" ref="E19:E20" si="21">C$5</f>
        <v>7964.3585441095875</v>
      </c>
      <c r="F19" s="43">
        <f t="shared" ref="F19:F20" si="22">D$5</f>
        <v>34607.034149999999</v>
      </c>
      <c r="G19" s="43">
        <f t="shared" ref="G19:G20" si="23">E$5</f>
        <v>415284.40979999996</v>
      </c>
      <c r="H19" s="52">
        <f>K19/365</f>
        <v>874.06027397260277</v>
      </c>
      <c r="I19" s="45">
        <f t="shared" si="7"/>
        <v>6118.4219178082194</v>
      </c>
      <c r="J19" s="43">
        <v>26586</v>
      </c>
      <c r="K19" s="49">
        <f>J19*12</f>
        <v>319032</v>
      </c>
      <c r="L19" s="190">
        <f t="shared" si="15"/>
        <v>882.9060328898629</v>
      </c>
      <c r="M19" s="191">
        <f t="shared" si="9"/>
        <v>6180.3422302290401</v>
      </c>
      <c r="N19" s="191">
        <f t="shared" si="10"/>
        <v>26855.058500399999</v>
      </c>
      <c r="O19" s="191">
        <f t="shared" si="11"/>
        <v>322260.70200479997</v>
      </c>
      <c r="P19" s="192">
        <v>180</v>
      </c>
      <c r="Q19" s="193">
        <f t="shared" si="19"/>
        <v>1260</v>
      </c>
      <c r="R19" s="191">
        <f t="shared" si="0"/>
        <v>5475</v>
      </c>
      <c r="S19" s="191">
        <f t="shared" si="20"/>
        <v>65700</v>
      </c>
      <c r="T19" s="191">
        <f>L19*300</f>
        <v>264871.80986695888</v>
      </c>
      <c r="U19" s="194">
        <f>90*180</f>
        <v>16200</v>
      </c>
      <c r="V19" s="190">
        <v>0</v>
      </c>
      <c r="W19" s="192">
        <f t="shared" si="1"/>
        <v>281071.80986695888</v>
      </c>
      <c r="X19" s="223">
        <v>390</v>
      </c>
      <c r="Y19" s="192">
        <f t="shared" si="16"/>
        <v>720.69694837681766</v>
      </c>
      <c r="Z19" s="193">
        <f t="shared" si="2"/>
        <v>5044.8786386377233</v>
      </c>
      <c r="AA19" s="191">
        <f t="shared" si="12"/>
        <v>21921.198846461539</v>
      </c>
      <c r="AB19" s="191">
        <f t="shared" si="3"/>
        <v>263054.38615753845</v>
      </c>
      <c r="AC19" s="224">
        <f t="shared" si="13"/>
        <v>0.8245391877853584</v>
      </c>
      <c r="AD19" s="225">
        <f t="shared" si="17"/>
        <v>0.8245391877853584</v>
      </c>
      <c r="AE19" s="39"/>
    </row>
    <row r="20" spans="1:56" ht="17" thickBot="1" x14ac:dyDescent="0.25">
      <c r="B20" s="421"/>
      <c r="C20" s="226" t="s">
        <v>13</v>
      </c>
      <c r="D20" s="53">
        <f>B$5</f>
        <v>1137.7655063013697</v>
      </c>
      <c r="E20" s="44">
        <f t="shared" si="21"/>
        <v>7964.3585441095875</v>
      </c>
      <c r="F20" s="44">
        <f t="shared" si="22"/>
        <v>34607.034149999999</v>
      </c>
      <c r="G20" s="44">
        <f t="shared" si="23"/>
        <v>415284.40979999996</v>
      </c>
      <c r="H20" s="54">
        <f t="shared" ref="H20:H22" si="24">K20/365</f>
        <v>874.06027397260277</v>
      </c>
      <c r="I20" s="46">
        <f t="shared" si="7"/>
        <v>6118.4219178082194</v>
      </c>
      <c r="J20" s="44">
        <v>26586</v>
      </c>
      <c r="K20" s="50">
        <f t="shared" ref="K20:K22" si="25">J20*12</f>
        <v>319032</v>
      </c>
      <c r="L20" s="227">
        <f t="shared" si="15"/>
        <v>882.9060328898629</v>
      </c>
      <c r="M20" s="228">
        <f t="shared" si="9"/>
        <v>6180.3422302290401</v>
      </c>
      <c r="N20" s="228">
        <f t="shared" si="10"/>
        <v>26855.058500399999</v>
      </c>
      <c r="O20" s="228">
        <f t="shared" si="11"/>
        <v>322260.70200479997</v>
      </c>
      <c r="P20" s="226"/>
      <c r="Q20" s="229"/>
      <c r="R20" s="228"/>
      <c r="S20" s="228"/>
      <c r="T20" s="228">
        <f>L20*100</f>
        <v>88290.603288986284</v>
      </c>
      <c r="U20" s="230"/>
      <c r="V20" s="227">
        <v>0</v>
      </c>
      <c r="W20" s="226">
        <f t="shared" si="1"/>
        <v>88290.603288986284</v>
      </c>
      <c r="X20" s="231">
        <v>100</v>
      </c>
      <c r="Y20" s="226">
        <f t="shared" si="16"/>
        <v>882.90603288986279</v>
      </c>
      <c r="Z20" s="229">
        <f t="shared" si="2"/>
        <v>6180.3422302290392</v>
      </c>
      <c r="AA20" s="228">
        <f t="shared" si="12"/>
        <v>26855.058500399991</v>
      </c>
      <c r="AB20" s="228">
        <f t="shared" si="3"/>
        <v>322260.70200479991</v>
      </c>
      <c r="AC20" s="232">
        <f t="shared" si="13"/>
        <v>1.0101203076957794</v>
      </c>
      <c r="AD20" s="233">
        <f t="shared" si="17"/>
        <v>1.0101203076957794</v>
      </c>
      <c r="AE20" s="39"/>
    </row>
    <row r="21" spans="1:56" x14ac:dyDescent="0.2">
      <c r="B21" s="416" t="s">
        <v>21</v>
      </c>
      <c r="C21" s="212" t="s">
        <v>12</v>
      </c>
      <c r="D21" s="213">
        <f>B$5*2</f>
        <v>2275.5310126027393</v>
      </c>
      <c r="E21" s="214">
        <f>C$5*2</f>
        <v>15928.717088219175</v>
      </c>
      <c r="F21" s="214">
        <f>D$5*2</f>
        <v>69214.068299999999</v>
      </c>
      <c r="G21" s="214">
        <f>E$5*2</f>
        <v>830568.81959999993</v>
      </c>
      <c r="H21" s="212">
        <f t="shared" si="24"/>
        <v>1436.9095890410958</v>
      </c>
      <c r="I21" s="215">
        <f t="shared" si="7"/>
        <v>10058.367123287671</v>
      </c>
      <c r="J21" s="214">
        <v>43706</v>
      </c>
      <c r="K21" s="216">
        <f t="shared" si="25"/>
        <v>524472</v>
      </c>
      <c r="L21" s="213">
        <f t="shared" si="15"/>
        <v>942</v>
      </c>
      <c r="M21" s="214">
        <f t="shared" si="9"/>
        <v>6594</v>
      </c>
      <c r="N21" s="214">
        <f t="shared" si="10"/>
        <v>28652.5</v>
      </c>
      <c r="O21" s="214">
        <f t="shared" si="11"/>
        <v>343830</v>
      </c>
      <c r="P21" s="212">
        <v>180</v>
      </c>
      <c r="Q21" s="215">
        <f t="shared" si="19"/>
        <v>1260</v>
      </c>
      <c r="R21" s="214">
        <f t="shared" si="0"/>
        <v>5475</v>
      </c>
      <c r="S21" s="214">
        <f t="shared" si="20"/>
        <v>65700</v>
      </c>
      <c r="T21" s="214">
        <f>L21*300</f>
        <v>282600</v>
      </c>
      <c r="U21" s="216">
        <f>90*180</f>
        <v>16200</v>
      </c>
      <c r="V21" s="213">
        <v>0</v>
      </c>
      <c r="W21" s="212">
        <f t="shared" si="1"/>
        <v>298800</v>
      </c>
      <c r="X21" s="217">
        <v>390</v>
      </c>
      <c r="Y21" s="212">
        <f t="shared" si="16"/>
        <v>766.15384615384619</v>
      </c>
      <c r="Z21" s="215">
        <f t="shared" si="2"/>
        <v>5363.0769230769238</v>
      </c>
      <c r="AA21" s="214">
        <f t="shared" si="12"/>
        <v>23303.846153846156</v>
      </c>
      <c r="AB21" s="214">
        <f t="shared" si="3"/>
        <v>279646.15384615387</v>
      </c>
      <c r="AC21" s="218">
        <f t="shared" si="13"/>
        <v>0.53319558307431836</v>
      </c>
      <c r="AD21" s="219">
        <f t="shared" si="17"/>
        <v>0.87654578175905196</v>
      </c>
      <c r="AE21" s="39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7" thickBot="1" x14ac:dyDescent="0.25">
      <c r="B22" s="417"/>
      <c r="C22" s="198" t="s">
        <v>13</v>
      </c>
      <c r="D22" s="196">
        <f>B$5*4</f>
        <v>4551.0620252054787</v>
      </c>
      <c r="E22" s="197">
        <f>C$5*4</f>
        <v>31857.43417643835</v>
      </c>
      <c r="F22" s="197">
        <f>D$5*4</f>
        <v>138428.1366</v>
      </c>
      <c r="G22" s="197">
        <f>E$5*4</f>
        <v>1661137.6391999999</v>
      </c>
      <c r="H22" s="198">
        <f t="shared" si="24"/>
        <v>2457.5013698630137</v>
      </c>
      <c r="I22" s="199">
        <f t="shared" si="7"/>
        <v>17202.509589041096</v>
      </c>
      <c r="J22" s="197">
        <v>74749</v>
      </c>
      <c r="K22" s="200">
        <f t="shared" si="25"/>
        <v>896988</v>
      </c>
      <c r="L22" s="196">
        <f t="shared" si="15"/>
        <v>942</v>
      </c>
      <c r="M22" s="197">
        <f t="shared" si="9"/>
        <v>6594</v>
      </c>
      <c r="N22" s="197">
        <f t="shared" si="10"/>
        <v>28652.5</v>
      </c>
      <c r="O22" s="197">
        <f t="shared" si="11"/>
        <v>343830</v>
      </c>
      <c r="P22" s="198"/>
      <c r="Q22" s="199"/>
      <c r="R22" s="197"/>
      <c r="S22" s="197"/>
      <c r="T22" s="197">
        <f>L22*100</f>
        <v>94200</v>
      </c>
      <c r="U22" s="200"/>
      <c r="V22" s="196">
        <v>0</v>
      </c>
      <c r="W22" s="198">
        <f t="shared" si="1"/>
        <v>94200</v>
      </c>
      <c r="X22" s="220">
        <v>100</v>
      </c>
      <c r="Y22" s="198">
        <f t="shared" si="16"/>
        <v>942</v>
      </c>
      <c r="Z22" s="199">
        <f t="shared" si="2"/>
        <v>6594</v>
      </c>
      <c r="AA22" s="197">
        <f t="shared" si="12"/>
        <v>28652.5</v>
      </c>
      <c r="AB22" s="197">
        <f t="shared" si="3"/>
        <v>343830</v>
      </c>
      <c r="AC22" s="221">
        <f t="shared" si="13"/>
        <v>0.383316164764746</v>
      </c>
      <c r="AD22" s="222">
        <f t="shared" si="17"/>
        <v>1.0777288798615814</v>
      </c>
      <c r="AE22" s="39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7" thickBot="1" x14ac:dyDescent="0.25">
      <c r="A23" s="4"/>
      <c r="B23" s="234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6"/>
      <c r="Y23" s="235"/>
      <c r="Z23" s="235"/>
      <c r="AA23" s="235"/>
      <c r="AB23" s="235"/>
      <c r="AC23" s="237"/>
      <c r="AD23" s="237"/>
      <c r="AE23" s="10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7" customHeight="1" x14ac:dyDescent="0.2">
      <c r="A24" s="36" t="s">
        <v>41</v>
      </c>
      <c r="B24" s="416" t="s">
        <v>16</v>
      </c>
      <c r="C24" s="418"/>
      <c r="D24" s="213" t="s">
        <v>65</v>
      </c>
      <c r="E24" s="214" t="s">
        <v>65</v>
      </c>
      <c r="F24" s="214" t="s">
        <v>65</v>
      </c>
      <c r="G24" s="214" t="s">
        <v>65</v>
      </c>
      <c r="H24" s="212" t="s">
        <v>64</v>
      </c>
      <c r="I24" s="215" t="s">
        <v>64</v>
      </c>
      <c r="J24" s="214" t="s">
        <v>64</v>
      </c>
      <c r="K24" s="216" t="s">
        <v>64</v>
      </c>
      <c r="L24" s="213" t="s">
        <v>73</v>
      </c>
      <c r="M24" s="214" t="s">
        <v>73</v>
      </c>
      <c r="N24" s="214" t="s">
        <v>73</v>
      </c>
      <c r="O24" s="214" t="s">
        <v>73</v>
      </c>
      <c r="P24" s="212" t="s">
        <v>71</v>
      </c>
      <c r="Q24" s="215" t="s">
        <v>71</v>
      </c>
      <c r="R24" s="214" t="s">
        <v>71</v>
      </c>
      <c r="S24" s="214" t="s">
        <v>71</v>
      </c>
      <c r="T24" s="214" t="s">
        <v>73</v>
      </c>
      <c r="U24" s="216" t="s">
        <v>42</v>
      </c>
      <c r="V24" s="213" t="s">
        <v>87</v>
      </c>
      <c r="W24" s="131" t="s">
        <v>23</v>
      </c>
      <c r="X24" s="62" t="s">
        <v>69</v>
      </c>
      <c r="Y24" s="212" t="s">
        <v>24</v>
      </c>
      <c r="Z24" s="215" t="s">
        <v>24</v>
      </c>
      <c r="AA24" s="214" t="s">
        <v>24</v>
      </c>
      <c r="AB24" s="214" t="s">
        <v>24</v>
      </c>
      <c r="AC24" s="411" t="s">
        <v>86</v>
      </c>
      <c r="AD24" s="413" t="s">
        <v>85</v>
      </c>
      <c r="AG24" s="4"/>
      <c r="AH24" s="81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238"/>
      <c r="AT24" s="238"/>
      <c r="AU24" s="238"/>
      <c r="AV24" s="238"/>
      <c r="AW24" s="238"/>
      <c r="AX24" s="4"/>
      <c r="AY24" s="4"/>
      <c r="AZ24" s="4"/>
      <c r="BA24" s="4"/>
      <c r="BB24" s="4"/>
      <c r="BC24" s="4"/>
      <c r="BD24" s="4"/>
    </row>
    <row r="25" spans="1:56" ht="17" thickBot="1" x14ac:dyDescent="0.25">
      <c r="B25" s="417"/>
      <c r="C25" s="419"/>
      <c r="D25" s="196" t="s">
        <v>2</v>
      </c>
      <c r="E25" s="197" t="s">
        <v>3</v>
      </c>
      <c r="F25" s="197" t="s">
        <v>4</v>
      </c>
      <c r="G25" s="197" t="s">
        <v>5</v>
      </c>
      <c r="H25" s="198" t="s">
        <v>2</v>
      </c>
      <c r="I25" s="199" t="s">
        <v>3</v>
      </c>
      <c r="J25" s="197" t="s">
        <v>4</v>
      </c>
      <c r="K25" s="200" t="s">
        <v>5</v>
      </c>
      <c r="L25" s="196" t="s">
        <v>2</v>
      </c>
      <c r="M25" s="197" t="s">
        <v>3</v>
      </c>
      <c r="N25" s="197" t="s">
        <v>4</v>
      </c>
      <c r="O25" s="197" t="s">
        <v>40</v>
      </c>
      <c r="P25" s="198" t="s">
        <v>2</v>
      </c>
      <c r="Q25" s="199" t="s">
        <v>3</v>
      </c>
      <c r="R25" s="197" t="s">
        <v>4</v>
      </c>
      <c r="S25" s="197" t="s">
        <v>40</v>
      </c>
      <c r="T25" s="197" t="s">
        <v>22</v>
      </c>
      <c r="U25" s="200"/>
      <c r="V25" s="196" t="s">
        <v>22</v>
      </c>
      <c r="W25" s="198"/>
      <c r="X25" s="63" t="s">
        <v>38</v>
      </c>
      <c r="Y25" s="198" t="s">
        <v>2</v>
      </c>
      <c r="Z25" s="199" t="s">
        <v>3</v>
      </c>
      <c r="AA25" s="197" t="s">
        <v>4</v>
      </c>
      <c r="AB25" s="197" t="s">
        <v>5</v>
      </c>
      <c r="AC25" s="412"/>
      <c r="AD25" s="414"/>
      <c r="AG25" s="4"/>
      <c r="AH25" s="81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238"/>
      <c r="AT25" s="238"/>
      <c r="AU25" s="238"/>
      <c r="AV25" s="238"/>
      <c r="AW25" s="238"/>
      <c r="AX25" s="4"/>
      <c r="AY25" s="4"/>
      <c r="AZ25" s="4"/>
      <c r="BA25" s="4"/>
      <c r="BB25" s="4"/>
      <c r="BC25" s="4"/>
      <c r="BD25" s="4"/>
    </row>
    <row r="26" spans="1:56" s="92" customFormat="1" ht="17" thickBot="1" x14ac:dyDescent="0.25">
      <c r="B26" s="201" t="s">
        <v>17</v>
      </c>
      <c r="C26" s="202" t="s">
        <v>12</v>
      </c>
      <c r="D26" s="203">
        <v>0</v>
      </c>
      <c r="E26" s="204">
        <v>0</v>
      </c>
      <c r="F26" s="204">
        <v>0</v>
      </c>
      <c r="G26" s="204">
        <v>0</v>
      </c>
      <c r="H26" s="202">
        <v>0</v>
      </c>
      <c r="I26" s="205">
        <f>H26*7</f>
        <v>0</v>
      </c>
      <c r="J26" s="204">
        <v>0</v>
      </c>
      <c r="K26" s="206">
        <v>0</v>
      </c>
      <c r="L26" s="203">
        <v>250</v>
      </c>
      <c r="M26" s="204">
        <f>L26*7</f>
        <v>1750</v>
      </c>
      <c r="N26" s="204">
        <f>O26/12</f>
        <v>7604.166666666667</v>
      </c>
      <c r="O26" s="204">
        <f>L26*365</f>
        <v>91250</v>
      </c>
      <c r="P26" s="202">
        <v>180</v>
      </c>
      <c r="Q26" s="207">
        <f>P26*7</f>
        <v>1260</v>
      </c>
      <c r="R26" s="204">
        <f t="shared" ref="R26:R34" si="26">S26/12</f>
        <v>5475</v>
      </c>
      <c r="S26" s="204">
        <f>P26*365</f>
        <v>65700</v>
      </c>
      <c r="T26" s="204">
        <f>L26*390</f>
        <v>97500</v>
      </c>
      <c r="U26" s="206">
        <f>45*180*2</f>
        <v>16200</v>
      </c>
      <c r="V26" s="203">
        <v>0</v>
      </c>
      <c r="W26" s="208">
        <f t="shared" ref="W26:W34" si="27">U26+T26+V26</f>
        <v>113700</v>
      </c>
      <c r="X26" s="209">
        <v>480</v>
      </c>
      <c r="Y26" s="202">
        <f>W26/X26</f>
        <v>236.875</v>
      </c>
      <c r="Z26" s="207">
        <f t="shared" ref="Z26:Z34" si="28">Y26*7</f>
        <v>1658.125</v>
      </c>
      <c r="AA26" s="204">
        <f>AB26/12</f>
        <v>7204.947916666667</v>
      </c>
      <c r="AB26" s="204">
        <f>Y26*365</f>
        <v>86459.375</v>
      </c>
      <c r="AC26" s="210" t="s">
        <v>25</v>
      </c>
      <c r="AD26" s="211">
        <f>AB26/$E$6</f>
        <v>0.27100533802251814</v>
      </c>
      <c r="AG26" s="143"/>
      <c r="AH26" s="139"/>
      <c r="AI26" s="239"/>
      <c r="AJ26" s="239"/>
      <c r="AK26" s="239"/>
      <c r="AL26" s="239"/>
      <c r="AM26" s="139"/>
      <c r="AN26" s="139"/>
      <c r="AO26" s="240"/>
      <c r="AP26" s="239"/>
      <c r="AQ26" s="239"/>
      <c r="AR26" s="241"/>
      <c r="AS26" s="139"/>
      <c r="AT26" s="140"/>
      <c r="AU26" s="140"/>
      <c r="AV26" s="140"/>
      <c r="AW26" s="140"/>
      <c r="AX26" s="143"/>
      <c r="AY26" s="143"/>
      <c r="AZ26" s="143"/>
      <c r="BA26" s="143"/>
      <c r="BB26" s="143"/>
      <c r="BC26" s="143"/>
      <c r="BD26" s="143"/>
    </row>
    <row r="27" spans="1:56" x14ac:dyDescent="0.2">
      <c r="B27" s="416" t="s">
        <v>18</v>
      </c>
      <c r="C27" s="212" t="s">
        <v>12</v>
      </c>
      <c r="D27" s="213">
        <f>B$5*0.5</f>
        <v>568.88275315068483</v>
      </c>
      <c r="E27" s="214">
        <f t="shared" ref="E27:G28" si="29">C$5*0.5</f>
        <v>3982.1792720547937</v>
      </c>
      <c r="F27" s="214">
        <f>D$5*0.5</f>
        <v>17303.517075</v>
      </c>
      <c r="G27" s="214">
        <f t="shared" si="29"/>
        <v>207642.20489999998</v>
      </c>
      <c r="H27" s="212">
        <f t="shared" ref="H27:H30" si="30">K27/365</f>
        <v>462.64109589041095</v>
      </c>
      <c r="I27" s="215">
        <f t="shared" ref="I27:I34" si="31">H27*7</f>
        <v>3238.4876712328769</v>
      </c>
      <c r="J27" s="214">
        <v>14072</v>
      </c>
      <c r="K27" s="216">
        <f t="shared" ref="K27:K30" si="32">J27*12</f>
        <v>168864</v>
      </c>
      <c r="L27" s="213">
        <f t="shared" ref="L27:L34" si="33">IF(D27*0.776&gt;942,942,D27*0.776)</f>
        <v>441.45301644493145</v>
      </c>
      <c r="M27" s="214">
        <f t="shared" ref="M27:M34" si="34">L27*7</f>
        <v>3090.17111511452</v>
      </c>
      <c r="N27" s="214">
        <f t="shared" ref="N27:N34" si="35">O27/12</f>
        <v>13427.529250199999</v>
      </c>
      <c r="O27" s="214">
        <f t="shared" ref="O27:O34" si="36">L27*365</f>
        <v>161130.35100239998</v>
      </c>
      <c r="P27" s="212">
        <v>180</v>
      </c>
      <c r="Q27" s="215">
        <f>P27*7</f>
        <v>1260</v>
      </c>
      <c r="R27" s="214">
        <f t="shared" si="26"/>
        <v>5475</v>
      </c>
      <c r="S27" s="214">
        <f>P27*365</f>
        <v>65700</v>
      </c>
      <c r="T27" s="214">
        <f>L27*390/2</f>
        <v>86083.338206761633</v>
      </c>
      <c r="U27" s="216">
        <f>45*180</f>
        <v>8100</v>
      </c>
      <c r="V27" s="213">
        <v>6750</v>
      </c>
      <c r="W27" s="212">
        <f t="shared" si="27"/>
        <v>100933.33820676163</v>
      </c>
      <c r="X27" s="217">
        <v>240</v>
      </c>
      <c r="Y27" s="212">
        <f>W27/X27</f>
        <v>420.55557586150678</v>
      </c>
      <c r="Z27" s="215">
        <f t="shared" si="28"/>
        <v>2943.8890310305474</v>
      </c>
      <c r="AA27" s="214">
        <f t="shared" ref="AA27:AA34" si="37">AB27/12</f>
        <v>12791.898765787497</v>
      </c>
      <c r="AB27" s="214">
        <f t="shared" ref="AB27:AB34" si="38">Y27*365</f>
        <v>153502.78518944996</v>
      </c>
      <c r="AC27" s="218">
        <f t="shared" ref="AC27:AC34" si="39">AB27/K27</f>
        <v>0.90903203281605294</v>
      </c>
      <c r="AD27" s="219">
        <f>AB27/$E$6</f>
        <v>0.48115168757193622</v>
      </c>
      <c r="AE27" s="39"/>
      <c r="AG27" s="4"/>
      <c r="AH27" s="187"/>
      <c r="AI27" s="241"/>
      <c r="AJ27" s="241"/>
      <c r="AK27" s="241"/>
      <c r="AL27" s="241"/>
      <c r="AM27" s="187"/>
      <c r="AN27" s="139"/>
      <c r="AO27" s="242"/>
      <c r="AP27" s="241"/>
      <c r="AQ27" s="241"/>
      <c r="AR27" s="241"/>
      <c r="AS27" s="140"/>
      <c r="AT27" s="140"/>
      <c r="AU27" s="140"/>
      <c r="AV27" s="140"/>
      <c r="AW27" s="140"/>
      <c r="AX27" s="4"/>
      <c r="AY27" s="4"/>
      <c r="AZ27" s="4"/>
      <c r="BA27" s="4"/>
      <c r="BB27" s="4"/>
      <c r="BC27" s="4"/>
      <c r="BD27" s="4"/>
    </row>
    <row r="28" spans="1:56" ht="17" thickBot="1" x14ac:dyDescent="0.25">
      <c r="B28" s="417"/>
      <c r="C28" s="198" t="s">
        <v>13</v>
      </c>
      <c r="D28" s="196">
        <f>B$5*0.5</f>
        <v>568.88275315068483</v>
      </c>
      <c r="E28" s="197">
        <f t="shared" si="29"/>
        <v>3982.1792720547937</v>
      </c>
      <c r="F28" s="197">
        <f t="shared" si="29"/>
        <v>17303.517075</v>
      </c>
      <c r="G28" s="197">
        <f t="shared" si="29"/>
        <v>207642.20489999998</v>
      </c>
      <c r="H28" s="198">
        <f>K28/365</f>
        <v>462.64109589041095</v>
      </c>
      <c r="I28" s="199">
        <f t="shared" si="31"/>
        <v>3238.4876712328769</v>
      </c>
      <c r="J28" s="197">
        <v>14072</v>
      </c>
      <c r="K28" s="200">
        <f t="shared" si="32"/>
        <v>168864</v>
      </c>
      <c r="L28" s="196">
        <f t="shared" si="33"/>
        <v>441.45301644493145</v>
      </c>
      <c r="M28" s="197">
        <f t="shared" si="34"/>
        <v>3090.17111511452</v>
      </c>
      <c r="N28" s="197">
        <f t="shared" si="35"/>
        <v>13427.529250199999</v>
      </c>
      <c r="O28" s="197">
        <f t="shared" si="36"/>
        <v>161130.35100239998</v>
      </c>
      <c r="P28" s="198">
        <v>180</v>
      </c>
      <c r="Q28" s="199">
        <f t="shared" ref="Q28:Q34" si="40">P28*7</f>
        <v>1260</v>
      </c>
      <c r="R28" s="197">
        <f t="shared" si="26"/>
        <v>5475</v>
      </c>
      <c r="S28" s="197">
        <f t="shared" ref="S28:S34" si="41">P28*365</f>
        <v>65700</v>
      </c>
      <c r="T28" s="197">
        <f>L28*390/2+10*L28</f>
        <v>90497.868371210949</v>
      </c>
      <c r="U28" s="200">
        <f t="shared" ref="U28:U34" si="42">45*180</f>
        <v>8100</v>
      </c>
      <c r="V28" s="196">
        <v>6750</v>
      </c>
      <c r="W28" s="198">
        <f t="shared" si="27"/>
        <v>105347.86837121095</v>
      </c>
      <c r="X28" s="220">
        <v>250</v>
      </c>
      <c r="Y28" s="198">
        <f t="shared" ref="Y28:Y34" si="43">W28/X28</f>
        <v>421.3914734848438</v>
      </c>
      <c r="Z28" s="199">
        <f t="shared" si="28"/>
        <v>2949.7403143939064</v>
      </c>
      <c r="AA28" s="197">
        <f t="shared" si="37"/>
        <v>12817.323985163997</v>
      </c>
      <c r="AB28" s="197">
        <f t="shared" si="38"/>
        <v>153807.88782196798</v>
      </c>
      <c r="AC28" s="221">
        <f t="shared" si="39"/>
        <v>0.91083882782575309</v>
      </c>
      <c r="AD28" s="222">
        <f t="shared" ref="AD28:AD34" si="44">AB28/$E$6</f>
        <v>0.48210802622297444</v>
      </c>
      <c r="AE28" s="39"/>
      <c r="AG28" s="4"/>
      <c r="AH28" s="187"/>
      <c r="AI28" s="241"/>
      <c r="AJ28" s="241"/>
      <c r="AK28" s="241"/>
      <c r="AL28" s="241"/>
      <c r="AM28" s="187"/>
      <c r="AN28" s="139"/>
      <c r="AO28" s="242"/>
      <c r="AP28" s="241"/>
      <c r="AQ28" s="241"/>
      <c r="AR28" s="241"/>
      <c r="AS28" s="140"/>
      <c r="AT28" s="140"/>
      <c r="AU28" s="140"/>
      <c r="AV28" s="140"/>
      <c r="AW28" s="140"/>
      <c r="AX28" s="4"/>
      <c r="AY28" s="4"/>
      <c r="AZ28" s="4"/>
      <c r="BA28" s="4"/>
      <c r="BB28" s="4"/>
      <c r="BC28" s="4"/>
      <c r="BD28" s="4"/>
    </row>
    <row r="29" spans="1:56" x14ac:dyDescent="0.2">
      <c r="B29" s="420" t="s">
        <v>19</v>
      </c>
      <c r="C29" s="192" t="s">
        <v>12</v>
      </c>
      <c r="D29" s="190">
        <f>B$5*0.75</f>
        <v>853.32412972602719</v>
      </c>
      <c r="E29" s="191">
        <f>C$5*0.75</f>
        <v>5973.268908082191</v>
      </c>
      <c r="F29" s="191">
        <f>D$5*0.75</f>
        <v>25955.275612500001</v>
      </c>
      <c r="G29" s="191">
        <f>E$5*0.75</f>
        <v>311463.30734999996</v>
      </c>
      <c r="H29" s="192">
        <f t="shared" si="30"/>
        <v>670.61917808219175</v>
      </c>
      <c r="I29" s="193">
        <f t="shared" si="31"/>
        <v>4694.3342465753421</v>
      </c>
      <c r="J29" s="191">
        <v>20398</v>
      </c>
      <c r="K29" s="194">
        <f t="shared" si="32"/>
        <v>244776</v>
      </c>
      <c r="L29" s="190">
        <f>IF(D29*0.776&gt;942,942,D29*0.776)</f>
        <v>662.17952466739712</v>
      </c>
      <c r="M29" s="191">
        <f t="shared" si="34"/>
        <v>4635.2566726717796</v>
      </c>
      <c r="N29" s="191">
        <f t="shared" si="35"/>
        <v>20141.293875299994</v>
      </c>
      <c r="O29" s="191">
        <f t="shared" si="36"/>
        <v>241695.52650359995</v>
      </c>
      <c r="P29" s="192">
        <v>180</v>
      </c>
      <c r="Q29" s="193">
        <f t="shared" si="40"/>
        <v>1260</v>
      </c>
      <c r="R29" s="191">
        <f t="shared" si="26"/>
        <v>5475</v>
      </c>
      <c r="S29" s="191">
        <f t="shared" si="41"/>
        <v>65700</v>
      </c>
      <c r="T29" s="191">
        <f>L29*390/2</f>
        <v>129125.00731014244</v>
      </c>
      <c r="U29" s="194">
        <f>45*180</f>
        <v>8100</v>
      </c>
      <c r="V29" s="190">
        <v>6750</v>
      </c>
      <c r="W29" s="192">
        <f t="shared" si="27"/>
        <v>143975.00731014245</v>
      </c>
      <c r="X29" s="223">
        <v>240</v>
      </c>
      <c r="Y29" s="192">
        <f t="shared" si="43"/>
        <v>599.89586379226023</v>
      </c>
      <c r="Z29" s="193">
        <f t="shared" si="28"/>
        <v>4199.2710465458213</v>
      </c>
      <c r="AA29" s="191">
        <f t="shared" si="37"/>
        <v>18246.832523681249</v>
      </c>
      <c r="AB29" s="191">
        <f t="shared" si="38"/>
        <v>218961.99028417497</v>
      </c>
      <c r="AC29" s="224">
        <f t="shared" si="39"/>
        <v>0.89454027471719033</v>
      </c>
      <c r="AD29" s="225">
        <f t="shared" si="44"/>
        <v>0.68633237507264155</v>
      </c>
      <c r="AE29" s="39"/>
      <c r="AG29" s="4"/>
      <c r="AH29" s="187"/>
      <c r="AI29" s="241"/>
      <c r="AJ29" s="241"/>
      <c r="AK29" s="241"/>
      <c r="AL29" s="241"/>
      <c r="AM29" s="187"/>
      <c r="AN29" s="139"/>
      <c r="AO29" s="242"/>
      <c r="AP29" s="241"/>
      <c r="AQ29" s="241"/>
      <c r="AR29" s="241"/>
      <c r="AS29" s="243"/>
      <c r="AT29" s="140"/>
      <c r="AU29" s="140"/>
      <c r="AV29" s="140"/>
      <c r="AW29" s="140"/>
      <c r="AX29" s="4"/>
      <c r="AY29" s="4"/>
      <c r="AZ29" s="4"/>
      <c r="BA29" s="4"/>
      <c r="BB29" s="4"/>
      <c r="BC29" s="4"/>
      <c r="BD29" s="4"/>
    </row>
    <row r="30" spans="1:56" ht="17" thickBot="1" x14ac:dyDescent="0.25">
      <c r="B30" s="421"/>
      <c r="C30" s="226" t="s">
        <v>13</v>
      </c>
      <c r="D30" s="227">
        <f>B$5*1.25</f>
        <v>1422.2068828767121</v>
      </c>
      <c r="E30" s="228">
        <f>C$5*1.25</f>
        <v>9955.4481801369839</v>
      </c>
      <c r="F30" s="228">
        <f>D$5*1.25</f>
        <v>43258.792687499998</v>
      </c>
      <c r="G30" s="228">
        <f>E$5*1.25</f>
        <v>519105.51224999997</v>
      </c>
      <c r="H30" s="226">
        <f t="shared" si="30"/>
        <v>1036.0438356164384</v>
      </c>
      <c r="I30" s="229">
        <f t="shared" si="31"/>
        <v>7252.3068493150686</v>
      </c>
      <c r="J30" s="228">
        <v>31513</v>
      </c>
      <c r="K30" s="230">
        <f t="shared" si="32"/>
        <v>378156</v>
      </c>
      <c r="L30" s="227">
        <f t="shared" si="33"/>
        <v>942</v>
      </c>
      <c r="M30" s="228">
        <f t="shared" si="34"/>
        <v>6594</v>
      </c>
      <c r="N30" s="228">
        <f t="shared" si="35"/>
        <v>28652.5</v>
      </c>
      <c r="O30" s="228">
        <f t="shared" si="36"/>
        <v>343830</v>
      </c>
      <c r="P30" s="226">
        <v>180</v>
      </c>
      <c r="Q30" s="229">
        <f t="shared" si="40"/>
        <v>1260</v>
      </c>
      <c r="R30" s="228">
        <f t="shared" si="26"/>
        <v>5475</v>
      </c>
      <c r="S30" s="228">
        <f t="shared" si="41"/>
        <v>65700</v>
      </c>
      <c r="T30" s="228">
        <f>L30*390/2+10*L30</f>
        <v>193110</v>
      </c>
      <c r="U30" s="230">
        <f t="shared" si="42"/>
        <v>8100</v>
      </c>
      <c r="V30" s="227">
        <v>6750</v>
      </c>
      <c r="W30" s="226">
        <f t="shared" si="27"/>
        <v>207960</v>
      </c>
      <c r="X30" s="231">
        <v>250</v>
      </c>
      <c r="Y30" s="226">
        <f t="shared" si="43"/>
        <v>831.84</v>
      </c>
      <c r="Z30" s="229">
        <f t="shared" si="28"/>
        <v>5822.88</v>
      </c>
      <c r="AA30" s="228">
        <f t="shared" si="37"/>
        <v>25301.800000000003</v>
      </c>
      <c r="AB30" s="228">
        <f t="shared" si="38"/>
        <v>303621.60000000003</v>
      </c>
      <c r="AC30" s="232">
        <f t="shared" si="39"/>
        <v>0.80290039031510818</v>
      </c>
      <c r="AD30" s="233">
        <f t="shared" si="44"/>
        <v>0.95169638155420155</v>
      </c>
      <c r="AE30" s="39"/>
      <c r="AG30" s="4"/>
      <c r="AH30" s="187"/>
      <c r="AI30" s="241"/>
      <c r="AJ30" s="241"/>
      <c r="AK30" s="241"/>
      <c r="AL30" s="241"/>
      <c r="AM30" s="187"/>
      <c r="AN30" s="139"/>
      <c r="AO30" s="242"/>
      <c r="AP30" s="241"/>
      <c r="AQ30" s="241"/>
      <c r="AR30" s="241"/>
      <c r="AS30" s="140"/>
      <c r="AT30" s="140"/>
      <c r="AU30" s="140"/>
      <c r="AV30" s="140"/>
      <c r="AW30" s="140"/>
      <c r="AX30" s="4"/>
      <c r="AY30" s="4"/>
      <c r="AZ30" s="4"/>
      <c r="BA30" s="4"/>
      <c r="BB30" s="4"/>
      <c r="BC30" s="4"/>
      <c r="BD30" s="4"/>
    </row>
    <row r="31" spans="1:56" x14ac:dyDescent="0.2">
      <c r="B31" s="420" t="s">
        <v>20</v>
      </c>
      <c r="C31" s="192" t="s">
        <v>12</v>
      </c>
      <c r="D31" s="51">
        <f>B$5</f>
        <v>1137.7655063013697</v>
      </c>
      <c r="E31" s="43">
        <f t="shared" ref="E31:G32" si="45">C$5</f>
        <v>7964.3585441095875</v>
      </c>
      <c r="F31" s="43">
        <f t="shared" si="45"/>
        <v>34607.034149999999</v>
      </c>
      <c r="G31" s="43">
        <f t="shared" si="45"/>
        <v>415284.40979999996</v>
      </c>
      <c r="H31" s="52">
        <f>K31/365</f>
        <v>874.06027397260277</v>
      </c>
      <c r="I31" s="45">
        <f t="shared" si="31"/>
        <v>6118.4219178082194</v>
      </c>
      <c r="J31" s="43">
        <v>26586</v>
      </c>
      <c r="K31" s="49">
        <f>J31*12</f>
        <v>319032</v>
      </c>
      <c r="L31" s="190">
        <f t="shared" si="33"/>
        <v>882.9060328898629</v>
      </c>
      <c r="M31" s="191">
        <f t="shared" si="34"/>
        <v>6180.3422302290401</v>
      </c>
      <c r="N31" s="191">
        <f t="shared" si="35"/>
        <v>26855.058500399999</v>
      </c>
      <c r="O31" s="191">
        <f t="shared" si="36"/>
        <v>322260.70200479997</v>
      </c>
      <c r="P31" s="192">
        <v>180</v>
      </c>
      <c r="Q31" s="193">
        <f t="shared" si="40"/>
        <v>1260</v>
      </c>
      <c r="R31" s="191">
        <f t="shared" si="26"/>
        <v>5475</v>
      </c>
      <c r="S31" s="191">
        <f t="shared" si="41"/>
        <v>65700</v>
      </c>
      <c r="T31" s="191">
        <f>L31*390/2</f>
        <v>172166.67641352327</v>
      </c>
      <c r="U31" s="194">
        <f t="shared" si="42"/>
        <v>8100</v>
      </c>
      <c r="V31" s="190">
        <v>6750</v>
      </c>
      <c r="W31" s="192">
        <f t="shared" si="27"/>
        <v>187016.67641352327</v>
      </c>
      <c r="X31" s="223">
        <v>240</v>
      </c>
      <c r="Y31" s="192">
        <f t="shared" si="43"/>
        <v>779.23615172301356</v>
      </c>
      <c r="Z31" s="193">
        <f t="shared" si="28"/>
        <v>5454.6530620610947</v>
      </c>
      <c r="AA31" s="191">
        <f t="shared" si="37"/>
        <v>23701.766281574994</v>
      </c>
      <c r="AB31" s="191">
        <f t="shared" si="38"/>
        <v>284421.19537889992</v>
      </c>
      <c r="AC31" s="224">
        <f t="shared" si="39"/>
        <v>0.89151306257334662</v>
      </c>
      <c r="AD31" s="225">
        <f t="shared" si="44"/>
        <v>0.89151306257334662</v>
      </c>
      <c r="AE31" s="39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7" thickBot="1" x14ac:dyDescent="0.25">
      <c r="B32" s="421"/>
      <c r="C32" s="226" t="s">
        <v>13</v>
      </c>
      <c r="D32" s="53">
        <f>B$5</f>
        <v>1137.7655063013697</v>
      </c>
      <c r="E32" s="44">
        <f t="shared" si="45"/>
        <v>7964.3585441095875</v>
      </c>
      <c r="F32" s="44">
        <f t="shared" si="45"/>
        <v>34607.034149999999</v>
      </c>
      <c r="G32" s="44">
        <f t="shared" si="45"/>
        <v>415284.40979999996</v>
      </c>
      <c r="H32" s="54">
        <f t="shared" ref="H32:H34" si="46">K32/365</f>
        <v>874.06027397260277</v>
      </c>
      <c r="I32" s="46">
        <f t="shared" si="31"/>
        <v>6118.4219178082194</v>
      </c>
      <c r="J32" s="44">
        <v>26586</v>
      </c>
      <c r="K32" s="50">
        <f t="shared" ref="K32:K34" si="47">J32*12</f>
        <v>319032</v>
      </c>
      <c r="L32" s="227">
        <f t="shared" si="33"/>
        <v>882.9060328898629</v>
      </c>
      <c r="M32" s="228">
        <f t="shared" si="34"/>
        <v>6180.3422302290401</v>
      </c>
      <c r="N32" s="228">
        <f t="shared" si="35"/>
        <v>26855.058500399999</v>
      </c>
      <c r="O32" s="228">
        <f t="shared" si="36"/>
        <v>322260.70200479997</v>
      </c>
      <c r="P32" s="226">
        <v>180</v>
      </c>
      <c r="Q32" s="229">
        <f t="shared" si="40"/>
        <v>1260</v>
      </c>
      <c r="R32" s="228">
        <f t="shared" si="26"/>
        <v>5475</v>
      </c>
      <c r="S32" s="228">
        <f t="shared" si="41"/>
        <v>65700</v>
      </c>
      <c r="T32" s="228">
        <f>L32*390/2+10*L32</f>
        <v>180995.7367424219</v>
      </c>
      <c r="U32" s="230">
        <f t="shared" si="42"/>
        <v>8100</v>
      </c>
      <c r="V32" s="227">
        <v>6750</v>
      </c>
      <c r="W32" s="226">
        <f t="shared" si="27"/>
        <v>195845.7367424219</v>
      </c>
      <c r="X32" s="231">
        <v>250</v>
      </c>
      <c r="Y32" s="226">
        <f t="shared" si="43"/>
        <v>783.38294696968762</v>
      </c>
      <c r="Z32" s="229">
        <f t="shared" si="28"/>
        <v>5483.6806287878135</v>
      </c>
      <c r="AA32" s="228">
        <f t="shared" si="37"/>
        <v>23827.897970328002</v>
      </c>
      <c r="AB32" s="228">
        <f t="shared" si="38"/>
        <v>285934.77564393601</v>
      </c>
      <c r="AC32" s="232">
        <f t="shared" si="39"/>
        <v>0.89625735237824422</v>
      </c>
      <c r="AD32" s="233">
        <f t="shared" si="44"/>
        <v>0.89625735237824422</v>
      </c>
      <c r="AE32" s="39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x14ac:dyDescent="0.2">
      <c r="B33" s="416" t="s">
        <v>21</v>
      </c>
      <c r="C33" s="212" t="s">
        <v>12</v>
      </c>
      <c r="D33" s="213">
        <f>B$5*2</f>
        <v>2275.5310126027393</v>
      </c>
      <c r="E33" s="214">
        <f>C$5*2</f>
        <v>15928.717088219175</v>
      </c>
      <c r="F33" s="214">
        <f>D$5*2</f>
        <v>69214.068299999999</v>
      </c>
      <c r="G33" s="214">
        <f>E$5*2</f>
        <v>830568.81959999993</v>
      </c>
      <c r="H33" s="212">
        <f t="shared" si="46"/>
        <v>1436.9095890410958</v>
      </c>
      <c r="I33" s="215">
        <f t="shared" si="31"/>
        <v>10058.367123287671</v>
      </c>
      <c r="J33" s="214">
        <v>43706</v>
      </c>
      <c r="K33" s="216">
        <f t="shared" si="47"/>
        <v>524472</v>
      </c>
      <c r="L33" s="213">
        <f t="shared" si="33"/>
        <v>942</v>
      </c>
      <c r="M33" s="214">
        <f t="shared" si="34"/>
        <v>6594</v>
      </c>
      <c r="N33" s="214">
        <f t="shared" si="35"/>
        <v>28652.5</v>
      </c>
      <c r="O33" s="214">
        <f t="shared" si="36"/>
        <v>343830</v>
      </c>
      <c r="P33" s="212">
        <v>180</v>
      </c>
      <c r="Q33" s="215">
        <f t="shared" si="40"/>
        <v>1260</v>
      </c>
      <c r="R33" s="214">
        <f t="shared" si="26"/>
        <v>5475</v>
      </c>
      <c r="S33" s="214">
        <f t="shared" si="41"/>
        <v>65700</v>
      </c>
      <c r="T33" s="214">
        <f>L33*390/2</f>
        <v>183690</v>
      </c>
      <c r="U33" s="216">
        <f t="shared" si="42"/>
        <v>8100</v>
      </c>
      <c r="V33" s="213">
        <v>6750</v>
      </c>
      <c r="W33" s="212">
        <f t="shared" si="27"/>
        <v>198540</v>
      </c>
      <c r="X33" s="217">
        <v>240</v>
      </c>
      <c r="Y33" s="212">
        <f t="shared" si="43"/>
        <v>827.25</v>
      </c>
      <c r="Z33" s="215">
        <f t="shared" si="28"/>
        <v>5790.75</v>
      </c>
      <c r="AA33" s="214">
        <f t="shared" si="37"/>
        <v>25162.1875</v>
      </c>
      <c r="AB33" s="214">
        <f t="shared" si="38"/>
        <v>301946.25</v>
      </c>
      <c r="AC33" s="218">
        <f t="shared" si="39"/>
        <v>0.57571471880291036</v>
      </c>
      <c r="AD33" s="219">
        <f t="shared" si="44"/>
        <v>0.94644502745806058</v>
      </c>
      <c r="AE33" s="39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7" thickBot="1" x14ac:dyDescent="0.25">
      <c r="B34" s="421"/>
      <c r="C34" s="226" t="s">
        <v>13</v>
      </c>
      <c r="D34" s="227">
        <f>B$5*4</f>
        <v>4551.0620252054787</v>
      </c>
      <c r="E34" s="228">
        <f>C$5*4</f>
        <v>31857.43417643835</v>
      </c>
      <c r="F34" s="228">
        <f>D$5*4</f>
        <v>138428.1366</v>
      </c>
      <c r="G34" s="228">
        <f>E$5*4</f>
        <v>1661137.6391999999</v>
      </c>
      <c r="H34" s="226">
        <f t="shared" si="46"/>
        <v>2457.5013698630137</v>
      </c>
      <c r="I34" s="229">
        <f t="shared" si="31"/>
        <v>17202.509589041096</v>
      </c>
      <c r="J34" s="228">
        <v>74749</v>
      </c>
      <c r="K34" s="230">
        <f t="shared" si="47"/>
        <v>896988</v>
      </c>
      <c r="L34" s="227">
        <f t="shared" si="33"/>
        <v>942</v>
      </c>
      <c r="M34" s="228">
        <f t="shared" si="34"/>
        <v>6594</v>
      </c>
      <c r="N34" s="228">
        <f t="shared" si="35"/>
        <v>28652.5</v>
      </c>
      <c r="O34" s="228">
        <f t="shared" si="36"/>
        <v>343830</v>
      </c>
      <c r="P34" s="226">
        <v>180</v>
      </c>
      <c r="Q34" s="229">
        <f t="shared" si="40"/>
        <v>1260</v>
      </c>
      <c r="R34" s="228">
        <f t="shared" si="26"/>
        <v>5475</v>
      </c>
      <c r="S34" s="228">
        <f t="shared" si="41"/>
        <v>65700</v>
      </c>
      <c r="T34" s="228">
        <f>L34*390/2+10*L34</f>
        <v>193110</v>
      </c>
      <c r="U34" s="230">
        <f t="shared" si="42"/>
        <v>8100</v>
      </c>
      <c r="V34" s="227">
        <v>6750</v>
      </c>
      <c r="W34" s="226">
        <f t="shared" si="27"/>
        <v>207960</v>
      </c>
      <c r="X34" s="231">
        <v>250</v>
      </c>
      <c r="Y34" s="226">
        <f t="shared" si="43"/>
        <v>831.84</v>
      </c>
      <c r="Z34" s="229">
        <f t="shared" si="28"/>
        <v>5822.88</v>
      </c>
      <c r="AA34" s="228">
        <f t="shared" si="37"/>
        <v>25301.800000000003</v>
      </c>
      <c r="AB34" s="228">
        <f t="shared" si="38"/>
        <v>303621.60000000003</v>
      </c>
      <c r="AC34" s="232">
        <f t="shared" si="39"/>
        <v>0.33849014702537833</v>
      </c>
      <c r="AD34" s="233">
        <f t="shared" si="44"/>
        <v>0.95169638155420155</v>
      </c>
      <c r="AE34" s="39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7" thickBot="1" x14ac:dyDescent="0.25"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x14ac:dyDescent="0.2">
      <c r="A36" s="36" t="s">
        <v>43</v>
      </c>
      <c r="B36" s="409" t="s">
        <v>16</v>
      </c>
      <c r="C36" s="244" t="s">
        <v>23</v>
      </c>
      <c r="D36" s="145" t="s">
        <v>69</v>
      </c>
      <c r="E36" s="145" t="s">
        <v>69</v>
      </c>
      <c r="F36" s="145" t="s">
        <v>69</v>
      </c>
      <c r="G36" s="145" t="s">
        <v>24</v>
      </c>
      <c r="H36" s="145" t="s">
        <v>24</v>
      </c>
      <c r="I36" s="245" t="s">
        <v>24</v>
      </c>
      <c r="J36" s="400" t="s">
        <v>86</v>
      </c>
      <c r="K36" s="400" t="s">
        <v>85</v>
      </c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ht="17" thickBot="1" x14ac:dyDescent="0.25">
      <c r="B37" s="410"/>
      <c r="C37" s="246" t="s">
        <v>70</v>
      </c>
      <c r="D37" s="169" t="s">
        <v>38</v>
      </c>
      <c r="E37" s="169" t="s">
        <v>15</v>
      </c>
      <c r="F37" s="169" t="s">
        <v>89</v>
      </c>
      <c r="G37" s="169" t="s">
        <v>2</v>
      </c>
      <c r="H37" s="169" t="s">
        <v>3</v>
      </c>
      <c r="I37" s="247" t="s">
        <v>4</v>
      </c>
      <c r="J37" s="401"/>
      <c r="K37" s="401"/>
    </row>
    <row r="38" spans="1:56" ht="17" thickBot="1" x14ac:dyDescent="0.25">
      <c r="B38" s="248" t="s">
        <v>17</v>
      </c>
      <c r="C38" s="193">
        <f>W14</f>
        <v>113700</v>
      </c>
      <c r="D38" s="249">
        <v>490</v>
      </c>
      <c r="E38" s="250">
        <f>D38/7</f>
        <v>70</v>
      </c>
      <c r="F38" s="251">
        <f>D38/365*12</f>
        <v>16.109589041095891</v>
      </c>
      <c r="G38" s="191">
        <f>C38/D38</f>
        <v>232.0408163265306</v>
      </c>
      <c r="H38" s="191">
        <f>G38*7</f>
        <v>1624.2857142857142</v>
      </c>
      <c r="I38" s="252">
        <f>G38*365/12</f>
        <v>7057.908163265306</v>
      </c>
      <c r="J38" s="253" t="s">
        <v>25</v>
      </c>
      <c r="K38" s="254">
        <f>H38/$C$6</f>
        <v>0.26547461683838508</v>
      </c>
    </row>
    <row r="39" spans="1:56" ht="17" thickBot="1" x14ac:dyDescent="0.25">
      <c r="A39" s="92"/>
      <c r="B39" s="255" t="s">
        <v>18</v>
      </c>
      <c r="C39" s="256">
        <f>W15+W16</f>
        <v>192781.20657797257</v>
      </c>
      <c r="D39" s="161">
        <v>490</v>
      </c>
      <c r="E39" s="257">
        <f t="shared" ref="E39:E42" si="48">D39/7</f>
        <v>70</v>
      </c>
      <c r="F39" s="162">
        <f t="shared" ref="F39:F42" si="49">D39/365*12</f>
        <v>16.109589041095891</v>
      </c>
      <c r="G39" s="258">
        <f>C39/D39</f>
        <v>393.43103383259705</v>
      </c>
      <c r="H39" s="258">
        <f>G39*7</f>
        <v>2754.0172368281792</v>
      </c>
      <c r="I39" s="259">
        <f t="shared" ref="I39:I42" si="50">G39*365/12</f>
        <v>11966.860612408162</v>
      </c>
      <c r="J39" s="260">
        <f>G39/((H15*X15+X16*H16)/D39)</f>
        <v>0.8504022606884708</v>
      </c>
      <c r="K39" s="261">
        <f>H39/$C$6</f>
        <v>0.450118882585126</v>
      </c>
      <c r="L39" s="262"/>
      <c r="M39" s="92"/>
      <c r="N39" s="39"/>
      <c r="O39" s="92"/>
      <c r="P39" s="263"/>
      <c r="Q39" s="264"/>
      <c r="R39" s="265"/>
      <c r="S39" s="92"/>
      <c r="T39" s="266"/>
      <c r="U39" s="92"/>
      <c r="V39" s="92"/>
    </row>
    <row r="40" spans="1:56" ht="17" thickBot="1" x14ac:dyDescent="0.25">
      <c r="B40" s="255" t="s">
        <v>19</v>
      </c>
      <c r="C40" s="256">
        <f>W18+W17</f>
        <v>309053.85740021913</v>
      </c>
      <c r="D40" s="161">
        <v>490</v>
      </c>
      <c r="E40" s="257">
        <f t="shared" si="48"/>
        <v>70</v>
      </c>
      <c r="F40" s="162">
        <f t="shared" si="49"/>
        <v>16.109589041095891</v>
      </c>
      <c r="G40" s="258">
        <f>C40/D40</f>
        <v>630.72215795963086</v>
      </c>
      <c r="H40" s="258">
        <f>G40*7</f>
        <v>4415.0551057174162</v>
      </c>
      <c r="I40" s="259">
        <f t="shared" si="50"/>
        <v>19184.465637938771</v>
      </c>
      <c r="J40" s="260">
        <f>G40/((H18*X18+X17*H17)/D40)</f>
        <v>0.84638466077493213</v>
      </c>
      <c r="K40" s="261">
        <f>H40/$C$6</f>
        <v>0.72160030233727424</v>
      </c>
      <c r="L40" s="262"/>
      <c r="M40" s="39"/>
      <c r="N40" s="39"/>
      <c r="O40" s="39"/>
      <c r="P40" s="267"/>
      <c r="Q40" s="268"/>
      <c r="R40" s="267"/>
      <c r="S40" s="269"/>
      <c r="T40" s="269"/>
      <c r="U40" s="39"/>
      <c r="V40" s="39"/>
    </row>
    <row r="41" spans="1:56" ht="17" thickBot="1" x14ac:dyDescent="0.25">
      <c r="B41" s="255" t="s">
        <v>20</v>
      </c>
      <c r="C41" s="256">
        <f>W19+W20</f>
        <v>369362.41315594513</v>
      </c>
      <c r="D41" s="161">
        <v>490</v>
      </c>
      <c r="E41" s="257">
        <f t="shared" si="48"/>
        <v>70</v>
      </c>
      <c r="F41" s="162">
        <f t="shared" si="49"/>
        <v>16.109589041095891</v>
      </c>
      <c r="G41" s="258">
        <f>C41/D41</f>
        <v>753.8008431753982</v>
      </c>
      <c r="H41" s="258">
        <f>G41*7</f>
        <v>5276.6059022277877</v>
      </c>
      <c r="I41" s="259">
        <f t="shared" si="50"/>
        <v>22928.108979918365</v>
      </c>
      <c r="J41" s="260">
        <f>G41/((H19*X19+X20*H20)/D41)</f>
        <v>0.86241288572626063</v>
      </c>
      <c r="K41" s="261">
        <f>H41/$C$6</f>
        <v>0.86241288572626051</v>
      </c>
      <c r="L41" s="262"/>
      <c r="M41" s="39"/>
      <c r="N41" s="39"/>
      <c r="O41" s="39"/>
      <c r="P41" s="267"/>
      <c r="Q41" s="268"/>
      <c r="R41" s="267"/>
      <c r="S41" s="269"/>
      <c r="T41" s="269"/>
      <c r="U41" s="39"/>
      <c r="V41" s="39"/>
    </row>
    <row r="42" spans="1:56" ht="17" thickBot="1" x14ac:dyDescent="0.25">
      <c r="B42" s="248" t="s">
        <v>21</v>
      </c>
      <c r="C42" s="270">
        <f>W21+W22</f>
        <v>393000</v>
      </c>
      <c r="D42" s="170">
        <v>490</v>
      </c>
      <c r="E42" s="271">
        <f t="shared" si="48"/>
        <v>70</v>
      </c>
      <c r="F42" s="171">
        <f t="shared" si="49"/>
        <v>16.109589041095891</v>
      </c>
      <c r="G42" s="272">
        <f>C42/D42</f>
        <v>802.0408163265306</v>
      </c>
      <c r="H42" s="272">
        <f>G42*7</f>
        <v>5614.2857142857138</v>
      </c>
      <c r="I42" s="273">
        <f t="shared" si="50"/>
        <v>24395.408163265307</v>
      </c>
      <c r="J42" s="274">
        <f>G42/((H21*X21+X22*H22)/D42)</f>
        <v>0.48750542409046566</v>
      </c>
      <c r="K42" s="275">
        <f>H42/$C$6</f>
        <v>0.917603556882017</v>
      </c>
      <c r="L42" s="262"/>
      <c r="M42" s="39"/>
      <c r="N42" s="39"/>
      <c r="O42" s="39"/>
      <c r="P42" s="267"/>
      <c r="Q42" s="268"/>
      <c r="R42" s="267"/>
      <c r="S42" s="269"/>
      <c r="T42" s="269"/>
      <c r="U42" s="39"/>
      <c r="V42" s="39"/>
    </row>
    <row r="43" spans="1:56" ht="17" thickBot="1" x14ac:dyDescent="0.25">
      <c r="D43" s="262"/>
      <c r="E43" s="262"/>
      <c r="F43" s="262"/>
      <c r="G43" s="276"/>
      <c r="H43" s="262"/>
      <c r="I43" s="262"/>
      <c r="J43" s="262"/>
      <c r="K43" s="262"/>
      <c r="L43" s="262"/>
      <c r="M43" s="39"/>
      <c r="N43" s="39"/>
      <c r="O43" s="39"/>
      <c r="P43" s="267"/>
      <c r="Q43" s="268"/>
      <c r="R43" s="267"/>
      <c r="S43" s="269"/>
      <c r="T43" s="269"/>
      <c r="U43" s="39"/>
      <c r="V43" s="39"/>
    </row>
    <row r="44" spans="1:56" x14ac:dyDescent="0.2">
      <c r="A44" s="36" t="s">
        <v>41</v>
      </c>
      <c r="B44" s="391" t="s">
        <v>16</v>
      </c>
      <c r="C44" s="144" t="s">
        <v>23</v>
      </c>
      <c r="D44" s="145" t="s">
        <v>69</v>
      </c>
      <c r="E44" s="145" t="s">
        <v>69</v>
      </c>
      <c r="F44" s="145" t="s">
        <v>69</v>
      </c>
      <c r="G44" s="145" t="s">
        <v>24</v>
      </c>
      <c r="H44" s="145" t="s">
        <v>24</v>
      </c>
      <c r="I44" s="245" t="s">
        <v>24</v>
      </c>
      <c r="J44" s="425" t="s">
        <v>86</v>
      </c>
      <c r="K44" s="400" t="s">
        <v>85</v>
      </c>
    </row>
    <row r="45" spans="1:56" ht="17" thickBot="1" x14ac:dyDescent="0.25">
      <c r="B45" s="392"/>
      <c r="C45" s="277" t="s">
        <v>70</v>
      </c>
      <c r="D45" s="169" t="s">
        <v>38</v>
      </c>
      <c r="E45" s="169" t="s">
        <v>15</v>
      </c>
      <c r="F45" s="169" t="s">
        <v>89</v>
      </c>
      <c r="G45" s="169" t="s">
        <v>2</v>
      </c>
      <c r="H45" s="169" t="s">
        <v>3</v>
      </c>
      <c r="I45" s="247" t="s">
        <v>4</v>
      </c>
      <c r="J45" s="426"/>
      <c r="K45" s="401"/>
    </row>
    <row r="46" spans="1:56" ht="17" thickBot="1" x14ac:dyDescent="0.25">
      <c r="B46" s="150" t="s">
        <v>17</v>
      </c>
      <c r="C46" s="213">
        <f>W26</f>
        <v>113700</v>
      </c>
      <c r="D46" s="249">
        <v>490</v>
      </c>
      <c r="E46" s="250">
        <f>D46/7</f>
        <v>70</v>
      </c>
      <c r="F46" s="251">
        <f>D46/365*12</f>
        <v>16.109589041095891</v>
      </c>
      <c r="G46" s="214">
        <f>C46/D46</f>
        <v>232.0408163265306</v>
      </c>
      <c r="H46" s="214">
        <f>G46*7</f>
        <v>1624.2857142857142</v>
      </c>
      <c r="I46" s="252">
        <f>G46*365/12</f>
        <v>7057.908163265306</v>
      </c>
      <c r="J46" s="278" t="s">
        <v>25</v>
      </c>
      <c r="K46" s="254">
        <f>H46/$C$6</f>
        <v>0.26547461683838508</v>
      </c>
    </row>
    <row r="47" spans="1:56" ht="17" thickBot="1" x14ac:dyDescent="0.25">
      <c r="A47" s="279"/>
      <c r="B47" s="158" t="s">
        <v>18</v>
      </c>
      <c r="C47" s="280">
        <f>W27+W28</f>
        <v>206281.20657797257</v>
      </c>
      <c r="D47" s="161">
        <v>490</v>
      </c>
      <c r="E47" s="257">
        <f t="shared" ref="E47:E50" si="51">D47/7</f>
        <v>70</v>
      </c>
      <c r="F47" s="162">
        <f t="shared" ref="F47:F50" si="52">D47/365*12</f>
        <v>16.109589041095891</v>
      </c>
      <c r="G47" s="281">
        <f>C47/D47</f>
        <v>420.98205424076036</v>
      </c>
      <c r="H47" s="281">
        <f>G47*7</f>
        <v>2946.8743796853223</v>
      </c>
      <c r="I47" s="259">
        <f t="shared" ref="I47:I50" si="53">G47*365/12</f>
        <v>12804.870816489793</v>
      </c>
      <c r="J47" s="282">
        <f>G47/((H27*X27+X28*H28)/D47)</f>
        <v>0.90995386700467551</v>
      </c>
      <c r="K47" s="261">
        <f t="shared" ref="K47:K50" si="54">H47/$C$6</f>
        <v>0.48163961545511896</v>
      </c>
    </row>
    <row r="48" spans="1:56" ht="17" thickBot="1" x14ac:dyDescent="0.25">
      <c r="B48" s="158" t="s">
        <v>19</v>
      </c>
      <c r="C48" s="280">
        <f>W30+W29</f>
        <v>351935.00731014245</v>
      </c>
      <c r="D48" s="161">
        <v>490</v>
      </c>
      <c r="E48" s="257">
        <f t="shared" si="51"/>
        <v>70</v>
      </c>
      <c r="F48" s="162">
        <f t="shared" si="52"/>
        <v>16.109589041095891</v>
      </c>
      <c r="G48" s="281">
        <f>C48/D48</f>
        <v>718.23470879620913</v>
      </c>
      <c r="H48" s="281">
        <f>G48*7</f>
        <v>5027.6429615734642</v>
      </c>
      <c r="I48" s="259">
        <f t="shared" si="53"/>
        <v>21846.305725884697</v>
      </c>
      <c r="J48" s="282">
        <f>G48/((H30*X30+X29*H29)/D48)</f>
        <v>0.83802117978353297</v>
      </c>
      <c r="K48" s="261">
        <f t="shared" si="54"/>
        <v>0.82172217429792727</v>
      </c>
    </row>
    <row r="49" spans="2:11" ht="17" thickBot="1" x14ac:dyDescent="0.25">
      <c r="B49" s="158" t="s">
        <v>20</v>
      </c>
      <c r="C49" s="280">
        <f>W31+W32</f>
        <v>382862.41315594513</v>
      </c>
      <c r="D49" s="161">
        <v>490</v>
      </c>
      <c r="E49" s="257">
        <f t="shared" si="51"/>
        <v>70</v>
      </c>
      <c r="F49" s="162">
        <f t="shared" si="52"/>
        <v>16.109589041095891</v>
      </c>
      <c r="G49" s="281">
        <f>C49/D49</f>
        <v>781.35186358356145</v>
      </c>
      <c r="H49" s="281">
        <f>G49*7</f>
        <v>5469.4630450849299</v>
      </c>
      <c r="I49" s="259">
        <f t="shared" si="53"/>
        <v>23766.119183999996</v>
      </c>
      <c r="J49" s="282">
        <f>G49/((H31*X31+X32*H32)/D49)</f>
        <v>0.89393361859625342</v>
      </c>
      <c r="K49" s="261">
        <f t="shared" si="54"/>
        <v>0.89393361859625342</v>
      </c>
    </row>
    <row r="50" spans="2:11" ht="17" thickBot="1" x14ac:dyDescent="0.25">
      <c r="B50" s="167" t="s">
        <v>21</v>
      </c>
      <c r="C50" s="283">
        <f>W33+W34</f>
        <v>406500</v>
      </c>
      <c r="D50" s="170">
        <v>490</v>
      </c>
      <c r="E50" s="271">
        <f t="shared" si="51"/>
        <v>70</v>
      </c>
      <c r="F50" s="171">
        <f t="shared" si="52"/>
        <v>16.109589041095891</v>
      </c>
      <c r="G50" s="284">
        <f>C50/D50</f>
        <v>829.59183673469386</v>
      </c>
      <c r="H50" s="284">
        <f>G50*7</f>
        <v>5807.1428571428569</v>
      </c>
      <c r="I50" s="273">
        <f t="shared" si="53"/>
        <v>25233.418367346938</v>
      </c>
      <c r="J50" s="285">
        <f>G50/((H33*X33+X34*H34)/D50)</f>
        <v>0.42377579499250945</v>
      </c>
      <c r="K50" s="275">
        <f t="shared" si="54"/>
        <v>0.94912428975200991</v>
      </c>
    </row>
    <row r="51" spans="2:11" x14ac:dyDescent="0.2">
      <c r="D51" s="286"/>
      <c r="E51" s="286"/>
      <c r="F51" s="287"/>
      <c r="G51" s="287"/>
      <c r="H51" s="287"/>
      <c r="I51" s="287"/>
    </row>
    <row r="52" spans="2:11" x14ac:dyDescent="0.2">
      <c r="D52" s="286"/>
      <c r="E52" s="286"/>
      <c r="F52" s="415"/>
      <c r="G52" s="415"/>
      <c r="H52" s="415"/>
      <c r="I52" s="287"/>
    </row>
    <row r="53" spans="2:11" x14ac:dyDescent="0.2">
      <c r="D53" s="286"/>
      <c r="E53" s="286"/>
      <c r="F53" s="415"/>
      <c r="G53" s="415"/>
      <c r="H53" s="415"/>
      <c r="I53" s="287"/>
    </row>
    <row r="54" spans="2:11" x14ac:dyDescent="0.2">
      <c r="D54" s="286"/>
      <c r="E54" s="286"/>
      <c r="F54" s="415"/>
      <c r="G54" s="415"/>
      <c r="H54" s="415"/>
      <c r="I54" s="287"/>
    </row>
    <row r="55" spans="2:11" x14ac:dyDescent="0.2">
      <c r="D55" s="286"/>
      <c r="E55" s="286"/>
      <c r="F55" s="415"/>
      <c r="G55" s="415"/>
      <c r="H55" s="415"/>
      <c r="I55" s="287"/>
    </row>
  </sheetData>
  <dataConsolidate/>
  <mergeCells count="30">
    <mergeCell ref="AC12:AC13"/>
    <mergeCell ref="AD12:AD13"/>
    <mergeCell ref="J44:J45"/>
    <mergeCell ref="K44:K45"/>
    <mergeCell ref="B19:B20"/>
    <mergeCell ref="F54:F55"/>
    <mergeCell ref="G54:G55"/>
    <mergeCell ref="H54:H55"/>
    <mergeCell ref="B21:B22"/>
    <mergeCell ref="B24:C25"/>
    <mergeCell ref="B27:B28"/>
    <mergeCell ref="B29:B30"/>
    <mergeCell ref="B31:B32"/>
    <mergeCell ref="B33:B34"/>
    <mergeCell ref="B44:B45"/>
    <mergeCell ref="B36:B37"/>
    <mergeCell ref="AC24:AC25"/>
    <mergeCell ref="AD24:AD25"/>
    <mergeCell ref="F52:F53"/>
    <mergeCell ref="G52:G53"/>
    <mergeCell ref="H52:H53"/>
    <mergeCell ref="J36:J37"/>
    <mergeCell ref="K36:K37"/>
    <mergeCell ref="A3:A5"/>
    <mergeCell ref="B8:C8"/>
    <mergeCell ref="B9:C9"/>
    <mergeCell ref="A8:A10"/>
    <mergeCell ref="B12:C13"/>
    <mergeCell ref="B15:B16"/>
    <mergeCell ref="B17:B18"/>
  </mergeCells>
  <phoneticPr fontId="8" type="noConversion"/>
  <pageMargins left="0.7" right="0.7" top="0.75" bottom="0.75" header="0.3" footer="0.3"/>
  <pageSetup paperSize="9" scale="10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1"/>
  <sheetViews>
    <sheetView topLeftCell="A36" zoomScale="91" workbookViewId="0">
      <selection activeCell="B79" sqref="B79"/>
    </sheetView>
  </sheetViews>
  <sheetFormatPr baseColWidth="10" defaultRowHeight="16" x14ac:dyDescent="0.2"/>
  <cols>
    <col min="1" max="1" width="26.5" style="36" customWidth="1"/>
    <col min="2" max="2" width="16.83203125" style="36" customWidth="1"/>
    <col min="3" max="3" width="12.83203125" style="36" bestFit="1" customWidth="1"/>
    <col min="4" max="4" width="14" style="36" customWidth="1"/>
    <col min="5" max="5" width="15" style="36" customWidth="1"/>
    <col min="6" max="6" width="13" style="36" customWidth="1"/>
    <col min="7" max="7" width="15" style="36" customWidth="1"/>
    <col min="8" max="8" width="13" style="36" customWidth="1"/>
    <col min="9" max="9" width="14" style="36" customWidth="1"/>
    <col min="10" max="10" width="14" style="36" bestFit="1" customWidth="1"/>
    <col min="11" max="17" width="15.1640625" style="36" customWidth="1"/>
    <col min="18" max="19" width="15.1640625" style="291" customWidth="1"/>
    <col min="20" max="21" width="14" style="36" customWidth="1"/>
    <col min="22" max="22" width="14" style="36" bestFit="1" customWidth="1"/>
    <col min="23" max="24" width="13.83203125" style="36" customWidth="1"/>
    <col min="25" max="25" width="15.1640625" style="36" customWidth="1"/>
    <col min="26" max="26" width="13.83203125" style="36" bestFit="1" customWidth="1"/>
    <col min="27" max="28" width="14" style="36" customWidth="1"/>
    <col min="29" max="30" width="13.6640625" style="36" customWidth="1"/>
    <col min="31" max="31" width="13.6640625" style="36" bestFit="1" customWidth="1"/>
    <col min="32" max="32" width="13.6640625" style="36" customWidth="1"/>
    <col min="33" max="34" width="13.6640625" style="36" bestFit="1" customWidth="1"/>
    <col min="35" max="37" width="10.83203125" style="36"/>
    <col min="38" max="38" width="14.83203125" style="36" bestFit="1" customWidth="1"/>
    <col min="39" max="42" width="14.33203125" style="36" customWidth="1"/>
    <col min="43" max="43" width="15.33203125" style="36" customWidth="1"/>
    <col min="44" max="44" width="11.33203125" style="36" bestFit="1" customWidth="1"/>
    <col min="45" max="45" width="13" style="36" customWidth="1"/>
    <col min="46" max="48" width="10.83203125" style="36"/>
    <col min="49" max="49" width="14.83203125" style="36" bestFit="1" customWidth="1"/>
    <col min="50" max="51" width="10.83203125" style="36" customWidth="1"/>
    <col min="52" max="52" width="10.83203125" style="36"/>
    <col min="53" max="53" width="10.83203125" style="36" customWidth="1"/>
    <col min="54" max="54" width="12.83203125" style="36" customWidth="1"/>
    <col min="55" max="55" width="11.33203125" style="36" bestFit="1" customWidth="1"/>
    <col min="56" max="56" width="12.83203125" style="36" customWidth="1"/>
    <col min="57" max="16384" width="10.83203125" style="36"/>
  </cols>
  <sheetData>
    <row r="1" spans="1:43" x14ac:dyDescent="0.2">
      <c r="A1" s="36" t="s">
        <v>44</v>
      </c>
      <c r="G1" s="4"/>
      <c r="H1" s="4"/>
      <c r="I1" s="4"/>
      <c r="AQ1" s="4"/>
    </row>
    <row r="2" spans="1:43" ht="17" thickBot="1" x14ac:dyDescent="0.25">
      <c r="G2" s="4"/>
      <c r="H2" s="4"/>
      <c r="I2" s="4"/>
      <c r="K2" s="4"/>
      <c r="L2" s="4"/>
      <c r="M2" s="4"/>
      <c r="N2" s="4"/>
      <c r="O2" s="4"/>
      <c r="P2" s="4"/>
      <c r="Q2" s="4"/>
      <c r="R2" s="292"/>
      <c r="S2" s="292"/>
      <c r="U2" s="4"/>
      <c r="X2" s="4"/>
      <c r="Z2" s="4"/>
      <c r="AC2" s="4"/>
      <c r="AE2" s="4"/>
      <c r="AG2" s="4"/>
      <c r="AM2" s="293"/>
      <c r="AN2" s="293"/>
      <c r="AO2" s="293"/>
      <c r="AP2" s="293"/>
      <c r="AQ2" s="293"/>
    </row>
    <row r="3" spans="1:43" x14ac:dyDescent="0.2">
      <c r="A3" s="402" t="s">
        <v>1</v>
      </c>
      <c r="B3" s="2" t="s">
        <v>6</v>
      </c>
      <c r="C3" s="2"/>
      <c r="D3" s="2"/>
      <c r="E3" s="3"/>
      <c r="G3" s="293"/>
      <c r="H3" s="4"/>
      <c r="I3" s="4"/>
      <c r="J3" s="293"/>
      <c r="K3" s="293"/>
      <c r="L3" s="293"/>
      <c r="M3" s="293"/>
      <c r="N3" s="293"/>
      <c r="O3" s="293"/>
      <c r="P3" s="293"/>
      <c r="Q3" s="293"/>
      <c r="R3" s="292"/>
      <c r="S3" s="292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M3" s="293"/>
      <c r="AN3" s="293"/>
      <c r="AO3" s="293"/>
      <c r="AP3" s="293"/>
      <c r="AQ3" s="293"/>
    </row>
    <row r="4" spans="1:43" x14ac:dyDescent="0.2">
      <c r="A4" s="403"/>
      <c r="B4" s="4" t="s">
        <v>2</v>
      </c>
      <c r="C4" s="4" t="s">
        <v>3</v>
      </c>
      <c r="D4" s="4" t="s">
        <v>4</v>
      </c>
      <c r="E4" s="5" t="s">
        <v>5</v>
      </c>
      <c r="G4" s="4"/>
      <c r="H4" s="4"/>
      <c r="I4" s="4"/>
      <c r="J4" s="293"/>
      <c r="K4" s="293"/>
      <c r="L4" s="293"/>
      <c r="M4" s="293"/>
      <c r="N4" s="293"/>
      <c r="O4" s="293"/>
      <c r="P4" s="293"/>
      <c r="Q4" s="293"/>
      <c r="R4" s="292"/>
      <c r="S4" s="292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M4" s="293"/>
      <c r="AN4" s="293"/>
      <c r="AO4" s="293"/>
      <c r="AP4" s="293"/>
      <c r="AQ4" s="293"/>
    </row>
    <row r="5" spans="1:43" x14ac:dyDescent="0.2">
      <c r="A5" s="404"/>
      <c r="B5" s="32">
        <f>E5/365</f>
        <v>907.03561643835621</v>
      </c>
      <c r="C5" s="32">
        <f>B5*7</f>
        <v>6349.2493150684932</v>
      </c>
      <c r="D5" s="32">
        <v>27589</v>
      </c>
      <c r="E5" s="33">
        <f>D5*12</f>
        <v>331068</v>
      </c>
      <c r="G5" s="4"/>
      <c r="H5" s="4"/>
      <c r="I5" s="4"/>
      <c r="J5" s="293"/>
      <c r="K5" s="293"/>
      <c r="L5" s="293"/>
      <c r="M5" s="293"/>
      <c r="N5" s="293"/>
      <c r="O5" s="293"/>
      <c r="P5" s="293"/>
      <c r="Q5" s="293"/>
      <c r="R5" s="292"/>
      <c r="S5" s="292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M5" s="293"/>
      <c r="AN5" s="293"/>
      <c r="AO5" s="293"/>
      <c r="AP5" s="293"/>
      <c r="AQ5" s="293"/>
    </row>
    <row r="6" spans="1:43" x14ac:dyDescent="0.2">
      <c r="A6" s="6" t="s">
        <v>7</v>
      </c>
      <c r="B6" s="34">
        <f>E6/365</f>
        <v>692.81095890410961</v>
      </c>
      <c r="C6" s="34">
        <f>B6*7</f>
        <v>4849.6767123287673</v>
      </c>
      <c r="D6" s="34">
        <v>21073</v>
      </c>
      <c r="E6" s="35">
        <f>D6*12</f>
        <v>252876</v>
      </c>
      <c r="J6" s="293"/>
      <c r="K6" s="293"/>
      <c r="L6" s="293"/>
      <c r="M6" s="293"/>
      <c r="N6" s="293"/>
      <c r="O6" s="293"/>
      <c r="P6" s="293"/>
      <c r="Q6" s="293"/>
      <c r="R6" s="292"/>
      <c r="S6" s="292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M6" s="293"/>
      <c r="AN6" s="293"/>
      <c r="AO6" s="293"/>
      <c r="AP6" s="293"/>
      <c r="AQ6" s="293"/>
    </row>
    <row r="7" spans="1:43" x14ac:dyDescent="0.2">
      <c r="A7" s="6" t="s">
        <v>8</v>
      </c>
      <c r="B7" s="7"/>
      <c r="C7" s="7"/>
      <c r="D7" s="7"/>
      <c r="E7" s="31">
        <f>E6/E5</f>
        <v>0.76381891333502483</v>
      </c>
      <c r="K7" s="32"/>
      <c r="L7" s="32"/>
      <c r="AM7" s="293"/>
      <c r="AN7" s="293"/>
      <c r="AO7" s="293"/>
      <c r="AP7" s="293"/>
      <c r="AQ7" s="293"/>
    </row>
    <row r="8" spans="1:43" s="4" customFormat="1" x14ac:dyDescent="0.2">
      <c r="A8" s="407" t="s">
        <v>93</v>
      </c>
      <c r="B8" s="405" t="s">
        <v>34</v>
      </c>
      <c r="C8" s="406"/>
      <c r="D8" s="34">
        <v>220000</v>
      </c>
      <c r="E8" s="8" t="s">
        <v>45</v>
      </c>
      <c r="F8" s="36"/>
      <c r="G8" s="36"/>
      <c r="H8" s="36"/>
      <c r="K8" s="32"/>
      <c r="L8" s="32"/>
      <c r="R8" s="292"/>
      <c r="S8" s="292"/>
      <c r="AM8" s="293"/>
      <c r="AN8" s="293"/>
      <c r="AO8" s="293"/>
      <c r="AP8" s="293"/>
      <c r="AQ8" s="293"/>
    </row>
    <row r="9" spans="1:43" s="4" customFormat="1" x14ac:dyDescent="0.2">
      <c r="A9" s="403"/>
      <c r="B9" s="405" t="s">
        <v>35</v>
      </c>
      <c r="C9" s="406"/>
      <c r="D9" s="34">
        <v>11500</v>
      </c>
      <c r="E9" s="10" t="s">
        <v>4</v>
      </c>
      <c r="F9" s="36"/>
      <c r="G9" s="36"/>
      <c r="H9" s="36"/>
      <c r="K9" s="32"/>
      <c r="L9" s="32"/>
      <c r="R9" s="292"/>
      <c r="S9" s="292"/>
      <c r="AM9" s="293"/>
      <c r="AN9" s="293"/>
      <c r="AO9" s="293"/>
      <c r="AP9" s="293"/>
      <c r="AQ9" s="293"/>
    </row>
    <row r="10" spans="1:43" s="4" customFormat="1" x14ac:dyDescent="0.2">
      <c r="A10" s="404"/>
      <c r="B10" s="27" t="s">
        <v>63</v>
      </c>
      <c r="C10" s="28"/>
      <c r="D10" s="288">
        <v>5116</v>
      </c>
      <c r="E10" s="10" t="s">
        <v>4</v>
      </c>
      <c r="F10" s="36"/>
      <c r="G10" s="36"/>
      <c r="H10" s="36"/>
      <c r="I10" s="32"/>
      <c r="J10" s="32"/>
      <c r="K10" s="294"/>
      <c r="M10" s="295"/>
      <c r="N10" s="295"/>
      <c r="O10" s="295"/>
      <c r="P10" s="295"/>
      <c r="Q10" s="295"/>
      <c r="R10" s="296"/>
      <c r="S10" s="296"/>
      <c r="AM10" s="293"/>
      <c r="AN10" s="293"/>
      <c r="AO10" s="293"/>
      <c r="AP10" s="293"/>
      <c r="AQ10" s="293"/>
    </row>
    <row r="11" spans="1:43" ht="17" thickBot="1" x14ac:dyDescent="0.25">
      <c r="A11" s="290" t="s">
        <v>96</v>
      </c>
      <c r="B11" s="297"/>
      <c r="C11" s="431">
        <v>0.7</v>
      </c>
      <c r="D11" s="431"/>
      <c r="E11" s="289"/>
      <c r="K11" s="294"/>
      <c r="AM11" s="293"/>
      <c r="AN11" s="293"/>
      <c r="AO11" s="293"/>
      <c r="AP11" s="293"/>
      <c r="AQ11" s="293"/>
    </row>
    <row r="12" spans="1:43" ht="17" thickBot="1" x14ac:dyDescent="0.25">
      <c r="D12" s="12"/>
      <c r="K12" s="32"/>
      <c r="L12" s="32"/>
      <c r="M12" s="298"/>
    </row>
    <row r="13" spans="1:43" ht="16" customHeight="1" x14ac:dyDescent="0.2">
      <c r="A13" s="36" t="s">
        <v>78</v>
      </c>
      <c r="B13" s="420" t="s">
        <v>16</v>
      </c>
      <c r="C13" s="422"/>
      <c r="D13" s="193" t="s">
        <v>65</v>
      </c>
      <c r="E13" s="194" t="s">
        <v>65</v>
      </c>
      <c r="F13" s="190" t="s">
        <v>65</v>
      </c>
      <c r="G13" s="191" t="s">
        <v>65</v>
      </c>
      <c r="H13" s="191" t="s">
        <v>64</v>
      </c>
      <c r="I13" s="191" t="s">
        <v>64</v>
      </c>
      <c r="J13" s="192" t="s">
        <v>64</v>
      </c>
      <c r="K13" s="193" t="s">
        <v>64</v>
      </c>
      <c r="L13" s="191" t="s">
        <v>47</v>
      </c>
      <c r="M13" s="191" t="s">
        <v>11</v>
      </c>
      <c r="N13" s="191" t="s">
        <v>11</v>
      </c>
      <c r="O13" s="191" t="s">
        <v>88</v>
      </c>
      <c r="P13" s="191" t="s">
        <v>11</v>
      </c>
      <c r="Q13" s="191" t="s">
        <v>77</v>
      </c>
      <c r="R13" s="299" t="s">
        <v>46</v>
      </c>
      <c r="S13" s="223" t="s">
        <v>39</v>
      </c>
      <c r="T13" s="191" t="s">
        <v>50</v>
      </c>
      <c r="U13" s="191" t="s">
        <v>39</v>
      </c>
      <c r="V13" s="191" t="s">
        <v>50</v>
      </c>
      <c r="W13" s="192" t="s">
        <v>39</v>
      </c>
      <c r="X13" s="193" t="s">
        <v>39</v>
      </c>
      <c r="Y13" s="194" t="s">
        <v>23</v>
      </c>
      <c r="Z13" s="190" t="s">
        <v>23</v>
      </c>
      <c r="AA13" s="191" t="s">
        <v>69</v>
      </c>
      <c r="AB13" s="191" t="s">
        <v>69</v>
      </c>
      <c r="AC13" s="191" t="s">
        <v>24</v>
      </c>
      <c r="AD13" s="191" t="s">
        <v>24</v>
      </c>
      <c r="AE13" s="192" t="s">
        <v>24</v>
      </c>
      <c r="AF13" s="300" t="s">
        <v>24</v>
      </c>
      <c r="AG13" s="427" t="s">
        <v>86</v>
      </c>
      <c r="AH13" s="429" t="s">
        <v>85</v>
      </c>
    </row>
    <row r="14" spans="1:43" ht="17" thickBot="1" x14ac:dyDescent="0.25">
      <c r="B14" s="417"/>
      <c r="C14" s="419"/>
      <c r="D14" s="199" t="s">
        <v>2</v>
      </c>
      <c r="E14" s="200" t="s">
        <v>3</v>
      </c>
      <c r="F14" s="196" t="s">
        <v>4</v>
      </c>
      <c r="G14" s="197" t="s">
        <v>5</v>
      </c>
      <c r="H14" s="197" t="s">
        <v>2</v>
      </c>
      <c r="I14" s="197" t="s">
        <v>3</v>
      </c>
      <c r="J14" s="198" t="s">
        <v>4</v>
      </c>
      <c r="K14" s="199" t="s">
        <v>5</v>
      </c>
      <c r="L14" s="197"/>
      <c r="M14" s="197" t="s">
        <v>2</v>
      </c>
      <c r="N14" s="197" t="s">
        <v>3</v>
      </c>
      <c r="O14" s="197" t="s">
        <v>4</v>
      </c>
      <c r="P14" s="197" t="s">
        <v>5</v>
      </c>
      <c r="Q14" s="197" t="s">
        <v>51</v>
      </c>
      <c r="R14" s="301"/>
      <c r="S14" s="220" t="s">
        <v>89</v>
      </c>
      <c r="T14" s="197" t="s">
        <v>2</v>
      </c>
      <c r="U14" s="197" t="s">
        <v>3</v>
      </c>
      <c r="V14" s="197" t="s">
        <v>48</v>
      </c>
      <c r="W14" s="198" t="s">
        <v>49</v>
      </c>
      <c r="X14" s="199" t="s">
        <v>40</v>
      </c>
      <c r="Y14" s="200" t="s">
        <v>39</v>
      </c>
      <c r="Z14" s="196" t="s">
        <v>70</v>
      </c>
      <c r="AA14" s="197" t="s">
        <v>38</v>
      </c>
      <c r="AB14" s="197" t="s">
        <v>89</v>
      </c>
      <c r="AC14" s="197" t="s">
        <v>2</v>
      </c>
      <c r="AD14" s="197" t="s">
        <v>3</v>
      </c>
      <c r="AE14" s="198" t="s">
        <v>4</v>
      </c>
      <c r="AF14" s="29" t="s">
        <v>5</v>
      </c>
      <c r="AG14" s="428"/>
      <c r="AH14" s="430"/>
    </row>
    <row r="15" spans="1:43" ht="17" thickBot="1" x14ac:dyDescent="0.25">
      <c r="B15" s="302" t="s">
        <v>17</v>
      </c>
      <c r="C15" s="303" t="s">
        <v>12</v>
      </c>
      <c r="D15" s="304">
        <f>G15/365</f>
        <v>0</v>
      </c>
      <c r="E15" s="305">
        <f>D15*7</f>
        <v>0</v>
      </c>
      <c r="F15" s="306">
        <v>0</v>
      </c>
      <c r="G15" s="307">
        <f>F15*12</f>
        <v>0</v>
      </c>
      <c r="H15" s="307">
        <f>K15/365</f>
        <v>0</v>
      </c>
      <c r="I15" s="307">
        <f>H15*7</f>
        <v>0</v>
      </c>
      <c r="J15" s="308">
        <v>0</v>
      </c>
      <c r="K15" s="304">
        <f>J15*12</f>
        <v>0</v>
      </c>
      <c r="L15" s="307">
        <f>D15*30*0.7</f>
        <v>0</v>
      </c>
      <c r="M15" s="307">
        <v>0</v>
      </c>
      <c r="N15" s="307">
        <f>M15*7</f>
        <v>0</v>
      </c>
      <c r="O15" s="307">
        <f>P15/12</f>
        <v>0</v>
      </c>
      <c r="P15" s="307">
        <f>M15*365</f>
        <v>0</v>
      </c>
      <c r="Q15" s="307">
        <f>N15*28</f>
        <v>0</v>
      </c>
      <c r="R15" s="309">
        <v>48</v>
      </c>
      <c r="S15" s="310">
        <v>48</v>
      </c>
      <c r="T15" s="307">
        <f>X15/365</f>
        <v>148.35616438356163</v>
      </c>
      <c r="U15" s="307">
        <f>T15*7</f>
        <v>1038.4931506849314</v>
      </c>
      <c r="V15" s="307">
        <v>7600</v>
      </c>
      <c r="W15" s="308">
        <v>3800</v>
      </c>
      <c r="X15" s="304">
        <f>Y15/4</f>
        <v>54150</v>
      </c>
      <c r="Y15" s="305">
        <f>V15*9+W15*39</f>
        <v>216600</v>
      </c>
      <c r="Z15" s="306">
        <f>Y15+Q15</f>
        <v>216600</v>
      </c>
      <c r="AA15" s="311">
        <f>4*365</f>
        <v>1460</v>
      </c>
      <c r="AB15" s="312">
        <f>AA15/365*12</f>
        <v>48</v>
      </c>
      <c r="AC15" s="307">
        <f>Z15/AA15</f>
        <v>148.35616438356163</v>
      </c>
      <c r="AD15" s="307">
        <f>AC15*7</f>
        <v>1038.4931506849314</v>
      </c>
      <c r="AE15" s="308">
        <f>AF15/12</f>
        <v>4512.4999999999991</v>
      </c>
      <c r="AF15" s="313">
        <f>AC15*365</f>
        <v>54149.999999999993</v>
      </c>
      <c r="AG15" s="314" t="s">
        <v>25</v>
      </c>
      <c r="AH15" s="315">
        <f>AE15/$D$6</f>
        <v>0.21413657286575233</v>
      </c>
    </row>
    <row r="16" spans="1:43" x14ac:dyDescent="0.2">
      <c r="B16" s="420" t="s">
        <v>18</v>
      </c>
      <c r="C16" s="192" t="s">
        <v>12</v>
      </c>
      <c r="D16" s="316">
        <f t="shared" ref="D16:D23" si="0">G16/365</f>
        <v>453.51780821917811</v>
      </c>
      <c r="E16" s="317">
        <f t="shared" ref="E16:E23" si="1">D16*7</f>
        <v>3174.6246575342466</v>
      </c>
      <c r="F16" s="318">
        <f>D$5*0.5</f>
        <v>13794.5</v>
      </c>
      <c r="G16" s="319">
        <f t="shared" ref="G16:G23" si="2">F16*12</f>
        <v>165534</v>
      </c>
      <c r="H16" s="319">
        <f t="shared" ref="H16:H23" si="3">K16/365</f>
        <v>380.44931506849315</v>
      </c>
      <c r="I16" s="319">
        <f t="shared" ref="I16:I23" si="4">H16*7</f>
        <v>2663.1452054794522</v>
      </c>
      <c r="J16" s="320">
        <v>11572</v>
      </c>
      <c r="K16" s="316">
        <f t="shared" ref="K16:K23" si="5">J16*12</f>
        <v>138864</v>
      </c>
      <c r="L16" s="319">
        <f t="shared" ref="L16:L23" si="6">D16*30*0.7</f>
        <v>9523.8739726027397</v>
      </c>
      <c r="M16" s="319">
        <f>D16*0.7</f>
        <v>317.46246575342468</v>
      </c>
      <c r="N16" s="319">
        <f>M16*7</f>
        <v>2222.2372602739729</v>
      </c>
      <c r="O16" s="319">
        <f>P16/12</f>
        <v>9656.15</v>
      </c>
      <c r="P16" s="319">
        <f>M16*365</f>
        <v>115873.8</v>
      </c>
      <c r="Q16" s="319">
        <f>N16*28</f>
        <v>62222.643287671242</v>
      </c>
      <c r="R16" s="321">
        <f>ROUNDDOWN($D$8/L16,0)</f>
        <v>23</v>
      </c>
      <c r="S16" s="322">
        <v>23</v>
      </c>
      <c r="T16" s="319">
        <f t="shared" ref="T16:T22" si="7">X16/365</f>
        <v>313.11366485269281</v>
      </c>
      <c r="U16" s="319">
        <f t="shared" ref="U16:U22" si="8">T16*7</f>
        <v>2191.7956539688498</v>
      </c>
      <c r="V16" s="432">
        <f>D16*0.7*30</f>
        <v>9523.8739726027397</v>
      </c>
      <c r="W16" s="433"/>
      <c r="X16" s="316">
        <f>V16*12</f>
        <v>114286.48767123287</v>
      </c>
      <c r="Y16" s="317">
        <f>V16*R16</f>
        <v>219049.10136986303</v>
      </c>
      <c r="Z16" s="318">
        <f>Y16+Q16</f>
        <v>281271.74465753429</v>
      </c>
      <c r="AA16" s="323">
        <f>28*7+R16/12*365</f>
        <v>895.58333333333337</v>
      </c>
      <c r="AB16" s="324">
        <f>AA16/365*12</f>
        <v>29.44383561643836</v>
      </c>
      <c r="AC16" s="319">
        <f t="shared" ref="AC16:AC22" si="9">Z16/AA16</f>
        <v>314.06540763844902</v>
      </c>
      <c r="AD16" s="319">
        <f t="shared" ref="AD16:AD22" si="10">AC16*7</f>
        <v>2198.4578534691432</v>
      </c>
      <c r="AE16" s="320">
        <f t="shared" ref="AE16:AE22" si="11">AF16/12</f>
        <v>9552.8228156694913</v>
      </c>
      <c r="AF16" s="325">
        <f t="shared" ref="AF16:AF22" si="12">AC16*365</f>
        <v>114633.87378803389</v>
      </c>
      <c r="AG16" s="326">
        <f>AE16/J16</f>
        <v>0.82551182299252435</v>
      </c>
      <c r="AH16" s="225">
        <f t="shared" ref="AH16:AH22" si="13">AE16/$D$6</f>
        <v>0.4533204961642619</v>
      </c>
    </row>
    <row r="17" spans="1:61" ht="17" thickBot="1" x14ac:dyDescent="0.25">
      <c r="B17" s="421"/>
      <c r="C17" s="226" t="s">
        <v>13</v>
      </c>
      <c r="D17" s="327">
        <f t="shared" si="0"/>
        <v>453.51780821917811</v>
      </c>
      <c r="E17" s="328">
        <f t="shared" si="1"/>
        <v>3174.6246575342466</v>
      </c>
      <c r="F17" s="329">
        <f t="shared" ref="F17" si="14">D$5*0.5</f>
        <v>13794.5</v>
      </c>
      <c r="G17" s="330">
        <f t="shared" si="2"/>
        <v>165534</v>
      </c>
      <c r="H17" s="330">
        <f t="shared" si="3"/>
        <v>380.44931506849315</v>
      </c>
      <c r="I17" s="330">
        <f t="shared" si="4"/>
        <v>2663.1452054794522</v>
      </c>
      <c r="J17" s="331">
        <v>11572</v>
      </c>
      <c r="K17" s="327">
        <f t="shared" si="5"/>
        <v>138864</v>
      </c>
      <c r="L17" s="330">
        <f t="shared" si="6"/>
        <v>9523.8739726027397</v>
      </c>
      <c r="M17" s="330"/>
      <c r="N17" s="330"/>
      <c r="O17" s="330"/>
      <c r="P17" s="330"/>
      <c r="Q17" s="330"/>
      <c r="R17" s="332"/>
      <c r="S17" s="333"/>
      <c r="T17" s="330"/>
      <c r="U17" s="330"/>
      <c r="V17" s="434"/>
      <c r="W17" s="435"/>
      <c r="X17" s="327"/>
      <c r="Y17" s="328"/>
      <c r="Z17" s="329"/>
      <c r="AA17" s="334"/>
      <c r="AB17" s="334"/>
      <c r="AC17" s="330"/>
      <c r="AD17" s="330"/>
      <c r="AE17" s="331"/>
      <c r="AF17" s="335"/>
      <c r="AG17" s="336"/>
      <c r="AH17" s="233"/>
    </row>
    <row r="18" spans="1:61" x14ac:dyDescent="0.2">
      <c r="B18" s="420" t="s">
        <v>19</v>
      </c>
      <c r="C18" s="192" t="s">
        <v>12</v>
      </c>
      <c r="D18" s="316">
        <f t="shared" si="0"/>
        <v>680.27671232876708</v>
      </c>
      <c r="E18" s="317">
        <f t="shared" si="1"/>
        <v>4761.9369863013699</v>
      </c>
      <c r="F18" s="318">
        <f>D$5*0.75</f>
        <v>20691.75</v>
      </c>
      <c r="G18" s="319">
        <f t="shared" si="2"/>
        <v>248301</v>
      </c>
      <c r="H18" s="319">
        <f t="shared" si="3"/>
        <v>536.38356164383561</v>
      </c>
      <c r="I18" s="319">
        <f t="shared" si="4"/>
        <v>3754.6849315068494</v>
      </c>
      <c r="J18" s="320">
        <v>16315</v>
      </c>
      <c r="K18" s="316">
        <f t="shared" si="5"/>
        <v>195780</v>
      </c>
      <c r="L18" s="319">
        <f t="shared" si="6"/>
        <v>14285.810958904109</v>
      </c>
      <c r="M18" s="319">
        <f>D18*0.7</f>
        <v>476.19369863013691</v>
      </c>
      <c r="N18" s="319">
        <f>M18*7</f>
        <v>3333.3558904109582</v>
      </c>
      <c r="O18" s="319">
        <f>P18/12</f>
        <v>14484.224999999999</v>
      </c>
      <c r="P18" s="319">
        <f>M18*365</f>
        <v>173810.69999999998</v>
      </c>
      <c r="Q18" s="319">
        <f>N18*28</f>
        <v>93333.964931506824</v>
      </c>
      <c r="R18" s="321">
        <f t="shared" ref="R18:S22" si="15">ROUNDDOWN($D$8/$D$9,0)</f>
        <v>19</v>
      </c>
      <c r="S18" s="322">
        <f t="shared" si="15"/>
        <v>19</v>
      </c>
      <c r="T18" s="319">
        <f t="shared" si="7"/>
        <v>378.08219178082192</v>
      </c>
      <c r="U18" s="319">
        <f t="shared" si="8"/>
        <v>2646.5753424657532</v>
      </c>
      <c r="V18" s="432">
        <f>IF($D$8/R18&gt;11500,11500,$D$8/R18)</f>
        <v>11500</v>
      </c>
      <c r="W18" s="433"/>
      <c r="X18" s="316">
        <f>V18*12</f>
        <v>138000</v>
      </c>
      <c r="Y18" s="317">
        <f>V18*R18</f>
        <v>218500</v>
      </c>
      <c r="Z18" s="318">
        <f>Y18+Q18</f>
        <v>311833.96493150684</v>
      </c>
      <c r="AA18" s="323">
        <f t="shared" ref="AA18" si="16">28*7+R18/12*365</f>
        <v>773.91666666666663</v>
      </c>
      <c r="AB18" s="324">
        <f>AA18/365*12</f>
        <v>25.443835616438353</v>
      </c>
      <c r="AC18" s="319">
        <f t="shared" si="9"/>
        <v>402.92964134576096</v>
      </c>
      <c r="AD18" s="319">
        <f t="shared" si="10"/>
        <v>2820.5074894203267</v>
      </c>
      <c r="AE18" s="320">
        <f t="shared" si="11"/>
        <v>12255.776590933563</v>
      </c>
      <c r="AF18" s="325">
        <f t="shared" si="12"/>
        <v>147069.31909120275</v>
      </c>
      <c r="AG18" s="326">
        <f>AE18/J18</f>
        <v>0.75119684896926531</v>
      </c>
      <c r="AH18" s="225">
        <f t="shared" si="13"/>
        <v>0.58158670293425541</v>
      </c>
    </row>
    <row r="19" spans="1:61" ht="17" thickBot="1" x14ac:dyDescent="0.25">
      <c r="B19" s="421"/>
      <c r="C19" s="226" t="s">
        <v>13</v>
      </c>
      <c r="D19" s="327">
        <f t="shared" si="0"/>
        <v>1133.7945205479452</v>
      </c>
      <c r="E19" s="328">
        <f t="shared" si="1"/>
        <v>7936.5616438356165</v>
      </c>
      <c r="F19" s="329">
        <f>D$5*1.25</f>
        <v>34486.25</v>
      </c>
      <c r="G19" s="330">
        <f t="shared" si="2"/>
        <v>413835</v>
      </c>
      <c r="H19" s="330">
        <f t="shared" si="3"/>
        <v>848.77808219178087</v>
      </c>
      <c r="I19" s="330">
        <f t="shared" si="4"/>
        <v>5941.4465753424665</v>
      </c>
      <c r="J19" s="331">
        <v>25817</v>
      </c>
      <c r="K19" s="327">
        <f t="shared" si="5"/>
        <v>309804</v>
      </c>
      <c r="L19" s="330">
        <f t="shared" si="6"/>
        <v>23809.68493150685</v>
      </c>
      <c r="M19" s="330"/>
      <c r="N19" s="330"/>
      <c r="O19" s="330"/>
      <c r="P19" s="330"/>
      <c r="Q19" s="330"/>
      <c r="R19" s="332"/>
      <c r="S19" s="333"/>
      <c r="T19" s="330"/>
      <c r="U19" s="330"/>
      <c r="V19" s="434"/>
      <c r="W19" s="435"/>
      <c r="X19" s="327"/>
      <c r="Y19" s="328"/>
      <c r="Z19" s="329"/>
      <c r="AA19" s="334"/>
      <c r="AB19" s="334"/>
      <c r="AC19" s="330"/>
      <c r="AD19" s="330"/>
      <c r="AE19" s="331"/>
      <c r="AF19" s="335"/>
      <c r="AG19" s="336"/>
      <c r="AH19" s="233"/>
    </row>
    <row r="20" spans="1:61" x14ac:dyDescent="0.2">
      <c r="B20" s="416" t="s">
        <v>20</v>
      </c>
      <c r="C20" s="212" t="s">
        <v>12</v>
      </c>
      <c r="D20" s="367">
        <f t="shared" si="0"/>
        <v>907.03561643835621</v>
      </c>
      <c r="E20" s="368">
        <f t="shared" si="1"/>
        <v>6349.2493150684932</v>
      </c>
      <c r="F20" s="369">
        <f t="shared" ref="F20:F21" si="17">D$5</f>
        <v>27589</v>
      </c>
      <c r="G20" s="370">
        <f t="shared" si="2"/>
        <v>331068</v>
      </c>
      <c r="H20" s="370">
        <f t="shared" si="3"/>
        <v>692.81095890410961</v>
      </c>
      <c r="I20" s="370">
        <f t="shared" si="4"/>
        <v>4849.6767123287673</v>
      </c>
      <c r="J20" s="371">
        <v>21073</v>
      </c>
      <c r="K20" s="367">
        <f t="shared" si="5"/>
        <v>252876</v>
      </c>
      <c r="L20" s="340">
        <f t="shared" si="6"/>
        <v>19047.747945205479</v>
      </c>
      <c r="M20" s="340">
        <f>0.7*(901+0.6*(D20-901))</f>
        <v>633.23495890410959</v>
      </c>
      <c r="N20" s="340">
        <f>M20*7</f>
        <v>4432.6447123287671</v>
      </c>
      <c r="O20" s="340">
        <f>P20/12</f>
        <v>19260.896666666667</v>
      </c>
      <c r="P20" s="340">
        <f>M20*365</f>
        <v>231130.76</v>
      </c>
      <c r="Q20" s="340">
        <f>N20*28</f>
        <v>124114.05194520549</v>
      </c>
      <c r="R20" s="342">
        <f t="shared" si="15"/>
        <v>19</v>
      </c>
      <c r="S20" s="343">
        <f t="shared" si="15"/>
        <v>19</v>
      </c>
      <c r="T20" s="340">
        <f t="shared" si="7"/>
        <v>378.08219178082192</v>
      </c>
      <c r="U20" s="340">
        <f t="shared" si="8"/>
        <v>2646.5753424657532</v>
      </c>
      <c r="V20" s="436">
        <f>IF($D$8/R20&gt;11500,11500,$D$8/R20)</f>
        <v>11500</v>
      </c>
      <c r="W20" s="437"/>
      <c r="X20" s="337">
        <f t="shared" ref="X20:X22" si="18">V20*12</f>
        <v>138000</v>
      </c>
      <c r="Y20" s="338">
        <f>V20*R20</f>
        <v>218500</v>
      </c>
      <c r="Z20" s="339">
        <f>Y20+Q20</f>
        <v>342614.05194520549</v>
      </c>
      <c r="AA20" s="344">
        <f t="shared" ref="AA20" si="19">28*7+R20/12*365</f>
        <v>773.91666666666663</v>
      </c>
      <c r="AB20" s="324">
        <f>AA20/365*12</f>
        <v>25.443835616438353</v>
      </c>
      <c r="AC20" s="340">
        <f t="shared" si="9"/>
        <v>442.70147769381566</v>
      </c>
      <c r="AD20" s="340">
        <f t="shared" si="10"/>
        <v>3098.9103438567095</v>
      </c>
      <c r="AE20" s="341">
        <f t="shared" si="11"/>
        <v>13465.503279853559</v>
      </c>
      <c r="AF20" s="345">
        <f t="shared" si="12"/>
        <v>161586.03935824271</v>
      </c>
      <c r="AG20" s="346">
        <f>AE20/J20</f>
        <v>0.63899317989149906</v>
      </c>
      <c r="AH20" s="219">
        <f t="shared" si="13"/>
        <v>0.63899317989149906</v>
      </c>
    </row>
    <row r="21" spans="1:61" ht="17" thickBot="1" x14ac:dyDescent="0.25">
      <c r="B21" s="421"/>
      <c r="C21" s="226" t="s">
        <v>13</v>
      </c>
      <c r="D21" s="372">
        <f t="shared" si="0"/>
        <v>907.03561643835621</v>
      </c>
      <c r="E21" s="373">
        <f t="shared" si="1"/>
        <v>6349.2493150684932</v>
      </c>
      <c r="F21" s="374">
        <f t="shared" si="17"/>
        <v>27589</v>
      </c>
      <c r="G21" s="375">
        <f t="shared" si="2"/>
        <v>331068</v>
      </c>
      <c r="H21" s="375">
        <f t="shared" si="3"/>
        <v>692.81095890410961</v>
      </c>
      <c r="I21" s="375">
        <f t="shared" si="4"/>
        <v>4849.6767123287673</v>
      </c>
      <c r="J21" s="376">
        <v>21073</v>
      </c>
      <c r="K21" s="372">
        <f t="shared" si="5"/>
        <v>252876</v>
      </c>
      <c r="L21" s="330">
        <f t="shared" si="6"/>
        <v>19047.747945205479</v>
      </c>
      <c r="M21" s="330"/>
      <c r="N21" s="330"/>
      <c r="O21" s="330"/>
      <c r="P21" s="330"/>
      <c r="Q21" s="330"/>
      <c r="R21" s="332"/>
      <c r="S21" s="333"/>
      <c r="T21" s="330"/>
      <c r="U21" s="330"/>
      <c r="V21" s="434"/>
      <c r="W21" s="435"/>
      <c r="X21" s="327"/>
      <c r="Y21" s="328"/>
      <c r="Z21" s="329"/>
      <c r="AA21" s="334"/>
      <c r="AB21" s="334"/>
      <c r="AC21" s="330"/>
      <c r="AD21" s="330"/>
      <c r="AE21" s="331"/>
      <c r="AF21" s="335"/>
      <c r="AG21" s="336"/>
      <c r="AH21" s="233"/>
    </row>
    <row r="22" spans="1:61" x14ac:dyDescent="0.2">
      <c r="B22" s="416" t="s">
        <v>21</v>
      </c>
      <c r="C22" s="212" t="s">
        <v>12</v>
      </c>
      <c r="D22" s="337">
        <f t="shared" si="0"/>
        <v>1814.0712328767124</v>
      </c>
      <c r="E22" s="338">
        <f t="shared" si="1"/>
        <v>12698.498630136986</v>
      </c>
      <c r="F22" s="339">
        <f>D$5*2</f>
        <v>55178</v>
      </c>
      <c r="G22" s="340">
        <f t="shared" si="2"/>
        <v>662136</v>
      </c>
      <c r="H22" s="340">
        <f t="shared" si="3"/>
        <v>1317.6</v>
      </c>
      <c r="I22" s="340">
        <f t="shared" si="4"/>
        <v>9223.1999999999989</v>
      </c>
      <c r="J22" s="341">
        <v>40077</v>
      </c>
      <c r="K22" s="337">
        <f t="shared" si="5"/>
        <v>480924</v>
      </c>
      <c r="L22" s="340">
        <f t="shared" si="6"/>
        <v>38095.495890410959</v>
      </c>
      <c r="M22" s="340">
        <f>0.7*(901+(1351-901)*0.6+(D22-1351)*0.3)</f>
        <v>916.94495890410951</v>
      </c>
      <c r="N22" s="340">
        <f>M22*7</f>
        <v>6418.6147123287665</v>
      </c>
      <c r="O22" s="340">
        <f>P22/12</f>
        <v>27890.409166666665</v>
      </c>
      <c r="P22" s="340">
        <f>M22*365</f>
        <v>334684.90999999997</v>
      </c>
      <c r="Q22" s="340">
        <f>N22*28</f>
        <v>179721.21194520546</v>
      </c>
      <c r="R22" s="342">
        <f t="shared" si="15"/>
        <v>19</v>
      </c>
      <c r="S22" s="343">
        <f t="shared" si="15"/>
        <v>19</v>
      </c>
      <c r="T22" s="340">
        <f t="shared" si="7"/>
        <v>378.08219178082192</v>
      </c>
      <c r="U22" s="340">
        <f t="shared" si="8"/>
        <v>2646.5753424657532</v>
      </c>
      <c r="V22" s="436">
        <f>IF($D$8/R22&gt;11500,11500,$D$8/R22)</f>
        <v>11500</v>
      </c>
      <c r="W22" s="437"/>
      <c r="X22" s="337">
        <f t="shared" si="18"/>
        <v>138000</v>
      </c>
      <c r="Y22" s="338">
        <f>V22*R22</f>
        <v>218500</v>
      </c>
      <c r="Z22" s="339">
        <f>Y22+Q22</f>
        <v>398221.21194520546</v>
      </c>
      <c r="AA22" s="344">
        <f t="shared" ref="AA22" si="20">28*7+R22/12*365</f>
        <v>773.91666666666663</v>
      </c>
      <c r="AB22" s="324">
        <f>AA22/365*12</f>
        <v>25.443835616438353</v>
      </c>
      <c r="AC22" s="340">
        <f t="shared" si="9"/>
        <v>514.55308962447134</v>
      </c>
      <c r="AD22" s="340">
        <f t="shared" si="10"/>
        <v>3601.8716273712994</v>
      </c>
      <c r="AE22" s="341">
        <f t="shared" si="11"/>
        <v>15650.989809411003</v>
      </c>
      <c r="AF22" s="345">
        <f t="shared" si="12"/>
        <v>187811.87771293204</v>
      </c>
      <c r="AG22" s="346">
        <f>AE22/J22</f>
        <v>0.39052298848244638</v>
      </c>
      <c r="AH22" s="219">
        <f t="shared" si="13"/>
        <v>0.74270345035880048</v>
      </c>
    </row>
    <row r="23" spans="1:61" ht="17" thickBot="1" x14ac:dyDescent="0.25">
      <c r="B23" s="421"/>
      <c r="C23" s="226" t="s">
        <v>13</v>
      </c>
      <c r="D23" s="327">
        <f t="shared" si="0"/>
        <v>3628.1424657534249</v>
      </c>
      <c r="E23" s="328">
        <f t="shared" si="1"/>
        <v>25396.997260273973</v>
      </c>
      <c r="F23" s="329">
        <f>D$5*4</f>
        <v>110356</v>
      </c>
      <c r="G23" s="330">
        <f t="shared" si="2"/>
        <v>1324272</v>
      </c>
      <c r="H23" s="330">
        <f t="shared" si="3"/>
        <v>2562.3123287671233</v>
      </c>
      <c r="I23" s="330">
        <f t="shared" si="4"/>
        <v>17936.186301369864</v>
      </c>
      <c r="J23" s="331">
        <v>77937</v>
      </c>
      <c r="K23" s="327">
        <f t="shared" si="5"/>
        <v>935244</v>
      </c>
      <c r="L23" s="330">
        <f t="shared" si="6"/>
        <v>76190.991780821918</v>
      </c>
      <c r="M23" s="330"/>
      <c r="N23" s="330"/>
      <c r="O23" s="330"/>
      <c r="P23" s="330"/>
      <c r="Q23" s="330"/>
      <c r="R23" s="332"/>
      <c r="S23" s="333"/>
      <c r="T23" s="330"/>
      <c r="U23" s="330"/>
      <c r="V23" s="434"/>
      <c r="W23" s="435"/>
      <c r="X23" s="327"/>
      <c r="Y23" s="328"/>
      <c r="Z23" s="329"/>
      <c r="AA23" s="334"/>
      <c r="AB23" s="334"/>
      <c r="AC23" s="330"/>
      <c r="AD23" s="330"/>
      <c r="AE23" s="331"/>
      <c r="AF23" s="335"/>
      <c r="AG23" s="336"/>
      <c r="AH23" s="233"/>
    </row>
    <row r="24" spans="1:61" ht="17" thickBot="1" x14ac:dyDescent="0.25">
      <c r="D24" s="262"/>
      <c r="E24" s="262"/>
      <c r="F24" s="347"/>
      <c r="G24" s="347"/>
      <c r="H24" s="262"/>
      <c r="I24" s="262"/>
      <c r="J24" s="262"/>
      <c r="K24" s="32"/>
      <c r="L24" s="262"/>
      <c r="M24" s="298"/>
      <c r="N24" s="262"/>
      <c r="O24" s="262"/>
      <c r="P24" s="262"/>
      <c r="Q24" s="262"/>
      <c r="R24" s="276"/>
      <c r="S24" s="276"/>
      <c r="T24" s="39"/>
      <c r="U24" s="39"/>
      <c r="V24" s="39"/>
      <c r="W24" s="39"/>
    </row>
    <row r="25" spans="1:61" ht="16" customHeight="1" x14ac:dyDescent="0.2">
      <c r="A25" s="36" t="s">
        <v>41</v>
      </c>
      <c r="B25" s="420" t="s">
        <v>16</v>
      </c>
      <c r="C25" s="422"/>
      <c r="D25" s="193" t="s">
        <v>65</v>
      </c>
      <c r="E25" s="194" t="s">
        <v>65</v>
      </c>
      <c r="F25" s="190" t="s">
        <v>65</v>
      </c>
      <c r="G25" s="191" t="s">
        <v>65</v>
      </c>
      <c r="H25" s="191" t="s">
        <v>64</v>
      </c>
      <c r="I25" s="191" t="s">
        <v>64</v>
      </c>
      <c r="J25" s="192" t="s">
        <v>64</v>
      </c>
      <c r="K25" s="193" t="s">
        <v>64</v>
      </c>
      <c r="L25" s="191" t="s">
        <v>47</v>
      </c>
      <c r="M25" s="191" t="s">
        <v>11</v>
      </c>
      <c r="N25" s="191" t="s">
        <v>11</v>
      </c>
      <c r="O25" s="191" t="s">
        <v>88</v>
      </c>
      <c r="P25" s="191" t="s">
        <v>11</v>
      </c>
      <c r="Q25" s="191" t="s">
        <v>77</v>
      </c>
      <c r="R25" s="299" t="s">
        <v>46</v>
      </c>
      <c r="S25" s="223" t="s">
        <v>39</v>
      </c>
      <c r="T25" s="191" t="s">
        <v>50</v>
      </c>
      <c r="U25" s="191" t="s">
        <v>39</v>
      </c>
      <c r="V25" s="191" t="s">
        <v>50</v>
      </c>
      <c r="W25" s="192" t="s">
        <v>39</v>
      </c>
      <c r="X25" s="193" t="s">
        <v>39</v>
      </c>
      <c r="Y25" s="194" t="s">
        <v>23</v>
      </c>
      <c r="Z25" s="190" t="s">
        <v>23</v>
      </c>
      <c r="AA25" s="191" t="s">
        <v>69</v>
      </c>
      <c r="AB25" s="191" t="s">
        <v>69</v>
      </c>
      <c r="AC25" s="191" t="s">
        <v>24</v>
      </c>
      <c r="AD25" s="191" t="s">
        <v>24</v>
      </c>
      <c r="AE25" s="192" t="s">
        <v>24</v>
      </c>
      <c r="AF25" s="300" t="s">
        <v>24</v>
      </c>
      <c r="AG25" s="427" t="s">
        <v>86</v>
      </c>
      <c r="AH25" s="429" t="s">
        <v>85</v>
      </c>
    </row>
    <row r="26" spans="1:61" ht="17" thickBot="1" x14ac:dyDescent="0.25">
      <c r="B26" s="417"/>
      <c r="C26" s="419"/>
      <c r="D26" s="199" t="s">
        <v>2</v>
      </c>
      <c r="E26" s="200" t="s">
        <v>3</v>
      </c>
      <c r="F26" s="196" t="s">
        <v>4</v>
      </c>
      <c r="G26" s="197" t="s">
        <v>5</v>
      </c>
      <c r="H26" s="197" t="s">
        <v>2</v>
      </c>
      <c r="I26" s="197" t="s">
        <v>3</v>
      </c>
      <c r="J26" s="198" t="s">
        <v>4</v>
      </c>
      <c r="K26" s="199" t="s">
        <v>5</v>
      </c>
      <c r="L26" s="197"/>
      <c r="M26" s="197" t="s">
        <v>2</v>
      </c>
      <c r="N26" s="197" t="s">
        <v>3</v>
      </c>
      <c r="O26" s="197" t="s">
        <v>4</v>
      </c>
      <c r="P26" s="197" t="s">
        <v>5</v>
      </c>
      <c r="Q26" s="197" t="s">
        <v>51</v>
      </c>
      <c r="R26" s="301"/>
      <c r="S26" s="220" t="s">
        <v>89</v>
      </c>
      <c r="T26" s="197" t="s">
        <v>2</v>
      </c>
      <c r="U26" s="197" t="s">
        <v>3</v>
      </c>
      <c r="V26" s="197" t="s">
        <v>48</v>
      </c>
      <c r="W26" s="198" t="s">
        <v>49</v>
      </c>
      <c r="X26" s="199" t="s">
        <v>40</v>
      </c>
      <c r="Y26" s="200" t="s">
        <v>39</v>
      </c>
      <c r="Z26" s="196" t="s">
        <v>70</v>
      </c>
      <c r="AA26" s="197" t="s">
        <v>38</v>
      </c>
      <c r="AB26" s="197" t="s">
        <v>89</v>
      </c>
      <c r="AC26" s="197" t="s">
        <v>2</v>
      </c>
      <c r="AD26" s="197" t="s">
        <v>3</v>
      </c>
      <c r="AE26" s="198" t="s">
        <v>4</v>
      </c>
      <c r="AF26" s="29" t="s">
        <v>5</v>
      </c>
      <c r="AG26" s="428"/>
      <c r="AH26" s="430"/>
    </row>
    <row r="27" spans="1:61" ht="17" thickBot="1" x14ac:dyDescent="0.25">
      <c r="B27" s="302" t="s">
        <v>17</v>
      </c>
      <c r="C27" s="303" t="s">
        <v>12</v>
      </c>
      <c r="D27" s="304">
        <f>G27/365</f>
        <v>0</v>
      </c>
      <c r="E27" s="305">
        <f>D27*7</f>
        <v>0</v>
      </c>
      <c r="F27" s="306">
        <v>0</v>
      </c>
      <c r="G27" s="307">
        <f>F27*12</f>
        <v>0</v>
      </c>
      <c r="H27" s="307">
        <f>K27/365</f>
        <v>0</v>
      </c>
      <c r="I27" s="307">
        <f>H27*7</f>
        <v>0</v>
      </c>
      <c r="J27" s="308">
        <v>0</v>
      </c>
      <c r="K27" s="304">
        <f>J27*12</f>
        <v>0</v>
      </c>
      <c r="L27" s="307">
        <f>D27*30*0.7</f>
        <v>0</v>
      </c>
      <c r="M27" s="307">
        <v>0</v>
      </c>
      <c r="N27" s="307">
        <f>M27*7</f>
        <v>0</v>
      </c>
      <c r="O27" s="307">
        <f>P27/12</f>
        <v>0</v>
      </c>
      <c r="P27" s="307">
        <f>M27*365</f>
        <v>0</v>
      </c>
      <c r="Q27" s="307">
        <f>N27*28</f>
        <v>0</v>
      </c>
      <c r="R27" s="309">
        <v>48</v>
      </c>
      <c r="S27" s="310">
        <v>48</v>
      </c>
      <c r="T27" s="307">
        <f>X27/365</f>
        <v>148.35616438356163</v>
      </c>
      <c r="U27" s="307">
        <f>T27*7</f>
        <v>1038.4931506849314</v>
      </c>
      <c r="V27" s="307">
        <v>7600</v>
      </c>
      <c r="W27" s="308">
        <v>3800</v>
      </c>
      <c r="X27" s="304">
        <f>Y27/4</f>
        <v>54150</v>
      </c>
      <c r="Y27" s="305">
        <f>V27*9+W27*39</f>
        <v>216600</v>
      </c>
      <c r="Z27" s="306">
        <f>Y27+Q27</f>
        <v>216600</v>
      </c>
      <c r="AA27" s="311">
        <f>4*365</f>
        <v>1460</v>
      </c>
      <c r="AB27" s="312">
        <f t="shared" ref="AB27:AB35" si="21">AA27/365*12</f>
        <v>48</v>
      </c>
      <c r="AC27" s="307">
        <f>Z27/AA27</f>
        <v>148.35616438356163</v>
      </c>
      <c r="AD27" s="307">
        <f>AC27*7</f>
        <v>1038.4931506849314</v>
      </c>
      <c r="AE27" s="308">
        <f>AF27/12</f>
        <v>4512.4999999999991</v>
      </c>
      <c r="AF27" s="313">
        <f>AC27*365</f>
        <v>54149.999999999993</v>
      </c>
      <c r="AG27" s="314" t="s">
        <v>25</v>
      </c>
      <c r="AH27" s="315">
        <f>AE27/$D$6</f>
        <v>0.21413657286575233</v>
      </c>
      <c r="AI27" s="92"/>
      <c r="AJ27" s="92"/>
      <c r="AU27" s="92"/>
      <c r="BF27" s="92"/>
      <c r="BG27" s="92"/>
      <c r="BH27" s="92"/>
      <c r="BI27" s="92"/>
    </row>
    <row r="28" spans="1:61" x14ac:dyDescent="0.2">
      <c r="B28" s="420" t="s">
        <v>18</v>
      </c>
      <c r="C28" s="192" t="s">
        <v>12</v>
      </c>
      <c r="D28" s="316">
        <f t="shared" ref="D28:D35" si="22">G28/365</f>
        <v>453.51780821917811</v>
      </c>
      <c r="E28" s="317">
        <f t="shared" ref="E28:E35" si="23">D28*7</f>
        <v>3174.6246575342466</v>
      </c>
      <c r="F28" s="318">
        <f>D$5*0.5</f>
        <v>13794.5</v>
      </c>
      <c r="G28" s="319">
        <f t="shared" ref="G28:G35" si="24">F28*12</f>
        <v>165534</v>
      </c>
      <c r="H28" s="319">
        <f t="shared" ref="H28:H35" si="25">K28/365</f>
        <v>380.44931506849315</v>
      </c>
      <c r="I28" s="319">
        <f t="shared" ref="I28:I35" si="26">H28*7</f>
        <v>2663.1452054794522</v>
      </c>
      <c r="J28" s="320">
        <v>11572</v>
      </c>
      <c r="K28" s="316">
        <f t="shared" ref="K28:K35" si="27">J28*12</f>
        <v>138864</v>
      </c>
      <c r="L28" s="319">
        <f>D28*30*0.7</f>
        <v>9523.8739726027397</v>
      </c>
      <c r="M28" s="319">
        <f>D28*0.7</f>
        <v>317.46246575342468</v>
      </c>
      <c r="N28" s="319">
        <f>M28*7</f>
        <v>2222.2372602739729</v>
      </c>
      <c r="O28" s="319">
        <f>P28/12</f>
        <v>9656.15</v>
      </c>
      <c r="P28" s="319">
        <f>M28*365</f>
        <v>115873.8</v>
      </c>
      <c r="Q28" s="319">
        <f>N28*28</f>
        <v>62222.643287671242</v>
      </c>
      <c r="R28" s="321">
        <f>ROUNDDOWN($D$8/L28,0)</f>
        <v>23</v>
      </c>
      <c r="S28" s="322">
        <v>12</v>
      </c>
      <c r="T28" s="319">
        <f>X28/365</f>
        <v>313.11366485269281</v>
      </c>
      <c r="U28" s="319">
        <f t="shared" ref="U28:U35" si="28">T28*7</f>
        <v>2191.7956539688498</v>
      </c>
      <c r="V28" s="432">
        <f>D28*30*0.7</f>
        <v>9523.8739726027397</v>
      </c>
      <c r="W28" s="433"/>
      <c r="X28" s="316">
        <f>V28*12</f>
        <v>114286.48767123287</v>
      </c>
      <c r="Y28" s="317">
        <f t="shared" ref="Y28:Y35" si="29">V28*S28</f>
        <v>114286.48767123287</v>
      </c>
      <c r="Z28" s="318">
        <f t="shared" ref="Z28:Z35" si="30">Y28+Q28</f>
        <v>176509.1309589041</v>
      </c>
      <c r="AA28" s="352">
        <f>28*7+S28/12*365</f>
        <v>561</v>
      </c>
      <c r="AB28" s="324">
        <f t="shared" si="21"/>
        <v>18.443835616438356</v>
      </c>
      <c r="AC28" s="319">
        <f>Z28/AA28</f>
        <v>314.63303201230678</v>
      </c>
      <c r="AD28" s="319">
        <f t="shared" ref="AD28:AD35" si="31">AC28*7</f>
        <v>2202.4312240861473</v>
      </c>
      <c r="AE28" s="320">
        <f t="shared" ref="AE28:AE35" si="32">AF28/12</f>
        <v>9570.088057040999</v>
      </c>
      <c r="AF28" s="325">
        <f t="shared" ref="AF28:AF35" si="33">AC28*365</f>
        <v>114841.05668449198</v>
      </c>
      <c r="AG28" s="326">
        <f t="shared" ref="AG28:AG35" si="34">AE28/J28</f>
        <v>0.82700380721059441</v>
      </c>
      <c r="AH28" s="225">
        <f t="shared" ref="AH28:AH35" si="35">AE28/$D$6</f>
        <v>0.4541398024505765</v>
      </c>
      <c r="AI28" s="39"/>
    </row>
    <row r="29" spans="1:61" ht="17" thickBot="1" x14ac:dyDescent="0.25">
      <c r="B29" s="421"/>
      <c r="C29" s="226" t="s">
        <v>13</v>
      </c>
      <c r="D29" s="327">
        <f t="shared" si="22"/>
        <v>453.51780821917811</v>
      </c>
      <c r="E29" s="328">
        <f t="shared" si="23"/>
        <v>3174.6246575342466</v>
      </c>
      <c r="F29" s="329">
        <f t="shared" ref="F29" si="36">D$5*0.5</f>
        <v>13794.5</v>
      </c>
      <c r="G29" s="330">
        <f t="shared" si="24"/>
        <v>165534</v>
      </c>
      <c r="H29" s="330">
        <f t="shared" si="25"/>
        <v>380.44931506849315</v>
      </c>
      <c r="I29" s="330">
        <f t="shared" si="26"/>
        <v>2663.1452054794522</v>
      </c>
      <c r="J29" s="331">
        <v>11572</v>
      </c>
      <c r="K29" s="327">
        <f t="shared" si="27"/>
        <v>138864</v>
      </c>
      <c r="L29" s="330">
        <f t="shared" ref="L29:L35" si="37">D29*30*0.7</f>
        <v>9523.8739726027397</v>
      </c>
      <c r="M29" s="330"/>
      <c r="N29" s="330"/>
      <c r="O29" s="330"/>
      <c r="P29" s="330"/>
      <c r="Q29" s="330"/>
      <c r="R29" s="332">
        <f>ROUNDDOWN($D$8/L29,0)</f>
        <v>23</v>
      </c>
      <c r="S29" s="333">
        <v>11</v>
      </c>
      <c r="T29" s="330">
        <f t="shared" ref="T29:T35" si="38">X29/365</f>
        <v>313.11366485269281</v>
      </c>
      <c r="U29" s="330">
        <f t="shared" si="28"/>
        <v>2191.7956539688498</v>
      </c>
      <c r="V29" s="434">
        <f>D29*0.7*30</f>
        <v>9523.8739726027397</v>
      </c>
      <c r="W29" s="435"/>
      <c r="X29" s="327">
        <f t="shared" ref="X29:X35" si="39">V29*12</f>
        <v>114286.48767123287</v>
      </c>
      <c r="Y29" s="328">
        <f t="shared" si="29"/>
        <v>104762.61369863014</v>
      </c>
      <c r="Z29" s="329">
        <f t="shared" si="30"/>
        <v>104762.61369863014</v>
      </c>
      <c r="AA29" s="334">
        <f>S29/12*365</f>
        <v>334.58333333333331</v>
      </c>
      <c r="AB29" s="334">
        <f t="shared" si="21"/>
        <v>11</v>
      </c>
      <c r="AC29" s="330">
        <f t="shared" ref="AC29:AC35" si="40">Z29/AA29</f>
        <v>313.11366485269286</v>
      </c>
      <c r="AD29" s="330">
        <f t="shared" si="31"/>
        <v>2191.7956539688503</v>
      </c>
      <c r="AE29" s="331">
        <f t="shared" si="32"/>
        <v>9523.8739726027416</v>
      </c>
      <c r="AF29" s="335">
        <f t="shared" si="33"/>
        <v>114286.4876712329</v>
      </c>
      <c r="AG29" s="336">
        <f t="shared" si="34"/>
        <v>0.82301019465975989</v>
      </c>
      <c r="AH29" s="233">
        <f t="shared" si="35"/>
        <v>0.45194675521296168</v>
      </c>
      <c r="AI29" s="39"/>
    </row>
    <row r="30" spans="1:61" x14ac:dyDescent="0.2">
      <c r="B30" s="420" t="s">
        <v>19</v>
      </c>
      <c r="C30" s="192" t="s">
        <v>12</v>
      </c>
      <c r="D30" s="316">
        <f t="shared" si="22"/>
        <v>680.27671232876708</v>
      </c>
      <c r="E30" s="317">
        <f t="shared" si="23"/>
        <v>4761.9369863013699</v>
      </c>
      <c r="F30" s="318">
        <f>D$5*0.75</f>
        <v>20691.75</v>
      </c>
      <c r="G30" s="319">
        <f t="shared" si="24"/>
        <v>248301</v>
      </c>
      <c r="H30" s="319">
        <f t="shared" si="25"/>
        <v>536.38356164383561</v>
      </c>
      <c r="I30" s="319">
        <f t="shared" si="26"/>
        <v>3754.6849315068494</v>
      </c>
      <c r="J30" s="320">
        <v>16315</v>
      </c>
      <c r="K30" s="316">
        <f t="shared" si="27"/>
        <v>195780</v>
      </c>
      <c r="L30" s="319">
        <f t="shared" si="37"/>
        <v>14285.810958904109</v>
      </c>
      <c r="M30" s="319">
        <f>D30*0.7</f>
        <v>476.19369863013691</v>
      </c>
      <c r="N30" s="319">
        <f>M30*7</f>
        <v>3333.3558904109582</v>
      </c>
      <c r="O30" s="319">
        <f>P30/12</f>
        <v>14484.224999999999</v>
      </c>
      <c r="P30" s="319">
        <f>M30*365</f>
        <v>173810.69999999998</v>
      </c>
      <c r="Q30" s="319">
        <f>N30*28</f>
        <v>93333.964931506824</v>
      </c>
      <c r="R30" s="321">
        <f t="shared" ref="R30:R35" si="41">ROUNDDOWN($D$8/$D$9,0)</f>
        <v>19</v>
      </c>
      <c r="S30" s="322">
        <v>10</v>
      </c>
      <c r="T30" s="319">
        <f t="shared" si="38"/>
        <v>378.08219178082192</v>
      </c>
      <c r="U30" s="319">
        <f t="shared" si="28"/>
        <v>2646.5753424657532</v>
      </c>
      <c r="V30" s="432">
        <f>IF($D$8/R30&gt;11500,11500,$D$8/R30)</f>
        <v>11500</v>
      </c>
      <c r="W30" s="433"/>
      <c r="X30" s="316">
        <f>V30*12</f>
        <v>138000</v>
      </c>
      <c r="Y30" s="317">
        <f t="shared" si="29"/>
        <v>115000</v>
      </c>
      <c r="Z30" s="318">
        <f t="shared" si="30"/>
        <v>208333.96493150684</v>
      </c>
      <c r="AA30" s="323">
        <f>28*7+S30/12*365</f>
        <v>500.16666666666669</v>
      </c>
      <c r="AB30" s="324">
        <f t="shared" si="21"/>
        <v>16.443835616438356</v>
      </c>
      <c r="AC30" s="319">
        <f t="shared" si="40"/>
        <v>416.52908683406895</v>
      </c>
      <c r="AD30" s="319">
        <f t="shared" si="31"/>
        <v>2915.7036078384826</v>
      </c>
      <c r="AE30" s="320">
        <f t="shared" si="32"/>
        <v>12669.426391202929</v>
      </c>
      <c r="AF30" s="325">
        <f t="shared" si="33"/>
        <v>152033.11669443516</v>
      </c>
      <c r="AG30" s="326">
        <f t="shared" si="34"/>
        <v>0.77655080546754085</v>
      </c>
      <c r="AH30" s="225">
        <f t="shared" si="35"/>
        <v>0.60121607702761493</v>
      </c>
      <c r="AI30" s="39"/>
    </row>
    <row r="31" spans="1:61" ht="17" thickBot="1" x14ac:dyDescent="0.25">
      <c r="A31" s="279"/>
      <c r="B31" s="421"/>
      <c r="C31" s="226" t="s">
        <v>13</v>
      </c>
      <c r="D31" s="327">
        <f t="shared" si="22"/>
        <v>1133.7945205479452</v>
      </c>
      <c r="E31" s="328">
        <f t="shared" si="23"/>
        <v>7936.5616438356165</v>
      </c>
      <c r="F31" s="329">
        <f>D$5*1.25</f>
        <v>34486.25</v>
      </c>
      <c r="G31" s="330">
        <f t="shared" si="24"/>
        <v>413835</v>
      </c>
      <c r="H31" s="330">
        <f t="shared" si="25"/>
        <v>848.77808219178087</v>
      </c>
      <c r="I31" s="330">
        <f t="shared" si="26"/>
        <v>5941.4465753424665</v>
      </c>
      <c r="J31" s="331">
        <v>25817</v>
      </c>
      <c r="K31" s="327">
        <f t="shared" si="27"/>
        <v>309804</v>
      </c>
      <c r="L31" s="330">
        <f t="shared" si="37"/>
        <v>23809.68493150685</v>
      </c>
      <c r="M31" s="330"/>
      <c r="N31" s="330"/>
      <c r="O31" s="330"/>
      <c r="P31" s="330"/>
      <c r="Q31" s="330"/>
      <c r="R31" s="332">
        <f t="shared" si="41"/>
        <v>19</v>
      </c>
      <c r="S31" s="333">
        <v>9</v>
      </c>
      <c r="T31" s="330">
        <f t="shared" si="38"/>
        <v>378.08219178082192</v>
      </c>
      <c r="U31" s="330">
        <f t="shared" si="28"/>
        <v>2646.5753424657532</v>
      </c>
      <c r="V31" s="434">
        <f t="shared" ref="V31:V35" si="42">IF($D$8/R31&gt;11500,11500,$D$8/R31)</f>
        <v>11500</v>
      </c>
      <c r="W31" s="435"/>
      <c r="X31" s="327">
        <f t="shared" si="39"/>
        <v>138000</v>
      </c>
      <c r="Y31" s="328">
        <f t="shared" si="29"/>
        <v>103500</v>
      </c>
      <c r="Z31" s="329">
        <f t="shared" si="30"/>
        <v>103500</v>
      </c>
      <c r="AA31" s="334">
        <f>S31/12*365</f>
        <v>273.75</v>
      </c>
      <c r="AB31" s="334">
        <f t="shared" si="21"/>
        <v>9</v>
      </c>
      <c r="AC31" s="330">
        <f t="shared" si="40"/>
        <v>378.08219178082192</v>
      </c>
      <c r="AD31" s="330">
        <f t="shared" si="31"/>
        <v>2646.5753424657532</v>
      </c>
      <c r="AE31" s="331">
        <f t="shared" si="32"/>
        <v>11500</v>
      </c>
      <c r="AF31" s="335">
        <f t="shared" si="33"/>
        <v>138000</v>
      </c>
      <c r="AG31" s="336">
        <f t="shared" si="34"/>
        <v>0.44544292520432271</v>
      </c>
      <c r="AH31" s="233">
        <f t="shared" si="35"/>
        <v>0.54572201395150188</v>
      </c>
      <c r="AI31" s="39"/>
    </row>
    <row r="32" spans="1:61" x14ac:dyDescent="0.2">
      <c r="B32" s="416" t="s">
        <v>20</v>
      </c>
      <c r="C32" s="212" t="s">
        <v>12</v>
      </c>
      <c r="D32" s="367">
        <f t="shared" si="22"/>
        <v>907.03561643835621</v>
      </c>
      <c r="E32" s="368">
        <f t="shared" si="23"/>
        <v>6349.2493150684932</v>
      </c>
      <c r="F32" s="369">
        <f t="shared" ref="F32:F33" si="43">D$5</f>
        <v>27589</v>
      </c>
      <c r="G32" s="370">
        <f t="shared" si="24"/>
        <v>331068</v>
      </c>
      <c r="H32" s="370">
        <f t="shared" si="25"/>
        <v>692.81095890410961</v>
      </c>
      <c r="I32" s="370">
        <f t="shared" si="26"/>
        <v>4849.6767123287673</v>
      </c>
      <c r="J32" s="371">
        <v>21073</v>
      </c>
      <c r="K32" s="367">
        <f t="shared" si="27"/>
        <v>252876</v>
      </c>
      <c r="L32" s="340">
        <f t="shared" si="37"/>
        <v>19047.747945205479</v>
      </c>
      <c r="M32" s="340">
        <f>0.7*(901+0.6*(D32-901))</f>
        <v>633.23495890410959</v>
      </c>
      <c r="N32" s="340">
        <f>M32*7</f>
        <v>4432.6447123287671</v>
      </c>
      <c r="O32" s="340">
        <f>P32/12</f>
        <v>19260.896666666667</v>
      </c>
      <c r="P32" s="340">
        <f>M32*365</f>
        <v>231130.76</v>
      </c>
      <c r="Q32" s="340">
        <f>N32*28</f>
        <v>124114.05194520549</v>
      </c>
      <c r="R32" s="342">
        <f t="shared" si="41"/>
        <v>19</v>
      </c>
      <c r="S32" s="343">
        <v>10</v>
      </c>
      <c r="T32" s="340">
        <f t="shared" si="38"/>
        <v>378.08219178082192</v>
      </c>
      <c r="U32" s="340">
        <f t="shared" si="28"/>
        <v>2646.5753424657532</v>
      </c>
      <c r="V32" s="436">
        <f t="shared" si="42"/>
        <v>11500</v>
      </c>
      <c r="W32" s="437"/>
      <c r="X32" s="337">
        <f t="shared" si="39"/>
        <v>138000</v>
      </c>
      <c r="Y32" s="338">
        <f t="shared" si="29"/>
        <v>115000</v>
      </c>
      <c r="Z32" s="339">
        <f t="shared" si="30"/>
        <v>239114.05194520549</v>
      </c>
      <c r="AA32" s="344">
        <f>28*7+S32/12*365</f>
        <v>500.16666666666669</v>
      </c>
      <c r="AB32" s="324">
        <f t="shared" si="21"/>
        <v>16.443835616438356</v>
      </c>
      <c r="AC32" s="340">
        <f t="shared" si="40"/>
        <v>478.06874764119721</v>
      </c>
      <c r="AD32" s="340">
        <f t="shared" si="31"/>
        <v>3346.4812334883804</v>
      </c>
      <c r="AE32" s="341">
        <f t="shared" si="32"/>
        <v>14541.257740753083</v>
      </c>
      <c r="AF32" s="345">
        <f t="shared" si="33"/>
        <v>174495.09288903698</v>
      </c>
      <c r="AG32" s="346">
        <f t="shared" si="34"/>
        <v>0.69004212692796862</v>
      </c>
      <c r="AH32" s="219">
        <f t="shared" si="35"/>
        <v>0.69004212692796862</v>
      </c>
      <c r="AI32" s="39"/>
    </row>
    <row r="33" spans="1:35" ht="17" thickBot="1" x14ac:dyDescent="0.25">
      <c r="B33" s="421"/>
      <c r="C33" s="226" t="s">
        <v>13</v>
      </c>
      <c r="D33" s="372">
        <f t="shared" si="22"/>
        <v>907.03561643835621</v>
      </c>
      <c r="E33" s="373">
        <f t="shared" si="23"/>
        <v>6349.2493150684932</v>
      </c>
      <c r="F33" s="374">
        <f t="shared" si="43"/>
        <v>27589</v>
      </c>
      <c r="G33" s="375">
        <f t="shared" si="24"/>
        <v>331068</v>
      </c>
      <c r="H33" s="375">
        <f t="shared" si="25"/>
        <v>692.81095890410961</v>
      </c>
      <c r="I33" s="375">
        <f t="shared" si="26"/>
        <v>4849.6767123287673</v>
      </c>
      <c r="J33" s="376">
        <v>21073</v>
      </c>
      <c r="K33" s="372">
        <f t="shared" si="27"/>
        <v>252876</v>
      </c>
      <c r="L33" s="330">
        <f t="shared" si="37"/>
        <v>19047.747945205479</v>
      </c>
      <c r="M33" s="330"/>
      <c r="N33" s="330"/>
      <c r="O33" s="330"/>
      <c r="P33" s="330"/>
      <c r="Q33" s="330"/>
      <c r="R33" s="332">
        <f t="shared" si="41"/>
        <v>19</v>
      </c>
      <c r="S33" s="333">
        <v>9</v>
      </c>
      <c r="T33" s="330">
        <f t="shared" si="38"/>
        <v>378.08219178082192</v>
      </c>
      <c r="U33" s="330">
        <f t="shared" si="28"/>
        <v>2646.5753424657532</v>
      </c>
      <c r="V33" s="434">
        <f t="shared" si="42"/>
        <v>11500</v>
      </c>
      <c r="W33" s="435"/>
      <c r="X33" s="327">
        <f t="shared" si="39"/>
        <v>138000</v>
      </c>
      <c r="Y33" s="328">
        <f t="shared" si="29"/>
        <v>103500</v>
      </c>
      <c r="Z33" s="329">
        <f t="shared" si="30"/>
        <v>103500</v>
      </c>
      <c r="AA33" s="334">
        <f>S33/12*365</f>
        <v>273.75</v>
      </c>
      <c r="AB33" s="334">
        <f t="shared" si="21"/>
        <v>9</v>
      </c>
      <c r="AC33" s="330">
        <f t="shared" si="40"/>
        <v>378.08219178082192</v>
      </c>
      <c r="AD33" s="330">
        <f t="shared" si="31"/>
        <v>2646.5753424657532</v>
      </c>
      <c r="AE33" s="331">
        <f>AF33/12</f>
        <v>11500</v>
      </c>
      <c r="AF33" s="335">
        <f t="shared" si="33"/>
        <v>138000</v>
      </c>
      <c r="AG33" s="336">
        <f t="shared" si="34"/>
        <v>0.54572201395150188</v>
      </c>
      <c r="AH33" s="233">
        <f t="shared" si="35"/>
        <v>0.54572201395150188</v>
      </c>
      <c r="AI33" s="39"/>
    </row>
    <row r="34" spans="1:35" x14ac:dyDescent="0.2">
      <c r="B34" s="416" t="s">
        <v>21</v>
      </c>
      <c r="C34" s="212" t="s">
        <v>12</v>
      </c>
      <c r="D34" s="337">
        <f t="shared" si="22"/>
        <v>1814.0712328767124</v>
      </c>
      <c r="E34" s="338">
        <f t="shared" si="23"/>
        <v>12698.498630136986</v>
      </c>
      <c r="F34" s="339">
        <f>D$5*2</f>
        <v>55178</v>
      </c>
      <c r="G34" s="340">
        <f t="shared" si="24"/>
        <v>662136</v>
      </c>
      <c r="H34" s="340">
        <f t="shared" si="25"/>
        <v>1317.6</v>
      </c>
      <c r="I34" s="340">
        <f t="shared" si="26"/>
        <v>9223.1999999999989</v>
      </c>
      <c r="J34" s="341">
        <v>40077</v>
      </c>
      <c r="K34" s="337">
        <f t="shared" si="27"/>
        <v>480924</v>
      </c>
      <c r="L34" s="340">
        <f t="shared" si="37"/>
        <v>38095.495890410959</v>
      </c>
      <c r="M34" s="340">
        <f>0.7*(901+(1351-901)*0.6+(D34-1351)*0.3)</f>
        <v>916.94495890410951</v>
      </c>
      <c r="N34" s="340">
        <f>M34*7</f>
        <v>6418.6147123287665</v>
      </c>
      <c r="O34" s="340">
        <f>P34/12</f>
        <v>27890.409166666665</v>
      </c>
      <c r="P34" s="340">
        <f>M34*365</f>
        <v>334684.90999999997</v>
      </c>
      <c r="Q34" s="340">
        <f>N34*28</f>
        <v>179721.21194520546</v>
      </c>
      <c r="R34" s="342">
        <f t="shared" si="41"/>
        <v>19</v>
      </c>
      <c r="S34" s="343">
        <v>10</v>
      </c>
      <c r="T34" s="340">
        <f t="shared" si="38"/>
        <v>378.08219178082192</v>
      </c>
      <c r="U34" s="340">
        <f t="shared" si="28"/>
        <v>2646.5753424657532</v>
      </c>
      <c r="V34" s="436">
        <f t="shared" si="42"/>
        <v>11500</v>
      </c>
      <c r="W34" s="437"/>
      <c r="X34" s="337">
        <f t="shared" si="39"/>
        <v>138000</v>
      </c>
      <c r="Y34" s="338">
        <f t="shared" si="29"/>
        <v>115000</v>
      </c>
      <c r="Z34" s="339">
        <f t="shared" si="30"/>
        <v>294721.21194520546</v>
      </c>
      <c r="AA34" s="344">
        <f>28*7+S34/12*365</f>
        <v>500.16666666666669</v>
      </c>
      <c r="AB34" s="324">
        <f t="shared" si="21"/>
        <v>16.443835616438356</v>
      </c>
      <c r="AC34" s="340">
        <f t="shared" si="40"/>
        <v>589.24600855422614</v>
      </c>
      <c r="AD34" s="340">
        <f t="shared" si="31"/>
        <v>4124.722059879583</v>
      </c>
      <c r="AE34" s="341">
        <f t="shared" si="32"/>
        <v>17922.899426857712</v>
      </c>
      <c r="AF34" s="345">
        <f t="shared" si="33"/>
        <v>215074.79312229255</v>
      </c>
      <c r="AG34" s="346">
        <f t="shared" si="34"/>
        <v>0.44721160333502286</v>
      </c>
      <c r="AH34" s="219">
        <f t="shared" si="35"/>
        <v>0.8505148496586965</v>
      </c>
      <c r="AI34" s="39"/>
    </row>
    <row r="35" spans="1:35" ht="17" thickBot="1" x14ac:dyDescent="0.25">
      <c r="B35" s="421"/>
      <c r="C35" s="226" t="s">
        <v>13</v>
      </c>
      <c r="D35" s="327">
        <f t="shared" si="22"/>
        <v>3628.1424657534249</v>
      </c>
      <c r="E35" s="328">
        <f t="shared" si="23"/>
        <v>25396.997260273973</v>
      </c>
      <c r="F35" s="329">
        <f>D$5*4</f>
        <v>110356</v>
      </c>
      <c r="G35" s="330">
        <f t="shared" si="24"/>
        <v>1324272</v>
      </c>
      <c r="H35" s="330">
        <f t="shared" si="25"/>
        <v>2562.3123287671233</v>
      </c>
      <c r="I35" s="330">
        <f t="shared" si="26"/>
        <v>17936.186301369864</v>
      </c>
      <c r="J35" s="331">
        <v>77937</v>
      </c>
      <c r="K35" s="327">
        <f t="shared" si="27"/>
        <v>935244</v>
      </c>
      <c r="L35" s="330">
        <f t="shared" si="37"/>
        <v>76190.991780821918</v>
      </c>
      <c r="M35" s="330"/>
      <c r="N35" s="330"/>
      <c r="O35" s="330"/>
      <c r="P35" s="330"/>
      <c r="Q35" s="330"/>
      <c r="R35" s="332">
        <f t="shared" si="41"/>
        <v>19</v>
      </c>
      <c r="S35" s="333">
        <v>9</v>
      </c>
      <c r="T35" s="330">
        <f t="shared" si="38"/>
        <v>378.08219178082192</v>
      </c>
      <c r="U35" s="330">
        <f t="shared" si="28"/>
        <v>2646.5753424657532</v>
      </c>
      <c r="V35" s="434">
        <f t="shared" si="42"/>
        <v>11500</v>
      </c>
      <c r="W35" s="435"/>
      <c r="X35" s="327">
        <f t="shared" si="39"/>
        <v>138000</v>
      </c>
      <c r="Y35" s="328">
        <f t="shared" si="29"/>
        <v>103500</v>
      </c>
      <c r="Z35" s="329">
        <f t="shared" si="30"/>
        <v>103500</v>
      </c>
      <c r="AA35" s="334">
        <f>S35/12*365</f>
        <v>273.75</v>
      </c>
      <c r="AB35" s="334">
        <f t="shared" si="21"/>
        <v>9</v>
      </c>
      <c r="AC35" s="330">
        <f t="shared" si="40"/>
        <v>378.08219178082192</v>
      </c>
      <c r="AD35" s="330">
        <f t="shared" si="31"/>
        <v>2646.5753424657532</v>
      </c>
      <c r="AE35" s="331">
        <f t="shared" si="32"/>
        <v>11500</v>
      </c>
      <c r="AF35" s="335">
        <f t="shared" si="33"/>
        <v>138000</v>
      </c>
      <c r="AG35" s="336">
        <f t="shared" si="34"/>
        <v>0.14755507653617667</v>
      </c>
      <c r="AH35" s="233">
        <f t="shared" si="35"/>
        <v>0.54572201395150188</v>
      </c>
      <c r="AI35" s="39"/>
    </row>
    <row r="36" spans="1:35" ht="17" thickBot="1" x14ac:dyDescent="0.25">
      <c r="E36" s="286"/>
      <c r="F36" s="366"/>
      <c r="G36" s="366"/>
      <c r="H36" s="366"/>
    </row>
    <row r="37" spans="1:35" x14ac:dyDescent="0.2">
      <c r="A37" s="36" t="s">
        <v>78</v>
      </c>
      <c r="B37" s="391" t="s">
        <v>16</v>
      </c>
      <c r="C37" s="144" t="s">
        <v>23</v>
      </c>
      <c r="D37" s="145" t="s">
        <v>69</v>
      </c>
      <c r="E37" s="145" t="s">
        <v>69</v>
      </c>
      <c r="F37" s="145" t="s">
        <v>69</v>
      </c>
      <c r="G37" s="145" t="s">
        <v>24</v>
      </c>
      <c r="H37" s="145" t="s">
        <v>24</v>
      </c>
      <c r="I37" s="245" t="s">
        <v>24</v>
      </c>
      <c r="J37" s="400" t="s">
        <v>86</v>
      </c>
      <c r="K37" s="425" t="s">
        <v>85</v>
      </c>
    </row>
    <row r="38" spans="1:35" ht="17" thickBot="1" x14ac:dyDescent="0.25">
      <c r="B38" s="392"/>
      <c r="C38" s="277" t="s">
        <v>70</v>
      </c>
      <c r="D38" s="169" t="s">
        <v>38</v>
      </c>
      <c r="E38" s="169" t="s">
        <v>15</v>
      </c>
      <c r="F38" s="169" t="s">
        <v>89</v>
      </c>
      <c r="G38" s="169" t="s">
        <v>2</v>
      </c>
      <c r="H38" s="169" t="s">
        <v>3</v>
      </c>
      <c r="I38" s="247" t="s">
        <v>4</v>
      </c>
      <c r="J38" s="401"/>
      <c r="K38" s="426"/>
    </row>
    <row r="39" spans="1:35" ht="17" thickBot="1" x14ac:dyDescent="0.25">
      <c r="B39" s="150" t="s">
        <v>17</v>
      </c>
      <c r="C39" s="318">
        <f>Z15</f>
        <v>216600</v>
      </c>
      <c r="D39" s="348">
        <f>AA15</f>
        <v>1460</v>
      </c>
      <c r="E39" s="348">
        <f>D39/7</f>
        <v>208.57142857142858</v>
      </c>
      <c r="F39" s="348">
        <f>D39/365*12</f>
        <v>48</v>
      </c>
      <c r="G39" s="349">
        <f>C39/D39</f>
        <v>148.35616438356163</v>
      </c>
      <c r="H39" s="319">
        <f>G39*7</f>
        <v>1038.4931506849314</v>
      </c>
      <c r="I39" s="320">
        <f>G39*365/12</f>
        <v>4512.4999999999991</v>
      </c>
      <c r="J39" s="350" t="s">
        <v>25</v>
      </c>
      <c r="K39" s="351">
        <f>G39/$B$6</f>
        <v>0.21413657286575236</v>
      </c>
    </row>
    <row r="40" spans="1:35" ht="17" thickBot="1" x14ac:dyDescent="0.25">
      <c r="B40" s="158" t="s">
        <v>18</v>
      </c>
      <c r="C40" s="353">
        <f>Z16</f>
        <v>281271.74465753429</v>
      </c>
      <c r="D40" s="354">
        <f>AA16</f>
        <v>895.58333333333337</v>
      </c>
      <c r="E40" s="354">
        <f>D40/7</f>
        <v>127.94047619047619</v>
      </c>
      <c r="F40" s="355">
        <f>D40/365*12</f>
        <v>29.44383561643836</v>
      </c>
      <c r="G40" s="356">
        <f>C40/D40</f>
        <v>314.06540763844902</v>
      </c>
      <c r="H40" s="357">
        <f>G40*7</f>
        <v>2198.4578534691432</v>
      </c>
      <c r="I40" s="341">
        <f>G40*365/12</f>
        <v>9552.8228156694913</v>
      </c>
      <c r="J40" s="358">
        <f>G40/H16</f>
        <v>0.82551182299252424</v>
      </c>
      <c r="K40" s="351">
        <f>G40/$B$6</f>
        <v>0.4533204961642619</v>
      </c>
    </row>
    <row r="41" spans="1:35" ht="17" thickBot="1" x14ac:dyDescent="0.25">
      <c r="B41" s="158" t="s">
        <v>19</v>
      </c>
      <c r="C41" s="353">
        <f>Z18</f>
        <v>311833.96493150684</v>
      </c>
      <c r="D41" s="354">
        <f>AA18</f>
        <v>773.91666666666663</v>
      </c>
      <c r="E41" s="354">
        <f>D41/7</f>
        <v>110.55952380952381</v>
      </c>
      <c r="F41" s="355">
        <f>D41/365*12</f>
        <v>25.443835616438353</v>
      </c>
      <c r="G41" s="356">
        <f>C41/D41</f>
        <v>402.92964134576096</v>
      </c>
      <c r="H41" s="357">
        <f>G41*7</f>
        <v>2820.5074894203267</v>
      </c>
      <c r="I41" s="341">
        <f>G41*365/12</f>
        <v>12255.776590933563</v>
      </c>
      <c r="J41" s="358">
        <f>G41/H18</f>
        <v>0.75119684896926531</v>
      </c>
      <c r="K41" s="351">
        <f>G41/$B$6</f>
        <v>0.5815867029342553</v>
      </c>
    </row>
    <row r="42" spans="1:35" ht="17" thickBot="1" x14ac:dyDescent="0.25">
      <c r="B42" s="158" t="s">
        <v>20</v>
      </c>
      <c r="C42" s="353">
        <f>Z20</f>
        <v>342614.05194520549</v>
      </c>
      <c r="D42" s="354">
        <f>AA20</f>
        <v>773.91666666666663</v>
      </c>
      <c r="E42" s="354">
        <f>D42/7</f>
        <v>110.55952380952381</v>
      </c>
      <c r="F42" s="355">
        <f>D42/365*12</f>
        <v>25.443835616438353</v>
      </c>
      <c r="G42" s="356">
        <f>C42/D42</f>
        <v>442.70147769381566</v>
      </c>
      <c r="H42" s="357">
        <f>G42*7</f>
        <v>3098.9103438567095</v>
      </c>
      <c r="I42" s="341">
        <f>G42*365/12</f>
        <v>13465.503279853559</v>
      </c>
      <c r="J42" s="358">
        <f>G42/H20</f>
        <v>0.63899317989149906</v>
      </c>
      <c r="K42" s="351">
        <f>G42/$B$6</f>
        <v>0.63899317989149906</v>
      </c>
    </row>
    <row r="43" spans="1:35" ht="17" thickBot="1" x14ac:dyDescent="0.25">
      <c r="B43" s="167" t="s">
        <v>21</v>
      </c>
      <c r="C43" s="359">
        <f>Z22</f>
        <v>398221.21194520546</v>
      </c>
      <c r="D43" s="360">
        <f>AA22</f>
        <v>773.91666666666663</v>
      </c>
      <c r="E43" s="360">
        <f>D43/7</f>
        <v>110.55952380952381</v>
      </c>
      <c r="F43" s="361">
        <f>D43/365*12</f>
        <v>25.443835616438353</v>
      </c>
      <c r="G43" s="362">
        <f>C43/D43</f>
        <v>514.55308962447134</v>
      </c>
      <c r="H43" s="363">
        <f>G43*7</f>
        <v>3601.8716273712994</v>
      </c>
      <c r="I43" s="364">
        <f>G43*365/12</f>
        <v>15650.989809411003</v>
      </c>
      <c r="J43" s="365">
        <f>G43/H22</f>
        <v>0.39052298848244638</v>
      </c>
      <c r="K43" s="174">
        <f>G43/$B$6</f>
        <v>0.74270345035880048</v>
      </c>
    </row>
    <row r="44" spans="1:35" ht="17" thickBot="1" x14ac:dyDescent="0.25"/>
    <row r="45" spans="1:35" x14ac:dyDescent="0.2">
      <c r="A45" s="36" t="s">
        <v>41</v>
      </c>
      <c r="B45" s="391" t="s">
        <v>16</v>
      </c>
      <c r="C45" s="144" t="s">
        <v>23</v>
      </c>
      <c r="D45" s="145" t="s">
        <v>69</v>
      </c>
      <c r="E45" s="145" t="s">
        <v>69</v>
      </c>
      <c r="F45" s="145" t="s">
        <v>69</v>
      </c>
      <c r="G45" s="145" t="s">
        <v>24</v>
      </c>
      <c r="H45" s="145" t="s">
        <v>24</v>
      </c>
      <c r="I45" s="245" t="s">
        <v>24</v>
      </c>
      <c r="J45" s="400" t="s">
        <v>86</v>
      </c>
      <c r="K45" s="425" t="s">
        <v>85</v>
      </c>
    </row>
    <row r="46" spans="1:35" ht="17" thickBot="1" x14ac:dyDescent="0.25">
      <c r="B46" s="392"/>
      <c r="C46" s="277" t="s">
        <v>70</v>
      </c>
      <c r="D46" s="169" t="s">
        <v>38</v>
      </c>
      <c r="E46" s="169" t="s">
        <v>15</v>
      </c>
      <c r="F46" s="169" t="s">
        <v>89</v>
      </c>
      <c r="G46" s="169" t="s">
        <v>2</v>
      </c>
      <c r="H46" s="169" t="s">
        <v>3</v>
      </c>
      <c r="I46" s="247" t="s">
        <v>4</v>
      </c>
      <c r="J46" s="401"/>
      <c r="K46" s="426"/>
    </row>
    <row r="47" spans="1:35" ht="17" thickBot="1" x14ac:dyDescent="0.25">
      <c r="B47" s="150" t="s">
        <v>17</v>
      </c>
      <c r="C47" s="318">
        <f>Z27</f>
        <v>216600</v>
      </c>
      <c r="D47" s="348">
        <f>AA27</f>
        <v>1460</v>
      </c>
      <c r="E47" s="348">
        <f>D47/7</f>
        <v>208.57142857142858</v>
      </c>
      <c r="F47" s="348">
        <f>D47/365*12</f>
        <v>48</v>
      </c>
      <c r="G47" s="349">
        <f>C47/D47</f>
        <v>148.35616438356163</v>
      </c>
      <c r="H47" s="319">
        <f>G47*7</f>
        <v>1038.4931506849314</v>
      </c>
      <c r="I47" s="320">
        <f>G47*365/12</f>
        <v>4512.4999999999991</v>
      </c>
      <c r="J47" s="350" t="s">
        <v>25</v>
      </c>
      <c r="K47" s="351">
        <f>G47/$B$6</f>
        <v>0.21413657286575236</v>
      </c>
    </row>
    <row r="48" spans="1:35" ht="17" thickBot="1" x14ac:dyDescent="0.25">
      <c r="B48" s="158" t="s">
        <v>18</v>
      </c>
      <c r="C48" s="353">
        <f>Z28+Z29</f>
        <v>281271.74465753423</v>
      </c>
      <c r="D48" s="354">
        <f>AA28+AA29</f>
        <v>895.58333333333326</v>
      </c>
      <c r="E48" s="354">
        <f t="shared" ref="E48:E51" si="44">D48/7</f>
        <v>127.94047619047618</v>
      </c>
      <c r="F48" s="355">
        <f t="shared" ref="F48:F51" si="45">D48/365*12</f>
        <v>29.443835616438356</v>
      </c>
      <c r="G48" s="356">
        <f>C48/D48</f>
        <v>314.06540763844896</v>
      </c>
      <c r="H48" s="357">
        <f>G48*7</f>
        <v>2198.4578534691427</v>
      </c>
      <c r="I48" s="341">
        <f>G48*365/12</f>
        <v>9552.8228156694895</v>
      </c>
      <c r="J48" s="358">
        <f>G48/((AA28*H28+H29*AA29)/D48)</f>
        <v>0.82551182299252401</v>
      </c>
      <c r="K48" s="351">
        <f>G48/$B$6</f>
        <v>0.45332049616426179</v>
      </c>
    </row>
    <row r="49" spans="2:11" ht="17" thickBot="1" x14ac:dyDescent="0.25">
      <c r="B49" s="158" t="s">
        <v>19</v>
      </c>
      <c r="C49" s="353">
        <f>Z31+Z30</f>
        <v>311833.96493150684</v>
      </c>
      <c r="D49" s="354">
        <f>AA31+AA30</f>
        <v>773.91666666666674</v>
      </c>
      <c r="E49" s="354">
        <f t="shared" si="44"/>
        <v>110.55952380952382</v>
      </c>
      <c r="F49" s="355">
        <f t="shared" si="45"/>
        <v>25.443835616438356</v>
      </c>
      <c r="G49" s="356">
        <f>C49/D49</f>
        <v>402.9296413457609</v>
      </c>
      <c r="H49" s="357">
        <f>G49*7</f>
        <v>2820.5074894203262</v>
      </c>
      <c r="I49" s="341">
        <f>G49*365/12</f>
        <v>12255.776590933559</v>
      </c>
      <c r="J49" s="358">
        <f>G49/((AA31*H31+H30*AA30)/D49)</f>
        <v>0.62287789884036115</v>
      </c>
      <c r="K49" s="351">
        <f>G49/$B$6</f>
        <v>0.58158670293425518</v>
      </c>
    </row>
    <row r="50" spans="2:11" ht="17" thickBot="1" x14ac:dyDescent="0.25">
      <c r="B50" s="158" t="s">
        <v>20</v>
      </c>
      <c r="C50" s="353">
        <f>Z32+Z33</f>
        <v>342614.05194520549</v>
      </c>
      <c r="D50" s="354">
        <f>AA32+AA33</f>
        <v>773.91666666666674</v>
      </c>
      <c r="E50" s="354">
        <f t="shared" si="44"/>
        <v>110.55952380952382</v>
      </c>
      <c r="F50" s="355">
        <f t="shared" si="45"/>
        <v>25.443835616438356</v>
      </c>
      <c r="G50" s="356">
        <f>C50/D50</f>
        <v>442.7014776938156</v>
      </c>
      <c r="H50" s="357">
        <f>G50*7</f>
        <v>3098.910343856709</v>
      </c>
      <c r="I50" s="341">
        <f>G50*365/12</f>
        <v>13465.503279853559</v>
      </c>
      <c r="J50" s="358">
        <f>G50/((AA33*H33+H32*AA32)/D50)</f>
        <v>0.63899317989149906</v>
      </c>
      <c r="K50" s="351">
        <f>G50/$B$6</f>
        <v>0.63899317989149895</v>
      </c>
    </row>
    <row r="51" spans="2:11" ht="17" thickBot="1" x14ac:dyDescent="0.25">
      <c r="B51" s="167" t="s">
        <v>21</v>
      </c>
      <c r="C51" s="359">
        <f>Z34+Z35</f>
        <v>398221.21194520546</v>
      </c>
      <c r="D51" s="360">
        <f>AA34+AA35</f>
        <v>773.91666666666674</v>
      </c>
      <c r="E51" s="360">
        <f t="shared" si="44"/>
        <v>110.55952380952382</v>
      </c>
      <c r="F51" s="361">
        <f t="shared" si="45"/>
        <v>25.443835616438356</v>
      </c>
      <c r="G51" s="362">
        <f>C51/D51</f>
        <v>514.55308962447134</v>
      </c>
      <c r="H51" s="363">
        <f>G51*7</f>
        <v>3601.8716273712994</v>
      </c>
      <c r="I51" s="364">
        <f>G51*365/12</f>
        <v>15650.989809411003</v>
      </c>
      <c r="J51" s="365">
        <f>G51/((AA35*H35+H34*AA34)/D51)</f>
        <v>0.29271230173341245</v>
      </c>
      <c r="K51" s="174">
        <f>G51/$B$6</f>
        <v>0.74270345035880048</v>
      </c>
    </row>
  </sheetData>
  <dataConsolidate/>
  <mergeCells count="41">
    <mergeCell ref="B20:B21"/>
    <mergeCell ref="V20:W20"/>
    <mergeCell ref="V21:W21"/>
    <mergeCell ref="B22:B23"/>
    <mergeCell ref="V22:W22"/>
    <mergeCell ref="V23:W23"/>
    <mergeCell ref="B13:C14"/>
    <mergeCell ref="B16:B17"/>
    <mergeCell ref="V16:W16"/>
    <mergeCell ref="V17:W17"/>
    <mergeCell ref="B18:B19"/>
    <mergeCell ref="V18:W18"/>
    <mergeCell ref="V19:W19"/>
    <mergeCell ref="B25:C26"/>
    <mergeCell ref="B45:B46"/>
    <mergeCell ref="B37:B38"/>
    <mergeCell ref="B28:B29"/>
    <mergeCell ref="B30:B31"/>
    <mergeCell ref="B32:B33"/>
    <mergeCell ref="B34:B35"/>
    <mergeCell ref="V28:W28"/>
    <mergeCell ref="V29:W29"/>
    <mergeCell ref="V30:W30"/>
    <mergeCell ref="V31:W31"/>
    <mergeCell ref="V32:W32"/>
    <mergeCell ref="V33:W33"/>
    <mergeCell ref="V34:W34"/>
    <mergeCell ref="V35:W35"/>
    <mergeCell ref="A3:A5"/>
    <mergeCell ref="A8:A10"/>
    <mergeCell ref="B8:C8"/>
    <mergeCell ref="B9:C9"/>
    <mergeCell ref="C11:D11"/>
    <mergeCell ref="K37:K38"/>
    <mergeCell ref="AG13:AG14"/>
    <mergeCell ref="AH13:AH14"/>
    <mergeCell ref="J45:J46"/>
    <mergeCell ref="K45:K46"/>
    <mergeCell ref="J37:J38"/>
    <mergeCell ref="AG25:AG26"/>
    <mergeCell ref="AH25:AH26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0"/>
  <sheetViews>
    <sheetView topLeftCell="A42" zoomScale="115" workbookViewId="0">
      <selection activeCell="Z39" sqref="Z39"/>
    </sheetView>
  </sheetViews>
  <sheetFormatPr baseColWidth="10" defaultRowHeight="16" x14ac:dyDescent="0.2"/>
  <cols>
    <col min="1" max="16384" width="10.83203125" style="36"/>
  </cols>
  <sheetData>
    <row r="2" spans="1:5" x14ac:dyDescent="0.2">
      <c r="A2" s="36" t="s">
        <v>95</v>
      </c>
    </row>
    <row r="3" spans="1:5" x14ac:dyDescent="0.2">
      <c r="C3" s="36" t="s">
        <v>55</v>
      </c>
    </row>
    <row r="4" spans="1:5" x14ac:dyDescent="0.2">
      <c r="B4" s="37" t="s">
        <v>97</v>
      </c>
      <c r="D4" s="37"/>
    </row>
    <row r="5" spans="1:5" x14ac:dyDescent="0.2">
      <c r="C5" s="36" t="s">
        <v>54</v>
      </c>
      <c r="D5" s="36" t="s">
        <v>52</v>
      </c>
      <c r="E5" s="36" t="s">
        <v>53</v>
      </c>
    </row>
    <row r="6" spans="1:5" x14ac:dyDescent="0.2">
      <c r="B6" s="38" t="s">
        <v>18</v>
      </c>
      <c r="C6" s="39">
        <v>0.8504022606884708</v>
      </c>
      <c r="D6" s="39">
        <v>0.65694778509893714</v>
      </c>
      <c r="E6" s="39">
        <v>0.82551182299252424</v>
      </c>
    </row>
    <row r="7" spans="1:5" x14ac:dyDescent="0.2">
      <c r="B7" s="38" t="s">
        <v>19</v>
      </c>
      <c r="C7" s="39">
        <v>0.84638466077493213</v>
      </c>
      <c r="D7" s="39">
        <v>0.51847273495743162</v>
      </c>
      <c r="E7" s="39">
        <v>0.75119684896926531</v>
      </c>
    </row>
    <row r="8" spans="1:5" x14ac:dyDescent="0.2">
      <c r="B8" s="38" t="s">
        <v>20</v>
      </c>
      <c r="C8" s="39">
        <v>0.86241288572626063</v>
      </c>
      <c r="D8" s="39">
        <v>0.46026532527071323</v>
      </c>
      <c r="E8" s="39">
        <v>0.63899317989149906</v>
      </c>
    </row>
    <row r="9" spans="1:5" x14ac:dyDescent="0.2">
      <c r="B9" s="38" t="s">
        <v>21</v>
      </c>
      <c r="C9" s="39">
        <v>0.48750542409046566</v>
      </c>
      <c r="D9" s="39">
        <v>0.33362462570884299</v>
      </c>
      <c r="E9" s="39">
        <v>0.39052298848244638</v>
      </c>
    </row>
    <row r="10" spans="1:5" x14ac:dyDescent="0.2">
      <c r="B10" s="38" t="s">
        <v>85</v>
      </c>
    </row>
    <row r="11" spans="1:5" x14ac:dyDescent="0.2">
      <c r="C11" s="36" t="s">
        <v>54</v>
      </c>
      <c r="D11" s="36" t="s">
        <v>52</v>
      </c>
      <c r="E11" s="36" t="s">
        <v>53</v>
      </c>
    </row>
    <row r="12" spans="1:5" x14ac:dyDescent="0.2">
      <c r="B12" s="38" t="s">
        <v>17</v>
      </c>
      <c r="C12" s="39">
        <v>0.26547461683838508</v>
      </c>
      <c r="D12" s="39">
        <v>0</v>
      </c>
      <c r="E12" s="39">
        <v>0.21413657286575236</v>
      </c>
    </row>
    <row r="13" spans="1:5" x14ac:dyDescent="0.2">
      <c r="B13" s="38" t="s">
        <v>18</v>
      </c>
      <c r="C13" s="39">
        <v>0.450118882585126</v>
      </c>
      <c r="D13" s="40">
        <v>0.37803335286393097</v>
      </c>
      <c r="E13" s="39">
        <v>0.45332049616426179</v>
      </c>
    </row>
    <row r="14" spans="1:5" x14ac:dyDescent="0.2">
      <c r="B14" s="38" t="s">
        <v>19</v>
      </c>
      <c r="C14" s="39">
        <v>0.72160030233727424</v>
      </c>
      <c r="D14" s="40">
        <v>0.41914933906732216</v>
      </c>
      <c r="E14" s="39">
        <v>0.58158670293425518</v>
      </c>
    </row>
    <row r="15" spans="1:5" x14ac:dyDescent="0.2">
      <c r="B15" s="38" t="s">
        <v>20</v>
      </c>
      <c r="C15" s="40">
        <v>0.86241288572626051</v>
      </c>
      <c r="D15" s="40">
        <v>0.46026532527071334</v>
      </c>
      <c r="E15" s="39">
        <v>0.63899317989149895</v>
      </c>
    </row>
    <row r="16" spans="1:5" x14ac:dyDescent="0.2">
      <c r="B16" s="38" t="s">
        <v>21</v>
      </c>
      <c r="C16" s="40">
        <v>0.917603556882017</v>
      </c>
      <c r="D16" s="40">
        <v>0.62472927008427792</v>
      </c>
      <c r="E16" s="39">
        <v>0.74270345035880048</v>
      </c>
    </row>
    <row r="17" spans="1:5" x14ac:dyDescent="0.2">
      <c r="C17" s="40"/>
      <c r="D17" s="40"/>
    </row>
    <row r="18" spans="1:5" x14ac:dyDescent="0.2">
      <c r="C18" s="40"/>
    </row>
    <row r="19" spans="1:5" x14ac:dyDescent="0.2">
      <c r="C19" s="40"/>
    </row>
    <row r="20" spans="1:5" x14ac:dyDescent="0.2">
      <c r="C20" s="40"/>
    </row>
    <row r="21" spans="1:5" x14ac:dyDescent="0.2">
      <c r="A21" s="36" t="s">
        <v>56</v>
      </c>
      <c r="C21" s="40"/>
    </row>
    <row r="22" spans="1:5" x14ac:dyDescent="0.2">
      <c r="C22" s="36" t="s">
        <v>55</v>
      </c>
    </row>
    <row r="23" spans="1:5" x14ac:dyDescent="0.2">
      <c r="B23" s="37" t="s">
        <v>97</v>
      </c>
      <c r="D23" s="37"/>
    </row>
    <row r="24" spans="1:5" x14ac:dyDescent="0.2">
      <c r="C24" s="36" t="s">
        <v>54</v>
      </c>
      <c r="D24" s="36" t="s">
        <v>52</v>
      </c>
      <c r="E24" s="36" t="s">
        <v>53</v>
      </c>
    </row>
    <row r="25" spans="1:5" x14ac:dyDescent="0.2">
      <c r="B25" s="38" t="s">
        <v>18</v>
      </c>
      <c r="C25" s="39">
        <v>0.90995386700467551</v>
      </c>
      <c r="D25" s="39">
        <v>0.65694778509893725</v>
      </c>
      <c r="E25" s="39">
        <v>0.82551182299252401</v>
      </c>
    </row>
    <row r="26" spans="1:5" x14ac:dyDescent="0.2">
      <c r="B26" s="38" t="s">
        <v>19</v>
      </c>
      <c r="C26" s="39">
        <v>0.83802117978353297</v>
      </c>
      <c r="D26" s="39">
        <v>0.43028780347254414</v>
      </c>
      <c r="E26" s="39">
        <v>0.62287789884036115</v>
      </c>
    </row>
    <row r="27" spans="1:5" x14ac:dyDescent="0.2">
      <c r="B27" s="38" t="s">
        <v>20</v>
      </c>
      <c r="C27" s="39">
        <v>0.89393361859625342</v>
      </c>
      <c r="D27" s="39">
        <v>0.46026532527071334</v>
      </c>
      <c r="E27" s="39">
        <v>0.63899317989149906</v>
      </c>
    </row>
    <row r="28" spans="1:5" x14ac:dyDescent="0.2">
      <c r="B28" s="38" t="s">
        <v>21</v>
      </c>
      <c r="C28" s="39">
        <v>0.42377579499250945</v>
      </c>
      <c r="D28" s="39">
        <v>0.25819875412844323</v>
      </c>
      <c r="E28" s="39">
        <v>0.29271230173341245</v>
      </c>
    </row>
    <row r="29" spans="1:5" x14ac:dyDescent="0.2">
      <c r="B29" s="38" t="s">
        <v>85</v>
      </c>
    </row>
    <row r="30" spans="1:5" x14ac:dyDescent="0.2">
      <c r="C30" s="36" t="s">
        <v>54</v>
      </c>
      <c r="D30" s="36" t="s">
        <v>52</v>
      </c>
      <c r="E30" s="36" t="s">
        <v>53</v>
      </c>
    </row>
    <row r="31" spans="1:5" x14ac:dyDescent="0.2">
      <c r="B31" s="38" t="s">
        <v>17</v>
      </c>
      <c r="C31" s="39">
        <v>0.26547461683838508</v>
      </c>
      <c r="D31" s="39">
        <v>0</v>
      </c>
      <c r="E31" s="39">
        <v>0.21413657286575236</v>
      </c>
    </row>
    <row r="32" spans="1:5" x14ac:dyDescent="0.2">
      <c r="B32" s="38" t="s">
        <v>18</v>
      </c>
      <c r="C32" s="39">
        <v>0.48163961545511896</v>
      </c>
      <c r="D32" s="40">
        <v>0.37803335286393097</v>
      </c>
      <c r="E32" s="39">
        <v>0.45332049616426179</v>
      </c>
    </row>
    <row r="33" spans="2:17" x14ac:dyDescent="0.2">
      <c r="B33" s="38" t="s">
        <v>19</v>
      </c>
      <c r="C33" s="39">
        <v>0.82172217429792727</v>
      </c>
      <c r="D33" s="40">
        <v>0.41914933906732216</v>
      </c>
      <c r="E33" s="39">
        <v>0.58158670293425518</v>
      </c>
    </row>
    <row r="34" spans="2:17" x14ac:dyDescent="0.2">
      <c r="B34" s="38" t="s">
        <v>20</v>
      </c>
      <c r="C34" s="39">
        <v>0.89393361859625342</v>
      </c>
      <c r="D34" s="40">
        <v>0.46026532527071334</v>
      </c>
      <c r="E34" s="39">
        <v>0.63899317989149895</v>
      </c>
    </row>
    <row r="35" spans="2:17" x14ac:dyDescent="0.2">
      <c r="B35" s="38" t="s">
        <v>21</v>
      </c>
      <c r="C35" s="39">
        <v>0.94912428975200991</v>
      </c>
      <c r="D35" s="40">
        <v>0.62472927008427792</v>
      </c>
      <c r="E35" s="39">
        <v>0.74270345035880048</v>
      </c>
    </row>
    <row r="44" spans="2:17" x14ac:dyDescent="0.2">
      <c r="B44" s="37" t="s">
        <v>97</v>
      </c>
      <c r="D44" s="37"/>
      <c r="K44" s="38" t="s">
        <v>85</v>
      </c>
    </row>
    <row r="45" spans="2:17" x14ac:dyDescent="0.2">
      <c r="C45" s="36" t="s">
        <v>57</v>
      </c>
      <c r="D45" s="36" t="s">
        <v>58</v>
      </c>
      <c r="E45" s="36" t="s">
        <v>59</v>
      </c>
      <c r="F45" s="36" t="s">
        <v>61</v>
      </c>
      <c r="G45" s="36" t="s">
        <v>60</v>
      </c>
      <c r="H45" s="36" t="s">
        <v>62</v>
      </c>
      <c r="L45" s="36" t="s">
        <v>57</v>
      </c>
      <c r="M45" s="36" t="s">
        <v>58</v>
      </c>
      <c r="N45" s="36" t="s">
        <v>59</v>
      </c>
      <c r="O45" s="36" t="s">
        <v>61</v>
      </c>
      <c r="P45" s="36" t="s">
        <v>60</v>
      </c>
      <c r="Q45" s="36" t="s">
        <v>62</v>
      </c>
    </row>
    <row r="46" spans="2:17" x14ac:dyDescent="0.2">
      <c r="B46" s="38" t="s">
        <v>18</v>
      </c>
      <c r="C46" s="39">
        <v>0.8504022606884708</v>
      </c>
      <c r="D46" s="39">
        <v>0.65694778509893714</v>
      </c>
      <c r="E46" s="39">
        <v>0.82551182299252424</v>
      </c>
      <c r="F46" s="39">
        <v>0.90995386700467551</v>
      </c>
      <c r="G46" s="39">
        <v>0.65694778509893725</v>
      </c>
      <c r="H46" s="39">
        <v>0.82551182299252401</v>
      </c>
      <c r="K46" s="38" t="s">
        <v>17</v>
      </c>
      <c r="L46" s="39">
        <v>0.26547461683838508</v>
      </c>
      <c r="M46" s="39">
        <v>0</v>
      </c>
      <c r="N46" s="39">
        <v>0.21413657286575236</v>
      </c>
      <c r="O46" s="39">
        <v>0.26547461683838508</v>
      </c>
      <c r="P46" s="39">
        <v>0</v>
      </c>
      <c r="Q46" s="39">
        <v>0.21413657286575236</v>
      </c>
    </row>
    <row r="47" spans="2:17" x14ac:dyDescent="0.2">
      <c r="B47" s="38" t="s">
        <v>19</v>
      </c>
      <c r="C47" s="39">
        <v>0.84638466077493213</v>
      </c>
      <c r="D47" s="39">
        <v>0.51847273495743162</v>
      </c>
      <c r="E47" s="39">
        <v>0.75119684896926531</v>
      </c>
      <c r="F47" s="39">
        <v>0.83802117978353297</v>
      </c>
      <c r="G47" s="39">
        <v>0.43028780347254414</v>
      </c>
      <c r="H47" s="39">
        <v>0.62287789884036115</v>
      </c>
      <c r="K47" s="38" t="s">
        <v>18</v>
      </c>
      <c r="L47" s="39">
        <v>0.450118882585126</v>
      </c>
      <c r="M47" s="40">
        <v>0.37803335286393097</v>
      </c>
      <c r="N47" s="39">
        <v>0.45332049616426179</v>
      </c>
      <c r="O47" s="39">
        <v>0.48163961545511896</v>
      </c>
      <c r="P47" s="40">
        <v>0.37803335286393097</v>
      </c>
      <c r="Q47" s="39">
        <v>0.45332049616426179</v>
      </c>
    </row>
    <row r="48" spans="2:17" x14ac:dyDescent="0.2">
      <c r="B48" s="38" t="s">
        <v>20</v>
      </c>
      <c r="C48" s="39">
        <v>0.86241288572626063</v>
      </c>
      <c r="D48" s="39">
        <v>0.46026532527071323</v>
      </c>
      <c r="E48" s="39">
        <v>0.63899317989149906</v>
      </c>
      <c r="F48" s="39">
        <v>0.89393361859625342</v>
      </c>
      <c r="G48" s="39">
        <v>0.46026532527071334</v>
      </c>
      <c r="H48" s="39">
        <v>0.63899317989149906</v>
      </c>
      <c r="K48" s="38" t="s">
        <v>19</v>
      </c>
      <c r="L48" s="39">
        <v>0.72160030233727424</v>
      </c>
      <c r="M48" s="40">
        <v>0.41914933906732216</v>
      </c>
      <c r="N48" s="39">
        <v>0.58158670293425518</v>
      </c>
      <c r="O48" s="39">
        <v>0.82172217429792727</v>
      </c>
      <c r="P48" s="40">
        <v>0.41914933906732216</v>
      </c>
      <c r="Q48" s="39">
        <v>0.58158670293425518</v>
      </c>
    </row>
    <row r="49" spans="2:17" x14ac:dyDescent="0.2">
      <c r="B49" s="38" t="s">
        <v>21</v>
      </c>
      <c r="C49" s="39">
        <v>0.48750542409046566</v>
      </c>
      <c r="D49" s="39">
        <v>0.33362462570884299</v>
      </c>
      <c r="E49" s="39">
        <v>0.39052298848244638</v>
      </c>
      <c r="F49" s="39">
        <v>0.42377579499250945</v>
      </c>
      <c r="G49" s="39">
        <v>0.25819875412844323</v>
      </c>
      <c r="H49" s="39">
        <v>0.29271230173341245</v>
      </c>
      <c r="K49" s="38" t="s">
        <v>20</v>
      </c>
      <c r="L49" s="40">
        <v>0.86241288572626051</v>
      </c>
      <c r="M49" s="40">
        <v>0.46026532527071334</v>
      </c>
      <c r="N49" s="39">
        <v>0.63899317989149895</v>
      </c>
      <c r="O49" s="39">
        <v>0.89393361859625342</v>
      </c>
      <c r="P49" s="40">
        <v>0.46026532527071334</v>
      </c>
      <c r="Q49" s="39">
        <v>0.63899317989149895</v>
      </c>
    </row>
    <row r="50" spans="2:17" x14ac:dyDescent="0.2">
      <c r="K50" s="38" t="s">
        <v>21</v>
      </c>
      <c r="L50" s="40">
        <v>0.917603556882017</v>
      </c>
      <c r="M50" s="40">
        <v>0.62472927008427792</v>
      </c>
      <c r="N50" s="39">
        <v>0.74270345035880048</v>
      </c>
      <c r="O50" s="39">
        <v>0.94912428975200991</v>
      </c>
      <c r="P50" s="40">
        <v>0.62472927008427792</v>
      </c>
      <c r="Q50" s="39">
        <v>0.74270345035880048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F39" sqref="F39"/>
    </sheetView>
  </sheetViews>
  <sheetFormatPr baseColWidth="10" defaultRowHeight="16" x14ac:dyDescent="0.2"/>
  <cols>
    <col min="1" max="1" width="12.6640625" customWidth="1"/>
    <col min="2" max="18" width="13.6640625" bestFit="1" customWidth="1"/>
  </cols>
  <sheetData>
    <row r="1" spans="1:19" x14ac:dyDescent="0.2">
      <c r="A1" s="16" t="s">
        <v>27</v>
      </c>
    </row>
    <row r="2" spans="1:19" x14ac:dyDescent="0.2">
      <c r="A2" s="1">
        <v>2015</v>
      </c>
      <c r="B2" s="16"/>
    </row>
    <row r="3" spans="1:19" x14ac:dyDescent="0.2">
      <c r="A3" s="18">
        <v>389385</v>
      </c>
      <c r="B3" s="16"/>
    </row>
    <row r="4" spans="1:19" x14ac:dyDescent="0.2">
      <c r="B4" s="16"/>
    </row>
    <row r="7" spans="1:19" x14ac:dyDescent="0.2">
      <c r="A7" t="s">
        <v>28</v>
      </c>
      <c r="B7">
        <v>2000</v>
      </c>
      <c r="C7" s="16">
        <v>2001</v>
      </c>
      <c r="D7">
        <v>2002</v>
      </c>
      <c r="E7" s="16">
        <v>2003</v>
      </c>
      <c r="F7">
        <v>2004</v>
      </c>
      <c r="G7" s="16">
        <v>2005</v>
      </c>
      <c r="H7">
        <v>2006</v>
      </c>
      <c r="I7" s="16">
        <v>2007</v>
      </c>
      <c r="J7">
        <v>2008</v>
      </c>
      <c r="K7" s="16">
        <v>2009</v>
      </c>
      <c r="L7">
        <v>2010</v>
      </c>
      <c r="M7" s="16">
        <v>2011</v>
      </c>
      <c r="N7">
        <v>2012</v>
      </c>
      <c r="O7" s="16">
        <v>2013</v>
      </c>
      <c r="P7">
        <v>2014</v>
      </c>
      <c r="Q7" s="16">
        <v>2015</v>
      </c>
      <c r="R7" s="16">
        <v>2016</v>
      </c>
    </row>
    <row r="8" spans="1:19" x14ac:dyDescent="0.2">
      <c r="A8" t="s">
        <v>29</v>
      </c>
      <c r="B8" s="17">
        <v>250086</v>
      </c>
      <c r="C8" s="17">
        <v>256870</v>
      </c>
      <c r="D8" s="17">
        <v>262768</v>
      </c>
      <c r="E8" s="17">
        <v>270342</v>
      </c>
      <c r="F8" s="17">
        <v>280731</v>
      </c>
      <c r="G8" s="17">
        <v>289360</v>
      </c>
      <c r="H8" s="17">
        <v>299918</v>
      </c>
      <c r="I8" s="17">
        <v>314038</v>
      </c>
      <c r="J8" s="17">
        <v>328289</v>
      </c>
      <c r="K8" s="17">
        <v>337842</v>
      </c>
      <c r="L8" s="17">
        <v>344916</v>
      </c>
      <c r="M8" s="17">
        <v>355060</v>
      </c>
      <c r="N8" s="17">
        <v>364771</v>
      </c>
      <c r="O8" s="17">
        <v>371189</v>
      </c>
      <c r="P8" s="17">
        <v>378907</v>
      </c>
      <c r="Q8" s="17">
        <v>389385</v>
      </c>
      <c r="R8" s="21">
        <f>C15</f>
        <v>415284.40979999996</v>
      </c>
    </row>
    <row r="9" spans="1:19" x14ac:dyDescent="0.2">
      <c r="A9" s="16" t="s">
        <v>30</v>
      </c>
      <c r="B9" s="17">
        <v>2380358</v>
      </c>
      <c r="C9" s="17">
        <v>2478130</v>
      </c>
      <c r="D9" s="17">
        <v>2569876</v>
      </c>
      <c r="E9" s="17">
        <v>2677446</v>
      </c>
      <c r="F9" s="17">
        <v>2805115</v>
      </c>
      <c r="G9" s="17">
        <v>2907352</v>
      </c>
      <c r="H9" s="17">
        <v>3099081</v>
      </c>
      <c r="I9" s="17">
        <v>3297053</v>
      </c>
      <c r="J9" s="17">
        <v>3387599</v>
      </c>
      <c r="K9" s="17">
        <v>3288509</v>
      </c>
      <c r="L9" s="17">
        <v>3519994</v>
      </c>
      <c r="M9" s="17">
        <v>3656577</v>
      </c>
      <c r="N9" s="17">
        <v>3684800</v>
      </c>
      <c r="O9" s="17">
        <v>3769909</v>
      </c>
      <c r="P9" s="17">
        <v>3936840</v>
      </c>
      <c r="Q9" s="17">
        <v>4181103</v>
      </c>
      <c r="R9" s="17">
        <v>4378578</v>
      </c>
    </row>
    <row r="10" spans="1:19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9"/>
    </row>
    <row r="11" spans="1:19" x14ac:dyDescent="0.2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9"/>
      <c r="S11" s="19"/>
    </row>
    <row r="13" spans="1:19" x14ac:dyDescent="0.2">
      <c r="A13" t="s">
        <v>31</v>
      </c>
    </row>
    <row r="14" spans="1:19" x14ac:dyDescent="0.2">
      <c r="B14" t="s">
        <v>33</v>
      </c>
      <c r="C14" t="s">
        <v>32</v>
      </c>
    </row>
    <row r="15" spans="1:19" x14ac:dyDescent="0.2">
      <c r="A15">
        <v>2016</v>
      </c>
      <c r="B15" s="19">
        <f>R9</f>
        <v>4378578</v>
      </c>
      <c r="C15" s="20">
        <f>B15*0.0841+47046</f>
        <v>415284.40979999996</v>
      </c>
    </row>
    <row r="16" spans="1:19" x14ac:dyDescent="0.2">
      <c r="A16" t="s">
        <v>4</v>
      </c>
      <c r="C16" s="19">
        <f>C15/12</f>
        <v>34607.034149999999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8" sqref="D18"/>
    </sheetView>
  </sheetViews>
  <sheetFormatPr baseColWidth="10" defaultRowHeight="16" x14ac:dyDescent="0.2"/>
  <cols>
    <col min="1" max="1" width="19.5" style="36" customWidth="1"/>
    <col min="2" max="16384" width="10.83203125" style="36"/>
  </cols>
  <sheetData>
    <row r="1" spans="1:4" ht="33" thickBot="1" x14ac:dyDescent="0.25">
      <c r="A1" s="55" t="s">
        <v>79</v>
      </c>
      <c r="B1" s="56" t="s">
        <v>80</v>
      </c>
      <c r="C1" s="56" t="s">
        <v>81</v>
      </c>
      <c r="D1" s="56" t="s">
        <v>82</v>
      </c>
    </row>
    <row r="2" spans="1:4" ht="17" thickBot="1" x14ac:dyDescent="0.25">
      <c r="A2" s="57" t="s">
        <v>11</v>
      </c>
      <c r="B2" s="58">
        <v>42</v>
      </c>
      <c r="C2" s="58">
        <v>90</v>
      </c>
      <c r="D2" s="58">
        <v>196</v>
      </c>
    </row>
    <row r="3" spans="1:4" ht="17" thickBot="1" x14ac:dyDescent="0.25">
      <c r="A3" s="57" t="s">
        <v>75</v>
      </c>
      <c r="B3" s="58">
        <v>14</v>
      </c>
      <c r="C3" s="58">
        <v>100</v>
      </c>
      <c r="D3" s="58">
        <v>0</v>
      </c>
    </row>
    <row r="4" spans="1:4" ht="17" thickBot="1" x14ac:dyDescent="0.25">
      <c r="A4" s="59" t="s">
        <v>39</v>
      </c>
      <c r="B4" s="58">
        <v>231</v>
      </c>
      <c r="C4" s="60">
        <v>300</v>
      </c>
      <c r="D4" s="60">
        <v>578</v>
      </c>
    </row>
    <row r="7" spans="1:4" x14ac:dyDescent="0.2">
      <c r="A7" s="61"/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UK</vt:lpstr>
      <vt:lpstr>SWE</vt:lpstr>
      <vt:lpstr>CZE</vt:lpstr>
      <vt:lpstr>Comparison</vt:lpstr>
      <vt:lpstr>SWE-Average Salary</vt:lpstr>
      <vt:lpstr>Length of the Leave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2017-04-15T10:49:38Z</cp:lastPrinted>
  <dcterms:created xsi:type="dcterms:W3CDTF">2017-03-18T12:51:08Z</dcterms:created>
  <dcterms:modified xsi:type="dcterms:W3CDTF">2017-05-05T12:58:07Z</dcterms:modified>
</cp:coreProperties>
</file>