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VH Bristol" sheetId="8" r:id="rId1"/>
    <sheet name="Gilead Sciences" sheetId="7" r:id="rId2"/>
    <sheet name="Odvětví - grafy" sheetId="6" r:id="rId3"/>
  </sheets>
  <externalReferences>
    <externalReference r:id="rId4"/>
  </externalReference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"01/14/2019 09:01:47"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52511"/>
</workbook>
</file>

<file path=xl/calcChain.xml><?xml version="1.0" encoding="utf-8"?>
<calcChain xmlns="http://schemas.openxmlformats.org/spreadsheetml/2006/main">
  <c r="L19" i="8" l="1"/>
  <c r="B63" i="8"/>
  <c r="B46" i="8" l="1"/>
  <c r="B53" i="8" s="1"/>
  <c r="B38" i="8"/>
  <c r="B44" i="8" s="1"/>
  <c r="B30" i="8"/>
  <c r="U16" i="8"/>
  <c r="B27" i="8" s="1"/>
  <c r="B34" i="8" s="1"/>
  <c r="M21" i="7"/>
  <c r="D7" i="8"/>
  <c r="C7" i="8"/>
  <c r="J19" i="8"/>
  <c r="I19" i="8"/>
  <c r="M17" i="8"/>
  <c r="B62" i="8" s="1"/>
  <c r="B32" i="8"/>
  <c r="L7" i="8"/>
  <c r="K7" i="8"/>
  <c r="J7" i="8"/>
  <c r="I7" i="8"/>
  <c r="H7" i="8"/>
  <c r="G7" i="8"/>
  <c r="F7" i="8"/>
  <c r="E7" i="8"/>
  <c r="L21" i="8"/>
  <c r="K19" i="8"/>
  <c r="C9" i="7"/>
  <c r="C5" i="7" s="1"/>
  <c r="D9" i="7"/>
  <c r="E9" i="7"/>
  <c r="F9" i="7"/>
  <c r="G9" i="7"/>
  <c r="H9" i="7"/>
  <c r="I9" i="7"/>
  <c r="J9" i="7"/>
  <c r="J5" i="7" s="1"/>
  <c r="K9" i="7"/>
  <c r="L9" i="7"/>
  <c r="B49" i="7"/>
  <c r="B42" i="7"/>
  <c r="B32" i="7"/>
  <c r="U20" i="7"/>
  <c r="B65" i="8" l="1"/>
  <c r="B66" i="8" s="1"/>
  <c r="B59" i="8"/>
  <c r="L5" i="8"/>
  <c r="L20" i="8" s="1"/>
  <c r="L22" i="8" s="1"/>
  <c r="B58" i="8" s="1"/>
  <c r="G5" i="8"/>
  <c r="D5" i="8"/>
  <c r="H5" i="8"/>
  <c r="F5" i="8"/>
  <c r="J5" i="8"/>
  <c r="J20" i="8" s="1"/>
  <c r="C5" i="8"/>
  <c r="K5" i="8"/>
  <c r="K20" i="8" s="1"/>
  <c r="E5" i="8"/>
  <c r="I5" i="8"/>
  <c r="I20" i="8" s="1"/>
  <c r="B29" i="7"/>
  <c r="U22" i="7"/>
  <c r="B41" i="7"/>
  <c r="L5" i="7"/>
  <c r="K5" i="7"/>
  <c r="H5" i="7"/>
  <c r="G5" i="7"/>
  <c r="F5" i="7"/>
  <c r="E5" i="7"/>
  <c r="D5" i="7"/>
  <c r="I5" i="7"/>
  <c r="L119" i="6"/>
  <c r="K119" i="6"/>
  <c r="J119" i="6"/>
  <c r="I119" i="6"/>
  <c r="H119" i="6"/>
  <c r="G119" i="6"/>
  <c r="F119" i="6"/>
  <c r="E119" i="6"/>
  <c r="D119" i="6"/>
  <c r="C119" i="6"/>
  <c r="B119" i="6"/>
  <c r="L118" i="6"/>
  <c r="K118" i="6"/>
  <c r="J118" i="6"/>
  <c r="I118" i="6"/>
  <c r="H118" i="6"/>
  <c r="G118" i="6"/>
  <c r="F118" i="6"/>
  <c r="E118" i="6"/>
  <c r="D118" i="6"/>
  <c r="C118" i="6"/>
  <c r="B118" i="6"/>
  <c r="L117" i="6"/>
  <c r="K117" i="6"/>
  <c r="J117" i="6"/>
  <c r="I117" i="6"/>
  <c r="H117" i="6"/>
  <c r="G117" i="6"/>
  <c r="F117" i="6"/>
  <c r="E117" i="6"/>
  <c r="D117" i="6"/>
  <c r="C117" i="6"/>
  <c r="B117" i="6"/>
  <c r="B103" i="6"/>
  <c r="L84" i="6"/>
  <c r="K84" i="6"/>
  <c r="J84" i="6"/>
  <c r="I84" i="6"/>
  <c r="H84" i="6"/>
  <c r="G84" i="6"/>
  <c r="F84" i="6"/>
  <c r="E84" i="6"/>
  <c r="D84" i="6"/>
  <c r="C84" i="6"/>
  <c r="B84" i="6"/>
  <c r="L83" i="6"/>
  <c r="K83" i="6"/>
  <c r="J83" i="6"/>
  <c r="I83" i="6"/>
  <c r="H83" i="6"/>
  <c r="G83" i="6"/>
  <c r="F83" i="6"/>
  <c r="E83" i="6"/>
  <c r="D83" i="6"/>
  <c r="C83" i="6"/>
  <c r="B83" i="6"/>
  <c r="L82" i="6"/>
  <c r="K82" i="6"/>
  <c r="J82" i="6"/>
  <c r="I82" i="6"/>
  <c r="H82" i="6"/>
  <c r="G82" i="6"/>
  <c r="F82" i="6"/>
  <c r="E82" i="6"/>
  <c r="D82" i="6"/>
  <c r="C82" i="6"/>
  <c r="B82" i="6"/>
  <c r="AD62" i="6"/>
  <c r="L40" i="6"/>
  <c r="K40" i="6"/>
  <c r="J40" i="6"/>
  <c r="I40" i="6"/>
  <c r="H40" i="6"/>
  <c r="G40" i="6"/>
  <c r="F40" i="6"/>
  <c r="E40" i="6"/>
  <c r="D40" i="6"/>
  <c r="C40" i="6"/>
  <c r="B40" i="6"/>
  <c r="L39" i="6"/>
  <c r="K39" i="6"/>
  <c r="J39" i="6"/>
  <c r="I39" i="6"/>
  <c r="H39" i="6"/>
  <c r="G39" i="6"/>
  <c r="F39" i="6"/>
  <c r="E39" i="6"/>
  <c r="D39" i="6"/>
  <c r="C39" i="6"/>
  <c r="B39" i="6"/>
  <c r="L34" i="6"/>
  <c r="K34" i="6"/>
  <c r="J34" i="6"/>
  <c r="I34" i="6"/>
  <c r="H34" i="6"/>
  <c r="G34" i="6"/>
  <c r="F34" i="6"/>
  <c r="E34" i="6"/>
  <c r="D34" i="6"/>
  <c r="C34" i="6"/>
  <c r="B34" i="6"/>
  <c r="L33" i="6"/>
  <c r="K33" i="6"/>
  <c r="J33" i="6"/>
  <c r="I33" i="6"/>
  <c r="H33" i="6"/>
  <c r="G33" i="6"/>
  <c r="L32" i="6"/>
  <c r="K32" i="6"/>
  <c r="J32" i="6"/>
  <c r="I32" i="6"/>
  <c r="H32" i="6"/>
  <c r="G32" i="6"/>
  <c r="L31" i="6"/>
  <c r="K31" i="6"/>
  <c r="J31" i="6"/>
  <c r="I31" i="6"/>
  <c r="H31" i="6"/>
  <c r="G31" i="6"/>
  <c r="F31" i="6"/>
  <c r="E31" i="6"/>
  <c r="D31" i="6"/>
  <c r="C31" i="6"/>
  <c r="B31" i="6"/>
  <c r="L15" i="6"/>
  <c r="K15" i="6"/>
  <c r="J15" i="6"/>
  <c r="I15" i="6"/>
  <c r="H15" i="6"/>
  <c r="G15" i="6"/>
  <c r="F15" i="6"/>
  <c r="E15" i="6"/>
  <c r="D15" i="6"/>
  <c r="C15" i="6"/>
  <c r="B15" i="6"/>
  <c r="L10" i="6"/>
  <c r="K10" i="6"/>
  <c r="J10" i="6"/>
  <c r="I10" i="6"/>
  <c r="H10" i="6"/>
  <c r="G10" i="6"/>
  <c r="F10" i="6"/>
  <c r="E10" i="6"/>
  <c r="D10" i="6"/>
  <c r="C10" i="6"/>
  <c r="L7" i="6"/>
  <c r="L14" i="6" s="1"/>
  <c r="K7" i="6"/>
  <c r="J7" i="6"/>
  <c r="I7" i="6"/>
  <c r="H7" i="6"/>
  <c r="H14" i="6" s="1"/>
  <c r="G7" i="6"/>
  <c r="F7" i="6"/>
  <c r="E7" i="6"/>
  <c r="D7" i="6"/>
  <c r="D14" i="6" s="1"/>
  <c r="C7" i="6"/>
  <c r="B7" i="6"/>
  <c r="B30" i="7" l="1"/>
  <c r="B35" i="7" s="1"/>
  <c r="B36" i="7" s="1"/>
  <c r="B44" i="7"/>
  <c r="I14" i="6"/>
  <c r="J9" i="6"/>
  <c r="E85" i="6"/>
  <c r="I85" i="6"/>
  <c r="C85" i="6"/>
  <c r="G85" i="6"/>
  <c r="K85" i="6"/>
  <c r="C120" i="6"/>
  <c r="G120" i="6"/>
  <c r="K120" i="6"/>
  <c r="E120" i="6"/>
  <c r="C9" i="6"/>
  <c r="G9" i="6"/>
  <c r="K9" i="6"/>
  <c r="I120" i="6"/>
  <c r="H9" i="6"/>
  <c r="I9" i="6"/>
  <c r="F85" i="6"/>
  <c r="D9" i="6"/>
  <c r="L9" i="6"/>
  <c r="B85" i="6"/>
  <c r="J85" i="6"/>
  <c r="F14" i="6"/>
  <c r="E9" i="6"/>
  <c r="C37" i="6"/>
  <c r="C36" i="6"/>
  <c r="D85" i="6"/>
  <c r="H85" i="6"/>
  <c r="L85" i="6"/>
  <c r="B120" i="6"/>
  <c r="F120" i="6"/>
  <c r="J120" i="6"/>
  <c r="D120" i="6"/>
  <c r="H120" i="6"/>
  <c r="L120" i="6"/>
  <c r="E14" i="6"/>
  <c r="B14" i="6"/>
  <c r="J14" i="6"/>
  <c r="F9" i="6"/>
  <c r="C14" i="6"/>
  <c r="G14" i="6"/>
  <c r="K14" i="6"/>
  <c r="B52" i="7" l="1"/>
  <c r="C122" i="6"/>
  <c r="C11" i="6"/>
  <c r="C87" i="6"/>
  <c r="C88" i="6"/>
  <c r="C123" i="6"/>
  <c r="C12" i="6"/>
</calcChain>
</file>

<file path=xl/sharedStrings.xml><?xml version="1.0" encoding="utf-8"?>
<sst xmlns="http://schemas.openxmlformats.org/spreadsheetml/2006/main" count="346" uniqueCount="166">
  <si>
    <t>Indikátor</t>
  </si>
  <si>
    <t>2015</t>
  </si>
  <si>
    <t>2016</t>
  </si>
  <si>
    <t>2017</t>
  </si>
  <si>
    <t>2018P</t>
  </si>
  <si>
    <t>2019P</t>
  </si>
  <si>
    <t>2020P</t>
  </si>
  <si>
    <t>2021P</t>
  </si>
  <si>
    <t>2022P</t>
  </si>
  <si>
    <t>2023P</t>
  </si>
  <si>
    <t>2024P</t>
  </si>
  <si>
    <t>2025P</t>
  </si>
  <si>
    <t>2026P</t>
  </si>
  <si>
    <t>2027P</t>
  </si>
  <si>
    <t>Komerční a retailové bankovnictví</t>
  </si>
  <si>
    <t>Produkce, Celkem, TWh, EIA</t>
  </si>
  <si>
    <t>Obnovitelná energie</t>
  </si>
  <si>
    <t>Klientské úvěry, USD v miliardách, Federal Reserve, Fitch Solutions</t>
  </si>
  <si>
    <t>Automobilový průmysl</t>
  </si>
  <si>
    <t>Prodej aut v milionech, US Dept of Transport, Fitch Solutions</t>
  </si>
  <si>
    <t>Farmaceutický průmysl</t>
  </si>
  <si>
    <t>Tržby z prodeje léčiv, USDbn, CMS, CHPA, Fitch Solutions</t>
  </si>
  <si>
    <t>v %</t>
  </si>
  <si>
    <t>v % včetně inflace</t>
  </si>
  <si>
    <t>Inflace v USA</t>
  </si>
  <si>
    <t>Statista + předpoklad 2 % od 2024</t>
  </si>
  <si>
    <t>Společnost</t>
  </si>
  <si>
    <t>BANKING</t>
  </si>
  <si>
    <t>Čistý úrokový výnos v mil. USD</t>
  </si>
  <si>
    <t>2008</t>
  </si>
  <si>
    <t>2009</t>
  </si>
  <si>
    <t>2010</t>
  </si>
  <si>
    <t>2011</t>
  </si>
  <si>
    <t>2012</t>
  </si>
  <si>
    <t>2013</t>
  </si>
  <si>
    <t>2014</t>
  </si>
  <si>
    <t>JPMorgan Chase &amp; Co.</t>
  </si>
  <si>
    <t>Wells Fargo &amp; Company</t>
  </si>
  <si>
    <t>Citigroup Inc.</t>
  </si>
  <si>
    <t>Čistý úrokový výnos (levá osa)</t>
  </si>
  <si>
    <t>HDP (pravá osa)</t>
  </si>
  <si>
    <t>Čistý úrokový výnos %</t>
  </si>
  <si>
    <t>HDP růst %</t>
  </si>
  <si>
    <t>Korelační koeficient 5letý</t>
  </si>
  <si>
    <t>Korelační koeficient 10letý</t>
  </si>
  <si>
    <t>Čistý úrokový výnos</t>
  </si>
  <si>
    <t>HDP</t>
  </si>
  <si>
    <t>Ormat Technologies (ZM)</t>
  </si>
  <si>
    <t>NextEra Energy Partners  (ZM)</t>
  </si>
  <si>
    <t>TerraForm Power  (ZM)</t>
  </si>
  <si>
    <t>Tržby</t>
  </si>
  <si>
    <t>2007</t>
  </si>
  <si>
    <t>Ormat Technologies (T)</t>
  </si>
  <si>
    <t>NextEra Energy Partners (T)</t>
  </si>
  <si>
    <t>TerraForm Power (T)</t>
  </si>
  <si>
    <t>Výnosy</t>
  </si>
  <si>
    <t>Indicator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</si>
  <si>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</si>
  <si>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</si>
  <si>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</si>
  <si>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</si>
  <si>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</si>
  <si>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</si>
  <si>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</si>
  <si>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</si>
  <si>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</si>
  <si>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</si>
  <si>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</si>
  <si>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</si>
  <si>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</si>
  <si>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</si>
  <si>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</si>
  <si>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</si>
  <si>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</si>
  <si>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2016e</t>
  </si>
  <si>
    <t>2017e</t>
  </si>
  <si>
    <t>Generation, Total, TWh, EIA</t>
  </si>
  <si>
    <t xml:space="preserve">Termální </t>
  </si>
  <si>
    <t>Nukleární</t>
  </si>
  <si>
    <t>Vodní</t>
  </si>
  <si>
    <t>Ostatní obnovitelné zdroje</t>
  </si>
  <si>
    <t>AUTO</t>
  </si>
  <si>
    <t>Lear Corporation</t>
  </si>
  <si>
    <t>Ford Motor Company</t>
  </si>
  <si>
    <t>General Motors Company</t>
  </si>
  <si>
    <t>Průměr</t>
  </si>
  <si>
    <t>HDP USA</t>
  </si>
  <si>
    <t>Podíl na trhu</t>
  </si>
  <si>
    <t>Toyota Motor Corporation</t>
  </si>
  <si>
    <t>FCA/Chrysler group</t>
  </si>
  <si>
    <t>Nissan Motor Company / Mitsubishi</t>
  </si>
  <si>
    <t>Honda Motor Company</t>
  </si>
  <si>
    <t>Hyundai-Kia</t>
  </si>
  <si>
    <t>Subaru</t>
  </si>
  <si>
    <t>Volkswagen Group (bez Lamborghiny)</t>
  </si>
  <si>
    <t>Daimler</t>
  </si>
  <si>
    <t>Ostatní</t>
  </si>
  <si>
    <t>Pfizer</t>
  </si>
  <si>
    <t>Merck &amp; Co</t>
  </si>
  <si>
    <t>Eli Lilly and Company</t>
  </si>
  <si>
    <t>Tržy z prodeje léků v ČR (levá osa)</t>
  </si>
  <si>
    <t>Tržy z prodeje léků v UK (pravá osa)</t>
  </si>
  <si>
    <t>Renewables</t>
  </si>
  <si>
    <t>Porovnání UK vs CZ</t>
  </si>
  <si>
    <t>Odvětví - vývoj</t>
  </si>
  <si>
    <t>Le graf to the top</t>
  </si>
  <si>
    <t>Dividenda*</t>
  </si>
  <si>
    <t>Zisk**</t>
  </si>
  <si>
    <t>FCFE</t>
  </si>
  <si>
    <t>FCFF</t>
  </si>
  <si>
    <t>EQ</t>
  </si>
  <si>
    <t>Emise + a splátky dluhových instrumentů -</t>
  </si>
  <si>
    <t>Ukazatel</t>
  </si>
  <si>
    <t>Počet akcií</t>
  </si>
  <si>
    <t>Dividenda na akcii</t>
  </si>
  <si>
    <t>g  CAGR do 2018</t>
  </si>
  <si>
    <t>g (rust odvetvi)</t>
  </si>
  <si>
    <t>nákladové úroky</t>
  </si>
  <si>
    <t>ke</t>
  </si>
  <si>
    <t>Nákladové úroky očištěné o daň</t>
  </si>
  <si>
    <t>H</t>
  </si>
  <si>
    <t>5 let</t>
  </si>
  <si>
    <t>avgmedB</t>
  </si>
  <si>
    <t>avg med roe</t>
  </si>
  <si>
    <t>Gordonův model</t>
  </si>
  <si>
    <t>H model</t>
  </si>
  <si>
    <t>p/e</t>
  </si>
  <si>
    <t>p</t>
  </si>
  <si>
    <t>E1</t>
  </si>
  <si>
    <t>P/En</t>
  </si>
  <si>
    <t>EQ na akcii</t>
  </si>
  <si>
    <t>roe</t>
  </si>
  <si>
    <t>nadmerny vynos</t>
  </si>
  <si>
    <t>Graf</t>
  </si>
  <si>
    <t>Dividendové modely</t>
  </si>
  <si>
    <t>CAGR</t>
  </si>
  <si>
    <t>ga</t>
  </si>
  <si>
    <t>gn</t>
  </si>
  <si>
    <t>2027p</t>
  </si>
  <si>
    <t>ziskový model</t>
  </si>
  <si>
    <t>Výplatní poměr</t>
  </si>
  <si>
    <t>Očekávaný zisk na jendu akcii</t>
  </si>
  <si>
    <t>Nadměrný ziskový výnos</t>
  </si>
  <si>
    <t>kd</t>
  </si>
  <si>
    <t>E/C</t>
  </si>
  <si>
    <t>D/C</t>
  </si>
  <si>
    <t>tax rate</t>
  </si>
  <si>
    <t>WACC</t>
  </si>
  <si>
    <t>roc</t>
  </si>
  <si>
    <t>capex</t>
  </si>
  <si>
    <t>zwoca</t>
  </si>
  <si>
    <t>EBIT</t>
  </si>
  <si>
    <t>t</t>
  </si>
  <si>
    <t>FCFE pro účely výpočtu VH</t>
  </si>
  <si>
    <t>FCFF pro účely výpočtu VH</t>
  </si>
  <si>
    <t>Dividendový model</t>
  </si>
  <si>
    <t>CF modely</t>
  </si>
  <si>
    <t>odpisy</t>
  </si>
  <si>
    <t>gfcf</t>
  </si>
  <si>
    <t>Aktiva celkem</t>
  </si>
  <si>
    <t>FCFE pro účely výpočtu VH na akcii</t>
  </si>
  <si>
    <t>FCFF pro účely výpočtu VH na akcii</t>
  </si>
  <si>
    <t>Ziskový model</t>
  </si>
  <si>
    <t>V0</t>
  </si>
  <si>
    <t>počet akcií</t>
  </si>
  <si>
    <t>Úprava o výdej peněz za nákup vlastních akcií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</si>
</sst>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6" formatCode="_(#,##0.0%_);_(\(#,##0.0%\)_);_(#,##0.0%_)"/>
    <numFmt numFmtId="171" formatCode="#,##0.0"/>
    <numFmt numFmtId="172" formatCode="0.0%"/>
    <numFmt numFmtId="173" formatCode="#,##0.000"/>
    <numFmt numFmtId="177" formatCode="_-[$$-409]* #,##0.00_ ;_-[$$-409]* \-#,##0.00\ ;_-[$$-409]* &quot;-&quot;??_ ;_-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"/>
      <color indexed="9"/>
      <name val="Symbol"/>
      <family val="1"/>
      <charset val="2"/>
    </font>
    <font>
      <sz val="8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rgb="FF000000"/>
      <name val="Verdana"/>
      <family val="2"/>
      <charset val="238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double">
        <color theme="4"/>
      </top>
      <bottom style="thin">
        <color theme="4" tint="0.39997558519241921"/>
      </bottom>
      <diagonal/>
    </border>
    <border>
      <left/>
      <right/>
      <top style="double">
        <color theme="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double">
        <color theme="4"/>
      </top>
      <bottom style="thin">
        <color theme="4" tint="0.39997558519241921"/>
      </bottom>
      <diagonal/>
    </border>
    <border>
      <left style="medium">
        <color rgb="FFDEDFDE"/>
      </left>
      <right style="medium">
        <color rgb="FFEFEFE2"/>
      </right>
      <top style="medium">
        <color rgb="FFDEDFDE"/>
      </top>
      <bottom style="medium">
        <color rgb="FFDEDFDE"/>
      </bottom>
      <diagonal/>
    </border>
    <border>
      <left style="medium">
        <color rgb="FFEFEFE2"/>
      </left>
      <right style="medium">
        <color rgb="FFEFEFE2"/>
      </right>
      <top style="medium">
        <color rgb="FFDEDFDE"/>
      </top>
      <bottom style="medium">
        <color rgb="FFDEDFDE"/>
      </bottom>
      <diagonal/>
    </border>
    <border>
      <left style="medium">
        <color rgb="FFEFEFE2"/>
      </left>
      <right style="medium">
        <color rgb="FFDEDFDE"/>
      </right>
      <top style="medium">
        <color rgb="FFDEDFDE"/>
      </top>
      <bottom style="medium">
        <color rgb="FFDEDFDE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9" fillId="0" borderId="0" applyAlignment="0"/>
    <xf numFmtId="0" fontId="14" fillId="0" borderId="0" applyNumberFormat="0" applyFill="0" applyBorder="0" applyAlignment="0" applyProtection="0"/>
  </cellStyleXfs>
  <cellXfs count="89">
    <xf numFmtId="0" fontId="0" fillId="0" borderId="0" xfId="0"/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right" vertical="center" wrapText="1"/>
    </xf>
    <xf numFmtId="164" fontId="5" fillId="3" borderId="3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164" fontId="6" fillId="3" borderId="2" xfId="0" applyNumberFormat="1" applyFont="1" applyFill="1" applyBorder="1" applyAlignment="1">
      <alignment horizontal="right" vertical="center" wrapText="1"/>
    </xf>
    <xf numFmtId="164" fontId="6" fillId="3" borderId="3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164" fontId="6" fillId="3" borderId="5" xfId="0" applyNumberFormat="1" applyFont="1" applyFill="1" applyBorder="1" applyAlignment="1">
      <alignment horizontal="right" vertical="center" wrapText="1"/>
    </xf>
    <xf numFmtId="164" fontId="6" fillId="3" borderId="6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3" borderId="1" xfId="0" applyFont="1" applyFill="1" applyBorder="1"/>
    <xf numFmtId="0" fontId="0" fillId="3" borderId="2" xfId="0" applyFont="1" applyFill="1" applyBorder="1"/>
    <xf numFmtId="171" fontId="0" fillId="3" borderId="2" xfId="0" applyNumberFormat="1" applyFont="1" applyFill="1" applyBorder="1"/>
    <xf numFmtId="171" fontId="0" fillId="3" borderId="3" xfId="0" applyNumberFormat="1" applyFont="1" applyFill="1" applyBorder="1"/>
    <xf numFmtId="0" fontId="0" fillId="0" borderId="1" xfId="0" applyFont="1" applyBorder="1"/>
    <xf numFmtId="0" fontId="0" fillId="0" borderId="2" xfId="0" applyFont="1" applyBorder="1"/>
    <xf numFmtId="171" fontId="0" fillId="0" borderId="2" xfId="0" applyNumberFormat="1" applyFont="1" applyBorder="1"/>
    <xf numFmtId="171" fontId="0" fillId="0" borderId="3" xfId="0" applyNumberFormat="1" applyFont="1" applyBorder="1"/>
    <xf numFmtId="4" fontId="0" fillId="3" borderId="2" xfId="0" applyNumberFormat="1" applyFont="1" applyFill="1" applyBorder="1"/>
    <xf numFmtId="172" fontId="0" fillId="0" borderId="0" xfId="1" applyNumberFormat="1" applyFont="1"/>
    <xf numFmtId="0" fontId="3" fillId="0" borderId="7" xfId="0" applyFont="1" applyBorder="1"/>
    <xf numFmtId="0" fontId="3" fillId="0" borderId="8" xfId="0" applyFont="1" applyBorder="1"/>
    <xf numFmtId="171" fontId="3" fillId="0" borderId="8" xfId="0" applyNumberFormat="1" applyFont="1" applyBorder="1"/>
    <xf numFmtId="171" fontId="3" fillId="0" borderId="9" xfId="0" applyNumberFormat="1" applyFont="1" applyBorder="1"/>
    <xf numFmtId="0" fontId="3" fillId="0" borderId="0" xfId="0" applyFont="1" applyBorder="1"/>
    <xf numFmtId="9" fontId="0" fillId="3" borderId="2" xfId="1" applyFont="1" applyFill="1" applyBorder="1"/>
    <xf numFmtId="0" fontId="3" fillId="0" borderId="0" xfId="0" applyFont="1"/>
    <xf numFmtId="0" fontId="0" fillId="0" borderId="0" xfId="0" applyAlignment="1">
      <alignment horizontal="right"/>
    </xf>
    <xf numFmtId="171" fontId="0" fillId="0" borderId="0" xfId="0" applyNumberFormat="1"/>
    <xf numFmtId="173" fontId="0" fillId="0" borderId="0" xfId="0" applyNumberFormat="1"/>
    <xf numFmtId="4" fontId="0" fillId="0" borderId="0" xfId="0" applyNumberFormat="1"/>
    <xf numFmtId="4" fontId="0" fillId="0" borderId="2" xfId="0" applyNumberFormat="1" applyFont="1" applyBorder="1"/>
    <xf numFmtId="2" fontId="0" fillId="3" borderId="2" xfId="1" applyNumberFormat="1" applyFont="1" applyFill="1" applyBorder="1"/>
    <xf numFmtId="9" fontId="0" fillId="0" borderId="0" xfId="0" applyNumberFormat="1"/>
    <xf numFmtId="0" fontId="0" fillId="0" borderId="0" xfId="0" applyFont="1" applyFill="1" applyBorder="1"/>
    <xf numFmtId="2" fontId="0" fillId="0" borderId="0" xfId="0" applyNumberFormat="1"/>
    <xf numFmtId="0" fontId="11" fillId="0" borderId="0" xfId="0" applyFont="1"/>
    <xf numFmtId="10" fontId="0" fillId="0" borderId="0" xfId="0" applyNumberFormat="1"/>
    <xf numFmtId="0" fontId="0" fillId="4" borderId="1" xfId="0" applyFont="1" applyFill="1" applyBorder="1"/>
    <xf numFmtId="0" fontId="0" fillId="4" borderId="2" xfId="0" applyFont="1" applyFill="1" applyBorder="1"/>
    <xf numFmtId="171" fontId="0" fillId="4" borderId="2" xfId="0" applyNumberFormat="1" applyFont="1" applyFill="1" applyBorder="1"/>
    <xf numFmtId="171" fontId="0" fillId="4" borderId="3" xfId="0" applyNumberFormat="1" applyFont="1" applyFill="1" applyBorder="1"/>
    <xf numFmtId="0" fontId="0" fillId="5" borderId="1" xfId="0" applyFont="1" applyFill="1" applyBorder="1"/>
    <xf numFmtId="0" fontId="0" fillId="5" borderId="0" xfId="0" applyFill="1"/>
    <xf numFmtId="0" fontId="12" fillId="6" borderId="0" xfId="0" applyFont="1" applyFill="1"/>
    <xf numFmtId="0" fontId="13" fillId="7" borderId="10" xfId="0" applyFont="1" applyFill="1" applyBorder="1" applyAlignment="1">
      <alignment horizontal="right" vertical="center"/>
    </xf>
    <xf numFmtId="0" fontId="13" fillId="7" borderId="11" xfId="0" applyFont="1" applyFill="1" applyBorder="1" applyAlignment="1">
      <alignment horizontal="right" vertical="center"/>
    </xf>
    <xf numFmtId="0" fontId="13" fillId="7" borderId="12" xfId="0" applyFont="1" applyFill="1" applyBorder="1" applyAlignment="1">
      <alignment horizontal="right" vertical="center"/>
    </xf>
    <xf numFmtId="166" fontId="0" fillId="0" borderId="0" xfId="0" applyNumberFormat="1"/>
    <xf numFmtId="0" fontId="0" fillId="0" borderId="0" xfId="0" applyNumberFormat="1"/>
    <xf numFmtId="9" fontId="0" fillId="0" borderId="0" xfId="1" applyFont="1"/>
    <xf numFmtId="0" fontId="0" fillId="0" borderId="1" xfId="0" applyFont="1" applyFill="1" applyBorder="1"/>
    <xf numFmtId="0" fontId="0" fillId="0" borderId="2" xfId="0" applyFont="1" applyFill="1" applyBorder="1"/>
    <xf numFmtId="0" fontId="2" fillId="2" borderId="0" xfId="0" applyFont="1" applyFill="1" applyBorder="1"/>
    <xf numFmtId="2" fontId="11" fillId="0" borderId="0" xfId="0" applyNumberFormat="1" applyFont="1"/>
    <xf numFmtId="0" fontId="0" fillId="0" borderId="0" xfId="0" applyFill="1"/>
    <xf numFmtId="10" fontId="0" fillId="0" borderId="0" xfId="0" applyNumberFormat="1" applyFill="1"/>
    <xf numFmtId="0" fontId="11" fillId="0" borderId="0" xfId="0" applyFont="1" applyFill="1"/>
    <xf numFmtId="177" fontId="0" fillId="0" borderId="0" xfId="0" applyNumberFormat="1"/>
    <xf numFmtId="9" fontId="0" fillId="0" borderId="0" xfId="1" applyFont="1" applyFill="1"/>
    <xf numFmtId="172" fontId="0" fillId="0" borderId="0" xfId="1" applyNumberFormat="1" applyFont="1" applyFill="1"/>
    <xf numFmtId="0" fontId="8" fillId="0" borderId="0" xfId="0" applyFont="1" applyFill="1" applyAlignment="1">
      <alignment horizontal="right"/>
    </xf>
    <xf numFmtId="0" fontId="2" fillId="0" borderId="0" xfId="0" applyFont="1" applyFill="1" applyBorder="1"/>
    <xf numFmtId="0" fontId="0" fillId="0" borderId="0" xfId="0" applyNumberFormat="1" applyFont="1" applyFill="1" applyBorder="1"/>
    <xf numFmtId="0" fontId="0" fillId="0" borderId="0" xfId="0" applyFill="1" applyBorder="1"/>
    <xf numFmtId="0" fontId="14" fillId="7" borderId="10" xfId="4" applyFill="1" applyBorder="1" applyAlignment="1">
      <alignment horizontal="right" vertical="center"/>
    </xf>
    <xf numFmtId="0" fontId="14" fillId="7" borderId="11" xfId="4" applyFill="1" applyBorder="1" applyAlignment="1">
      <alignment horizontal="right" vertical="center"/>
    </xf>
    <xf numFmtId="0" fontId="14" fillId="7" borderId="12" xfId="4" applyFill="1" applyBorder="1" applyAlignment="1">
      <alignment horizontal="right" vertical="center"/>
    </xf>
    <xf numFmtId="10" fontId="0" fillId="0" borderId="0" xfId="1" applyNumberFormat="1" applyFont="1"/>
    <xf numFmtId="166" fontId="10" fillId="0" borderId="0" xfId="0" applyNumberFormat="1" applyFont="1" applyAlignment="1">
      <alignment horizontal="right" vertical="top" wrapText="1"/>
    </xf>
  </cellXfs>
  <cellStyles count="5">
    <cellStyle name="Hyperlink" xfId="4" builtinId="8"/>
    <cellStyle name="Invisible" xfId="3"/>
    <cellStyle name="Normal" xfId="0" builtinId="0"/>
    <cellStyle name="Normal 2" xfId="2"/>
    <cellStyle name="Percent" xfId="1" builtinId="5"/>
  </cellStyles>
  <dxfs count="42"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173" formatCode="#,##0.000"/>
    </dxf>
    <dxf>
      <numFmt numFmtId="173" formatCode="#,##0.000"/>
    </dxf>
    <dxf>
      <numFmt numFmtId="173" formatCode="#,##0.000"/>
    </dxf>
    <dxf>
      <numFmt numFmtId="173" formatCode="#,##0.000"/>
    </dxf>
    <dxf>
      <numFmt numFmtId="173" formatCode="#,##0.000"/>
    </dxf>
    <dxf>
      <numFmt numFmtId="173" formatCode="#,##0.000"/>
    </dxf>
    <dxf>
      <numFmt numFmtId="173" formatCode="#,##0.000"/>
    </dxf>
    <dxf>
      <numFmt numFmtId="173" formatCode="#,##0.000"/>
    </dxf>
    <dxf>
      <numFmt numFmtId="173" formatCode="#,##0.000"/>
    </dxf>
    <dxf>
      <numFmt numFmtId="173" formatCode="#,##0.000"/>
    </dxf>
    <dxf>
      <numFmt numFmtId="173" formatCode="#,##0.000"/>
    </dxf>
    <dxf>
      <numFmt numFmtId="173" formatCode="#,##0.000"/>
    </dxf>
    <dxf>
      <numFmt numFmtId="173" formatCode="#,##0.000"/>
    </dxf>
    <dxf>
      <numFmt numFmtId="173" formatCode="#,##0.000"/>
    </dxf>
    <dxf>
      <numFmt numFmtId="173" formatCode="#,##0.000"/>
    </dxf>
    <dxf>
      <numFmt numFmtId="173" formatCode="#,##0.000"/>
    </dxf>
    <dxf>
      <numFmt numFmtId="173" formatCode="#,##0.000"/>
    </dxf>
    <dxf>
      <numFmt numFmtId="173" formatCode="#,##0.000"/>
    </dxf>
    <dxf>
      <numFmt numFmtId="173" formatCode="#,##0.000"/>
    </dxf>
    <dxf>
      <numFmt numFmtId="173" formatCode="#,##0.000"/>
    </dxf>
    <dxf>
      <numFmt numFmtId="173" formatCode="#,##0.000"/>
    </dxf>
    <dxf>
      <numFmt numFmtId="173" formatCode="#,##0.000"/>
    </dxf>
    <dxf>
      <numFmt numFmtId="173" formatCode="#,##0.000"/>
    </dxf>
    <dxf>
      <numFmt numFmtId="173" formatCode="#,##0.000"/>
    </dxf>
    <dxf>
      <numFmt numFmtId="173" formatCode="#,##0.000"/>
    </dxf>
    <dxf>
      <numFmt numFmtId="173" formatCode="#,##0.000"/>
    </dxf>
    <dxf>
      <numFmt numFmtId="173" formatCode="#,##0.000"/>
    </dxf>
    <dxf>
      <numFmt numFmtId="173" formatCode="#,##0.000"/>
    </dxf>
    <dxf>
      <numFmt numFmtId="173" formatCode="#,##0.000"/>
    </dxf>
    <dxf>
      <numFmt numFmtId="173" formatCode="#,##0.000"/>
    </dxf>
    <dxf>
      <numFmt numFmtId="173" formatCode="#,##0.000"/>
    </dxf>
    <dxf>
      <numFmt numFmtId="173" formatCode="#,##0.000"/>
    </dxf>
    <dxf>
      <numFmt numFmtId="173" formatCode="#,##0.000"/>
    </dxf>
    <dxf>
      <numFmt numFmtId="173" formatCode="#,##0.000"/>
    </dxf>
    <dxf>
      <numFmt numFmtId="173" formatCode="#,##0.000"/>
    </dxf>
    <dxf>
      <numFmt numFmtId="173" formatCode="#,##0.000"/>
    </dxf>
    <dxf>
      <numFmt numFmtId="173" formatCode="#,##0.000"/>
    </dxf>
    <dxf>
      <numFmt numFmtId="173" formatCode="#,##0.000"/>
    </dxf>
    <dxf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20144356955382"/>
          <c:y val="6.9861111111111124E-2"/>
          <c:w val="0.8320879265091865"/>
          <c:h val="0.71638478409376904"/>
        </c:manualLayout>
      </c:layout>
      <c:lineChart>
        <c:grouping val="standard"/>
        <c:varyColors val="0"/>
        <c:ser>
          <c:idx val="0"/>
          <c:order val="0"/>
          <c:tx>
            <c:strRef>
              <c:f>'VH Bristol'!$B$2</c:f>
              <c:strCache>
                <c:ptCount val="1"/>
                <c:pt idx="0">
                  <c:v>Dividenda*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'VH Bristol'!$C$1:$O$1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2018P</c:v>
                </c:pt>
                <c:pt idx="11">
                  <c:v>2019P</c:v>
                </c:pt>
                <c:pt idx="12">
                  <c:v>2020P</c:v>
                </c:pt>
              </c:strCache>
            </c:strRef>
          </c:cat>
          <c:val>
            <c:numRef>
              <c:f>'VH Bristol'!$C$2:$O$2</c:f>
              <c:numCache>
                <c:formatCode>General</c:formatCode>
                <c:ptCount val="13"/>
                <c:pt idx="0">
                  <c:v>2461</c:v>
                </c:pt>
                <c:pt idx="1">
                  <c:v>2483</c:v>
                </c:pt>
                <c:pt idx="2">
                  <c:v>2202</c:v>
                </c:pt>
                <c:pt idx="3">
                  <c:v>2254</c:v>
                </c:pt>
                <c:pt idx="4">
                  <c:v>2286</c:v>
                </c:pt>
                <c:pt idx="5">
                  <c:v>2309</c:v>
                </c:pt>
                <c:pt idx="6">
                  <c:v>2398</c:v>
                </c:pt>
                <c:pt idx="7">
                  <c:v>2477</c:v>
                </c:pt>
                <c:pt idx="8">
                  <c:v>2547</c:v>
                </c:pt>
                <c:pt idx="9">
                  <c:v>2577</c:v>
                </c:pt>
                <c:pt idx="10">
                  <c:v>2612.5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'VH Bristol'!$B$3</c:f>
              <c:strCache>
                <c:ptCount val="1"/>
                <c:pt idx="0">
                  <c:v>Zisk**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'VH Bristol'!$C$1:$O$1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2018P</c:v>
                </c:pt>
                <c:pt idx="11">
                  <c:v>2019P</c:v>
                </c:pt>
                <c:pt idx="12">
                  <c:v>2020P</c:v>
                </c:pt>
              </c:strCache>
            </c:strRef>
          </c:cat>
          <c:val>
            <c:numRef>
              <c:f>'VH Bristol'!$C$3:$O$3</c:f>
              <c:numCache>
                <c:formatCode>General</c:formatCode>
                <c:ptCount val="13"/>
                <c:pt idx="0">
                  <c:v>5247</c:v>
                </c:pt>
                <c:pt idx="1">
                  <c:v>10612</c:v>
                </c:pt>
                <c:pt idx="2">
                  <c:v>3102</c:v>
                </c:pt>
                <c:pt idx="3">
                  <c:v>3709</c:v>
                </c:pt>
                <c:pt idx="4">
                  <c:v>1960</c:v>
                </c:pt>
                <c:pt idx="5">
                  <c:v>2563</c:v>
                </c:pt>
                <c:pt idx="6">
                  <c:v>2004</c:v>
                </c:pt>
                <c:pt idx="7">
                  <c:v>1565</c:v>
                </c:pt>
                <c:pt idx="8">
                  <c:v>4457</c:v>
                </c:pt>
                <c:pt idx="9">
                  <c:v>1007</c:v>
                </c:pt>
                <c:pt idx="10">
                  <c:v>6364.8099599999996</c:v>
                </c:pt>
                <c:pt idx="11">
                  <c:v>6841.3001100000001</c:v>
                </c:pt>
                <c:pt idx="12">
                  <c:v>7137.2883499999998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'VH Bristol'!$B$4</c:f>
              <c:strCache>
                <c:ptCount val="1"/>
                <c:pt idx="0">
                  <c:v>FCFE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'VH Bristol'!$C$1:$O$1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2018P</c:v>
                </c:pt>
                <c:pt idx="11">
                  <c:v>2019P</c:v>
                </c:pt>
                <c:pt idx="12">
                  <c:v>2020P</c:v>
                </c:pt>
              </c:strCache>
            </c:strRef>
          </c:cat>
          <c:val>
            <c:numRef>
              <c:f>'VH Bristol'!$C$4:$O$4</c:f>
              <c:numCache>
                <c:formatCode>General</c:formatCode>
                <c:ptCount val="13"/>
                <c:pt idx="0">
                  <c:v>6175</c:v>
                </c:pt>
                <c:pt idx="1">
                  <c:v>-293</c:v>
                </c:pt>
                <c:pt idx="2">
                  <c:v>-2650</c:v>
                </c:pt>
                <c:pt idx="3">
                  <c:v>743</c:v>
                </c:pt>
                <c:pt idx="4">
                  <c:v>-4120</c:v>
                </c:pt>
                <c:pt idx="5">
                  <c:v>1930</c:v>
                </c:pt>
                <c:pt idx="6">
                  <c:v>1985</c:v>
                </c:pt>
                <c:pt idx="7">
                  <c:v>-3186</c:v>
                </c:pt>
                <c:pt idx="8">
                  <c:v>1852</c:v>
                </c:pt>
                <c:pt idx="9">
                  <c:v>1184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'VH Bristol'!$B$5</c:f>
              <c:strCache>
                <c:ptCount val="1"/>
                <c:pt idx="0">
                  <c:v>FCFF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'VH Bristol'!$C$1:$O$1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2018P</c:v>
                </c:pt>
                <c:pt idx="11">
                  <c:v>2019P</c:v>
                </c:pt>
                <c:pt idx="12">
                  <c:v>2020P</c:v>
                </c:pt>
              </c:strCache>
            </c:strRef>
          </c:cat>
          <c:val>
            <c:numRef>
              <c:f>'VH Bristol'!$C$5:$O$5</c:f>
              <c:numCache>
                <c:formatCode>General</c:formatCode>
                <c:ptCount val="13"/>
                <c:pt idx="0">
                  <c:v>6713.5</c:v>
                </c:pt>
                <c:pt idx="1">
                  <c:v>-1618.4</c:v>
                </c:pt>
                <c:pt idx="2">
                  <c:v>-1592.75</c:v>
                </c:pt>
                <c:pt idx="3">
                  <c:v>916.25</c:v>
                </c:pt>
                <c:pt idx="4">
                  <c:v>-3892.7</c:v>
                </c:pt>
                <c:pt idx="5">
                  <c:v>969.34999999999991</c:v>
                </c:pt>
                <c:pt idx="6">
                  <c:v>2548.9499999999998</c:v>
                </c:pt>
                <c:pt idx="7">
                  <c:v>-1928.4</c:v>
                </c:pt>
                <c:pt idx="8">
                  <c:v>1850.55</c:v>
                </c:pt>
                <c:pt idx="9">
                  <c:v>320.40000000000009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7244704"/>
        <c:axId val="927242744"/>
      </c:lineChart>
      <c:catAx>
        <c:axId val="927244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27242744"/>
        <c:crosses val="autoZero"/>
        <c:auto val="1"/>
        <c:lblAlgn val="ctr"/>
        <c:lblOffset val="100"/>
        <c:noMultiLvlLbl val="0"/>
      </c:catAx>
      <c:valAx>
        <c:axId val="9272427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cs-CZ"/>
                  <a:t>V</a:t>
                </a:r>
                <a:r>
                  <a:rPr lang="cs-CZ" baseline="0"/>
                  <a:t> mil. USD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\ ##0;\ #\ ##0;\-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27244704"/>
        <c:crosses val="autoZero"/>
        <c:crossBetween val="between"/>
        <c:majorUnit val="25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2.7179790026246719E-2"/>
          <c:y val="0.89787509438032553"/>
          <c:w val="0.1842356461680294"/>
          <c:h val="0.102125089477451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/>
              <a:t>2015 = 100 %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978937007874017"/>
          <c:y val="6.9861111111111124E-2"/>
          <c:w val="0.82653237095363086"/>
          <c:h val="0.757480674504728"/>
        </c:manualLayout>
      </c:layout>
      <c:lineChart>
        <c:grouping val="standard"/>
        <c:varyColors val="0"/>
        <c:ser>
          <c:idx val="0"/>
          <c:order val="0"/>
          <c:tx>
            <c:strRef>
              <c:f>'Odvětví - grafy'!$A$151</c:f>
              <c:strCache>
                <c:ptCount val="1"/>
                <c:pt idx="0">
                  <c:v>Komerční a retailové bankovnictví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val>
            <c:numRef>
              <c:f>'Odvětví - grafy'!$C$151:$O$151</c:f>
              <c:numCache>
                <c:formatCode>0.0</c:formatCode>
                <c:ptCount val="13"/>
                <c:pt idx="0">
                  <c:v>100</c:v>
                </c:pt>
                <c:pt idx="1">
                  <c:v>99.626704925303159</c:v>
                </c:pt>
                <c:pt idx="2">
                  <c:v>97.793546393519009</c:v>
                </c:pt>
                <c:pt idx="3">
                  <c:v>99.720699912399894</c:v>
                </c:pt>
                <c:pt idx="4">
                  <c:v>99.99636321654701</c:v>
                </c:pt>
                <c:pt idx="5">
                  <c:v>101.80721288876056</c:v>
                </c:pt>
                <c:pt idx="6">
                  <c:v>101.81687843404499</c:v>
                </c:pt>
                <c:pt idx="7">
                  <c:v>102.0354759683058</c:v>
                </c:pt>
                <c:pt idx="8">
                  <c:v>102.71662842348854</c:v>
                </c:pt>
                <c:pt idx="9">
                  <c:v>103.40132003035372</c:v>
                </c:pt>
                <c:pt idx="10">
                  <c:v>104.0358044992137</c:v>
                </c:pt>
                <c:pt idx="11">
                  <c:v>104.76406428368669</c:v>
                </c:pt>
                <c:pt idx="12">
                  <c:v>105.59115182789863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'Odvětví - grafy'!#REF!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ser>
          <c:idx val="1"/>
          <c:order val="1"/>
          <c:tx>
            <c:strRef>
              <c:f>'Odvětví - grafy'!$A$152</c:f>
              <c:strCache>
                <c:ptCount val="1"/>
                <c:pt idx="0">
                  <c:v>Obnovitelná energie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val>
            <c:numRef>
              <c:f>'Odvětví - grafy'!$C$152:$O$152</c:f>
              <c:numCache>
                <c:formatCode>0.0</c:formatCode>
                <c:ptCount val="13"/>
                <c:pt idx="0">
                  <c:v>100</c:v>
                </c:pt>
                <c:pt idx="1">
                  <c:v>106.64339468936591</c:v>
                </c:pt>
                <c:pt idx="2">
                  <c:v>110.72731115205114</c:v>
                </c:pt>
                <c:pt idx="3">
                  <c:v>118.7036809412154</c:v>
                </c:pt>
                <c:pt idx="4">
                  <c:v>124.41685531613516</c:v>
                </c:pt>
                <c:pt idx="5">
                  <c:v>127.86916315185091</c:v>
                </c:pt>
                <c:pt idx="6">
                  <c:v>132.18003567569212</c:v>
                </c:pt>
                <c:pt idx="7">
                  <c:v>136.76493704524313</c:v>
                </c:pt>
                <c:pt idx="8">
                  <c:v>141.52925947912135</c:v>
                </c:pt>
                <c:pt idx="9">
                  <c:v>146.28858863876462</c:v>
                </c:pt>
                <c:pt idx="10">
                  <c:v>151.33869153825489</c:v>
                </c:pt>
                <c:pt idx="11">
                  <c:v>156.56554072467065</c:v>
                </c:pt>
                <c:pt idx="12">
                  <c:v>161.97533845843967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'Odvětví - grafy'!#REF!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ser>
          <c:idx val="2"/>
          <c:order val="2"/>
          <c:tx>
            <c:strRef>
              <c:f>'Odvětví - grafy'!$A$153</c:f>
              <c:strCache>
                <c:ptCount val="1"/>
                <c:pt idx="0">
                  <c:v>Automobilový průmysl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'Odvětví - grafy'!$C$153:$O$153</c:f>
              <c:numCache>
                <c:formatCode>0.0</c:formatCode>
                <c:ptCount val="13"/>
                <c:pt idx="0">
                  <c:v>100</c:v>
                </c:pt>
                <c:pt idx="1">
                  <c:v>100.17519015252101</c:v>
                </c:pt>
                <c:pt idx="2">
                  <c:v>98.468305476402648</c:v>
                </c:pt>
                <c:pt idx="3">
                  <c:v>100.09575330342589</c:v>
                </c:pt>
                <c:pt idx="4">
                  <c:v>98.370699180807193</c:v>
                </c:pt>
                <c:pt idx="5">
                  <c:v>98.969456701821315</c:v>
                </c:pt>
                <c:pt idx="6">
                  <c:v>99.834408770065693</c:v>
                </c:pt>
                <c:pt idx="7">
                  <c:v>100.96909892082888</c:v>
                </c:pt>
                <c:pt idx="8">
                  <c:v>102.27924145353697</c:v>
                </c:pt>
                <c:pt idx="9">
                  <c:v>103.58282187842302</c:v>
                </c:pt>
                <c:pt idx="10">
                  <c:v>105.18029780986639</c:v>
                </c:pt>
                <c:pt idx="11">
                  <c:v>106.96485008306659</c:v>
                </c:pt>
                <c:pt idx="12">
                  <c:v>108.95267293331116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'Odvětví - grafy'!#REF!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ser>
          <c:idx val="3"/>
          <c:order val="3"/>
          <c:tx>
            <c:strRef>
              <c:f>'Odvětví - grafy'!$A$154</c:f>
              <c:strCache>
                <c:ptCount val="1"/>
                <c:pt idx="0">
                  <c:v>Farmaceutický průmysl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val>
            <c:numRef>
              <c:f>'Odvětví - grafy'!$C$154:$O$154</c:f>
              <c:numCache>
                <c:formatCode>0.0</c:formatCode>
                <c:ptCount val="13"/>
                <c:pt idx="0">
                  <c:v>100</c:v>
                </c:pt>
                <c:pt idx="1">
                  <c:v>105.39107405305511</c:v>
                </c:pt>
                <c:pt idx="2">
                  <c:v>108.64888462042171</c:v>
                </c:pt>
                <c:pt idx="3">
                  <c:v>112.16367631437258</c:v>
                </c:pt>
                <c:pt idx="4">
                  <c:v>115.01811673287641</c:v>
                </c:pt>
                <c:pt idx="5">
                  <c:v>118.74943612578397</c:v>
                </c:pt>
                <c:pt idx="6">
                  <c:v>122.58960143187672</c:v>
                </c:pt>
                <c:pt idx="7">
                  <c:v>126.52871756813784</c:v>
                </c:pt>
                <c:pt idx="8">
                  <c:v>130.55601635599015</c:v>
                </c:pt>
                <c:pt idx="9">
                  <c:v>134.65956548944283</c:v>
                </c:pt>
                <c:pt idx="10">
                  <c:v>138.83820084108206</c:v>
                </c:pt>
                <c:pt idx="11">
                  <c:v>143.09104931534756</c:v>
                </c:pt>
                <c:pt idx="12">
                  <c:v>147.41694678482557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'Odvětví - grafy'!#REF!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7238040"/>
        <c:axId val="927237648"/>
      </c:lineChart>
      <c:catAx>
        <c:axId val="927238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27237648"/>
        <c:crossesAt val="100"/>
        <c:auto val="1"/>
        <c:lblAlgn val="ctr"/>
        <c:lblOffset val="100"/>
        <c:noMultiLvlLbl val="0"/>
      </c:catAx>
      <c:valAx>
        <c:axId val="927237648"/>
        <c:scaling>
          <c:orientation val="minMax"/>
          <c:min val="9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cs-CZ"/>
                  <a:t>V jednotkách % oproti 2015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2723804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7901137357830261E-2"/>
          <c:y val="0.88770225412999848"/>
          <c:w val="0.9"/>
          <c:h val="0.112297745870001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20144356955382"/>
          <c:y val="6.9861111111111124E-2"/>
          <c:w val="0.8320879265091865"/>
          <c:h val="0.77662587357303225"/>
        </c:manualLayout>
      </c:layout>
      <c:lineChart>
        <c:grouping val="standard"/>
        <c:varyColors val="0"/>
        <c:ser>
          <c:idx val="0"/>
          <c:order val="0"/>
          <c:tx>
            <c:strRef>
              <c:f>'Gilead Sciences'!$B$2</c:f>
              <c:strCache>
                <c:ptCount val="1"/>
                <c:pt idx="0">
                  <c:v>Dividenda*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'Gilead Sciences'!$C$1:$M$1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2018P</c:v>
                </c:pt>
              </c:strCache>
            </c:strRef>
          </c:cat>
          <c:val>
            <c:numRef>
              <c:f>'Gilead Sciences'!$C$2:$M$2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1874</c:v>
                </c:pt>
                <c:pt idx="8">
                  <c:v>2455</c:v>
                </c:pt>
                <c:pt idx="9">
                  <c:v>2731</c:v>
                </c:pt>
                <c:pt idx="10">
                  <c:v>2964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'Gilead Sciences'!$B$3</c:f>
              <c:strCache>
                <c:ptCount val="1"/>
                <c:pt idx="0">
                  <c:v>Zisk**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'Gilead Sciences'!$C$1:$M$1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2018P</c:v>
                </c:pt>
              </c:strCache>
            </c:strRef>
          </c:cat>
          <c:val>
            <c:numRef>
              <c:f>'Gilead Sciences'!$C$3:$M$3</c:f>
              <c:numCache>
                <c:formatCode>General</c:formatCode>
                <c:ptCount val="11"/>
                <c:pt idx="0">
                  <c:v>1978.8989999999999</c:v>
                </c:pt>
                <c:pt idx="1">
                  <c:v>2635.7550000000001</c:v>
                </c:pt>
                <c:pt idx="2">
                  <c:v>2901.2570000000001</c:v>
                </c:pt>
                <c:pt idx="3">
                  <c:v>2803.6370000000002</c:v>
                </c:pt>
                <c:pt idx="4">
                  <c:v>2592</c:v>
                </c:pt>
                <c:pt idx="5">
                  <c:v>3075</c:v>
                </c:pt>
                <c:pt idx="6">
                  <c:v>12101</c:v>
                </c:pt>
                <c:pt idx="7">
                  <c:v>18108</c:v>
                </c:pt>
                <c:pt idx="8">
                  <c:v>13501</c:v>
                </c:pt>
                <c:pt idx="9">
                  <c:v>4628</c:v>
                </c:pt>
                <c:pt idx="10">
                  <c:v>6920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'Gilead Sciences'!$B$4</c:f>
              <c:strCache>
                <c:ptCount val="1"/>
                <c:pt idx="0">
                  <c:v>FCFE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'Gilead Sciences'!$C$1:$M$1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2018P</c:v>
                </c:pt>
              </c:strCache>
            </c:strRef>
          </c:cat>
          <c:val>
            <c:numRef>
              <c:f>'Gilead Sciences'!$C$4:$M$4</c:f>
              <c:numCache>
                <c:formatCode>General</c:formatCode>
                <c:ptCount val="11"/>
                <c:pt idx="0">
                  <c:v>491.21600000000001</c:v>
                </c:pt>
                <c:pt idx="1">
                  <c:v>-186.3</c:v>
                </c:pt>
                <c:pt idx="2">
                  <c:v>-365.1</c:v>
                </c:pt>
                <c:pt idx="3">
                  <c:v>8975.8979999999992</c:v>
                </c:pt>
                <c:pt idx="4">
                  <c:v>-8080</c:v>
                </c:pt>
                <c:pt idx="5">
                  <c:v>309</c:v>
                </c:pt>
                <c:pt idx="6">
                  <c:v>7914</c:v>
                </c:pt>
                <c:pt idx="7">
                  <c:v>2824</c:v>
                </c:pt>
                <c:pt idx="8">
                  <c:v>-4622</c:v>
                </c:pt>
                <c:pt idx="9">
                  <c:v>-641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'Gilead Sciences'!$B$5</c:f>
              <c:strCache>
                <c:ptCount val="1"/>
                <c:pt idx="0">
                  <c:v>FCFF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'Gilead Sciences'!$C$1:$M$1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2018P</c:v>
                </c:pt>
              </c:strCache>
            </c:strRef>
          </c:cat>
          <c:val>
            <c:numRef>
              <c:f>'Gilead Sciences'!$C$5:$M$5</c:f>
              <c:numCache>
                <c:formatCode>General</c:formatCode>
                <c:ptCount val="11"/>
                <c:pt idx="0">
                  <c:v>537.89599999999996</c:v>
                </c:pt>
                <c:pt idx="1">
                  <c:v>170.10500000000002</c:v>
                </c:pt>
                <c:pt idx="2">
                  <c:v>-2756.75</c:v>
                </c:pt>
                <c:pt idx="3">
                  <c:v>5134.8409999999994</c:v>
                </c:pt>
                <c:pt idx="4">
                  <c:v>-8150.35</c:v>
                </c:pt>
                <c:pt idx="5">
                  <c:v>4948.55</c:v>
                </c:pt>
                <c:pt idx="6">
                  <c:v>5028.8</c:v>
                </c:pt>
                <c:pt idx="7">
                  <c:v>-5633.8</c:v>
                </c:pt>
                <c:pt idx="8">
                  <c:v>-7307.4</c:v>
                </c:pt>
                <c:pt idx="9">
                  <c:v>-7088.3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8842360"/>
        <c:axId val="-2138847848"/>
      </c:lineChart>
      <c:catAx>
        <c:axId val="-2138842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2138847848"/>
        <c:crosses val="autoZero"/>
        <c:auto val="1"/>
        <c:lblAlgn val="ctr"/>
        <c:lblOffset val="100"/>
        <c:noMultiLvlLbl val="0"/>
      </c:catAx>
      <c:valAx>
        <c:axId val="-21388478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cs-CZ"/>
                  <a:t>V</a:t>
                </a:r>
                <a:r>
                  <a:rPr lang="cs-CZ" baseline="0"/>
                  <a:t> mil. USD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\ ##0;\ #\ ##0;\-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2138842360"/>
        <c:crosses val="autoZero"/>
        <c:crossBetween val="between"/>
        <c:majorUnit val="25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2.7179790026246719E-2"/>
          <c:y val="0.89787509438032553"/>
          <c:w val="0.94687160266195136"/>
          <c:h val="0.102125035575372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/>
              <a:t>2007 = 100 %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978937007874017"/>
          <c:y val="6.9861111111111124E-2"/>
          <c:w val="0.82653237095363086"/>
          <c:h val="0.7848779347787006"/>
        </c:manualLayout>
      </c:layout>
      <c:lineChart>
        <c:grouping val="standard"/>
        <c:varyColors val="0"/>
        <c:ser>
          <c:idx val="0"/>
          <c:order val="0"/>
          <c:tx>
            <c:strRef>
              <c:f>'Odvětví - grafy'!$A$14</c:f>
              <c:strCache>
                <c:ptCount val="1"/>
                <c:pt idx="0">
                  <c:v>Čistý úrokový výnos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'Odvětví - grafy'!$B$3:$L$3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'Odvětví - grafy'!$B$14:$L$14</c:f>
              <c:numCache>
                <c:formatCode>General</c:formatCode>
                <c:ptCount val="11"/>
                <c:pt idx="0">
                  <c:v>100</c:v>
                </c:pt>
                <c:pt idx="1">
                  <c:v>126.84301868080932</c:v>
                </c:pt>
                <c:pt idx="2">
                  <c:v>157.34997682415462</c:v>
                </c:pt>
                <c:pt idx="3">
                  <c:v>161.63157951470859</c:v>
                </c:pt>
                <c:pt idx="4">
                  <c:v>148.86546152270691</c:v>
                </c:pt>
                <c:pt idx="5">
                  <c:v>145.33518740096369</c:v>
                </c:pt>
                <c:pt idx="6">
                  <c:v>143.27199818905024</c:v>
                </c:pt>
                <c:pt idx="7">
                  <c:v>145.68875378628638</c:v>
                </c:pt>
                <c:pt idx="8">
                  <c:v>145.99812437344372</c:v>
                </c:pt>
                <c:pt idx="9">
                  <c:v>149.77093641194793</c:v>
                </c:pt>
                <c:pt idx="10">
                  <c:v>155.59184641421163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'Odvětví - grafy'!$A$15</c:f>
              <c:strCache>
                <c:ptCount val="1"/>
                <c:pt idx="0">
                  <c:v>HDP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'Odvětví - grafy'!$B$3:$L$3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'Odvětví - grafy'!$B$15:$L$15</c:f>
              <c:numCache>
                <c:formatCode>General</c:formatCode>
                <c:ptCount val="11"/>
                <c:pt idx="0">
                  <c:v>100</c:v>
                </c:pt>
                <c:pt idx="1">
                  <c:v>101.84543208851431</c:v>
                </c:pt>
                <c:pt idx="2">
                  <c:v>99.77027242092737</c:v>
                </c:pt>
                <c:pt idx="3">
                  <c:v>103.54624651429916</c:v>
                </c:pt>
                <c:pt idx="4">
                  <c:v>107.37619274974224</c:v>
                </c:pt>
                <c:pt idx="5">
                  <c:v>111.78668548772133</c:v>
                </c:pt>
                <c:pt idx="6">
                  <c:v>115.49692427985248</c:v>
                </c:pt>
                <c:pt idx="7">
                  <c:v>120.59037220019513</c:v>
                </c:pt>
                <c:pt idx="8">
                  <c:v>125.38628138860635</c:v>
                </c:pt>
                <c:pt idx="9">
                  <c:v>128.87232820597984</c:v>
                </c:pt>
                <c:pt idx="10">
                  <c:v>134.17336128813511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7123296"/>
        <c:axId val="927123688"/>
      </c:lineChart>
      <c:catAx>
        <c:axId val="927123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27123688"/>
        <c:crossesAt val="100"/>
        <c:auto val="1"/>
        <c:lblAlgn val="ctr"/>
        <c:lblOffset val="100"/>
        <c:noMultiLvlLbl val="0"/>
      </c:catAx>
      <c:valAx>
        <c:axId val="927123688"/>
        <c:scaling>
          <c:orientation val="minMax"/>
          <c:min val="8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cs-CZ"/>
                  <a:t>V jednotkách % oproti 2007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27123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7901137357830261E-2"/>
          <c:y val="0.85338870312443826"/>
          <c:w val="0.86098775153105866"/>
          <c:h val="0.108798483522892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34011373578302"/>
          <c:y val="6.9861111111111124E-2"/>
          <c:w val="0.74597681539807537"/>
          <c:h val="0.72561863100445789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'Odvětví - grafy'!$A$31</c:f>
              <c:strCache>
                <c:ptCount val="1"/>
                <c:pt idx="0">
                  <c:v>Ormat Technologies (ZM)</c:v>
                </c:pt>
              </c:strCache>
            </c:strRef>
          </c:tx>
          <c:spPr>
            <a:solidFill>
              <a:srgbClr val="00B0F0">
                <a:alpha val="66000"/>
              </a:srgbClr>
            </a:solidFill>
            <a:ln>
              <a:noFill/>
            </a:ln>
            <a:effectLst/>
          </c:spPr>
          <c:invertIfNegative val="0"/>
          <c:cat>
            <c:strRef>
              <c:f>'Odvětví - grafy'!$B$3:$L$3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'Odvětví - grafy'!$B$31:$L$31</c:f>
              <c:numCache>
                <c:formatCode>0%</c:formatCode>
                <c:ptCount val="11"/>
                <c:pt idx="0">
                  <c:v>9.259885096316324E-2</c:v>
                </c:pt>
                <c:pt idx="1">
                  <c:v>0.12674418604651164</c:v>
                </c:pt>
                <c:pt idx="2">
                  <c:v>0.16723300970873789</c:v>
                </c:pt>
                <c:pt idx="3">
                  <c:v>9.994640943193997E-2</c:v>
                </c:pt>
                <c:pt idx="4">
                  <c:v>-0.10129259694477086</c:v>
                </c:pt>
                <c:pt idx="5">
                  <c:v>-0.42447190115583899</c:v>
                </c:pt>
                <c:pt idx="6">
                  <c:v>7.7269317329332329E-2</c:v>
                </c:pt>
                <c:pt idx="7">
                  <c:v>9.6872207327971402E-2</c:v>
                </c:pt>
                <c:pt idx="8">
                  <c:v>0.20248906828119745</c:v>
                </c:pt>
                <c:pt idx="9">
                  <c:v>0.1338665861756716</c:v>
                </c:pt>
                <c:pt idx="10">
                  <c:v>0.19110854503464206</c:v>
                </c:pt>
              </c:numCache>
            </c:numRef>
          </c:val>
        </c:ser>
        <c:ser>
          <c:idx val="4"/>
          <c:order val="4"/>
          <c:tx>
            <c:strRef>
              <c:f>'Odvětví - grafy'!$A$32</c:f>
              <c:strCache>
                <c:ptCount val="1"/>
                <c:pt idx="0">
                  <c:v>NextEra Energy Partners  (ZM)</c:v>
                </c:pt>
              </c:strCache>
            </c:strRef>
          </c:tx>
          <c:spPr>
            <a:solidFill>
              <a:srgbClr val="C00000">
                <a:alpha val="64000"/>
              </a:srgbClr>
            </a:solidFill>
            <a:ln>
              <a:noFill/>
            </a:ln>
            <a:effectLst/>
          </c:spPr>
          <c:invertIfNegative val="0"/>
          <c:cat>
            <c:strRef>
              <c:f>'Odvětví - grafy'!$B$3:$L$3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'Odvětví - grafy'!$B$32:$L$32</c:f>
              <c:numCache>
                <c:formatCode>#,##0.0</c:formatCode>
                <c:ptCount val="11"/>
                <c:pt idx="5" formatCode="0%">
                  <c:v>0.17204301075268819</c:v>
                </c:pt>
                <c:pt idx="6" formatCode="0%">
                  <c:v>0.11173184357541899</c:v>
                </c:pt>
                <c:pt idx="7" formatCode="0%">
                  <c:v>8.6350974930362118E-2</c:v>
                </c:pt>
                <c:pt idx="8" formatCode="0%">
                  <c:v>1.9960079840319361E-2</c:v>
                </c:pt>
                <c:pt idx="9" formatCode="0%">
                  <c:v>0.10621761658031088</c:v>
                </c:pt>
                <c:pt idx="10" formatCode="0%">
                  <c:v>-7.6827757125154897E-2</c:v>
                </c:pt>
              </c:numCache>
            </c:numRef>
          </c:val>
        </c:ser>
        <c:ser>
          <c:idx val="5"/>
          <c:order val="5"/>
          <c:tx>
            <c:strRef>
              <c:f>'Odvětví - grafy'!$A$33</c:f>
              <c:strCache>
                <c:ptCount val="1"/>
                <c:pt idx="0">
                  <c:v>TerraForm Power  (ZM)</c:v>
                </c:pt>
              </c:strCache>
            </c:strRef>
          </c:tx>
          <c:spPr>
            <a:solidFill>
              <a:schemeClr val="accent6">
                <a:alpha val="67000"/>
              </a:schemeClr>
            </a:solidFill>
            <a:ln>
              <a:noFill/>
            </a:ln>
            <a:effectLst/>
          </c:spPr>
          <c:invertIfNegative val="0"/>
          <c:cat>
            <c:strRef>
              <c:f>'Odvětví - grafy'!$B$3:$L$3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'Odvětví - grafy'!$B$33:$L$33</c:f>
              <c:numCache>
                <c:formatCode>#,##0.0</c:formatCode>
                <c:ptCount val="11"/>
                <c:pt idx="5" formatCode="0%">
                  <c:v>5.7324840764331211E-2</c:v>
                </c:pt>
                <c:pt idx="6" formatCode="0%">
                  <c:v>0</c:v>
                </c:pt>
                <c:pt idx="7" formatCode="0%">
                  <c:v>-0.20125786163522014</c:v>
                </c:pt>
                <c:pt idx="8" formatCode="0%">
                  <c:v>-0.17018104366347178</c:v>
                </c:pt>
                <c:pt idx="9" formatCode="0%">
                  <c:v>-0.19828903146959975</c:v>
                </c:pt>
                <c:pt idx="10" formatCode="0%">
                  <c:v>-0.26895986895986895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244312"/>
        <c:axId val="927124864"/>
      </c:barChart>
      <c:lineChart>
        <c:grouping val="standard"/>
        <c:varyColors val="0"/>
        <c:ser>
          <c:idx val="0"/>
          <c:order val="0"/>
          <c:tx>
            <c:strRef>
              <c:f>'Odvětví - grafy'!$A$28</c:f>
              <c:strCache>
                <c:ptCount val="1"/>
                <c:pt idx="0">
                  <c:v>Ormat Technologies (T)</c:v>
                </c:pt>
              </c:strCache>
            </c:strRef>
          </c:tx>
          <c:spPr>
            <a:ln w="28575" cap="rnd">
              <a:solidFill>
                <a:srgbClr val="00B0F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'Odvětví - grafy'!$B$3:$L$3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'Odvětví - grafy'!$B$28:$L$28</c:f>
              <c:numCache>
                <c:formatCode>#,##0.0</c:formatCode>
                <c:ptCount val="11"/>
                <c:pt idx="0" formatCode="General">
                  <c:v>295.89999999999998</c:v>
                </c:pt>
                <c:pt idx="1">
                  <c:v>344</c:v>
                </c:pt>
                <c:pt idx="2">
                  <c:v>412</c:v>
                </c:pt>
                <c:pt idx="3">
                  <c:v>373.2</c:v>
                </c:pt>
                <c:pt idx="4">
                  <c:v>425.5</c:v>
                </c:pt>
                <c:pt idx="5">
                  <c:v>501.8</c:v>
                </c:pt>
                <c:pt idx="6">
                  <c:v>533.20000000000005</c:v>
                </c:pt>
                <c:pt idx="7">
                  <c:v>559.5</c:v>
                </c:pt>
                <c:pt idx="8">
                  <c:v>594.6</c:v>
                </c:pt>
                <c:pt idx="9">
                  <c:v>662.6</c:v>
                </c:pt>
                <c:pt idx="10">
                  <c:v>692.8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'Odvětví - grafy'!$A$29</c:f>
              <c:strCache>
                <c:ptCount val="1"/>
                <c:pt idx="0">
                  <c:v>NextEra Energy Partners (T)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'Odvětví - grafy'!$B$3:$L$3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'Odvětví - grafy'!$B$29:$L$29</c:f>
              <c:numCache>
                <c:formatCode>#,##0.0</c:formatCode>
                <c:ptCount val="11"/>
                <c:pt idx="4">
                  <c:v>0</c:v>
                </c:pt>
                <c:pt idx="5">
                  <c:v>93</c:v>
                </c:pt>
                <c:pt idx="6">
                  <c:v>179</c:v>
                </c:pt>
                <c:pt idx="7">
                  <c:v>359</c:v>
                </c:pt>
                <c:pt idx="8">
                  <c:v>501</c:v>
                </c:pt>
                <c:pt idx="9">
                  <c:v>772</c:v>
                </c:pt>
                <c:pt idx="10">
                  <c:v>807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'Odvětví - grafy'!$A$30</c:f>
              <c:strCache>
                <c:ptCount val="1"/>
                <c:pt idx="0">
                  <c:v>TerraForm Power (T)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'Odvětví - grafy'!$B$3:$L$3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'Odvětví - grafy'!$B$30:$L$30</c:f>
              <c:numCache>
                <c:formatCode>#,##0.0</c:formatCode>
                <c:ptCount val="11"/>
                <c:pt idx="4">
                  <c:v>0</c:v>
                </c:pt>
                <c:pt idx="5">
                  <c:v>15.7</c:v>
                </c:pt>
                <c:pt idx="6">
                  <c:v>18.7</c:v>
                </c:pt>
                <c:pt idx="7">
                  <c:v>127.2</c:v>
                </c:pt>
                <c:pt idx="8">
                  <c:v>469.5</c:v>
                </c:pt>
                <c:pt idx="9">
                  <c:v>654.6</c:v>
                </c:pt>
                <c:pt idx="10">
                  <c:v>610.5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124080"/>
        <c:axId val="927122512"/>
      </c:lineChart>
      <c:catAx>
        <c:axId val="927124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27122512"/>
        <c:crosses val="autoZero"/>
        <c:auto val="1"/>
        <c:lblAlgn val="ctr"/>
        <c:lblOffset val="100"/>
        <c:noMultiLvlLbl val="0"/>
      </c:catAx>
      <c:valAx>
        <c:axId val="9271225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cs-CZ"/>
                  <a:t>Tržby v USDm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27124080"/>
        <c:crosses val="autoZero"/>
        <c:crossBetween val="between"/>
      </c:valAx>
      <c:valAx>
        <c:axId val="927124864"/>
        <c:scaling>
          <c:orientation val="minMax"/>
          <c:min val="-1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cs-CZ"/>
                  <a:t>Zisková marže v %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27244312"/>
        <c:crosses val="max"/>
        <c:crossBetween val="between"/>
      </c:valAx>
      <c:catAx>
        <c:axId val="927244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7124864"/>
        <c:crossesAt val="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7901137357830261E-2"/>
          <c:y val="0.86162229721284844"/>
          <c:w val="0.92209886264216978"/>
          <c:h val="0.138377702787151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71838561163461"/>
          <c:y val="6.9861111111111124E-2"/>
          <c:w val="0.8156034594036401"/>
          <c:h val="0.68442131377413451"/>
        </c:manualLayout>
      </c:layout>
      <c:areaChart>
        <c:grouping val="stacked"/>
        <c:varyColors val="0"/>
        <c:ser>
          <c:idx val="0"/>
          <c:order val="0"/>
          <c:tx>
            <c:strRef>
              <c:f>'Odvětví - grafy'!$A$54</c:f>
              <c:strCache>
                <c:ptCount val="1"/>
                <c:pt idx="0">
                  <c:v>Termální 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rgbClr val="00B0F0"/>
              </a:solidFill>
            </a:ln>
            <a:effectLst/>
          </c:spPr>
          <c:cat>
            <c:strRef>
              <c:f>'Odvětví - grafy'!$B$52:$AM$52</c:f>
              <c:strCache>
                <c:ptCount val="3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2016e</c:v>
                </c:pt>
                <c:pt idx="27">
                  <c:v>2017e</c:v>
                </c:pt>
                <c:pt idx="28">
                  <c:v>2018P</c:v>
                </c:pt>
                <c:pt idx="29">
                  <c:v>2019P</c:v>
                </c:pt>
                <c:pt idx="30">
                  <c:v>2020P</c:v>
                </c:pt>
                <c:pt idx="31">
                  <c:v>2021P</c:v>
                </c:pt>
                <c:pt idx="32">
                  <c:v>2022P</c:v>
                </c:pt>
                <c:pt idx="33">
                  <c:v>2023P</c:v>
                </c:pt>
                <c:pt idx="34">
                  <c:v>2024P</c:v>
                </c:pt>
                <c:pt idx="35">
                  <c:v>2025P</c:v>
                </c:pt>
                <c:pt idx="36">
                  <c:v>2026P</c:v>
                </c:pt>
                <c:pt idx="37">
                  <c:v>2027P</c:v>
                </c:pt>
              </c:strCache>
            </c:strRef>
          </c:cat>
          <c:val>
            <c:numRef>
              <c:f>'Odvětví - grafy'!$B$54:$AM$54</c:f>
              <c:numCache>
                <c:formatCode>#,##0.000</c:formatCode>
                <c:ptCount val="38"/>
                <c:pt idx="0">
                  <c:v>2103.62</c:v>
                </c:pt>
                <c:pt idx="1">
                  <c:v>2103.2629999999999</c:v>
                </c:pt>
                <c:pt idx="2">
                  <c:v>2138.7049999999999</c:v>
                </c:pt>
                <c:pt idx="3">
                  <c:v>2230.741</c:v>
                </c:pt>
                <c:pt idx="4">
                  <c:v>2270.1329999999998</c:v>
                </c:pt>
                <c:pt idx="5">
                  <c:v>2293.9079999999999</c:v>
                </c:pt>
                <c:pt idx="6">
                  <c:v>2346.018</c:v>
                </c:pt>
                <c:pt idx="7">
                  <c:v>2430.3200000000002</c:v>
                </c:pt>
                <c:pt idx="8">
                  <c:v>2547.0650000000001</c:v>
                </c:pt>
                <c:pt idx="9">
                  <c:v>2569.67</c:v>
                </c:pt>
                <c:pt idx="10">
                  <c:v>2692.4780000000001</c:v>
                </c:pt>
                <c:pt idx="11">
                  <c:v>2677.0050000000001</c:v>
                </c:pt>
                <c:pt idx="12">
                  <c:v>2730.1660000000002</c:v>
                </c:pt>
                <c:pt idx="13">
                  <c:v>2758.65</c:v>
                </c:pt>
                <c:pt idx="14">
                  <c:v>2824.7979999999998</c:v>
                </c:pt>
                <c:pt idx="15">
                  <c:v>2909.5219999999999</c:v>
                </c:pt>
                <c:pt idx="16">
                  <c:v>2885.2950000000001</c:v>
                </c:pt>
                <c:pt idx="17">
                  <c:v>2992.2379999999998</c:v>
                </c:pt>
                <c:pt idx="18">
                  <c:v>2926.7310000000002</c:v>
                </c:pt>
                <c:pt idx="19">
                  <c:v>2726.4520000000002</c:v>
                </c:pt>
                <c:pt idx="20">
                  <c:v>2883.3609999999999</c:v>
                </c:pt>
                <c:pt idx="21">
                  <c:v>2788.8670000000002</c:v>
                </c:pt>
                <c:pt idx="22">
                  <c:v>2775.0250000000001</c:v>
                </c:pt>
                <c:pt idx="23">
                  <c:v>2745.9679999999998</c:v>
                </c:pt>
                <c:pt idx="24">
                  <c:v>2750.5720000000001</c:v>
                </c:pt>
                <c:pt idx="25">
                  <c:v>2732.5309999999999</c:v>
                </c:pt>
                <c:pt idx="26">
                  <c:v>2654.4679999999998</c:v>
                </c:pt>
                <c:pt idx="27">
                  <c:v>2503.386</c:v>
                </c:pt>
                <c:pt idx="28">
                  <c:v>2605.2159999999999</c:v>
                </c:pt>
                <c:pt idx="29">
                  <c:v>2583.6689999999999</c:v>
                </c:pt>
                <c:pt idx="30">
                  <c:v>2626.9789999999998</c:v>
                </c:pt>
                <c:pt idx="31">
                  <c:v>2625.56</c:v>
                </c:pt>
                <c:pt idx="32">
                  <c:v>2602.27</c:v>
                </c:pt>
                <c:pt idx="33">
                  <c:v>2604.058</c:v>
                </c:pt>
                <c:pt idx="34">
                  <c:v>2622.4769999999999</c:v>
                </c:pt>
                <c:pt idx="35">
                  <c:v>2635.9589999999998</c:v>
                </c:pt>
                <c:pt idx="36">
                  <c:v>2638.2049999999999</c:v>
                </c:pt>
                <c:pt idx="37">
                  <c:v>2647.6010000000001</c:v>
                </c:pt>
              </c:numCache>
            </c:numRef>
          </c:val>
        </c:ser>
        <c:ser>
          <c:idx val="1"/>
          <c:order val="1"/>
          <c:tx>
            <c:strRef>
              <c:f>'Odvětví - grafy'!$A$55</c:f>
              <c:strCache>
                <c:ptCount val="1"/>
                <c:pt idx="0">
                  <c:v>Nukleární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rgbClr val="C00000"/>
              </a:solidFill>
            </a:ln>
            <a:effectLst/>
          </c:spPr>
          <c:cat>
            <c:strRef>
              <c:f>'Odvětví - grafy'!$B$52:$AM$52</c:f>
              <c:strCache>
                <c:ptCount val="3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2016e</c:v>
                </c:pt>
                <c:pt idx="27">
                  <c:v>2017e</c:v>
                </c:pt>
                <c:pt idx="28">
                  <c:v>2018P</c:v>
                </c:pt>
                <c:pt idx="29">
                  <c:v>2019P</c:v>
                </c:pt>
                <c:pt idx="30">
                  <c:v>2020P</c:v>
                </c:pt>
                <c:pt idx="31">
                  <c:v>2021P</c:v>
                </c:pt>
                <c:pt idx="32">
                  <c:v>2022P</c:v>
                </c:pt>
                <c:pt idx="33">
                  <c:v>2023P</c:v>
                </c:pt>
                <c:pt idx="34">
                  <c:v>2024P</c:v>
                </c:pt>
                <c:pt idx="35">
                  <c:v>2025P</c:v>
                </c:pt>
                <c:pt idx="36">
                  <c:v>2026P</c:v>
                </c:pt>
                <c:pt idx="37">
                  <c:v>2027P</c:v>
                </c:pt>
              </c:strCache>
            </c:strRef>
          </c:cat>
          <c:val>
            <c:numRef>
              <c:f>'Odvětví - grafy'!$B$55:$AM$55</c:f>
              <c:numCache>
                <c:formatCode>#,##0.000</c:formatCode>
                <c:ptCount val="38"/>
                <c:pt idx="0">
                  <c:v>576.86199999999997</c:v>
                </c:pt>
                <c:pt idx="1">
                  <c:v>612.56500000000005</c:v>
                </c:pt>
                <c:pt idx="2">
                  <c:v>618.77599999999995</c:v>
                </c:pt>
                <c:pt idx="3">
                  <c:v>610.29100000000005</c:v>
                </c:pt>
                <c:pt idx="4">
                  <c:v>640.44000000000005</c:v>
                </c:pt>
                <c:pt idx="5">
                  <c:v>673.40200000000004</c:v>
                </c:pt>
                <c:pt idx="6">
                  <c:v>674.72900000000004</c:v>
                </c:pt>
                <c:pt idx="7">
                  <c:v>628.64400000000001</c:v>
                </c:pt>
                <c:pt idx="8">
                  <c:v>673.702</c:v>
                </c:pt>
                <c:pt idx="9">
                  <c:v>728.25400000000002</c:v>
                </c:pt>
                <c:pt idx="10">
                  <c:v>753.89300000000003</c:v>
                </c:pt>
                <c:pt idx="11">
                  <c:v>768.82600000000002</c:v>
                </c:pt>
                <c:pt idx="12">
                  <c:v>780.06399999999996</c:v>
                </c:pt>
                <c:pt idx="13">
                  <c:v>763.73299999999995</c:v>
                </c:pt>
                <c:pt idx="14">
                  <c:v>788.52800000000002</c:v>
                </c:pt>
                <c:pt idx="15">
                  <c:v>781.98599999999999</c:v>
                </c:pt>
                <c:pt idx="16">
                  <c:v>787.21900000000005</c:v>
                </c:pt>
                <c:pt idx="17">
                  <c:v>806.42499999999995</c:v>
                </c:pt>
                <c:pt idx="18">
                  <c:v>806.20799999999997</c:v>
                </c:pt>
                <c:pt idx="19">
                  <c:v>798.85500000000002</c:v>
                </c:pt>
                <c:pt idx="20">
                  <c:v>806.96799999999996</c:v>
                </c:pt>
                <c:pt idx="21">
                  <c:v>790.20399999999995</c:v>
                </c:pt>
                <c:pt idx="22">
                  <c:v>769.33100000000002</c:v>
                </c:pt>
                <c:pt idx="23">
                  <c:v>789.01599999999996</c:v>
                </c:pt>
                <c:pt idx="24">
                  <c:v>797.16600000000005</c:v>
                </c:pt>
                <c:pt idx="25">
                  <c:v>797.178</c:v>
                </c:pt>
                <c:pt idx="26">
                  <c:v>805.69399999999996</c:v>
                </c:pt>
                <c:pt idx="27">
                  <c:v>804.94</c:v>
                </c:pt>
                <c:pt idx="28">
                  <c:v>799.41</c:v>
                </c:pt>
                <c:pt idx="29">
                  <c:v>787.73400000000004</c:v>
                </c:pt>
                <c:pt idx="30">
                  <c:v>772.56500000000005</c:v>
                </c:pt>
                <c:pt idx="31">
                  <c:v>748.952</c:v>
                </c:pt>
                <c:pt idx="32">
                  <c:v>751.53800000000001</c:v>
                </c:pt>
                <c:pt idx="33">
                  <c:v>751.53800000000001</c:v>
                </c:pt>
                <c:pt idx="34">
                  <c:v>742.69200000000001</c:v>
                </c:pt>
                <c:pt idx="35">
                  <c:v>733.87800000000004</c:v>
                </c:pt>
                <c:pt idx="36">
                  <c:v>733.87800000000004</c:v>
                </c:pt>
                <c:pt idx="37">
                  <c:v>733.87800000000004</c:v>
                </c:pt>
              </c:numCache>
            </c:numRef>
          </c:val>
        </c:ser>
        <c:ser>
          <c:idx val="2"/>
          <c:order val="2"/>
          <c:tx>
            <c:strRef>
              <c:f>'Odvětví - grafy'!$A$56</c:f>
              <c:strCache>
                <c:ptCount val="1"/>
                <c:pt idx="0">
                  <c:v>Vodní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'Odvětví - grafy'!$B$52:$AM$52</c:f>
              <c:strCache>
                <c:ptCount val="3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2016e</c:v>
                </c:pt>
                <c:pt idx="27">
                  <c:v>2017e</c:v>
                </c:pt>
                <c:pt idx="28">
                  <c:v>2018P</c:v>
                </c:pt>
                <c:pt idx="29">
                  <c:v>2019P</c:v>
                </c:pt>
                <c:pt idx="30">
                  <c:v>2020P</c:v>
                </c:pt>
                <c:pt idx="31">
                  <c:v>2021P</c:v>
                </c:pt>
                <c:pt idx="32">
                  <c:v>2022P</c:v>
                </c:pt>
                <c:pt idx="33">
                  <c:v>2023P</c:v>
                </c:pt>
                <c:pt idx="34">
                  <c:v>2024P</c:v>
                </c:pt>
                <c:pt idx="35">
                  <c:v>2025P</c:v>
                </c:pt>
                <c:pt idx="36">
                  <c:v>2026P</c:v>
                </c:pt>
                <c:pt idx="37">
                  <c:v>2027P</c:v>
                </c:pt>
              </c:strCache>
            </c:strRef>
          </c:cat>
          <c:val>
            <c:numRef>
              <c:f>'Odvětví - grafy'!$B$56:$AM$56</c:f>
              <c:numCache>
                <c:formatCode>#,##0.000</c:formatCode>
                <c:ptCount val="38"/>
                <c:pt idx="0">
                  <c:v>292.86599999999999</c:v>
                </c:pt>
                <c:pt idx="1">
                  <c:v>288.99400000000003</c:v>
                </c:pt>
                <c:pt idx="2">
                  <c:v>253.08799999999999</c:v>
                </c:pt>
                <c:pt idx="3">
                  <c:v>280.49400000000003</c:v>
                </c:pt>
                <c:pt idx="4">
                  <c:v>260.12599999999998</c:v>
                </c:pt>
                <c:pt idx="5">
                  <c:v>310.83300000000003</c:v>
                </c:pt>
                <c:pt idx="6">
                  <c:v>347.16199999999998</c:v>
                </c:pt>
                <c:pt idx="7">
                  <c:v>356.45299999999997</c:v>
                </c:pt>
                <c:pt idx="8">
                  <c:v>323.33600000000001</c:v>
                </c:pt>
                <c:pt idx="9">
                  <c:v>319.536</c:v>
                </c:pt>
                <c:pt idx="10">
                  <c:v>275.57299999999998</c:v>
                </c:pt>
                <c:pt idx="11">
                  <c:v>216.96100000000001</c:v>
                </c:pt>
                <c:pt idx="12">
                  <c:v>264.32900000000001</c:v>
                </c:pt>
                <c:pt idx="13">
                  <c:v>275.80599999999998</c:v>
                </c:pt>
                <c:pt idx="14">
                  <c:v>268.41699999999997</c:v>
                </c:pt>
                <c:pt idx="15">
                  <c:v>270.32100000000003</c:v>
                </c:pt>
                <c:pt idx="16">
                  <c:v>289.24599999999998</c:v>
                </c:pt>
                <c:pt idx="17">
                  <c:v>247.51</c:v>
                </c:pt>
                <c:pt idx="18">
                  <c:v>254.83099999999999</c:v>
                </c:pt>
                <c:pt idx="19">
                  <c:v>273.44499999999999</c:v>
                </c:pt>
                <c:pt idx="20">
                  <c:v>260.20299999999997</c:v>
                </c:pt>
                <c:pt idx="21">
                  <c:v>319.35500000000002</c:v>
                </c:pt>
                <c:pt idx="22">
                  <c:v>276.24</c:v>
                </c:pt>
                <c:pt idx="23">
                  <c:v>268.565</c:v>
                </c:pt>
                <c:pt idx="24">
                  <c:v>259.36700000000002</c:v>
                </c:pt>
                <c:pt idx="25">
                  <c:v>249.08</c:v>
                </c:pt>
                <c:pt idx="26">
                  <c:v>267.81200000000001</c:v>
                </c:pt>
                <c:pt idx="27">
                  <c:v>299.19799999999998</c:v>
                </c:pt>
                <c:pt idx="28">
                  <c:v>265.10000000000002</c:v>
                </c:pt>
                <c:pt idx="29">
                  <c:v>270.64999999999998</c:v>
                </c:pt>
                <c:pt idx="30">
                  <c:v>271.19099999999997</c:v>
                </c:pt>
                <c:pt idx="31">
                  <c:v>268.47899999999998</c:v>
                </c:pt>
                <c:pt idx="32">
                  <c:v>273.84899999999999</c:v>
                </c:pt>
                <c:pt idx="33">
                  <c:v>277.95699999999999</c:v>
                </c:pt>
                <c:pt idx="34">
                  <c:v>275.17700000000002</c:v>
                </c:pt>
                <c:pt idx="35">
                  <c:v>277.92899999999997</c:v>
                </c:pt>
                <c:pt idx="36">
                  <c:v>286.267</c:v>
                </c:pt>
                <c:pt idx="37">
                  <c:v>291.99200000000002</c:v>
                </c:pt>
              </c:numCache>
            </c:numRef>
          </c:val>
        </c:ser>
        <c:ser>
          <c:idx val="3"/>
          <c:order val="3"/>
          <c:tx>
            <c:strRef>
              <c:f>'Odvětví - grafy'!$A$57</c:f>
              <c:strCache>
                <c:ptCount val="1"/>
                <c:pt idx="0">
                  <c:v>Ostatní obnovitelné zdroje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'Odvětví - grafy'!$B$52:$AM$52</c:f>
              <c:strCache>
                <c:ptCount val="3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2016e</c:v>
                </c:pt>
                <c:pt idx="27">
                  <c:v>2017e</c:v>
                </c:pt>
                <c:pt idx="28">
                  <c:v>2018P</c:v>
                </c:pt>
                <c:pt idx="29">
                  <c:v>2019P</c:v>
                </c:pt>
                <c:pt idx="30">
                  <c:v>2020P</c:v>
                </c:pt>
                <c:pt idx="31">
                  <c:v>2021P</c:v>
                </c:pt>
                <c:pt idx="32">
                  <c:v>2022P</c:v>
                </c:pt>
                <c:pt idx="33">
                  <c:v>2023P</c:v>
                </c:pt>
                <c:pt idx="34">
                  <c:v>2024P</c:v>
                </c:pt>
                <c:pt idx="35">
                  <c:v>2025P</c:v>
                </c:pt>
                <c:pt idx="36">
                  <c:v>2026P</c:v>
                </c:pt>
                <c:pt idx="37">
                  <c:v>2027P</c:v>
                </c:pt>
              </c:strCache>
            </c:strRef>
          </c:cat>
          <c:val>
            <c:numRef>
              <c:f>'Odvětví - grafy'!$B$57:$AM$57</c:f>
              <c:numCache>
                <c:formatCode>#,##0.000</c:formatCode>
                <c:ptCount val="38"/>
                <c:pt idx="0">
                  <c:v>67.988</c:v>
                </c:pt>
                <c:pt idx="1">
                  <c:v>73.518000000000001</c:v>
                </c:pt>
                <c:pt idx="2">
                  <c:v>77.489999999999995</c:v>
                </c:pt>
                <c:pt idx="3">
                  <c:v>79.7</c:v>
                </c:pt>
                <c:pt idx="4">
                  <c:v>80.201999999999998</c:v>
                </c:pt>
                <c:pt idx="5">
                  <c:v>78.069000000000003</c:v>
                </c:pt>
                <c:pt idx="6">
                  <c:v>79.367000000000004</c:v>
                </c:pt>
                <c:pt idx="7">
                  <c:v>80.795000000000002</c:v>
                </c:pt>
                <c:pt idx="8">
                  <c:v>80.66</c:v>
                </c:pt>
                <c:pt idx="9">
                  <c:v>83.447000000000003</c:v>
                </c:pt>
                <c:pt idx="10">
                  <c:v>85.7</c:v>
                </c:pt>
                <c:pt idx="11">
                  <c:v>82.674999999999997</c:v>
                </c:pt>
                <c:pt idx="12">
                  <c:v>92.635999999999996</c:v>
                </c:pt>
                <c:pt idx="13">
                  <c:v>93.531000000000006</c:v>
                </c:pt>
                <c:pt idx="14">
                  <c:v>97.3</c:v>
                </c:pt>
                <c:pt idx="15">
                  <c:v>100.15</c:v>
                </c:pt>
                <c:pt idx="16">
                  <c:v>109.5</c:v>
                </c:pt>
                <c:pt idx="17">
                  <c:v>117.46899999999999</c:v>
                </c:pt>
                <c:pt idx="18">
                  <c:v>137.905</c:v>
                </c:pt>
                <c:pt idx="19">
                  <c:v>156.20699999999999</c:v>
                </c:pt>
                <c:pt idx="20">
                  <c:v>180.02699999999999</c:v>
                </c:pt>
                <c:pt idx="21">
                  <c:v>208.13499999999999</c:v>
                </c:pt>
                <c:pt idx="22">
                  <c:v>232.12</c:v>
                </c:pt>
                <c:pt idx="23">
                  <c:v>267.09699999999998</c:v>
                </c:pt>
                <c:pt idx="24">
                  <c:v>303.90699999999998</c:v>
                </c:pt>
                <c:pt idx="25">
                  <c:v>323.32900000000001</c:v>
                </c:pt>
                <c:pt idx="26">
                  <c:v>360.44499999999999</c:v>
                </c:pt>
                <c:pt idx="27">
                  <c:v>405.45699999999999</c:v>
                </c:pt>
                <c:pt idx="28">
                  <c:v>421.113</c:v>
                </c:pt>
                <c:pt idx="29">
                  <c:v>459.90699999999998</c:v>
                </c:pt>
                <c:pt idx="30">
                  <c:v>505.517</c:v>
                </c:pt>
                <c:pt idx="31">
                  <c:v>533.47</c:v>
                </c:pt>
                <c:pt idx="32">
                  <c:v>557.57500000000005</c:v>
                </c:pt>
                <c:pt idx="33">
                  <c:v>579.399</c:v>
                </c:pt>
                <c:pt idx="34">
                  <c:v>600.47</c:v>
                </c:pt>
                <c:pt idx="35">
                  <c:v>618.85900000000004</c:v>
                </c:pt>
                <c:pt idx="36">
                  <c:v>637.92600000000004</c:v>
                </c:pt>
                <c:pt idx="37">
                  <c:v>656.505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7245096"/>
        <c:axId val="927245880"/>
      </c:areaChart>
      <c:catAx>
        <c:axId val="927245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27245880"/>
        <c:crossesAt val="100"/>
        <c:auto val="1"/>
        <c:lblAlgn val="ctr"/>
        <c:lblOffset val="100"/>
        <c:noMultiLvlLbl val="0"/>
      </c:catAx>
      <c:valAx>
        <c:axId val="927245880"/>
        <c:scaling>
          <c:orientation val="minMax"/>
          <c:min val="8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TWh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27245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1366120218579236"/>
          <c:y val="0.85795491317010031"/>
          <c:w val="0.78360655737704921"/>
          <c:h val="0.142045086829899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/>
              <a:t>2007 = 100 %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978937007874017"/>
          <c:y val="6.9861111111111124E-2"/>
          <c:w val="0.82653237095363086"/>
          <c:h val="0.7848779347787006"/>
        </c:manualLayout>
      </c:layout>
      <c:lineChart>
        <c:grouping val="standard"/>
        <c:varyColors val="0"/>
        <c:ser>
          <c:idx val="0"/>
          <c:order val="0"/>
          <c:tx>
            <c:strRef>
              <c:f>'Odvětví - grafy'!$A$82</c:f>
              <c:strCache>
                <c:ptCount val="1"/>
                <c:pt idx="0">
                  <c:v>Lear Corporation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'Odvětví - grafy'!$B$78:$L$78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'Odvětví - grafy'!$B$82:$L$82</c:f>
              <c:numCache>
                <c:formatCode>0.00</c:formatCode>
                <c:ptCount val="11"/>
                <c:pt idx="0">
                  <c:v>100</c:v>
                </c:pt>
                <c:pt idx="1">
                  <c:v>84.842138168177556</c:v>
                </c:pt>
                <c:pt idx="2">
                  <c:v>60.891528602688339</c:v>
                </c:pt>
                <c:pt idx="3">
                  <c:v>74.739606126914666</c:v>
                </c:pt>
                <c:pt idx="4">
                  <c:v>88.505783057205377</c:v>
                </c:pt>
                <c:pt idx="5">
                  <c:v>91.072210065645507</c:v>
                </c:pt>
                <c:pt idx="6">
                  <c:v>101.49421694279461</c:v>
                </c:pt>
                <c:pt idx="7">
                  <c:v>110.83025945608003</c:v>
                </c:pt>
                <c:pt idx="8">
                  <c:v>113.8568302594561</c:v>
                </c:pt>
                <c:pt idx="9">
                  <c:v>116.02125664270085</c:v>
                </c:pt>
                <c:pt idx="10">
                  <c:v>127.95873710534542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'Odvětví - grafy'!$A$83</c:f>
              <c:strCache>
                <c:ptCount val="1"/>
                <c:pt idx="0">
                  <c:v>Ford Motor Company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'Odvětví - grafy'!$B$78:$L$78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'Odvětví - grafy'!$B$83:$L$83</c:f>
              <c:numCache>
                <c:formatCode>0.00</c:formatCode>
                <c:ptCount val="11"/>
                <c:pt idx="0">
                  <c:v>100</c:v>
                </c:pt>
                <c:pt idx="1">
                  <c:v>82.676400287603883</c:v>
                </c:pt>
                <c:pt idx="2">
                  <c:v>67.281171661948832</c:v>
                </c:pt>
                <c:pt idx="3">
                  <c:v>77.264394768718546</c:v>
                </c:pt>
                <c:pt idx="4">
                  <c:v>83.021654499640491</c:v>
                </c:pt>
                <c:pt idx="5">
                  <c:v>81.984596350539903</c:v>
                </c:pt>
                <c:pt idx="6">
                  <c:v>90.277175004372353</c:v>
                </c:pt>
                <c:pt idx="7">
                  <c:v>87.953672455450544</c:v>
                </c:pt>
                <c:pt idx="8">
                  <c:v>91.052539529340123</c:v>
                </c:pt>
                <c:pt idx="9">
                  <c:v>91.687340894810816</c:v>
                </c:pt>
                <c:pt idx="10">
                  <c:v>94.34767682132933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'Odvětví - grafy'!$A$84</c:f>
              <c:strCache>
                <c:ptCount val="1"/>
                <c:pt idx="0">
                  <c:v>General Motors Company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'Odvětví - grafy'!$B$78:$L$78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'Odvětví - grafy'!$B$84:$L$84</c:f>
              <c:numCache>
                <c:formatCode>0.00</c:formatCode>
                <c:ptCount val="11"/>
                <c:pt idx="0">
                  <c:v>100</c:v>
                </c:pt>
                <c:pt idx="1">
                  <c:v>82.77346875277803</c:v>
                </c:pt>
                <c:pt idx="2">
                  <c:v>58.110165348030939</c:v>
                </c:pt>
                <c:pt idx="3">
                  <c:v>75.335585385367594</c:v>
                </c:pt>
                <c:pt idx="4">
                  <c:v>83.494088363410086</c:v>
                </c:pt>
                <c:pt idx="5">
                  <c:v>84.594186149879988</c:v>
                </c:pt>
                <c:pt idx="6">
                  <c:v>86.356009423059831</c:v>
                </c:pt>
                <c:pt idx="7">
                  <c:v>86.634923104275941</c:v>
                </c:pt>
                <c:pt idx="8">
                  <c:v>75.409480842741573</c:v>
                </c:pt>
                <c:pt idx="9">
                  <c:v>82.887367766023644</c:v>
                </c:pt>
                <c:pt idx="10">
                  <c:v>80.889412392212648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'Odvětví - grafy'!$A$86</c:f>
              <c:strCache>
                <c:ptCount val="1"/>
                <c:pt idx="0">
                  <c:v>HDP USA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'Odvětví - grafy'!$B$78:$L$78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'Odvětví - grafy'!$B$86:$L$86</c:f>
              <c:numCache>
                <c:formatCode>#,##0.0</c:formatCode>
                <c:ptCount val="11"/>
                <c:pt idx="0" formatCode="#,##0.00">
                  <c:v>100</c:v>
                </c:pt>
                <c:pt idx="1">
                  <c:v>101.84543208851431</c:v>
                </c:pt>
                <c:pt idx="2">
                  <c:v>99.77027242092737</c:v>
                </c:pt>
                <c:pt idx="3">
                  <c:v>103.54624651429916</c:v>
                </c:pt>
                <c:pt idx="4">
                  <c:v>107.37619274974224</c:v>
                </c:pt>
                <c:pt idx="5">
                  <c:v>111.78668548772133</c:v>
                </c:pt>
                <c:pt idx="6">
                  <c:v>115.49692427985248</c:v>
                </c:pt>
                <c:pt idx="7">
                  <c:v>120.59037220019513</c:v>
                </c:pt>
                <c:pt idx="8">
                  <c:v>125.38628138860635</c:v>
                </c:pt>
                <c:pt idx="9">
                  <c:v>128.87232820597984</c:v>
                </c:pt>
                <c:pt idx="10">
                  <c:v>134.17336128813511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7249408"/>
        <c:axId val="927240784"/>
      </c:lineChart>
      <c:catAx>
        <c:axId val="927249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27240784"/>
        <c:crossesAt val="100"/>
        <c:auto val="1"/>
        <c:lblAlgn val="ctr"/>
        <c:lblOffset val="100"/>
        <c:noMultiLvlLbl val="0"/>
      </c:catAx>
      <c:valAx>
        <c:axId val="927240784"/>
        <c:scaling>
          <c:orientation val="minMax"/>
          <c:max val="150"/>
          <c:min val="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cs-CZ"/>
                  <a:t>V jednotkách % oproti 2007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27249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7901137357830261E-2"/>
          <c:y val="0.88770225412999848"/>
          <c:w val="0.9"/>
          <c:h val="0.112297745870001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833602469382799"/>
          <c:y val="3.6529680365296802E-2"/>
          <c:w val="0.478858482072681"/>
          <c:h val="0.90359939596591521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6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dPt>
          <c:dPt>
            <c:idx val="8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</c:dPt>
          <c:dPt>
            <c:idx val="9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</c:dPt>
          <c:dLbls>
            <c:dLbl>
              <c:idx val="9"/>
              <c:layout>
                <c:manualLayout>
                  <c:x val="3.3756710538224467E-2"/>
                  <c:y val="7.305936073059360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'Odvětví - grafy'!$A$93:$A$103</c:f>
              <c:strCache>
                <c:ptCount val="11"/>
                <c:pt idx="0">
                  <c:v>General Motors Company</c:v>
                </c:pt>
                <c:pt idx="1">
                  <c:v>Ford Motor Company</c:v>
                </c:pt>
                <c:pt idx="2">
                  <c:v>Toyota Motor Corporation</c:v>
                </c:pt>
                <c:pt idx="3">
                  <c:v>FCA/Chrysler group</c:v>
                </c:pt>
                <c:pt idx="4">
                  <c:v>Nissan Motor Company / Mitsubishi</c:v>
                </c:pt>
                <c:pt idx="5">
                  <c:v>Honda Motor Company</c:v>
                </c:pt>
                <c:pt idx="6">
                  <c:v>Hyundai-Kia</c:v>
                </c:pt>
                <c:pt idx="7">
                  <c:v>Subaru</c:v>
                </c:pt>
                <c:pt idx="8">
                  <c:v>Volkswagen Group (bez Lamborghiny)</c:v>
                </c:pt>
                <c:pt idx="9">
                  <c:v>Daimler</c:v>
                </c:pt>
                <c:pt idx="10">
                  <c:v>Ostatní</c:v>
                </c:pt>
              </c:strCache>
            </c:strRef>
          </c:cat>
          <c:val>
            <c:numRef>
              <c:f>'Odvětví - grafy'!$B$93:$B$103</c:f>
              <c:numCache>
                <c:formatCode>0%</c:formatCode>
                <c:ptCount val="11"/>
                <c:pt idx="0">
                  <c:v>0.17599999999999999</c:v>
                </c:pt>
                <c:pt idx="1">
                  <c:v>0.14199999999999999</c:v>
                </c:pt>
                <c:pt idx="2">
                  <c:v>0.14199999999999999</c:v>
                </c:pt>
                <c:pt idx="3">
                  <c:v>0.121</c:v>
                </c:pt>
                <c:pt idx="4">
                  <c:v>9.9000000000000005E-2</c:v>
                </c:pt>
                <c:pt idx="5">
                  <c:v>9.6000000000000002E-2</c:v>
                </c:pt>
                <c:pt idx="6">
                  <c:v>7.4999999999999997E-2</c:v>
                </c:pt>
                <c:pt idx="7">
                  <c:v>3.7999999999999999E-2</c:v>
                </c:pt>
                <c:pt idx="8">
                  <c:v>3.6999999999999998E-2</c:v>
                </c:pt>
                <c:pt idx="9">
                  <c:v>2.1999999999999999E-2</c:v>
                </c:pt>
                <c:pt idx="10">
                  <c:v>5.2000000000000046E-2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4.8396854204476713E-3"/>
          <c:y val="3.0562326969402791E-2"/>
          <c:w val="0.43968713529683556"/>
          <c:h val="0.966272246791068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/>
              <a:t>2007 = 100 %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978937007874017"/>
          <c:y val="6.9861111111111124E-2"/>
          <c:w val="0.82653237095363086"/>
          <c:h val="0.7848779347787006"/>
        </c:manualLayout>
      </c:layout>
      <c:lineChart>
        <c:grouping val="standard"/>
        <c:varyColors val="0"/>
        <c:ser>
          <c:idx val="0"/>
          <c:order val="0"/>
          <c:tx>
            <c:strRef>
              <c:f>'Odvětví - grafy'!$A$117</c:f>
              <c:strCache>
                <c:ptCount val="1"/>
                <c:pt idx="0">
                  <c:v>Pfizer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'Odvětví - grafy'!$B$113:$L$113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'Odvětví - grafy'!$B$117:$L$117</c:f>
              <c:numCache>
                <c:formatCode>0.00</c:formatCode>
                <c:ptCount val="11"/>
                <c:pt idx="0">
                  <c:v>100</c:v>
                </c:pt>
                <c:pt idx="1">
                  <c:v>99.748027593043915</c:v>
                </c:pt>
                <c:pt idx="2">
                  <c:v>101.75761080589862</c:v>
                </c:pt>
                <c:pt idx="3">
                  <c:v>134.58837622371846</c:v>
                </c:pt>
                <c:pt idx="4">
                  <c:v>126.05849064397539</c:v>
                </c:pt>
                <c:pt idx="5">
                  <c:v>112.88570366392663</c:v>
                </c:pt>
                <c:pt idx="6">
                  <c:v>106.53889049527035</c:v>
                </c:pt>
                <c:pt idx="7">
                  <c:v>102.45156759882687</c:v>
                </c:pt>
                <c:pt idx="8">
                  <c:v>100.89429550993432</c:v>
                </c:pt>
                <c:pt idx="9">
                  <c:v>109.09992151679127</c:v>
                </c:pt>
                <c:pt idx="10">
                  <c:v>108.52575488454707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'Odvětví - grafy'!$A$118</c:f>
              <c:strCache>
                <c:ptCount val="1"/>
                <c:pt idx="0">
                  <c:v>Merck &amp; Co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'Odvětví - grafy'!$B$113:$L$113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'Odvětví - grafy'!$B$118:$L$118</c:f>
              <c:numCache>
                <c:formatCode>0.00</c:formatCode>
                <c:ptCount val="11"/>
                <c:pt idx="0">
                  <c:v>100</c:v>
                </c:pt>
                <c:pt idx="1">
                  <c:v>98.563086574343842</c:v>
                </c:pt>
                <c:pt idx="2">
                  <c:v>113.34961587258292</c:v>
                </c:pt>
                <c:pt idx="3">
                  <c:v>190.04698793687004</c:v>
                </c:pt>
                <c:pt idx="4">
                  <c:v>198.56019373742132</c:v>
                </c:pt>
                <c:pt idx="5">
                  <c:v>195.3367468809019</c:v>
                </c:pt>
                <c:pt idx="6">
                  <c:v>181.97184029887137</c:v>
                </c:pt>
                <c:pt idx="7">
                  <c:v>174.54964728052667</c:v>
                </c:pt>
                <c:pt idx="8">
                  <c:v>163.23038966513346</c:v>
                </c:pt>
                <c:pt idx="9">
                  <c:v>164.50737053521615</c:v>
                </c:pt>
                <c:pt idx="10">
                  <c:v>165.80914715034899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'Odvětví - grafy'!$A$119</c:f>
              <c:strCache>
                <c:ptCount val="1"/>
                <c:pt idx="0">
                  <c:v>Eli Lilly and Company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'Odvětví - grafy'!$B$113:$L$113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'Odvětví - grafy'!$B$119:$L$119</c:f>
              <c:numCache>
                <c:formatCode>0.00</c:formatCode>
                <c:ptCount val="11"/>
                <c:pt idx="0">
                  <c:v>100</c:v>
                </c:pt>
                <c:pt idx="1">
                  <c:v>109.32943354710602</c:v>
                </c:pt>
                <c:pt idx="2">
                  <c:v>117.18678723803902</c:v>
                </c:pt>
                <c:pt idx="3">
                  <c:v>123.84146832318137</c:v>
                </c:pt>
                <c:pt idx="4">
                  <c:v>130.33783239863686</c:v>
                </c:pt>
                <c:pt idx="5">
                  <c:v>121.30517616121503</c:v>
                </c:pt>
                <c:pt idx="6">
                  <c:v>124.04057208790617</c:v>
                </c:pt>
                <c:pt idx="7">
                  <c:v>105.27061475299861</c:v>
                </c:pt>
                <c:pt idx="8">
                  <c:v>107.11192207583117</c:v>
                </c:pt>
                <c:pt idx="9">
                  <c:v>113.89218343306409</c:v>
                </c:pt>
                <c:pt idx="10">
                  <c:v>122.74290927630342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'Odvětví - grafy'!$A$121</c:f>
              <c:strCache>
                <c:ptCount val="1"/>
                <c:pt idx="0">
                  <c:v>HDP USA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'Odvětví - grafy'!$B$113:$L$113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'Odvětví - grafy'!$B$121:$L$121</c:f>
              <c:numCache>
                <c:formatCode>#,##0.0</c:formatCode>
                <c:ptCount val="11"/>
                <c:pt idx="0" formatCode="#,##0.00">
                  <c:v>100</c:v>
                </c:pt>
                <c:pt idx="1">
                  <c:v>101.84543208851431</c:v>
                </c:pt>
                <c:pt idx="2">
                  <c:v>99.77027242092737</c:v>
                </c:pt>
                <c:pt idx="3">
                  <c:v>103.54624651429916</c:v>
                </c:pt>
                <c:pt idx="4">
                  <c:v>107.37619274974224</c:v>
                </c:pt>
                <c:pt idx="5">
                  <c:v>111.78668548772133</c:v>
                </c:pt>
                <c:pt idx="6">
                  <c:v>115.49692427985248</c:v>
                </c:pt>
                <c:pt idx="7">
                  <c:v>120.59037220019513</c:v>
                </c:pt>
                <c:pt idx="8">
                  <c:v>125.38628138860635</c:v>
                </c:pt>
                <c:pt idx="9">
                  <c:v>128.87232820597984</c:v>
                </c:pt>
                <c:pt idx="10">
                  <c:v>134.17336128813511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7247448"/>
        <c:axId val="927248232"/>
      </c:lineChart>
      <c:catAx>
        <c:axId val="927247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27248232"/>
        <c:crossesAt val="100"/>
        <c:auto val="1"/>
        <c:lblAlgn val="ctr"/>
        <c:lblOffset val="100"/>
        <c:noMultiLvlLbl val="0"/>
      </c:catAx>
      <c:valAx>
        <c:axId val="927248232"/>
        <c:scaling>
          <c:orientation val="minMax"/>
          <c:max val="210"/>
          <c:min val="9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cs-CZ"/>
                  <a:t>V jednotkách % oproti 2007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2724744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7901137357830261E-2"/>
          <c:y val="0.88770225412999848"/>
          <c:w val="0.9"/>
          <c:h val="0.112297745870001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20144356955382"/>
          <c:y val="6.9861111111111124E-2"/>
          <c:w val="0.73208792650918642"/>
          <c:h val="0.71638478409376904"/>
        </c:manualLayout>
      </c:layout>
      <c:lineChart>
        <c:grouping val="standard"/>
        <c:varyColors val="0"/>
        <c:ser>
          <c:idx val="0"/>
          <c:order val="0"/>
          <c:tx>
            <c:strRef>
              <c:f>'Odvětví - grafy'!$A$137</c:f>
              <c:strCache>
                <c:ptCount val="1"/>
                <c:pt idx="0">
                  <c:v>Tržy z prodeje léků v ČR (levá osa)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'Odvětví - grafy'!$B$136:$R$136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'Odvětví - grafy'!$B$137:$R$137</c:f>
              <c:numCache>
                <c:formatCode>0.00</c:formatCode>
                <c:ptCount val="17"/>
                <c:pt idx="0">
                  <c:v>994.4</c:v>
                </c:pt>
                <c:pt idx="1">
                  <c:v>1163</c:v>
                </c:pt>
                <c:pt idx="2">
                  <c:v>1467.1</c:v>
                </c:pt>
                <c:pt idx="3">
                  <c:v>1851</c:v>
                </c:pt>
                <c:pt idx="4">
                  <c:v>2217.6999999999998</c:v>
                </c:pt>
                <c:pt idx="5">
                  <c:v>2708</c:v>
                </c:pt>
                <c:pt idx="6">
                  <c:v>2609.8000000000002</c:v>
                </c:pt>
                <c:pt idx="7">
                  <c:v>3309.3</c:v>
                </c:pt>
                <c:pt idx="8">
                  <c:v>4219.3</c:v>
                </c:pt>
                <c:pt idx="9">
                  <c:v>4198.2</c:v>
                </c:pt>
                <c:pt idx="10">
                  <c:v>4265.7</c:v>
                </c:pt>
                <c:pt idx="11">
                  <c:v>4574.1000000000004</c:v>
                </c:pt>
                <c:pt idx="12">
                  <c:v>4277.8</c:v>
                </c:pt>
                <c:pt idx="13">
                  <c:v>4073</c:v>
                </c:pt>
                <c:pt idx="14">
                  <c:v>3905.9</c:v>
                </c:pt>
                <c:pt idx="15">
                  <c:v>3432.8</c:v>
                </c:pt>
                <c:pt idx="16">
                  <c:v>3570.9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37256"/>
        <c:axId val="927234904"/>
      </c:lineChart>
      <c:lineChart>
        <c:grouping val="standard"/>
        <c:varyColors val="0"/>
        <c:ser>
          <c:idx val="1"/>
          <c:order val="1"/>
          <c:tx>
            <c:strRef>
              <c:f>'Odvětví - grafy'!$A$138</c:f>
              <c:strCache>
                <c:ptCount val="1"/>
                <c:pt idx="0">
                  <c:v>Tržy z prodeje léků v UK (pravá osa)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'Odvětví - grafy'!$B$136:$R$136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strCache>
            </c:strRef>
          </c:cat>
          <c:val>
            <c:numRef>
              <c:f>'Odvětví - grafy'!$B$138:$R$138</c:f>
              <c:numCache>
                <c:formatCode>General</c:formatCode>
                <c:ptCount val="17"/>
                <c:pt idx="0">
                  <c:v>14721.7</c:v>
                </c:pt>
                <c:pt idx="1">
                  <c:v>14813.1</c:v>
                </c:pt>
                <c:pt idx="2">
                  <c:v>16531.2</c:v>
                </c:pt>
                <c:pt idx="3">
                  <c:v>19511.099999999999</c:v>
                </c:pt>
                <c:pt idx="4">
                  <c:v>23380.6</c:v>
                </c:pt>
                <c:pt idx="5">
                  <c:v>24072.799999999999</c:v>
                </c:pt>
                <c:pt idx="6">
                  <c:v>25391.599999999999</c:v>
                </c:pt>
                <c:pt idx="7">
                  <c:v>28813.1</c:v>
                </c:pt>
                <c:pt idx="8">
                  <c:v>27134</c:v>
                </c:pt>
                <c:pt idx="9">
                  <c:v>22521.5</c:v>
                </c:pt>
                <c:pt idx="10">
                  <c:v>20328.3</c:v>
                </c:pt>
                <c:pt idx="11">
                  <c:v>20802.400000000001</c:v>
                </c:pt>
                <c:pt idx="12">
                  <c:v>21755.9</c:v>
                </c:pt>
                <c:pt idx="13">
                  <c:v>22827.9</c:v>
                </c:pt>
                <c:pt idx="14">
                  <c:v>26319.5</c:v>
                </c:pt>
                <c:pt idx="15">
                  <c:v>27021.7</c:v>
                </c:pt>
                <c:pt idx="16">
                  <c:v>25051.7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28240"/>
        <c:axId val="927227064"/>
      </c:lineChart>
      <c:catAx>
        <c:axId val="927237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27234904"/>
        <c:crosses val="autoZero"/>
        <c:auto val="1"/>
        <c:lblAlgn val="ctr"/>
        <c:lblOffset val="100"/>
        <c:noMultiLvlLbl val="0"/>
      </c:catAx>
      <c:valAx>
        <c:axId val="9272349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cs-CZ"/>
                  <a:t>V</a:t>
                </a:r>
                <a:r>
                  <a:rPr lang="cs-CZ" baseline="0"/>
                  <a:t> mil. USD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\ ##0;\ #\ ##0;\-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27237256"/>
        <c:crosses val="autoZero"/>
        <c:crossBetween val="between"/>
      </c:valAx>
      <c:valAx>
        <c:axId val="92722706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V mil. USD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\ ##0;\ #\ ##0;\-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27228240"/>
        <c:crosses val="max"/>
        <c:crossBetween val="between"/>
      </c:valAx>
      <c:catAx>
        <c:axId val="927228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72270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2.7179790026246719E-2"/>
          <c:y val="0.89787509438032553"/>
          <c:w val="0.9450424321959755"/>
          <c:h val="9.92269801891201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23</xdr:col>
      <xdr:colOff>304800</xdr:colOff>
      <xdr:row>13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180975</xdr:colOff>
      <xdr:row>0</xdr:row>
      <xdr:rowOff>28576</xdr:rowOff>
    </xdr:from>
    <xdr:to>
      <xdr:col>22</xdr:col>
      <xdr:colOff>485775</xdr:colOff>
      <xdr:row>16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333375</xdr:colOff>
      <xdr:row>4</xdr:row>
      <xdr:rowOff>52387</xdr:rowOff>
    </xdr:from>
    <xdr:to>
      <xdr:col>22</xdr:col>
      <xdr:colOff>28575</xdr:colOff>
      <xdr:row>18</xdr:row>
      <xdr:rowOff>128587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26</xdr:row>
      <xdr:rowOff>0</xdr:rowOff>
    </xdr:from>
    <xdr:to>
      <xdr:col>21</xdr:col>
      <xdr:colOff>304800</xdr:colOff>
      <xdr:row>41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58</xdr:row>
      <xdr:rowOff>0</xdr:rowOff>
    </xdr:from>
    <xdr:to>
      <xdr:col>23</xdr:col>
      <xdr:colOff>323850</xdr:colOff>
      <xdr:row>72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133350</xdr:colOff>
      <xdr:row>58</xdr:row>
      <xdr:rowOff>57150</xdr:rowOff>
    </xdr:from>
    <xdr:to>
      <xdr:col>23</xdr:col>
      <xdr:colOff>57150</xdr:colOff>
      <xdr:row>68</xdr:row>
      <xdr:rowOff>180975</xdr:rowOff>
    </xdr:to>
    <xdr:sp macro="" textlink="">
      <xdr:nvSpPr>
        <xdr:cNvPr id="5" name="Rectangle 4"/>
        <xdr:cNvSpPr/>
      </xdr:nvSpPr>
      <xdr:spPr>
        <a:xfrm>
          <a:off x="16973550" y="11182350"/>
          <a:ext cx="1143000" cy="2028825"/>
        </a:xfrm>
        <a:prstGeom prst="rect">
          <a:avLst/>
        </a:prstGeom>
        <a:solidFill>
          <a:srgbClr val="FFFF00">
            <a:alpha val="34000"/>
          </a:srgbClr>
        </a:solidFill>
        <a:ln>
          <a:solidFill>
            <a:srgbClr val="FFFF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4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Prognóza</a:t>
          </a:r>
          <a:endParaRPr lang="en-US" sz="11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15</xdr:col>
      <xdr:colOff>0</xdr:colOff>
      <xdr:row>79</xdr:row>
      <xdr:rowOff>0</xdr:rowOff>
    </xdr:from>
    <xdr:to>
      <xdr:col>22</xdr:col>
      <xdr:colOff>304800</xdr:colOff>
      <xdr:row>93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647699</xdr:colOff>
      <xdr:row>90</xdr:row>
      <xdr:rowOff>28575</xdr:rowOff>
    </xdr:from>
    <xdr:to>
      <xdr:col>10</xdr:col>
      <xdr:colOff>295274</xdr:colOff>
      <xdr:row>104</xdr:row>
      <xdr:rowOff>142875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112</xdr:row>
      <xdr:rowOff>0</xdr:rowOff>
    </xdr:from>
    <xdr:to>
      <xdr:col>22</xdr:col>
      <xdr:colOff>304800</xdr:colOff>
      <xdr:row>126</xdr:row>
      <xdr:rowOff>76200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0</xdr:colOff>
      <xdr:row>134</xdr:row>
      <xdr:rowOff>0</xdr:rowOff>
    </xdr:from>
    <xdr:to>
      <xdr:col>28</xdr:col>
      <xdr:colOff>304800</xdr:colOff>
      <xdr:row>144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590550</xdr:colOff>
      <xdr:row>147</xdr:row>
      <xdr:rowOff>666750</xdr:rowOff>
    </xdr:from>
    <xdr:to>
      <xdr:col>23</xdr:col>
      <xdr:colOff>285750</xdr:colOff>
      <xdr:row>154</xdr:row>
      <xdr:rowOff>152400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0.31458</cdr:x>
      <cdr:y>0.10616</cdr:y>
    </cdr:from>
    <cdr:to>
      <cdr:x>0.96944</cdr:x>
      <cdr:y>0.77055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438275" y="295274"/>
          <a:ext cx="2994025" cy="18478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34000"/>
          </a:srgbClr>
        </a:solidFill>
        <a:ln xmlns:a="http://schemas.openxmlformats.org/drawingml/2006/main">
          <a:solidFill>
            <a:srgbClr val="FFFF00"/>
          </a:solidFill>
          <a:prstDash val="sysDot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cs-CZ" sz="14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Prognóza</a:t>
          </a:r>
          <a:endParaRPr lang="en-US" sz="11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_diplomka_v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dvetvi"/>
      <sheetName val="Export tabulky"/>
      <sheetName val="VH Gilead"/>
      <sheetName val="VH Bristol"/>
    </sheetNames>
    <sheetDataSet>
      <sheetData sheetId="0">
        <row r="3">
          <cell r="B3">
            <v>2007</v>
          </cell>
          <cell r="C3" t="str">
            <v>2008</v>
          </cell>
          <cell r="D3" t="str">
            <v>2009</v>
          </cell>
          <cell r="E3" t="str">
            <v>2010</v>
          </cell>
          <cell r="F3" t="str">
            <v>2011</v>
          </cell>
          <cell r="G3" t="str">
            <v>2012</v>
          </cell>
          <cell r="H3" t="str">
            <v>2013</v>
          </cell>
          <cell r="I3" t="str">
            <v>2014</v>
          </cell>
          <cell r="J3" t="str">
            <v>2015</v>
          </cell>
          <cell r="K3" t="str">
            <v>2016</v>
          </cell>
          <cell r="L3" t="str">
            <v>2017</v>
          </cell>
        </row>
        <row r="14">
          <cell r="A14" t="str">
            <v>Čistý úrokový výnos</v>
          </cell>
          <cell r="B14">
            <v>100</v>
          </cell>
          <cell r="C14">
            <v>126.84301868080932</v>
          </cell>
          <cell r="D14">
            <v>157.34997682415462</v>
          </cell>
          <cell r="E14">
            <v>161.63157951470859</v>
          </cell>
          <cell r="F14">
            <v>148.86546152270691</v>
          </cell>
          <cell r="G14">
            <v>145.33518740096369</v>
          </cell>
          <cell r="H14">
            <v>143.27199818905024</v>
          </cell>
          <cell r="I14">
            <v>145.68875378628638</v>
          </cell>
          <cell r="J14">
            <v>145.99812437344372</v>
          </cell>
          <cell r="K14">
            <v>149.77093641194793</v>
          </cell>
          <cell r="L14">
            <v>155.59184641421163</v>
          </cell>
        </row>
        <row r="15">
          <cell r="A15" t="str">
            <v>HDP</v>
          </cell>
          <cell r="B15">
            <v>100</v>
          </cell>
          <cell r="C15">
            <v>101.84543208851431</v>
          </cell>
          <cell r="D15">
            <v>99.77027242092737</v>
          </cell>
          <cell r="E15">
            <v>103.54624651429916</v>
          </cell>
          <cell r="F15">
            <v>107.37619274974224</v>
          </cell>
          <cell r="G15">
            <v>111.78668548772133</v>
          </cell>
          <cell r="H15">
            <v>115.49692427985248</v>
          </cell>
          <cell r="I15">
            <v>120.59037220019513</v>
          </cell>
          <cell r="J15">
            <v>125.38628138860635</v>
          </cell>
          <cell r="K15">
            <v>128.87232820597984</v>
          </cell>
          <cell r="L15">
            <v>134.17336128813511</v>
          </cell>
        </row>
        <row r="28">
          <cell r="A28" t="str">
            <v>Ormat Technologies (T)</v>
          </cell>
          <cell r="B28">
            <v>295.89999999999998</v>
          </cell>
          <cell r="C28">
            <v>344</v>
          </cell>
          <cell r="D28">
            <v>412</v>
          </cell>
          <cell r="E28">
            <v>373.2</v>
          </cell>
          <cell r="F28">
            <v>425.5</v>
          </cell>
          <cell r="G28">
            <v>501.8</v>
          </cell>
          <cell r="H28">
            <v>533.20000000000005</v>
          </cell>
          <cell r="I28">
            <v>559.5</v>
          </cell>
          <cell r="J28">
            <v>594.6</v>
          </cell>
          <cell r="K28">
            <v>662.6</v>
          </cell>
          <cell r="L28">
            <v>692.8</v>
          </cell>
        </row>
        <row r="29">
          <cell r="A29" t="str">
            <v>NextEra Energy Partners (T)</v>
          </cell>
          <cell r="F29">
            <v>0</v>
          </cell>
          <cell r="G29">
            <v>93</v>
          </cell>
          <cell r="H29">
            <v>179</v>
          </cell>
          <cell r="I29">
            <v>359</v>
          </cell>
          <cell r="J29">
            <v>501</v>
          </cell>
          <cell r="K29">
            <v>772</v>
          </cell>
          <cell r="L29">
            <v>807</v>
          </cell>
        </row>
        <row r="30">
          <cell r="A30" t="str">
            <v>TerraForm Power (T)</v>
          </cell>
          <cell r="F30">
            <v>0</v>
          </cell>
          <cell r="G30">
            <v>15.7</v>
          </cell>
          <cell r="H30">
            <v>18.7</v>
          </cell>
          <cell r="I30">
            <v>127.2</v>
          </cell>
          <cell r="J30">
            <v>469.5</v>
          </cell>
          <cell r="K30">
            <v>654.6</v>
          </cell>
          <cell r="L30">
            <v>610.5</v>
          </cell>
        </row>
        <row r="31">
          <cell r="A31" t="str">
            <v>Ormat Technologies (ZM)</v>
          </cell>
          <cell r="B31">
            <v>9.259885096316324E-2</v>
          </cell>
          <cell r="C31">
            <v>0.12674418604651164</v>
          </cell>
          <cell r="D31">
            <v>0.16723300970873789</v>
          </cell>
          <cell r="E31">
            <v>9.994640943193997E-2</v>
          </cell>
          <cell r="F31">
            <v>-0.10129259694477086</v>
          </cell>
          <cell r="G31">
            <v>-0.42447190115583899</v>
          </cell>
          <cell r="H31">
            <v>7.7269317329332329E-2</v>
          </cell>
          <cell r="I31">
            <v>9.6872207327971402E-2</v>
          </cell>
          <cell r="J31">
            <v>0.20248906828119745</v>
          </cell>
          <cell r="K31">
            <v>0.1338665861756716</v>
          </cell>
          <cell r="L31">
            <v>0.19110854503464206</v>
          </cell>
        </row>
        <row r="32">
          <cell r="A32" t="str">
            <v>NextEra Energy Partners  (ZM)</v>
          </cell>
          <cell r="G32">
            <v>0.17204301075268819</v>
          </cell>
          <cell r="H32">
            <v>0.11173184357541899</v>
          </cell>
          <cell r="I32">
            <v>8.6350974930362118E-2</v>
          </cell>
          <cell r="J32">
            <v>1.9960079840319361E-2</v>
          </cell>
          <cell r="K32">
            <v>0.10621761658031088</v>
          </cell>
          <cell r="L32">
            <v>-7.6827757125154897E-2</v>
          </cell>
        </row>
        <row r="33">
          <cell r="A33" t="str">
            <v>TerraForm Power  (ZM)</v>
          </cell>
          <cell r="G33">
            <v>5.7324840764331211E-2</v>
          </cell>
          <cell r="H33">
            <v>0</v>
          </cell>
          <cell r="I33">
            <v>-0.20125786163522014</v>
          </cell>
          <cell r="J33">
            <v>-0.17018104366347178</v>
          </cell>
          <cell r="K33">
            <v>-0.19828903146959975</v>
          </cell>
          <cell r="L33">
            <v>-0.26895986895986895</v>
          </cell>
        </row>
        <row r="52">
          <cell r="B52" t="str">
            <v>1990</v>
          </cell>
          <cell r="C52" t="str">
            <v>1991</v>
          </cell>
          <cell r="D52" t="str">
            <v>1992</v>
          </cell>
          <cell r="E52" t="str">
            <v>1993</v>
          </cell>
          <cell r="F52" t="str">
            <v>1994</v>
          </cell>
          <cell r="G52" t="str">
            <v>1995</v>
          </cell>
          <cell r="H52" t="str">
            <v>1996</v>
          </cell>
          <cell r="I52" t="str">
            <v>1997</v>
          </cell>
          <cell r="J52" t="str">
            <v>1998</v>
          </cell>
          <cell r="K52" t="str">
            <v>1999</v>
          </cell>
          <cell r="L52" t="str">
            <v>2000</v>
          </cell>
          <cell r="M52" t="str">
            <v>2001</v>
          </cell>
          <cell r="N52" t="str">
            <v>2002</v>
          </cell>
          <cell r="O52" t="str">
            <v>2003</v>
          </cell>
          <cell r="P52" t="str">
            <v>2004</v>
          </cell>
          <cell r="Q52" t="str">
            <v>2005</v>
          </cell>
          <cell r="R52" t="str">
            <v>2006</v>
          </cell>
          <cell r="S52" t="str">
            <v>2007</v>
          </cell>
          <cell r="T52" t="str">
            <v>2008</v>
          </cell>
          <cell r="U52" t="str">
            <v>2009</v>
          </cell>
          <cell r="V52" t="str">
            <v>2010</v>
          </cell>
          <cell r="W52" t="str">
            <v>2011</v>
          </cell>
          <cell r="X52" t="str">
            <v>2012</v>
          </cell>
          <cell r="Y52" t="str">
            <v>2013</v>
          </cell>
          <cell r="Z52" t="str">
            <v>2014</v>
          </cell>
          <cell r="AA52" t="str">
            <v>2015</v>
          </cell>
          <cell r="AB52" t="str">
            <v>2016e</v>
          </cell>
          <cell r="AC52" t="str">
            <v>2017e</v>
          </cell>
          <cell r="AD52" t="str">
            <v>2018P</v>
          </cell>
          <cell r="AE52" t="str">
            <v>2019P</v>
          </cell>
          <cell r="AF52" t="str">
            <v>2020P</v>
          </cell>
          <cell r="AG52" t="str">
            <v>2021P</v>
          </cell>
          <cell r="AH52" t="str">
            <v>2022P</v>
          </cell>
          <cell r="AI52" t="str">
            <v>2023P</v>
          </cell>
          <cell r="AJ52" t="str">
            <v>2024P</v>
          </cell>
          <cell r="AK52" t="str">
            <v>2025P</v>
          </cell>
          <cell r="AL52" t="str">
            <v>2026P</v>
          </cell>
          <cell r="AM52" t="str">
            <v>2027P</v>
          </cell>
        </row>
        <row r="54">
          <cell r="A54" t="str">
            <v xml:space="preserve">Termální </v>
          </cell>
          <cell r="B54">
            <v>2103.62</v>
          </cell>
          <cell r="C54">
            <v>2103.2629999999999</v>
          </cell>
          <cell r="D54">
            <v>2138.7049999999999</v>
          </cell>
          <cell r="E54">
            <v>2230.741</v>
          </cell>
          <cell r="F54">
            <v>2270.1329999999998</v>
          </cell>
          <cell r="G54">
            <v>2293.9079999999999</v>
          </cell>
          <cell r="H54">
            <v>2346.018</v>
          </cell>
          <cell r="I54">
            <v>2430.3200000000002</v>
          </cell>
          <cell r="J54">
            <v>2547.0650000000001</v>
          </cell>
          <cell r="K54">
            <v>2569.67</v>
          </cell>
          <cell r="L54">
            <v>2692.4780000000001</v>
          </cell>
          <cell r="M54">
            <v>2677.0050000000001</v>
          </cell>
          <cell r="N54">
            <v>2730.1660000000002</v>
          </cell>
          <cell r="O54">
            <v>2758.65</v>
          </cell>
          <cell r="P54">
            <v>2824.7979999999998</v>
          </cell>
          <cell r="Q54">
            <v>2909.5219999999999</v>
          </cell>
          <cell r="R54">
            <v>2885.2950000000001</v>
          </cell>
          <cell r="S54">
            <v>2992.2379999999998</v>
          </cell>
          <cell r="T54">
            <v>2926.7310000000002</v>
          </cell>
          <cell r="U54">
            <v>2726.4520000000002</v>
          </cell>
          <cell r="V54">
            <v>2883.3609999999999</v>
          </cell>
          <cell r="W54">
            <v>2788.8670000000002</v>
          </cell>
          <cell r="X54">
            <v>2775.0250000000001</v>
          </cell>
          <cell r="Y54">
            <v>2745.9679999999998</v>
          </cell>
          <cell r="Z54">
            <v>2750.5720000000001</v>
          </cell>
          <cell r="AA54">
            <v>2732.5309999999999</v>
          </cell>
          <cell r="AB54">
            <v>2654.4679999999998</v>
          </cell>
          <cell r="AC54">
            <v>2503.386</v>
          </cell>
          <cell r="AD54">
            <v>2605.2159999999999</v>
          </cell>
          <cell r="AE54">
            <v>2583.6689999999999</v>
          </cell>
          <cell r="AF54">
            <v>2626.9789999999998</v>
          </cell>
          <cell r="AG54">
            <v>2625.56</v>
          </cell>
          <cell r="AH54">
            <v>2602.27</v>
          </cell>
          <cell r="AI54">
            <v>2604.058</v>
          </cell>
          <cell r="AJ54">
            <v>2622.4769999999999</v>
          </cell>
          <cell r="AK54">
            <v>2635.9589999999998</v>
          </cell>
          <cell r="AL54">
            <v>2638.2049999999999</v>
          </cell>
          <cell r="AM54">
            <v>2647.6010000000001</v>
          </cell>
        </row>
        <row r="55">
          <cell r="A55" t="str">
            <v>Nukleární</v>
          </cell>
          <cell r="B55">
            <v>576.86199999999997</v>
          </cell>
          <cell r="C55">
            <v>612.56500000000005</v>
          </cell>
          <cell r="D55">
            <v>618.77599999999995</v>
          </cell>
          <cell r="E55">
            <v>610.29100000000005</v>
          </cell>
          <cell r="F55">
            <v>640.44000000000005</v>
          </cell>
          <cell r="G55">
            <v>673.40200000000004</v>
          </cell>
          <cell r="H55">
            <v>674.72900000000004</v>
          </cell>
          <cell r="I55">
            <v>628.64400000000001</v>
          </cell>
          <cell r="J55">
            <v>673.702</v>
          </cell>
          <cell r="K55">
            <v>728.25400000000002</v>
          </cell>
          <cell r="L55">
            <v>753.89300000000003</v>
          </cell>
          <cell r="M55">
            <v>768.82600000000002</v>
          </cell>
          <cell r="N55">
            <v>780.06399999999996</v>
          </cell>
          <cell r="O55">
            <v>763.73299999999995</v>
          </cell>
          <cell r="P55">
            <v>788.52800000000002</v>
          </cell>
          <cell r="Q55">
            <v>781.98599999999999</v>
          </cell>
          <cell r="R55">
            <v>787.21900000000005</v>
          </cell>
          <cell r="S55">
            <v>806.42499999999995</v>
          </cell>
          <cell r="T55">
            <v>806.20799999999997</v>
          </cell>
          <cell r="U55">
            <v>798.85500000000002</v>
          </cell>
          <cell r="V55">
            <v>806.96799999999996</v>
          </cell>
          <cell r="W55">
            <v>790.20399999999995</v>
          </cell>
          <cell r="X55">
            <v>769.33100000000002</v>
          </cell>
          <cell r="Y55">
            <v>789.01599999999996</v>
          </cell>
          <cell r="Z55">
            <v>797.16600000000005</v>
          </cell>
          <cell r="AA55">
            <v>797.178</v>
          </cell>
          <cell r="AB55">
            <v>805.69399999999996</v>
          </cell>
          <cell r="AC55">
            <v>804.94</v>
          </cell>
          <cell r="AD55">
            <v>799.41</v>
          </cell>
          <cell r="AE55">
            <v>787.73400000000004</v>
          </cell>
          <cell r="AF55">
            <v>772.56500000000005</v>
          </cell>
          <cell r="AG55">
            <v>748.952</v>
          </cell>
          <cell r="AH55">
            <v>751.53800000000001</v>
          </cell>
          <cell r="AI55">
            <v>751.53800000000001</v>
          </cell>
          <cell r="AJ55">
            <v>742.69200000000001</v>
          </cell>
          <cell r="AK55">
            <v>733.87800000000004</v>
          </cell>
          <cell r="AL55">
            <v>733.87800000000004</v>
          </cell>
          <cell r="AM55">
            <v>733.87800000000004</v>
          </cell>
        </row>
        <row r="56">
          <cell r="A56" t="str">
            <v>Vodní</v>
          </cell>
          <cell r="B56">
            <v>292.86599999999999</v>
          </cell>
          <cell r="C56">
            <v>288.99400000000003</v>
          </cell>
          <cell r="D56">
            <v>253.08799999999999</v>
          </cell>
          <cell r="E56">
            <v>280.49400000000003</v>
          </cell>
          <cell r="F56">
            <v>260.12599999999998</v>
          </cell>
          <cell r="G56">
            <v>310.83300000000003</v>
          </cell>
          <cell r="H56">
            <v>347.16199999999998</v>
          </cell>
          <cell r="I56">
            <v>356.45299999999997</v>
          </cell>
          <cell r="J56">
            <v>323.33600000000001</v>
          </cell>
          <cell r="K56">
            <v>319.536</v>
          </cell>
          <cell r="L56">
            <v>275.57299999999998</v>
          </cell>
          <cell r="M56">
            <v>216.96100000000001</v>
          </cell>
          <cell r="N56">
            <v>264.32900000000001</v>
          </cell>
          <cell r="O56">
            <v>275.80599999999998</v>
          </cell>
          <cell r="P56">
            <v>268.41699999999997</v>
          </cell>
          <cell r="Q56">
            <v>270.32100000000003</v>
          </cell>
          <cell r="R56">
            <v>289.24599999999998</v>
          </cell>
          <cell r="S56">
            <v>247.51</v>
          </cell>
          <cell r="T56">
            <v>254.83099999999999</v>
          </cell>
          <cell r="U56">
            <v>273.44499999999999</v>
          </cell>
          <cell r="V56">
            <v>260.20299999999997</v>
          </cell>
          <cell r="W56">
            <v>319.35500000000002</v>
          </cell>
          <cell r="X56">
            <v>276.24</v>
          </cell>
          <cell r="Y56">
            <v>268.565</v>
          </cell>
          <cell r="Z56">
            <v>259.36700000000002</v>
          </cell>
          <cell r="AA56">
            <v>249.08</v>
          </cell>
          <cell r="AB56">
            <v>267.81200000000001</v>
          </cell>
          <cell r="AC56">
            <v>299.19799999999998</v>
          </cell>
          <cell r="AD56">
            <v>265.10000000000002</v>
          </cell>
          <cell r="AE56">
            <v>270.64999999999998</v>
          </cell>
          <cell r="AF56">
            <v>271.19099999999997</v>
          </cell>
          <cell r="AG56">
            <v>268.47899999999998</v>
          </cell>
          <cell r="AH56">
            <v>273.84899999999999</v>
          </cell>
          <cell r="AI56">
            <v>277.95699999999999</v>
          </cell>
          <cell r="AJ56">
            <v>275.17700000000002</v>
          </cell>
          <cell r="AK56">
            <v>277.92899999999997</v>
          </cell>
          <cell r="AL56">
            <v>286.267</v>
          </cell>
          <cell r="AM56">
            <v>291.99200000000002</v>
          </cell>
        </row>
        <row r="57">
          <cell r="A57" t="str">
            <v>Ostatní obnovitelné zdroje</v>
          </cell>
          <cell r="B57">
            <v>67.988</v>
          </cell>
          <cell r="C57">
            <v>73.518000000000001</v>
          </cell>
          <cell r="D57">
            <v>77.489999999999995</v>
          </cell>
          <cell r="E57">
            <v>79.7</v>
          </cell>
          <cell r="F57">
            <v>80.201999999999998</v>
          </cell>
          <cell r="G57">
            <v>78.069000000000003</v>
          </cell>
          <cell r="H57">
            <v>79.367000000000004</v>
          </cell>
          <cell r="I57">
            <v>80.795000000000002</v>
          </cell>
          <cell r="J57">
            <v>80.66</v>
          </cell>
          <cell r="K57">
            <v>83.447000000000003</v>
          </cell>
          <cell r="L57">
            <v>85.7</v>
          </cell>
          <cell r="M57">
            <v>82.674999999999997</v>
          </cell>
          <cell r="N57">
            <v>92.635999999999996</v>
          </cell>
          <cell r="O57">
            <v>93.531000000000006</v>
          </cell>
          <cell r="P57">
            <v>97.3</v>
          </cell>
          <cell r="Q57">
            <v>100.15</v>
          </cell>
          <cell r="R57">
            <v>109.5</v>
          </cell>
          <cell r="S57">
            <v>117.46899999999999</v>
          </cell>
          <cell r="T57">
            <v>137.905</v>
          </cell>
          <cell r="U57">
            <v>156.20699999999999</v>
          </cell>
          <cell r="V57">
            <v>180.02699999999999</v>
          </cell>
          <cell r="W57">
            <v>208.13499999999999</v>
          </cell>
          <cell r="X57">
            <v>232.12</v>
          </cell>
          <cell r="Y57">
            <v>267.09699999999998</v>
          </cell>
          <cell r="Z57">
            <v>303.90699999999998</v>
          </cell>
          <cell r="AA57">
            <v>323.32900000000001</v>
          </cell>
          <cell r="AB57">
            <v>360.44499999999999</v>
          </cell>
          <cell r="AC57">
            <v>405.45699999999999</v>
          </cell>
          <cell r="AD57">
            <v>421.113</v>
          </cell>
          <cell r="AE57">
            <v>459.90699999999998</v>
          </cell>
          <cell r="AF57">
            <v>505.517</v>
          </cell>
          <cell r="AG57">
            <v>533.47</v>
          </cell>
          <cell r="AH57">
            <v>557.57500000000005</v>
          </cell>
          <cell r="AI57">
            <v>579.399</v>
          </cell>
          <cell r="AJ57">
            <v>600.47</v>
          </cell>
          <cell r="AK57">
            <v>618.85900000000004</v>
          </cell>
          <cell r="AL57">
            <v>637.92600000000004</v>
          </cell>
          <cell r="AM57">
            <v>656.505</v>
          </cell>
        </row>
        <row r="78">
          <cell r="B78" t="str">
            <v>2007</v>
          </cell>
          <cell r="C78" t="str">
            <v>2008</v>
          </cell>
          <cell r="D78" t="str">
            <v>2009</v>
          </cell>
          <cell r="E78" t="str">
            <v>2010</v>
          </cell>
          <cell r="F78" t="str">
            <v>2011</v>
          </cell>
          <cell r="G78" t="str">
            <v>2012</v>
          </cell>
          <cell r="H78" t="str">
            <v>2013</v>
          </cell>
          <cell r="I78" t="str">
            <v>2014</v>
          </cell>
          <cell r="J78" t="str">
            <v>2015</v>
          </cell>
          <cell r="K78" t="str">
            <v>2016</v>
          </cell>
          <cell r="L78" t="str">
            <v>2017</v>
          </cell>
        </row>
        <row r="82">
          <cell r="A82" t="str">
            <v>Lear Corporation</v>
          </cell>
          <cell r="B82">
            <v>100</v>
          </cell>
          <cell r="C82">
            <v>84.842138168177556</v>
          </cell>
          <cell r="D82">
            <v>60.891528602688339</v>
          </cell>
          <cell r="E82">
            <v>74.739606126914666</v>
          </cell>
          <cell r="F82">
            <v>88.505783057205377</v>
          </cell>
          <cell r="G82">
            <v>91.072210065645507</v>
          </cell>
          <cell r="H82">
            <v>101.49421694279461</v>
          </cell>
          <cell r="I82">
            <v>110.83025945608003</v>
          </cell>
          <cell r="J82">
            <v>113.8568302594561</v>
          </cell>
          <cell r="K82">
            <v>116.02125664270085</v>
          </cell>
          <cell r="L82">
            <v>127.95873710534542</v>
          </cell>
        </row>
        <row r="83">
          <cell r="A83" t="str">
            <v>Ford Motor Company</v>
          </cell>
          <cell r="B83">
            <v>100</v>
          </cell>
          <cell r="C83">
            <v>82.676400287603883</v>
          </cell>
          <cell r="D83">
            <v>67.281171661948832</v>
          </cell>
          <cell r="E83">
            <v>77.264394768718546</v>
          </cell>
          <cell r="F83">
            <v>83.021654499640491</v>
          </cell>
          <cell r="G83">
            <v>81.984596350539903</v>
          </cell>
          <cell r="H83">
            <v>90.277175004372353</v>
          </cell>
          <cell r="I83">
            <v>87.953672455450544</v>
          </cell>
          <cell r="J83">
            <v>91.052539529340123</v>
          </cell>
          <cell r="K83">
            <v>91.687340894810816</v>
          </cell>
          <cell r="L83">
            <v>94.34767682132933</v>
          </cell>
        </row>
        <row r="84">
          <cell r="A84" t="str">
            <v>General Motors Company</v>
          </cell>
          <cell r="B84">
            <v>100</v>
          </cell>
          <cell r="C84">
            <v>82.77346875277803</v>
          </cell>
          <cell r="D84">
            <v>58.110165348030939</v>
          </cell>
          <cell r="E84">
            <v>75.335585385367594</v>
          </cell>
          <cell r="F84">
            <v>83.494088363410086</v>
          </cell>
          <cell r="G84">
            <v>84.594186149879988</v>
          </cell>
          <cell r="H84">
            <v>86.356009423059831</v>
          </cell>
          <cell r="I84">
            <v>86.634923104275941</v>
          </cell>
          <cell r="J84">
            <v>75.409480842741573</v>
          </cell>
          <cell r="K84">
            <v>82.887367766023644</v>
          </cell>
          <cell r="L84">
            <v>80.889412392212648</v>
          </cell>
        </row>
        <row r="86">
          <cell r="A86" t="str">
            <v>HDP USA</v>
          </cell>
          <cell r="B86">
            <v>100</v>
          </cell>
          <cell r="C86">
            <v>101.84543208851431</v>
          </cell>
          <cell r="D86">
            <v>99.77027242092737</v>
          </cell>
          <cell r="E86">
            <v>103.54624651429916</v>
          </cell>
          <cell r="F86">
            <v>107.37619274974224</v>
          </cell>
          <cell r="G86">
            <v>111.78668548772133</v>
          </cell>
          <cell r="H86">
            <v>115.49692427985248</v>
          </cell>
          <cell r="I86">
            <v>120.59037220019513</v>
          </cell>
          <cell r="J86">
            <v>125.38628138860635</v>
          </cell>
          <cell r="K86">
            <v>128.87232820597984</v>
          </cell>
          <cell r="L86">
            <v>134.17336128813511</v>
          </cell>
        </row>
        <row r="93">
          <cell r="A93" t="str">
            <v>General Motors Company</v>
          </cell>
          <cell r="B93">
            <v>0.17599999999999999</v>
          </cell>
        </row>
        <row r="94">
          <cell r="A94" t="str">
            <v>Ford Motor Company</v>
          </cell>
          <cell r="B94">
            <v>0.14199999999999999</v>
          </cell>
        </row>
        <row r="95">
          <cell r="A95" t="str">
            <v>Toyota Motor Corporation</v>
          </cell>
          <cell r="B95">
            <v>0.14199999999999999</v>
          </cell>
        </row>
        <row r="96">
          <cell r="A96" t="str">
            <v>FCA/Chrysler group</v>
          </cell>
          <cell r="B96">
            <v>0.121</v>
          </cell>
        </row>
        <row r="97">
          <cell r="A97" t="str">
            <v>Nissan Motor Company / Mitsubishi</v>
          </cell>
          <cell r="B97">
            <v>9.9000000000000005E-2</v>
          </cell>
        </row>
        <row r="98">
          <cell r="A98" t="str">
            <v>Honda Motor Company</v>
          </cell>
          <cell r="B98">
            <v>9.6000000000000002E-2</v>
          </cell>
        </row>
        <row r="99">
          <cell r="A99" t="str">
            <v>Hyundai-Kia</v>
          </cell>
          <cell r="B99">
            <v>7.4999999999999997E-2</v>
          </cell>
        </row>
        <row r="100">
          <cell r="A100" t="str">
            <v>Subaru</v>
          </cell>
          <cell r="B100">
            <v>3.7999999999999999E-2</v>
          </cell>
        </row>
        <row r="101">
          <cell r="A101" t="str">
            <v>Volkswagen Group (bez Lamborghiny)</v>
          </cell>
          <cell r="B101">
            <v>3.6999999999999998E-2</v>
          </cell>
        </row>
        <row r="102">
          <cell r="A102" t="str">
            <v>Daimler</v>
          </cell>
          <cell r="B102">
            <v>2.1999999999999999E-2</v>
          </cell>
        </row>
        <row r="103">
          <cell r="A103" t="str">
            <v>Ostatní</v>
          </cell>
          <cell r="B103">
            <v>5.2000000000000046E-2</v>
          </cell>
        </row>
        <row r="113">
          <cell r="B113" t="str">
            <v>2007</v>
          </cell>
          <cell r="C113" t="str">
            <v>2008</v>
          </cell>
          <cell r="D113" t="str">
            <v>2009</v>
          </cell>
          <cell r="E113" t="str">
            <v>2010</v>
          </cell>
          <cell r="F113" t="str">
            <v>2011</v>
          </cell>
          <cell r="G113" t="str">
            <v>2012</v>
          </cell>
          <cell r="H113" t="str">
            <v>2013</v>
          </cell>
          <cell r="I113" t="str">
            <v>2014</v>
          </cell>
          <cell r="J113" t="str">
            <v>2015</v>
          </cell>
          <cell r="K113" t="str">
            <v>2016</v>
          </cell>
          <cell r="L113" t="str">
            <v>2017</v>
          </cell>
        </row>
        <row r="117">
          <cell r="A117" t="str">
            <v>Pfizer</v>
          </cell>
          <cell r="B117">
            <v>100</v>
          </cell>
          <cell r="C117">
            <v>99.748027593043915</v>
          </cell>
          <cell r="D117">
            <v>101.75761080589862</v>
          </cell>
          <cell r="E117">
            <v>134.58837622371846</v>
          </cell>
          <cell r="F117">
            <v>126.05849064397539</v>
          </cell>
          <cell r="G117">
            <v>112.88570366392663</v>
          </cell>
          <cell r="H117">
            <v>106.53889049527035</v>
          </cell>
          <cell r="I117">
            <v>102.45156759882687</v>
          </cell>
          <cell r="J117">
            <v>100.89429550993432</v>
          </cell>
          <cell r="K117">
            <v>109.09992151679127</v>
          </cell>
          <cell r="L117">
            <v>108.52575488454707</v>
          </cell>
        </row>
        <row r="118">
          <cell r="A118" t="str">
            <v>Merck &amp; Co</v>
          </cell>
          <cell r="B118">
            <v>100</v>
          </cell>
          <cell r="C118">
            <v>98.563086574343842</v>
          </cell>
          <cell r="D118">
            <v>113.34961587258292</v>
          </cell>
          <cell r="E118">
            <v>190.04698793687004</v>
          </cell>
          <cell r="F118">
            <v>198.56019373742132</v>
          </cell>
          <cell r="G118">
            <v>195.3367468809019</v>
          </cell>
          <cell r="H118">
            <v>181.97184029887137</v>
          </cell>
          <cell r="I118">
            <v>174.54964728052667</v>
          </cell>
          <cell r="J118">
            <v>163.23038966513346</v>
          </cell>
          <cell r="K118">
            <v>164.50737053521615</v>
          </cell>
          <cell r="L118">
            <v>165.80914715034899</v>
          </cell>
        </row>
        <row r="119">
          <cell r="A119" t="str">
            <v>Eli Lilly and Company</v>
          </cell>
          <cell r="B119">
            <v>100</v>
          </cell>
          <cell r="C119">
            <v>109.32943354710602</v>
          </cell>
          <cell r="D119">
            <v>117.18678723803902</v>
          </cell>
          <cell r="E119">
            <v>123.84146832318137</v>
          </cell>
          <cell r="F119">
            <v>130.33783239863686</v>
          </cell>
          <cell r="G119">
            <v>121.30517616121503</v>
          </cell>
          <cell r="H119">
            <v>124.04057208790617</v>
          </cell>
          <cell r="I119">
            <v>105.27061475299861</v>
          </cell>
          <cell r="J119">
            <v>107.11192207583117</v>
          </cell>
          <cell r="K119">
            <v>113.89218343306409</v>
          </cell>
          <cell r="L119">
            <v>122.74290927630342</v>
          </cell>
        </row>
        <row r="121">
          <cell r="A121" t="str">
            <v>HDP USA</v>
          </cell>
          <cell r="B121">
            <v>100</v>
          </cell>
          <cell r="C121">
            <v>101.84543208851431</v>
          </cell>
          <cell r="D121">
            <v>99.77027242092737</v>
          </cell>
          <cell r="E121">
            <v>103.54624651429916</v>
          </cell>
          <cell r="F121">
            <v>107.37619274974224</v>
          </cell>
          <cell r="G121">
            <v>111.78668548772133</v>
          </cell>
          <cell r="H121">
            <v>115.49692427985248</v>
          </cell>
          <cell r="I121">
            <v>120.59037220019513</v>
          </cell>
          <cell r="J121">
            <v>125.38628138860635</v>
          </cell>
          <cell r="K121">
            <v>128.87232820597984</v>
          </cell>
          <cell r="L121">
            <v>134.17336128813511</v>
          </cell>
        </row>
        <row r="136">
          <cell r="B136">
            <v>2000</v>
          </cell>
          <cell r="C136">
            <v>2001</v>
          </cell>
          <cell r="D136">
            <v>2002</v>
          </cell>
          <cell r="E136">
            <v>2003</v>
          </cell>
          <cell r="F136">
            <v>2004</v>
          </cell>
          <cell r="G136">
            <v>2005</v>
          </cell>
          <cell r="H136">
            <v>2006</v>
          </cell>
          <cell r="I136">
            <v>2007</v>
          </cell>
          <cell r="J136">
            <v>2008</v>
          </cell>
          <cell r="K136">
            <v>2009</v>
          </cell>
          <cell r="L136">
            <v>2010</v>
          </cell>
          <cell r="M136">
            <v>2011</v>
          </cell>
          <cell r="N136">
            <v>2012</v>
          </cell>
          <cell r="O136">
            <v>2013</v>
          </cell>
          <cell r="P136">
            <v>2014</v>
          </cell>
          <cell r="Q136">
            <v>2015</v>
          </cell>
          <cell r="R136">
            <v>2016</v>
          </cell>
        </row>
        <row r="137">
          <cell r="A137" t="str">
            <v>Tržy z prodeje léků v ČR (levá osa)</v>
          </cell>
          <cell r="B137">
            <v>994.4</v>
          </cell>
          <cell r="C137">
            <v>1163</v>
          </cell>
          <cell r="D137">
            <v>1467.1</v>
          </cell>
          <cell r="E137">
            <v>1851</v>
          </cell>
          <cell r="F137">
            <v>2217.6999999999998</v>
          </cell>
          <cell r="G137">
            <v>2708</v>
          </cell>
          <cell r="H137">
            <v>2609.8000000000002</v>
          </cell>
          <cell r="I137">
            <v>3309.3</v>
          </cell>
          <cell r="J137">
            <v>4219.3</v>
          </cell>
          <cell r="K137">
            <v>4198.2</v>
          </cell>
          <cell r="L137">
            <v>4265.7</v>
          </cell>
          <cell r="M137">
            <v>4574.1000000000004</v>
          </cell>
          <cell r="N137">
            <v>4277.8</v>
          </cell>
          <cell r="O137">
            <v>4073</v>
          </cell>
          <cell r="P137">
            <v>3905.9</v>
          </cell>
          <cell r="Q137">
            <v>3432.8</v>
          </cell>
          <cell r="R137">
            <v>3570.9</v>
          </cell>
        </row>
        <row r="138">
          <cell r="A138" t="str">
            <v>Tržy z prodeje léků v UK (pravá osa)</v>
          </cell>
          <cell r="B138">
            <v>14721.7</v>
          </cell>
          <cell r="C138">
            <v>14813.1</v>
          </cell>
          <cell r="D138">
            <v>16531.2</v>
          </cell>
          <cell r="E138">
            <v>19511.099999999999</v>
          </cell>
          <cell r="F138">
            <v>23380.6</v>
          </cell>
          <cell r="G138">
            <v>24072.799999999999</v>
          </cell>
          <cell r="H138">
            <v>25391.599999999999</v>
          </cell>
          <cell r="I138">
            <v>28813.1</v>
          </cell>
          <cell r="J138">
            <v>27134</v>
          </cell>
          <cell r="K138">
            <v>22521.5</v>
          </cell>
          <cell r="L138">
            <v>20328.3</v>
          </cell>
          <cell r="M138">
            <v>20802.400000000001</v>
          </cell>
          <cell r="N138">
            <v>21755.9</v>
          </cell>
          <cell r="O138">
            <v>22827.9</v>
          </cell>
          <cell r="P138">
            <v>26319.5</v>
          </cell>
          <cell r="Q138">
            <v>27021.7</v>
          </cell>
          <cell r="R138">
            <v>25051.7</v>
          </cell>
        </row>
        <row r="149">
          <cell r="B149">
            <v>2015</v>
          </cell>
          <cell r="C149">
            <v>2016</v>
          </cell>
          <cell r="D149">
            <v>2017</v>
          </cell>
          <cell r="E149" t="str">
            <v>2018P</v>
          </cell>
          <cell r="F149" t="str">
            <v>2019P</v>
          </cell>
          <cell r="G149" t="str">
            <v>2020P</v>
          </cell>
          <cell r="H149" t="str">
            <v>2021P</v>
          </cell>
          <cell r="I149" t="str">
            <v>2022P</v>
          </cell>
          <cell r="J149" t="str">
            <v>2023P</v>
          </cell>
          <cell r="K149" t="str">
            <v>2024P</v>
          </cell>
          <cell r="L149" t="str">
            <v>2025P</v>
          </cell>
          <cell r="M149" t="str">
            <v>2026P</v>
          </cell>
          <cell r="N149" t="str">
            <v>2027P</v>
          </cell>
        </row>
        <row r="158">
          <cell r="A158" t="str">
            <v>Komerční a retailové bankovnictví</v>
          </cell>
          <cell r="B158">
            <v>100</v>
          </cell>
          <cell r="C158">
            <v>99.626704925303159</v>
          </cell>
          <cell r="D158">
            <v>97.793546393519009</v>
          </cell>
          <cell r="E158">
            <v>99.720699912399894</v>
          </cell>
          <cell r="F158">
            <v>99.99636321654701</v>
          </cell>
          <cell r="G158">
            <v>101.80721288876056</v>
          </cell>
          <cell r="H158">
            <v>101.81687843404499</v>
          </cell>
          <cell r="I158">
            <v>102.0354759683058</v>
          </cell>
          <cell r="J158">
            <v>102.71662842348854</v>
          </cell>
          <cell r="K158">
            <v>103.40132003035372</v>
          </cell>
          <cell r="L158">
            <v>104.0358044992137</v>
          </cell>
          <cell r="M158">
            <v>104.76406428368669</v>
          </cell>
          <cell r="N158">
            <v>105.59115182789863</v>
          </cell>
        </row>
        <row r="159">
          <cell r="A159" t="str">
            <v>Obnovitelná energie</v>
          </cell>
          <cell r="B159">
            <v>100</v>
          </cell>
          <cell r="C159">
            <v>106.64339468936591</v>
          </cell>
          <cell r="D159">
            <v>110.72731115205114</v>
          </cell>
          <cell r="E159">
            <v>118.7036809412154</v>
          </cell>
          <cell r="F159">
            <v>124.41685531613516</v>
          </cell>
          <cell r="G159">
            <v>127.86916315185091</v>
          </cell>
          <cell r="H159">
            <v>132.18003567569212</v>
          </cell>
          <cell r="I159">
            <v>136.76493704524313</v>
          </cell>
          <cell r="J159">
            <v>141.52925947912135</v>
          </cell>
          <cell r="K159">
            <v>146.28858863876462</v>
          </cell>
          <cell r="L159">
            <v>151.33869153825489</v>
          </cell>
          <cell r="M159">
            <v>156.56554072467065</v>
          </cell>
          <cell r="N159">
            <v>161.97533845843967</v>
          </cell>
        </row>
        <row r="160">
          <cell r="A160" t="str">
            <v>Automobilový průmysl</v>
          </cell>
          <cell r="B160">
            <v>100</v>
          </cell>
          <cell r="C160">
            <v>100.17519015252101</v>
          </cell>
          <cell r="D160">
            <v>98.468305476402648</v>
          </cell>
          <cell r="E160">
            <v>100.09575330342589</v>
          </cell>
          <cell r="F160">
            <v>98.370699180807193</v>
          </cell>
          <cell r="G160">
            <v>98.969456701821315</v>
          </cell>
          <cell r="H160">
            <v>99.834408770065693</v>
          </cell>
          <cell r="I160">
            <v>100.96909892082888</v>
          </cell>
          <cell r="J160">
            <v>102.27924145353697</v>
          </cell>
          <cell r="K160">
            <v>103.58282187842302</v>
          </cell>
          <cell r="L160">
            <v>105.18029780986639</v>
          </cell>
          <cell r="M160">
            <v>106.96485008306659</v>
          </cell>
          <cell r="N160">
            <v>108.95267293331116</v>
          </cell>
        </row>
        <row r="161">
          <cell r="A161" t="str">
            <v>Farmaceutický průmysl</v>
          </cell>
          <cell r="B161">
            <v>100</v>
          </cell>
          <cell r="C161">
            <v>105.39107405305511</v>
          </cell>
          <cell r="D161">
            <v>108.64888462042171</v>
          </cell>
          <cell r="E161">
            <v>112.16367631437258</v>
          </cell>
          <cell r="F161">
            <v>115.01811673287641</v>
          </cell>
          <cell r="G161">
            <v>118.74943612578397</v>
          </cell>
          <cell r="H161">
            <v>122.58960143187672</v>
          </cell>
          <cell r="I161">
            <v>126.52871756813784</v>
          </cell>
          <cell r="J161">
            <v>130.55601635599015</v>
          </cell>
          <cell r="K161">
            <v>134.65956548944283</v>
          </cell>
          <cell r="L161">
            <v>138.83820084108206</v>
          </cell>
          <cell r="M161">
            <v>143.09104931534756</v>
          </cell>
          <cell r="N161">
            <v>147.41694678482557</v>
          </cell>
        </row>
      </sheetData>
      <sheetData sheetId="1"/>
      <sheetData sheetId="2">
        <row r="1">
          <cell r="C1" t="str">
            <v>2008</v>
          </cell>
          <cell r="D1" t="str">
            <v>2009</v>
          </cell>
          <cell r="E1" t="str">
            <v>2010</v>
          </cell>
          <cell r="F1" t="str">
            <v>2011</v>
          </cell>
          <cell r="G1" t="str">
            <v>2012</v>
          </cell>
          <cell r="H1" t="str">
            <v>2013</v>
          </cell>
          <cell r="I1" t="str">
            <v>2014</v>
          </cell>
          <cell r="J1" t="str">
            <v>2015</v>
          </cell>
          <cell r="K1" t="str">
            <v>2016</v>
          </cell>
          <cell r="L1" t="str">
            <v>2017</v>
          </cell>
          <cell r="M1" t="str">
            <v>2018P</v>
          </cell>
        </row>
        <row r="2">
          <cell r="B2" t="str">
            <v>Dividenda*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1874</v>
          </cell>
          <cell r="K2">
            <v>2455</v>
          </cell>
          <cell r="L2">
            <v>2731</v>
          </cell>
          <cell r="M2">
            <v>2964</v>
          </cell>
        </row>
        <row r="3">
          <cell r="B3" t="str">
            <v>Zisk**</v>
          </cell>
          <cell r="C3">
            <v>1978.8989999999999</v>
          </cell>
          <cell r="D3">
            <v>2635.7550000000001</v>
          </cell>
          <cell r="E3">
            <v>2901.2570000000001</v>
          </cell>
          <cell r="F3">
            <v>2803.6370000000002</v>
          </cell>
          <cell r="G3">
            <v>2592</v>
          </cell>
          <cell r="H3">
            <v>3075</v>
          </cell>
          <cell r="I3">
            <v>12101</v>
          </cell>
          <cell r="J3">
            <v>18108</v>
          </cell>
          <cell r="K3">
            <v>13501</v>
          </cell>
          <cell r="L3">
            <v>4628</v>
          </cell>
          <cell r="M3">
            <v>6920</v>
          </cell>
        </row>
        <row r="4">
          <cell r="B4" t="str">
            <v>FCFE</v>
          </cell>
          <cell r="C4">
            <v>491.21600000000001</v>
          </cell>
          <cell r="D4">
            <v>-186.3</v>
          </cell>
          <cell r="E4">
            <v>-365.1</v>
          </cell>
          <cell r="F4">
            <v>8975.8979999999992</v>
          </cell>
          <cell r="G4">
            <v>-8080</v>
          </cell>
          <cell r="H4">
            <v>309</v>
          </cell>
          <cell r="I4">
            <v>7914</v>
          </cell>
          <cell r="J4">
            <v>2824</v>
          </cell>
          <cell r="K4">
            <v>-4622</v>
          </cell>
          <cell r="L4">
            <v>-641</v>
          </cell>
        </row>
        <row r="5">
          <cell r="B5" t="str">
            <v>FCFF</v>
          </cell>
          <cell r="C5">
            <v>537.89599999999996</v>
          </cell>
          <cell r="D5">
            <v>170.10500000000002</v>
          </cell>
          <cell r="E5">
            <v>-2756.75</v>
          </cell>
          <cell r="F5">
            <v>5134.8409999999994</v>
          </cell>
          <cell r="G5">
            <v>-8150.35</v>
          </cell>
          <cell r="H5">
            <v>4948.55</v>
          </cell>
          <cell r="I5">
            <v>5028.8</v>
          </cell>
          <cell r="J5">
            <v>-5633.8</v>
          </cell>
          <cell r="K5">
            <v>-7307.4</v>
          </cell>
          <cell r="L5">
            <v>-7088.3</v>
          </cell>
        </row>
      </sheetData>
      <sheetData sheetId="3">
        <row r="1">
          <cell r="C1" t="str">
            <v>2008</v>
          </cell>
          <cell r="D1" t="str">
            <v>2009</v>
          </cell>
          <cell r="E1" t="str">
            <v>2010</v>
          </cell>
          <cell r="F1" t="str">
            <v>2011</v>
          </cell>
          <cell r="G1" t="str">
            <v>2012</v>
          </cell>
          <cell r="H1" t="str">
            <v>2013</v>
          </cell>
          <cell r="I1" t="str">
            <v>2014</v>
          </cell>
          <cell r="J1" t="str">
            <v>2015</v>
          </cell>
          <cell r="K1" t="str">
            <v>2016</v>
          </cell>
          <cell r="L1" t="str">
            <v>2017</v>
          </cell>
          <cell r="M1" t="str">
            <v>2018P</v>
          </cell>
          <cell r="N1" t="str">
            <v>2019P</v>
          </cell>
          <cell r="O1" t="str">
            <v>2020P</v>
          </cell>
        </row>
        <row r="2">
          <cell r="B2" t="str">
            <v>Dividenda*</v>
          </cell>
          <cell r="C2">
            <v>2461</v>
          </cell>
          <cell r="D2">
            <v>2483</v>
          </cell>
          <cell r="E2">
            <v>2202</v>
          </cell>
          <cell r="F2">
            <v>2254</v>
          </cell>
          <cell r="G2">
            <v>2286</v>
          </cell>
          <cell r="H2">
            <v>2309</v>
          </cell>
          <cell r="I2">
            <v>2398</v>
          </cell>
          <cell r="J2">
            <v>2477</v>
          </cell>
          <cell r="K2">
            <v>2547</v>
          </cell>
          <cell r="L2">
            <v>2577</v>
          </cell>
          <cell r="M2">
            <v>2612.5</v>
          </cell>
        </row>
        <row r="3">
          <cell r="B3" t="str">
            <v>Zisk**</v>
          </cell>
          <cell r="C3">
            <v>5247</v>
          </cell>
          <cell r="D3">
            <v>10612</v>
          </cell>
          <cell r="E3">
            <v>3102</v>
          </cell>
          <cell r="F3">
            <v>3709</v>
          </cell>
          <cell r="G3">
            <v>1960</v>
          </cell>
          <cell r="H3">
            <v>2563</v>
          </cell>
          <cell r="I3">
            <v>2004</v>
          </cell>
          <cell r="J3">
            <v>1565</v>
          </cell>
          <cell r="K3">
            <v>4457</v>
          </cell>
          <cell r="L3">
            <v>1007</v>
          </cell>
          <cell r="M3">
            <v>6364.8099599999996</v>
          </cell>
          <cell r="N3">
            <v>6841.3001100000001</v>
          </cell>
          <cell r="O3">
            <v>7137.2883499999998</v>
          </cell>
        </row>
        <row r="4">
          <cell r="B4" t="str">
            <v>FCFE</v>
          </cell>
          <cell r="C4">
            <v>6175</v>
          </cell>
          <cell r="D4">
            <v>-293</v>
          </cell>
          <cell r="E4">
            <v>-2650</v>
          </cell>
          <cell r="F4">
            <v>743</v>
          </cell>
          <cell r="G4">
            <v>-4120</v>
          </cell>
          <cell r="H4">
            <v>1930</v>
          </cell>
          <cell r="I4">
            <v>1985</v>
          </cell>
          <cell r="J4">
            <v>-3186</v>
          </cell>
          <cell r="K4">
            <v>1852</v>
          </cell>
          <cell r="L4">
            <v>1184</v>
          </cell>
        </row>
        <row r="5">
          <cell r="B5" t="str">
            <v>FCFF</v>
          </cell>
          <cell r="C5">
            <v>6713.5</v>
          </cell>
          <cell r="D5">
            <v>-1618.4</v>
          </cell>
          <cell r="E5">
            <v>-1592.75</v>
          </cell>
          <cell r="F5">
            <v>916.25</v>
          </cell>
          <cell r="G5">
            <v>-3892.7</v>
          </cell>
          <cell r="H5">
            <v>969.34999999999991</v>
          </cell>
          <cell r="I5">
            <v>2548.9499999999998</v>
          </cell>
          <cell r="J5">
            <v>-1928.4</v>
          </cell>
          <cell r="K5">
            <v>1850.55</v>
          </cell>
          <cell r="L5">
            <v>320.40000000000009</v>
          </cell>
        </row>
      </sheetData>
    </sheetDataSet>
  </externalBook>
</externalLink>
</file>

<file path=xl/tables/table1.xml><?xml version="1.0" encoding="utf-8"?>
<table xmlns="http://schemas.openxmlformats.org/spreadsheetml/2006/main" id="5" name="Table13" displayName="Table13" ref="B1:O5" totalsRowShown="0">
  <autoFilter ref="B1:O5"/>
  <tableColumns count="14">
    <tableColumn id="1" name="Le graf to the top"/>
    <tableColumn id="2" name="2008"/>
    <tableColumn id="3" name="2009"/>
    <tableColumn id="4" name="2010"/>
    <tableColumn id="5" name="2011"/>
    <tableColumn id="6" name="2012"/>
    <tableColumn id="7" name="2013"/>
    <tableColumn id="8" name="2014"/>
    <tableColumn id="9" name="2015"/>
    <tableColumn id="10" name="2016"/>
    <tableColumn id="11" name="2017"/>
    <tableColumn id="12" name="2018P"/>
    <tableColumn id="13" name="2019P"/>
    <tableColumn id="14" name="2020P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3" displayName="Table3" ref="A52:AM57" totalsRowShown="0" headerRowDxfId="41">
  <autoFilter ref="A52:AM57"/>
  <tableColumns count="39">
    <tableColumn id="1" name="Indicator" dataDxfId="40"/>
    <tableColumn id="2" name="1990" dataDxfId="39"/>
    <tableColumn id="3" name="1991" dataDxfId="38"/>
    <tableColumn id="4" name="1992" dataDxfId="37"/>
    <tableColumn id="5" name="1993" dataDxfId="36"/>
    <tableColumn id="6" name="1994" dataDxfId="35"/>
    <tableColumn id="7" name="1995" dataDxfId="34"/>
    <tableColumn id="8" name="1996" dataDxfId="33"/>
    <tableColumn id="9" name="1997" dataDxfId="32"/>
    <tableColumn id="10" name="1998" dataDxfId="31"/>
    <tableColumn id="11" name="1999" dataDxfId="30"/>
    <tableColumn id="12" name="2000" dataDxfId="29"/>
    <tableColumn id="13" name="2001" dataDxfId="28"/>
    <tableColumn id="14" name="2002" dataDxfId="27"/>
    <tableColumn id="15" name="2003" dataDxfId="26"/>
    <tableColumn id="16" name="2004" dataDxfId="25"/>
    <tableColumn id="17" name="2005" dataDxfId="24"/>
    <tableColumn id="18" name="2006" dataDxfId="23"/>
    <tableColumn id="19" name="2007" dataDxfId="22"/>
    <tableColumn id="20" name="2008" dataDxfId="21"/>
    <tableColumn id="21" name="2009" dataDxfId="20"/>
    <tableColumn id="22" name="2010" dataDxfId="19"/>
    <tableColumn id="23" name="2011" dataDxfId="18"/>
    <tableColumn id="24" name="2012" dataDxfId="17"/>
    <tableColumn id="25" name="2013" dataDxfId="16"/>
    <tableColumn id="26" name="2014" dataDxfId="15"/>
    <tableColumn id="27" name="2015" dataDxfId="14"/>
    <tableColumn id="28" name="2016e" dataDxfId="13"/>
    <tableColumn id="29" name="2017e" dataDxfId="12"/>
    <tableColumn id="30" name="2018P" dataDxfId="11"/>
    <tableColumn id="31" name="2019P" dataDxfId="10"/>
    <tableColumn id="32" name="2020P" dataDxfId="9"/>
    <tableColumn id="33" name="2021P" dataDxfId="8"/>
    <tableColumn id="34" name="2022P" dataDxfId="7"/>
    <tableColumn id="35" name="2023P" dataDxfId="6"/>
    <tableColumn id="36" name="2024P" dataDxfId="5"/>
    <tableColumn id="37" name="2025P" dataDxfId="4"/>
    <tableColumn id="38" name="2026P" dataDxfId="3"/>
    <tableColumn id="39" name="2027P" dataDxf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36:R138" totalsRowShown="0">
  <autoFilter ref="A136:R138"/>
  <tableColumns count="18">
    <tableColumn id="1" name="Porovnání UK vs CZ"/>
    <tableColumn id="2" name="2000"/>
    <tableColumn id="3" name="2001"/>
    <tableColumn id="4" name="2002"/>
    <tableColumn id="5" name="2003"/>
    <tableColumn id="6" name="2004"/>
    <tableColumn id="7" name="2005"/>
    <tableColumn id="8" name="2006"/>
    <tableColumn id="9" name="2007"/>
    <tableColumn id="10" name="2008"/>
    <tableColumn id="11" name="2009"/>
    <tableColumn id="12" name="2010"/>
    <tableColumn id="13" name="2011"/>
    <tableColumn id="14" name="2012"/>
    <tableColumn id="15" name="2013"/>
    <tableColumn id="16" name="2014"/>
    <tableColumn id="17" name="2015"/>
    <tableColumn id="18" name="201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4" displayName="Table4" ref="A92:B103" totalsRowShown="0">
  <autoFilter ref="A92:B103"/>
  <tableColumns count="2">
    <tableColumn id="1" name="Společnost" dataDxfId="1"/>
    <tableColumn id="2" name="Podíl na trhu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workbookViewId="0">
      <selection activeCell="N31" sqref="N31"/>
    </sheetView>
  </sheetViews>
  <sheetFormatPr defaultRowHeight="15" x14ac:dyDescent="0.25"/>
  <cols>
    <col min="1" max="1" width="14.85546875" bestFit="1" customWidth="1"/>
    <col min="2" max="2" width="36.28515625" bestFit="1" customWidth="1"/>
    <col min="10" max="10" width="11" bestFit="1" customWidth="1"/>
    <col min="18" max="18" width="15" bestFit="1" customWidth="1"/>
  </cols>
  <sheetData>
    <row r="1" spans="1:21" x14ac:dyDescent="0.25">
      <c r="B1" t="s">
        <v>105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35</v>
      </c>
      <c r="J1" t="s">
        <v>1</v>
      </c>
      <c r="K1" t="s">
        <v>2</v>
      </c>
      <c r="L1" t="s">
        <v>3</v>
      </c>
      <c r="M1" t="s">
        <v>4</v>
      </c>
      <c r="N1" t="s">
        <v>5</v>
      </c>
      <c r="O1" t="s">
        <v>6</v>
      </c>
    </row>
    <row r="2" spans="1:21" x14ac:dyDescent="0.25">
      <c r="B2" t="s">
        <v>106</v>
      </c>
      <c r="C2">
        <v>2461</v>
      </c>
      <c r="D2">
        <v>2483</v>
      </c>
      <c r="E2">
        <v>2202</v>
      </c>
      <c r="F2">
        <v>2254</v>
      </c>
      <c r="G2">
        <v>2286</v>
      </c>
      <c r="H2">
        <v>2309</v>
      </c>
      <c r="I2">
        <v>2398</v>
      </c>
      <c r="J2">
        <v>2477</v>
      </c>
      <c r="K2">
        <v>2547</v>
      </c>
      <c r="L2">
        <v>2577</v>
      </c>
      <c r="M2">
        <v>2612.5</v>
      </c>
    </row>
    <row r="3" spans="1:21" x14ac:dyDescent="0.25">
      <c r="B3" t="s">
        <v>107</v>
      </c>
      <c r="C3">
        <v>5247</v>
      </c>
      <c r="D3">
        <v>10612</v>
      </c>
      <c r="E3">
        <v>3102</v>
      </c>
      <c r="F3">
        <v>3709</v>
      </c>
      <c r="G3">
        <v>1960</v>
      </c>
      <c r="H3">
        <v>2563</v>
      </c>
      <c r="I3">
        <v>2004</v>
      </c>
      <c r="J3">
        <v>1565</v>
      </c>
      <c r="K3">
        <v>4457</v>
      </c>
      <c r="L3">
        <v>1007</v>
      </c>
      <c r="M3">
        <v>6364.8099599999996</v>
      </c>
      <c r="N3">
        <v>6841.3001100000001</v>
      </c>
      <c r="O3">
        <v>7137.2883499999998</v>
      </c>
    </row>
    <row r="4" spans="1:21" x14ac:dyDescent="0.25">
      <c r="B4" t="s">
        <v>108</v>
      </c>
      <c r="C4">
        <v>6175</v>
      </c>
      <c r="D4">
        <v>-293</v>
      </c>
      <c r="E4">
        <v>-2650</v>
      </c>
      <c r="F4">
        <v>743</v>
      </c>
      <c r="G4">
        <v>-4120</v>
      </c>
      <c r="H4">
        <v>1930</v>
      </c>
      <c r="I4">
        <v>1985</v>
      </c>
      <c r="J4">
        <v>-3186</v>
      </c>
      <c r="K4">
        <v>1852</v>
      </c>
      <c r="L4">
        <v>1184</v>
      </c>
    </row>
    <row r="5" spans="1:21" x14ac:dyDescent="0.25">
      <c r="B5" t="s">
        <v>109</v>
      </c>
      <c r="C5">
        <f>C4+C7+C6</f>
        <v>6713.5</v>
      </c>
      <c r="D5">
        <f>D4+D7+D6</f>
        <v>-1618.4</v>
      </c>
      <c r="E5">
        <f>E4+E7+E6</f>
        <v>-1592.75</v>
      </c>
      <c r="F5">
        <f>F4+F7+F6</f>
        <v>916.25</v>
      </c>
      <c r="G5">
        <f>G4+G7+G6</f>
        <v>-3892.7</v>
      </c>
      <c r="H5">
        <f>H4+H7+H6</f>
        <v>969.34999999999991</v>
      </c>
      <c r="I5">
        <f>I4+I7+I6</f>
        <v>2548.9499999999998</v>
      </c>
      <c r="J5">
        <f>J4+J7+J6</f>
        <v>-1928.4</v>
      </c>
      <c r="K5">
        <f>K4+K7+K6</f>
        <v>1850.55</v>
      </c>
      <c r="L5">
        <f>L4+L7+L6</f>
        <v>320.40000000000009</v>
      </c>
    </row>
    <row r="6" spans="1:21" x14ac:dyDescent="0.25">
      <c r="B6" t="s">
        <v>111</v>
      </c>
      <c r="C6">
        <v>337</v>
      </c>
      <c r="D6">
        <v>-1445</v>
      </c>
      <c r="E6">
        <v>963</v>
      </c>
      <c r="F6">
        <v>79</v>
      </c>
      <c r="G6">
        <v>109</v>
      </c>
      <c r="H6">
        <v>-1090</v>
      </c>
      <c r="I6">
        <v>432</v>
      </c>
      <c r="J6">
        <v>1138</v>
      </c>
      <c r="K6">
        <v>-110</v>
      </c>
      <c r="L6">
        <v>-991</v>
      </c>
    </row>
    <row r="7" spans="1:21" x14ac:dyDescent="0.25">
      <c r="B7" t="s">
        <v>119</v>
      </c>
      <c r="C7">
        <f>-C8*(1-0.35)</f>
        <v>201.5</v>
      </c>
      <c r="D7">
        <f>-D8*(1-0.35)</f>
        <v>119.60000000000001</v>
      </c>
      <c r="E7">
        <f>-E8*(1-0.35)</f>
        <v>94.25</v>
      </c>
      <c r="F7">
        <f>-F8*(1-0.35)</f>
        <v>94.25</v>
      </c>
      <c r="G7">
        <f>-G8*(1-0.35)</f>
        <v>118.3</v>
      </c>
      <c r="H7">
        <f>-H8*(1-0.35)</f>
        <v>129.35</v>
      </c>
      <c r="I7">
        <f>-I8*(1-0.35)</f>
        <v>131.95000000000002</v>
      </c>
      <c r="J7">
        <f>-J8*(1-0.35)</f>
        <v>119.60000000000001</v>
      </c>
      <c r="K7">
        <f>-K8*(1-0.35)</f>
        <v>108.55</v>
      </c>
      <c r="L7">
        <f>-L8*(1-0.35)</f>
        <v>127.4</v>
      </c>
    </row>
    <row r="8" spans="1:21" x14ac:dyDescent="0.25">
      <c r="B8" t="s">
        <v>117</v>
      </c>
      <c r="C8">
        <v>-310</v>
      </c>
      <c r="D8">
        <v>-184</v>
      </c>
      <c r="E8">
        <v>-145</v>
      </c>
      <c r="F8">
        <v>-145</v>
      </c>
      <c r="G8">
        <v>-182</v>
      </c>
      <c r="H8">
        <v>-199</v>
      </c>
      <c r="I8">
        <v>-203</v>
      </c>
      <c r="J8">
        <v>-184</v>
      </c>
      <c r="K8">
        <v>-167</v>
      </c>
      <c r="L8">
        <v>-196</v>
      </c>
    </row>
    <row r="15" spans="1:21" x14ac:dyDescent="0.25">
      <c r="A15" t="s">
        <v>112</v>
      </c>
      <c r="C15" s="26" t="s">
        <v>29</v>
      </c>
      <c r="D15" s="26" t="s">
        <v>30</v>
      </c>
      <c r="E15" s="26" t="s">
        <v>31</v>
      </c>
      <c r="F15" s="26" t="s">
        <v>32</v>
      </c>
      <c r="G15" s="26" t="s">
        <v>33</v>
      </c>
      <c r="H15" s="26" t="s">
        <v>34</v>
      </c>
      <c r="I15" s="26" t="s">
        <v>35</v>
      </c>
      <c r="J15" s="26" t="s">
        <v>1</v>
      </c>
      <c r="K15" s="26" t="s">
        <v>2</v>
      </c>
      <c r="L15" s="26" t="s">
        <v>3</v>
      </c>
      <c r="M15" s="26" t="s">
        <v>4</v>
      </c>
      <c r="N15" s="26" t="s">
        <v>5</v>
      </c>
      <c r="O15" s="26" t="s">
        <v>6</v>
      </c>
      <c r="P15" s="26" t="s">
        <v>7</v>
      </c>
      <c r="Q15" s="26" t="s">
        <v>8</v>
      </c>
      <c r="R15" s="26" t="s">
        <v>9</v>
      </c>
      <c r="S15" s="26" t="s">
        <v>10</v>
      </c>
      <c r="T15" s="72"/>
      <c r="U15" s="72" t="s">
        <v>135</v>
      </c>
    </row>
    <row r="16" spans="1:21" x14ac:dyDescent="0.25">
      <c r="A16" t="s">
        <v>114</v>
      </c>
      <c r="C16">
        <v>1.24</v>
      </c>
      <c r="D16">
        <v>1.25</v>
      </c>
      <c r="E16">
        <v>1.29</v>
      </c>
      <c r="F16">
        <v>1.33</v>
      </c>
      <c r="G16">
        <v>1.37</v>
      </c>
      <c r="H16">
        <v>1.41</v>
      </c>
      <c r="I16">
        <v>1.45</v>
      </c>
      <c r="J16">
        <v>1.49</v>
      </c>
      <c r="K16">
        <v>1.53</v>
      </c>
      <c r="L16">
        <v>1.57</v>
      </c>
      <c r="M16">
        <v>1.6</v>
      </c>
      <c r="N16">
        <v>1.64</v>
      </c>
      <c r="O16">
        <v>1.63</v>
      </c>
      <c r="P16">
        <v>1.69</v>
      </c>
      <c r="Q16">
        <v>1.75</v>
      </c>
      <c r="R16">
        <v>1.79</v>
      </c>
      <c r="S16">
        <v>1.83</v>
      </c>
      <c r="U16">
        <f>(M16/C16)^(1/10)-1</f>
        <v>2.5816852996224604E-2</v>
      </c>
    </row>
    <row r="17" spans="1:21" x14ac:dyDescent="0.25">
      <c r="A17" t="s">
        <v>140</v>
      </c>
      <c r="K17" s="56">
        <v>0.57099999999999995</v>
      </c>
      <c r="L17" s="56">
        <v>2.5590000000000002</v>
      </c>
      <c r="M17" s="56">
        <f>M2/M3</f>
        <v>0.41046001631131185</v>
      </c>
      <c r="U17" s="69"/>
    </row>
    <row r="18" spans="1:21" x14ac:dyDescent="0.25">
      <c r="A18" t="s">
        <v>159</v>
      </c>
      <c r="L18">
        <v>33551</v>
      </c>
      <c r="U18" s="69"/>
    </row>
    <row r="19" spans="1:21" x14ac:dyDescent="0.25">
      <c r="A19" t="s">
        <v>153</v>
      </c>
      <c r="I19">
        <f>I4-I$24</f>
        <v>1985</v>
      </c>
      <c r="J19">
        <f>J4-J$24</f>
        <v>-3186</v>
      </c>
      <c r="K19">
        <f>K4-K$24</f>
        <v>2083</v>
      </c>
      <c r="L19">
        <f>(L4-L$24)</f>
        <v>3653</v>
      </c>
      <c r="U19" s="69"/>
    </row>
    <row r="20" spans="1:21" x14ac:dyDescent="0.25">
      <c r="A20" t="s">
        <v>154</v>
      </c>
      <c r="I20">
        <f>I5-I$24</f>
        <v>2548.9499999999998</v>
      </c>
      <c r="J20">
        <f>J5-J$24</f>
        <v>-1928.4</v>
      </c>
      <c r="K20">
        <f>K5-K$24</f>
        <v>2081.5500000000002</v>
      </c>
      <c r="L20">
        <f>L5-L$24</f>
        <v>2789.4</v>
      </c>
    </row>
    <row r="21" spans="1:21" x14ac:dyDescent="0.25">
      <c r="A21" t="s">
        <v>160</v>
      </c>
      <c r="L21">
        <f>(L19/1680)</f>
        <v>2.174404761904762</v>
      </c>
    </row>
    <row r="22" spans="1:21" x14ac:dyDescent="0.25">
      <c r="A22" t="s">
        <v>161</v>
      </c>
      <c r="L22">
        <f>(L20/1680)</f>
        <v>1.6603571428571429</v>
      </c>
    </row>
    <row r="23" spans="1:21" x14ac:dyDescent="0.25">
      <c r="A23" t="s">
        <v>164</v>
      </c>
      <c r="M23">
        <v>1638.5</v>
      </c>
    </row>
    <row r="24" spans="1:21" x14ac:dyDescent="0.25">
      <c r="A24" t="s">
        <v>165</v>
      </c>
      <c r="I24">
        <v>0</v>
      </c>
      <c r="J24">
        <v>0</v>
      </c>
      <c r="K24">
        <v>-231</v>
      </c>
      <c r="L24">
        <v>-2469</v>
      </c>
      <c r="M24">
        <v>-569</v>
      </c>
    </row>
    <row r="26" spans="1:21" x14ac:dyDescent="0.25">
      <c r="A26" s="55" t="s">
        <v>155</v>
      </c>
    </row>
    <row r="27" spans="1:21" x14ac:dyDescent="0.25">
      <c r="A27" t="s">
        <v>115</v>
      </c>
      <c r="B27" s="56">
        <f>U16</f>
        <v>2.5816852996224604E-2</v>
      </c>
    </row>
    <row r="28" spans="1:21" x14ac:dyDescent="0.25">
      <c r="A28" t="s">
        <v>116</v>
      </c>
      <c r="B28" s="56">
        <v>3.09E-2</v>
      </c>
    </row>
    <row r="29" spans="1:21" x14ac:dyDescent="0.25">
      <c r="A29" t="s">
        <v>118</v>
      </c>
      <c r="B29" s="56">
        <v>8.6199999999999999E-2</v>
      </c>
    </row>
    <row r="30" spans="1:21" ht="15.75" thickBot="1" x14ac:dyDescent="0.3">
      <c r="A30" t="s">
        <v>120</v>
      </c>
      <c r="B30" s="68">
        <f>5/2</f>
        <v>2.5</v>
      </c>
    </row>
    <row r="31" spans="1:21" ht="15.75" thickBot="1" x14ac:dyDescent="0.3">
      <c r="A31" t="s">
        <v>122</v>
      </c>
      <c r="B31" s="56">
        <v>0.13439999999999999</v>
      </c>
      <c r="H31" s="84"/>
      <c r="I31" s="85"/>
      <c r="J31" s="85"/>
      <c r="K31" s="85"/>
      <c r="L31" s="85"/>
      <c r="M31" s="85"/>
      <c r="N31" s="85"/>
      <c r="O31" s="85"/>
      <c r="P31" s="85"/>
      <c r="Q31" s="85"/>
      <c r="R31" s="86"/>
    </row>
    <row r="32" spans="1:21" ht="15.75" thickBot="1" x14ac:dyDescent="0.3">
      <c r="A32" t="s">
        <v>123</v>
      </c>
      <c r="B32">
        <f>AVERAGE(13%,19.1%,6.9%)</f>
        <v>0.13</v>
      </c>
    </row>
    <row r="33" spans="1:19" ht="15.75" thickBot="1" x14ac:dyDescent="0.3">
      <c r="H33" s="84"/>
      <c r="I33" s="85"/>
      <c r="J33" s="85"/>
      <c r="K33" s="85"/>
      <c r="L33" s="85"/>
      <c r="M33" s="85"/>
      <c r="N33" s="85"/>
      <c r="O33" s="85"/>
      <c r="P33" s="85"/>
      <c r="Q33" s="85"/>
      <c r="R33" s="86"/>
      <c r="S33" s="52"/>
    </row>
    <row r="34" spans="1:19" x14ac:dyDescent="0.25">
      <c r="A34" s="55" t="s">
        <v>124</v>
      </c>
      <c r="B34" s="55">
        <f>N16/(B29-B27)</f>
        <v>27.159896119648426</v>
      </c>
    </row>
    <row r="37" spans="1:19" x14ac:dyDescent="0.25">
      <c r="A37" s="55" t="s">
        <v>156</v>
      </c>
    </row>
    <row r="38" spans="1:19" x14ac:dyDescent="0.25">
      <c r="A38" t="s">
        <v>118</v>
      </c>
      <c r="B38" s="56">
        <f>B29</f>
        <v>8.6199999999999999E-2</v>
      </c>
    </row>
    <row r="39" spans="1:19" x14ac:dyDescent="0.25">
      <c r="A39" t="s">
        <v>143</v>
      </c>
      <c r="B39" s="56">
        <v>1.6E-2</v>
      </c>
    </row>
    <row r="40" spans="1:19" x14ac:dyDescent="0.25">
      <c r="A40" t="s">
        <v>144</v>
      </c>
      <c r="B40">
        <v>0.876</v>
      </c>
    </row>
    <row r="41" spans="1:19" x14ac:dyDescent="0.25">
      <c r="A41" t="s">
        <v>145</v>
      </c>
      <c r="B41">
        <v>0.124</v>
      </c>
    </row>
    <row r="42" spans="1:19" x14ac:dyDescent="0.25">
      <c r="A42" t="s">
        <v>146</v>
      </c>
      <c r="B42">
        <v>0.79</v>
      </c>
    </row>
    <row r="44" spans="1:19" x14ac:dyDescent="0.25">
      <c r="A44" t="s">
        <v>147</v>
      </c>
      <c r="B44" s="87">
        <f>B40*B38+B39*B41*B42</f>
        <v>7.7078560000000004E-2</v>
      </c>
    </row>
    <row r="46" spans="1:19" x14ac:dyDescent="0.25">
      <c r="A46" t="s">
        <v>148</v>
      </c>
      <c r="B46" s="88">
        <f>(B50*B51)/L18</f>
        <v>0.12597240022652081</v>
      </c>
    </row>
    <row r="47" spans="1:19" x14ac:dyDescent="0.25">
      <c r="A47" t="s">
        <v>149</v>
      </c>
      <c r="B47">
        <v>1763</v>
      </c>
    </row>
    <row r="48" spans="1:19" x14ac:dyDescent="0.25">
      <c r="A48" t="s">
        <v>157</v>
      </c>
      <c r="B48">
        <v>0</v>
      </c>
    </row>
    <row r="49" spans="1:18" x14ac:dyDescent="0.25">
      <c r="A49" t="s">
        <v>150</v>
      </c>
      <c r="B49">
        <v>-39</v>
      </c>
    </row>
    <row r="50" spans="1:18" x14ac:dyDescent="0.25">
      <c r="A50" t="s">
        <v>151</v>
      </c>
      <c r="B50">
        <v>5350</v>
      </c>
    </row>
    <row r="51" spans="1:18" x14ac:dyDescent="0.25">
      <c r="A51" t="s">
        <v>152</v>
      </c>
      <c r="B51">
        <v>0.79</v>
      </c>
    </row>
    <row r="53" spans="1:18" x14ac:dyDescent="0.25">
      <c r="A53" t="s">
        <v>158</v>
      </c>
      <c r="B53">
        <f>B46*((B47-B48+B49)/(B50*B51))</f>
        <v>5.1384459479598216E-2</v>
      </c>
    </row>
    <row r="58" spans="1:18" x14ac:dyDescent="0.25">
      <c r="A58" s="55" t="s">
        <v>109</v>
      </c>
      <c r="B58" s="55">
        <f>(L22*(1+B53))/(B44-B53)</f>
        <v>67.940642475491074</v>
      </c>
    </row>
    <row r="59" spans="1:18" x14ac:dyDescent="0.25">
      <c r="A59" s="55" t="s">
        <v>108</v>
      </c>
      <c r="B59" s="55">
        <f>(L21*(1+B53))/(B38-B53)</f>
        <v>65.664221813400701</v>
      </c>
    </row>
    <row r="61" spans="1:18" x14ac:dyDescent="0.25">
      <c r="A61" s="55" t="s">
        <v>162</v>
      </c>
    </row>
    <row r="62" spans="1:18" x14ac:dyDescent="0.25">
      <c r="A62" t="s">
        <v>127</v>
      </c>
      <c r="B62" s="56">
        <f>AVERAGE(K17:M17)</f>
        <v>1.1801533387704373</v>
      </c>
      <c r="P62" s="52"/>
      <c r="R62" s="52"/>
    </row>
    <row r="63" spans="1:18" x14ac:dyDescent="0.25">
      <c r="A63" t="s">
        <v>128</v>
      </c>
      <c r="B63">
        <f>M3/M23</f>
        <v>3.8845346109246259</v>
      </c>
    </row>
    <row r="65" spans="1:2" x14ac:dyDescent="0.25">
      <c r="A65" t="s">
        <v>129</v>
      </c>
      <c r="B65">
        <f>B62/(B29-B27)</f>
        <v>19.544415906256912</v>
      </c>
    </row>
    <row r="66" spans="1:2" x14ac:dyDescent="0.25">
      <c r="A66" s="55" t="s">
        <v>163</v>
      </c>
      <c r="B66" s="55">
        <f>B65*B63</f>
        <v>75.920960038160757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workbookViewId="0">
      <selection activeCell="J14" sqref="J14"/>
    </sheetView>
  </sheetViews>
  <sheetFormatPr defaultRowHeight="15" x14ac:dyDescent="0.25"/>
  <cols>
    <col min="1" max="1" width="19.140625" customWidth="1"/>
    <col min="2" max="2" width="36.28515625" bestFit="1" customWidth="1"/>
    <col min="10" max="10" width="11" bestFit="1" customWidth="1"/>
    <col min="12" max="12" width="18.7109375" bestFit="1" customWidth="1"/>
    <col min="13" max="14" width="11" bestFit="1" customWidth="1"/>
    <col min="18" max="18" width="15" bestFit="1" customWidth="1"/>
  </cols>
  <sheetData>
    <row r="1" spans="2:20" x14ac:dyDescent="0.25">
      <c r="B1" s="25" t="s">
        <v>133</v>
      </c>
      <c r="C1" s="26" t="s">
        <v>29</v>
      </c>
      <c r="D1" s="26" t="s">
        <v>30</v>
      </c>
      <c r="E1" s="26" t="s">
        <v>31</v>
      </c>
      <c r="F1" s="26" t="s">
        <v>32</v>
      </c>
      <c r="G1" s="26" t="s">
        <v>33</v>
      </c>
      <c r="H1" s="26" t="s">
        <v>34</v>
      </c>
      <c r="I1" s="26" t="s">
        <v>35</v>
      </c>
      <c r="J1" s="26" t="s">
        <v>1</v>
      </c>
      <c r="K1" s="26" t="s">
        <v>2</v>
      </c>
      <c r="L1" s="26" t="s">
        <v>3</v>
      </c>
      <c r="M1" s="26" t="s">
        <v>4</v>
      </c>
      <c r="N1" s="81"/>
    </row>
    <row r="2" spans="2:20" x14ac:dyDescent="0.25">
      <c r="B2" s="29" t="s">
        <v>106</v>
      </c>
      <c r="C2" s="30">
        <v>0</v>
      </c>
      <c r="D2" s="30">
        <v>0</v>
      </c>
      <c r="E2" s="30">
        <v>0</v>
      </c>
      <c r="F2" s="30">
        <v>0</v>
      </c>
      <c r="G2" s="30">
        <v>0</v>
      </c>
      <c r="H2" s="30">
        <v>0</v>
      </c>
      <c r="I2" s="30">
        <v>0</v>
      </c>
      <c r="J2" s="30">
        <v>1874</v>
      </c>
      <c r="K2" s="30">
        <v>2455</v>
      </c>
      <c r="L2" s="30">
        <v>2731</v>
      </c>
      <c r="M2" s="30">
        <v>2964</v>
      </c>
      <c r="N2" s="53"/>
    </row>
    <row r="3" spans="2:20" x14ac:dyDescent="0.25">
      <c r="B3" s="33" t="s">
        <v>107</v>
      </c>
      <c r="C3" s="34">
        <v>1978.8989999999999</v>
      </c>
      <c r="D3" s="34">
        <v>2635.7550000000001</v>
      </c>
      <c r="E3" s="34">
        <v>2901.2570000000001</v>
      </c>
      <c r="F3" s="34">
        <v>2803.6370000000002</v>
      </c>
      <c r="G3" s="34">
        <v>2592</v>
      </c>
      <c r="H3" s="34">
        <v>3075</v>
      </c>
      <c r="I3" s="34">
        <v>12101</v>
      </c>
      <c r="J3" s="34">
        <v>18108</v>
      </c>
      <c r="K3" s="34">
        <v>13501</v>
      </c>
      <c r="L3" s="34">
        <v>4628</v>
      </c>
      <c r="M3" s="34">
        <v>6920</v>
      </c>
      <c r="N3" s="53"/>
    </row>
    <row r="4" spans="2:20" x14ac:dyDescent="0.25">
      <c r="B4" s="29" t="s">
        <v>108</v>
      </c>
      <c r="C4" s="30">
        <v>491.21600000000001</v>
      </c>
      <c r="D4" s="30">
        <v>-186.3</v>
      </c>
      <c r="E4" s="30">
        <v>-365.1</v>
      </c>
      <c r="F4" s="30">
        <v>8975.8979999999992</v>
      </c>
      <c r="G4" s="30">
        <v>-8080</v>
      </c>
      <c r="H4" s="30">
        <v>309</v>
      </c>
      <c r="I4" s="30">
        <v>7914</v>
      </c>
      <c r="J4" s="30">
        <v>2824</v>
      </c>
      <c r="K4" s="30">
        <v>-4622</v>
      </c>
      <c r="L4" s="30">
        <v>-641</v>
      </c>
      <c r="M4" s="30"/>
      <c r="N4" s="53"/>
    </row>
    <row r="5" spans="2:20" x14ac:dyDescent="0.25">
      <c r="B5" s="33" t="s">
        <v>109</v>
      </c>
      <c r="C5" s="34">
        <f>C4+C9-C8</f>
        <v>537.89599999999996</v>
      </c>
      <c r="D5" s="34">
        <f>D4+D9-D8</f>
        <v>170.10500000000002</v>
      </c>
      <c r="E5" s="34">
        <f>E4+E9-E8</f>
        <v>-2756.75</v>
      </c>
      <c r="F5" s="34">
        <f>F4+F9-F8</f>
        <v>5134.8409999999994</v>
      </c>
      <c r="G5" s="34">
        <f>G4+G9-G8</f>
        <v>-8150.35</v>
      </c>
      <c r="H5" s="34">
        <f>H4+H9-H8</f>
        <v>4948.55</v>
      </c>
      <c r="I5" s="34">
        <f>I4+I9-I8</f>
        <v>5028.8</v>
      </c>
      <c r="J5" s="34">
        <f>J4+J9-J8</f>
        <v>-5633.8</v>
      </c>
      <c r="K5" s="34">
        <f>K4+K9-K8</f>
        <v>-7307.4</v>
      </c>
      <c r="L5" s="34">
        <f>L4+L9-L8</f>
        <v>-7088.3</v>
      </c>
      <c r="M5" s="34"/>
      <c r="N5" s="53"/>
    </row>
    <row r="6" spans="2:20" x14ac:dyDescent="0.25"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82"/>
    </row>
    <row r="7" spans="2:20" x14ac:dyDescent="0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82"/>
    </row>
    <row r="8" spans="2:20" x14ac:dyDescent="0.25">
      <c r="B8" t="s">
        <v>111</v>
      </c>
      <c r="C8">
        <v>-4.3</v>
      </c>
      <c r="D8">
        <v>-311.10000000000002</v>
      </c>
      <c r="E8">
        <v>2462.5</v>
      </c>
      <c r="F8">
        <v>3974.567</v>
      </c>
      <c r="G8">
        <v>305</v>
      </c>
      <c r="H8">
        <v>-4440</v>
      </c>
      <c r="I8">
        <v>3153</v>
      </c>
      <c r="J8">
        <v>8905</v>
      </c>
      <c r="K8">
        <v>3312</v>
      </c>
      <c r="L8">
        <v>7174</v>
      </c>
      <c r="N8" s="83"/>
    </row>
    <row r="9" spans="2:20" x14ac:dyDescent="0.25">
      <c r="B9" t="s">
        <v>119</v>
      </c>
      <c r="C9">
        <f>-C10*(1-0.35)</f>
        <v>42.38</v>
      </c>
      <c r="D9">
        <f>-D10*(1-0.35)</f>
        <v>45.305000000000007</v>
      </c>
      <c r="E9">
        <f>-E10*(1-0.35)</f>
        <v>70.850000000000009</v>
      </c>
      <c r="F9">
        <f>-F10*(1-0.35)</f>
        <v>133.51000000000002</v>
      </c>
      <c r="G9">
        <f>-G10*(1-0.35)</f>
        <v>234.65</v>
      </c>
      <c r="H9">
        <f>-H10*(1-0.35)</f>
        <v>199.55</v>
      </c>
      <c r="I9">
        <f>-I10*(1-0.35)</f>
        <v>267.8</v>
      </c>
      <c r="J9">
        <f>-J10*(1-0.35)</f>
        <v>447.2</v>
      </c>
      <c r="K9">
        <f>-K10*(1-0.35)</f>
        <v>626.6</v>
      </c>
      <c r="L9">
        <f>-L10*(1-0.35)</f>
        <v>726.7</v>
      </c>
      <c r="N9" s="83"/>
      <c r="T9" t="s">
        <v>121</v>
      </c>
    </row>
    <row r="10" spans="2:20" x14ac:dyDescent="0.25">
      <c r="B10" t="s">
        <v>117</v>
      </c>
      <c r="C10">
        <v>-65.2</v>
      </c>
      <c r="D10">
        <v>-69.7</v>
      </c>
      <c r="E10">
        <v>-109</v>
      </c>
      <c r="F10">
        <v>-205.4</v>
      </c>
      <c r="G10">
        <v>-361</v>
      </c>
      <c r="H10">
        <v>-307</v>
      </c>
      <c r="I10">
        <v>-412</v>
      </c>
      <c r="J10">
        <v>-688</v>
      </c>
      <c r="K10">
        <v>-964</v>
      </c>
      <c r="L10">
        <v>-1118</v>
      </c>
      <c r="N10" s="83"/>
    </row>
    <row r="11" spans="2:20" x14ac:dyDescent="0.25"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82"/>
    </row>
    <row r="12" spans="2:20" x14ac:dyDescent="0.25"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</row>
    <row r="13" spans="2:20" x14ac:dyDescent="0.25"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spans="2:20" x14ac:dyDescent="0.25"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2:20" x14ac:dyDescent="0.25"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</row>
    <row r="19" spans="1:22" x14ac:dyDescent="0.25">
      <c r="A19" t="s">
        <v>112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1</v>
      </c>
      <c r="K19" s="26" t="s">
        <v>2</v>
      </c>
      <c r="L19" s="26" t="s">
        <v>3</v>
      </c>
      <c r="M19" s="26" t="s">
        <v>4</v>
      </c>
      <c r="N19" s="26" t="s">
        <v>5</v>
      </c>
      <c r="O19" s="26" t="s">
        <v>6</v>
      </c>
      <c r="P19" s="26" t="s">
        <v>7</v>
      </c>
      <c r="Q19" s="26" t="s">
        <v>8</v>
      </c>
      <c r="R19" s="26" t="s">
        <v>9</v>
      </c>
      <c r="S19" s="26" t="s">
        <v>10</v>
      </c>
      <c r="T19" s="72" t="s">
        <v>138</v>
      </c>
      <c r="U19" s="72" t="s">
        <v>135</v>
      </c>
    </row>
    <row r="20" spans="1:22" x14ac:dyDescent="0.25">
      <c r="A20" t="s">
        <v>114</v>
      </c>
      <c r="J20">
        <v>1.29</v>
      </c>
      <c r="K20">
        <v>1.84</v>
      </c>
      <c r="L20">
        <v>2.08</v>
      </c>
      <c r="M20">
        <v>2.2799999999999998</v>
      </c>
      <c r="N20">
        <v>2.4700000000000002</v>
      </c>
      <c r="O20">
        <v>2.63</v>
      </c>
      <c r="P20">
        <v>2.77</v>
      </c>
      <c r="Q20">
        <v>2.94</v>
      </c>
      <c r="R20">
        <v>3.67</v>
      </c>
      <c r="T20">
        <v>5.38</v>
      </c>
      <c r="U20" s="69">
        <f>(R20/M20)^(1/5)-1</f>
        <v>9.9882376706464493E-2</v>
      </c>
    </row>
    <row r="21" spans="1:22" x14ac:dyDescent="0.25">
      <c r="A21" t="s">
        <v>140</v>
      </c>
      <c r="K21" s="56">
        <v>0.182</v>
      </c>
      <c r="L21" s="56">
        <v>0.59</v>
      </c>
      <c r="M21" s="56">
        <f>M2/M3</f>
        <v>0.4283236994219653</v>
      </c>
      <c r="U21" s="69"/>
    </row>
    <row r="22" spans="1:22" x14ac:dyDescent="0.25">
      <c r="A22" t="s">
        <v>141</v>
      </c>
      <c r="M22">
        <v>5.42</v>
      </c>
      <c r="N22">
        <v>5.6</v>
      </c>
      <c r="O22">
        <v>5.94</v>
      </c>
      <c r="U22" s="69">
        <f>(O22/M22)^(1/2)-1</f>
        <v>4.6871988071891302E-2</v>
      </c>
    </row>
    <row r="23" spans="1:22" x14ac:dyDescent="0.25">
      <c r="A23" t="s">
        <v>110</v>
      </c>
      <c r="L23" s="77">
        <v>20501000000</v>
      </c>
      <c r="U23" s="69"/>
    </row>
    <row r="24" spans="1:22" x14ac:dyDescent="0.25">
      <c r="A24" t="s">
        <v>113</v>
      </c>
      <c r="L24" s="77">
        <v>1319000000</v>
      </c>
      <c r="U24" s="69"/>
    </row>
    <row r="25" spans="1:22" x14ac:dyDescent="0.25">
      <c r="U25" s="69"/>
    </row>
    <row r="26" spans="1:22" x14ac:dyDescent="0.25">
      <c r="U26" s="69"/>
    </row>
    <row r="27" spans="1:22" x14ac:dyDescent="0.25">
      <c r="U27" s="69"/>
    </row>
    <row r="28" spans="1:22" x14ac:dyDescent="0.25">
      <c r="A28" s="55" t="s">
        <v>134</v>
      </c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</row>
    <row r="29" spans="1:22" x14ac:dyDescent="0.25">
      <c r="A29" t="s">
        <v>136</v>
      </c>
      <c r="B29" s="52">
        <f>U20</f>
        <v>9.9882376706464493E-2</v>
      </c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</row>
    <row r="30" spans="1:22" x14ac:dyDescent="0.25">
      <c r="A30" t="s">
        <v>137</v>
      </c>
      <c r="B30" s="56">
        <f>U22</f>
        <v>4.6871988071891302E-2</v>
      </c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</row>
    <row r="31" spans="1:22" x14ac:dyDescent="0.25">
      <c r="A31" t="s">
        <v>118</v>
      </c>
      <c r="B31" s="56">
        <v>8.1699999999999995E-2</v>
      </c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</row>
    <row r="32" spans="1:22" x14ac:dyDescent="0.25">
      <c r="A32" t="s">
        <v>120</v>
      </c>
      <c r="B32" s="68">
        <f>9/2</f>
        <v>4.5</v>
      </c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</row>
    <row r="33" spans="1:22" x14ac:dyDescent="0.25">
      <c r="J33" s="75"/>
      <c r="K33" s="75"/>
      <c r="L33" s="75"/>
      <c r="M33" s="75"/>
      <c r="N33" s="75"/>
      <c r="O33" s="75"/>
      <c r="P33" s="75"/>
      <c r="Q33" s="74"/>
      <c r="R33" s="74"/>
      <c r="S33" s="74"/>
      <c r="T33" s="74"/>
      <c r="U33" s="74"/>
      <c r="V33" s="74"/>
    </row>
    <row r="34" spans="1:22" x14ac:dyDescent="0.25"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</row>
    <row r="35" spans="1:22" x14ac:dyDescent="0.25">
      <c r="A35" s="55" t="s">
        <v>124</v>
      </c>
      <c r="B35" s="73">
        <f>(M20)/(B31-B30)</f>
        <v>65.464546317094744</v>
      </c>
      <c r="J35" s="74"/>
      <c r="K35" s="75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</row>
    <row r="36" spans="1:22" x14ac:dyDescent="0.25">
      <c r="A36" s="55" t="s">
        <v>125</v>
      </c>
      <c r="B36" s="73">
        <f>B35+((M20*B32*(B29-B30))/(B31-B30))</f>
        <v>81.080901006343183</v>
      </c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</row>
    <row r="37" spans="1:22" x14ac:dyDescent="0.25">
      <c r="J37" s="74"/>
      <c r="K37" s="74"/>
      <c r="L37" s="74"/>
      <c r="M37" s="74"/>
      <c r="N37" s="75"/>
      <c r="O37" s="74"/>
      <c r="P37" s="74"/>
      <c r="Q37" s="74"/>
      <c r="R37" s="74"/>
      <c r="S37" s="74"/>
      <c r="T37" s="74"/>
      <c r="U37" s="74"/>
      <c r="V37" s="74"/>
    </row>
    <row r="38" spans="1:22" x14ac:dyDescent="0.25"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</row>
    <row r="39" spans="1:22" x14ac:dyDescent="0.25">
      <c r="A39" s="55" t="s">
        <v>139</v>
      </c>
      <c r="J39" s="78"/>
      <c r="K39" s="78"/>
      <c r="L39" s="78"/>
      <c r="M39" s="79"/>
      <c r="N39" s="74"/>
      <c r="O39" s="74"/>
      <c r="P39" s="74"/>
      <c r="Q39" s="74"/>
      <c r="R39" s="74"/>
      <c r="S39" s="74"/>
      <c r="T39" s="74"/>
      <c r="U39" s="74"/>
      <c r="V39" s="74"/>
    </row>
    <row r="40" spans="1:22" x14ac:dyDescent="0.25">
      <c r="A40" t="s">
        <v>126</v>
      </c>
      <c r="B40">
        <v>56.88</v>
      </c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</row>
    <row r="41" spans="1:22" x14ac:dyDescent="0.25">
      <c r="A41" t="s">
        <v>127</v>
      </c>
      <c r="B41" s="56">
        <f>AVERAGE(K21:M21)</f>
        <v>0.40010789980732175</v>
      </c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</row>
    <row r="42" spans="1:22" x14ac:dyDescent="0.25">
      <c r="A42" t="s">
        <v>128</v>
      </c>
      <c r="B42">
        <f>M22</f>
        <v>5.42</v>
      </c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</row>
    <row r="43" spans="1:22" x14ac:dyDescent="0.25"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</row>
    <row r="44" spans="1:22" x14ac:dyDescent="0.25">
      <c r="A44" s="55" t="s">
        <v>129</v>
      </c>
      <c r="B44" s="73">
        <f>(B42*B41)/(B31-B30)</f>
        <v>62.265535610589396</v>
      </c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</row>
    <row r="45" spans="1:22" x14ac:dyDescent="0.25">
      <c r="B45" s="73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</row>
    <row r="46" spans="1:22" x14ac:dyDescent="0.25"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</row>
    <row r="47" spans="1:22" x14ac:dyDescent="0.25"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</row>
    <row r="48" spans="1:22" x14ac:dyDescent="0.25">
      <c r="A48" s="55" t="s">
        <v>142</v>
      </c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</row>
    <row r="49" spans="1:22" x14ac:dyDescent="0.25">
      <c r="A49" s="74" t="s">
        <v>130</v>
      </c>
      <c r="B49" s="54">
        <f>L23/L24</f>
        <v>15.542835481425323</v>
      </c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</row>
    <row r="50" spans="1:22" x14ac:dyDescent="0.25">
      <c r="A50" s="74" t="s">
        <v>131</v>
      </c>
      <c r="B50" s="75">
        <v>0.23300000000000001</v>
      </c>
      <c r="J50" s="74"/>
      <c r="K50" s="74"/>
      <c r="L50" s="80"/>
      <c r="M50" s="74"/>
      <c r="N50" s="74"/>
      <c r="O50" s="74"/>
      <c r="P50" s="74"/>
      <c r="Q50" s="74"/>
      <c r="R50" s="74"/>
      <c r="S50" s="74"/>
      <c r="T50" s="74"/>
      <c r="U50" s="74"/>
      <c r="V50" s="74"/>
    </row>
    <row r="51" spans="1:22" x14ac:dyDescent="0.25">
      <c r="A51" s="74"/>
      <c r="B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</row>
    <row r="52" spans="1:22" x14ac:dyDescent="0.25">
      <c r="A52" s="76" t="s">
        <v>132</v>
      </c>
      <c r="B52" s="73">
        <f>((B50-B31)*B49)/(B31-B30)</f>
        <v>67.521253099196201</v>
      </c>
    </row>
    <row r="53" spans="1:22" ht="15.75" thickBot="1" x14ac:dyDescent="0.3">
      <c r="B53" s="73"/>
    </row>
    <row r="54" spans="1:22" ht="15.75" thickBot="1" x14ac:dyDescent="0.3">
      <c r="K54" s="64"/>
      <c r="L54" s="65"/>
      <c r="M54" s="66"/>
    </row>
    <row r="63" spans="1:22" x14ac:dyDescent="0.25"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56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155"/>
  <sheetViews>
    <sheetView tabSelected="1" topLeftCell="A73" workbookViewId="0">
      <selection activeCell="I133" sqref="I133"/>
    </sheetView>
  </sheetViews>
  <sheetFormatPr defaultRowHeight="15" x14ac:dyDescent="0.25"/>
  <cols>
    <col min="1" max="1" width="32.42578125" customWidth="1"/>
    <col min="2" max="2" width="14.42578125" customWidth="1"/>
    <col min="3" max="12" width="12.140625" bestFit="1" customWidth="1"/>
    <col min="13" max="14" width="11.5703125" bestFit="1" customWidth="1"/>
  </cols>
  <sheetData>
    <row r="2" spans="1:12" ht="23.25" x14ac:dyDescent="0.35">
      <c r="A2" s="63" t="s">
        <v>27</v>
      </c>
    </row>
    <row r="3" spans="1:12" x14ac:dyDescent="0.25">
      <c r="A3" s="25" t="s">
        <v>28</v>
      </c>
      <c r="B3" s="26">
        <v>2007</v>
      </c>
      <c r="C3" s="27" t="s">
        <v>29</v>
      </c>
      <c r="D3" s="27" t="s">
        <v>30</v>
      </c>
      <c r="E3" s="27" t="s">
        <v>31</v>
      </c>
      <c r="F3" s="27" t="s">
        <v>32</v>
      </c>
      <c r="G3" s="27" t="s">
        <v>33</v>
      </c>
      <c r="H3" s="27" t="s">
        <v>34</v>
      </c>
      <c r="I3" s="27" t="s">
        <v>35</v>
      </c>
      <c r="J3" s="27" t="s">
        <v>1</v>
      </c>
      <c r="K3" s="27" t="s">
        <v>2</v>
      </c>
      <c r="L3" s="28" t="s">
        <v>3</v>
      </c>
    </row>
    <row r="4" spans="1:12" x14ac:dyDescent="0.25">
      <c r="A4" s="29" t="s">
        <v>36</v>
      </c>
      <c r="B4" s="30">
        <v>26406</v>
      </c>
      <c r="C4" s="31">
        <v>38779</v>
      </c>
      <c r="D4" s="31">
        <v>51152</v>
      </c>
      <c r="E4" s="31">
        <v>51001</v>
      </c>
      <c r="F4" s="31">
        <v>47689</v>
      </c>
      <c r="G4" s="31">
        <v>44910</v>
      </c>
      <c r="H4" s="31">
        <v>43319</v>
      </c>
      <c r="I4" s="31">
        <v>43634</v>
      </c>
      <c r="J4" s="31">
        <v>43510</v>
      </c>
      <c r="K4" s="31">
        <v>46083</v>
      </c>
      <c r="L4" s="32">
        <v>50097</v>
      </c>
    </row>
    <row r="5" spans="1:12" x14ac:dyDescent="0.25">
      <c r="A5" s="33" t="s">
        <v>37</v>
      </c>
      <c r="B5" s="34">
        <v>20974</v>
      </c>
      <c r="C5" s="35">
        <v>25143</v>
      </c>
      <c r="D5" s="35">
        <v>46324</v>
      </c>
      <c r="E5" s="35">
        <v>44757</v>
      </c>
      <c r="F5" s="35">
        <v>42763</v>
      </c>
      <c r="G5" s="35">
        <v>43230</v>
      </c>
      <c r="H5" s="35">
        <v>42800</v>
      </c>
      <c r="I5" s="35">
        <v>43527</v>
      </c>
      <c r="J5" s="35">
        <v>45301</v>
      </c>
      <c r="K5" s="35">
        <v>47754</v>
      </c>
      <c r="L5" s="36">
        <v>49557</v>
      </c>
    </row>
    <row r="6" spans="1:12" x14ac:dyDescent="0.25">
      <c r="A6" s="29" t="s">
        <v>38</v>
      </c>
      <c r="B6" s="30">
        <v>45389</v>
      </c>
      <c r="C6" s="31">
        <v>53749</v>
      </c>
      <c r="D6" s="31">
        <v>48496</v>
      </c>
      <c r="E6" s="31">
        <v>54186</v>
      </c>
      <c r="F6" s="31">
        <v>47649</v>
      </c>
      <c r="G6" s="31">
        <v>46686</v>
      </c>
      <c r="H6" s="31">
        <v>46793</v>
      </c>
      <c r="I6" s="31">
        <v>47993</v>
      </c>
      <c r="J6" s="31">
        <v>46630</v>
      </c>
      <c r="K6" s="31">
        <v>45104</v>
      </c>
      <c r="L6" s="32">
        <v>44687</v>
      </c>
    </row>
    <row r="7" spans="1:12" x14ac:dyDescent="0.25">
      <c r="A7" s="33" t="s">
        <v>39</v>
      </c>
      <c r="B7" s="35">
        <f>AVERAGE(B4:B6)</f>
        <v>30923</v>
      </c>
      <c r="C7" s="35">
        <f>AVERAGE(C4:C6)</f>
        <v>39223.666666666664</v>
      </c>
      <c r="D7" s="35">
        <f t="shared" ref="D7:L7" si="0">AVERAGE(D4:D6)</f>
        <v>48657.333333333336</v>
      </c>
      <c r="E7" s="35">
        <f t="shared" si="0"/>
        <v>49981.333333333336</v>
      </c>
      <c r="F7" s="35">
        <f t="shared" si="0"/>
        <v>46033.666666666664</v>
      </c>
      <c r="G7" s="35">
        <f t="shared" si="0"/>
        <v>44942</v>
      </c>
      <c r="H7" s="35">
        <f t="shared" si="0"/>
        <v>44304</v>
      </c>
      <c r="I7" s="35">
        <f t="shared" si="0"/>
        <v>45051.333333333336</v>
      </c>
      <c r="J7" s="35">
        <f t="shared" si="0"/>
        <v>45147</v>
      </c>
      <c r="K7" s="35">
        <f t="shared" si="0"/>
        <v>46313.666666666664</v>
      </c>
      <c r="L7" s="36">
        <f t="shared" si="0"/>
        <v>48113.666666666664</v>
      </c>
    </row>
    <row r="8" spans="1:12" x14ac:dyDescent="0.25">
      <c r="A8" s="29" t="s">
        <v>40</v>
      </c>
      <c r="B8" s="37">
        <v>14451.9</v>
      </c>
      <c r="C8" s="31">
        <v>14718.6</v>
      </c>
      <c r="D8" s="31">
        <v>14418.7</v>
      </c>
      <c r="E8" s="31">
        <v>14964.4</v>
      </c>
      <c r="F8" s="31">
        <v>15517.9</v>
      </c>
      <c r="G8" s="31">
        <v>16155.3</v>
      </c>
      <c r="H8" s="31">
        <v>16691.5</v>
      </c>
      <c r="I8" s="31">
        <v>17427.599999999999</v>
      </c>
      <c r="J8" s="31">
        <v>18120.7</v>
      </c>
      <c r="K8" s="31">
        <v>18624.5</v>
      </c>
      <c r="L8" s="32">
        <v>19390.599999999999</v>
      </c>
    </row>
    <row r="9" spans="1:12" x14ac:dyDescent="0.25">
      <c r="A9" s="33" t="s">
        <v>41</v>
      </c>
      <c r="C9" s="38">
        <f>(C7-B7)/B7</f>
        <v>0.26843018680809316</v>
      </c>
      <c r="D9" s="38">
        <f t="shared" ref="D9:L10" si="1">(D7-C7)/C7</f>
        <v>0.240509556305292</v>
      </c>
      <c r="E9" s="38">
        <f t="shared" si="1"/>
        <v>2.721069794207108E-2</v>
      </c>
      <c r="F9" s="38">
        <f t="shared" si="1"/>
        <v>-7.8982820252894506E-2</v>
      </c>
      <c r="G9" s="38">
        <f t="shared" si="1"/>
        <v>-2.3714527773151483E-2</v>
      </c>
      <c r="H9" s="38">
        <f t="shared" si="1"/>
        <v>-1.4196074941035112E-2</v>
      </c>
      <c r="I9" s="38">
        <f t="shared" si="1"/>
        <v>1.6868303840134879E-2</v>
      </c>
      <c r="J9" s="38">
        <f t="shared" si="1"/>
        <v>2.1235035589031231E-3</v>
      </c>
      <c r="K9" s="38">
        <f t="shared" si="1"/>
        <v>2.5841510325529143E-2</v>
      </c>
      <c r="L9" s="38">
        <f t="shared" si="1"/>
        <v>3.8865417695280735E-2</v>
      </c>
    </row>
    <row r="10" spans="1:12" ht="15.75" thickBot="1" x14ac:dyDescent="0.3">
      <c r="A10" s="29" t="s">
        <v>42</v>
      </c>
      <c r="C10" s="38">
        <f>(C8-B8)/B8</f>
        <v>1.8454320885143181E-2</v>
      </c>
      <c r="D10" s="38">
        <f t="shared" si="1"/>
        <v>-2.0375579199108585E-2</v>
      </c>
      <c r="E10" s="38">
        <f t="shared" si="1"/>
        <v>3.7846685207404196E-2</v>
      </c>
      <c r="F10" s="38">
        <f t="shared" si="1"/>
        <v>3.6987784341503835E-2</v>
      </c>
      <c r="G10" s="38">
        <f t="shared" si="1"/>
        <v>4.1075145477158612E-2</v>
      </c>
      <c r="H10" s="38">
        <f t="shared" si="1"/>
        <v>3.3190346202175182E-2</v>
      </c>
      <c r="I10" s="38">
        <f t="shared" si="1"/>
        <v>4.4100290567055001E-2</v>
      </c>
      <c r="J10" s="38">
        <f t="shared" si="1"/>
        <v>3.9770249489315929E-2</v>
      </c>
      <c r="K10" s="38">
        <f t="shared" si="1"/>
        <v>2.7802457962440703E-2</v>
      </c>
      <c r="L10" s="38">
        <f t="shared" si="1"/>
        <v>4.113399017423279E-2</v>
      </c>
    </row>
    <row r="11" spans="1:12" ht="16.5" thickTop="1" thickBot="1" x14ac:dyDescent="0.3">
      <c r="A11" s="39" t="s">
        <v>43</v>
      </c>
      <c r="B11" s="40"/>
      <c r="C11" s="40">
        <f>CORREL(H14:L14,H15:L15)</f>
        <v>0.9415300411653974</v>
      </c>
      <c r="D11" s="41"/>
      <c r="E11" s="41"/>
      <c r="F11" s="41"/>
      <c r="G11" s="41"/>
      <c r="H11" s="41"/>
      <c r="I11" s="41"/>
      <c r="J11" s="41"/>
      <c r="K11" s="41"/>
      <c r="L11" s="42"/>
    </row>
    <row r="12" spans="1:12" ht="15.75" thickTop="1" x14ac:dyDescent="0.25">
      <c r="A12" s="39" t="s">
        <v>44</v>
      </c>
      <c r="B12" s="43"/>
      <c r="C12">
        <f>CORREL(C14:L14,C15:L15)</f>
        <v>0.11195872454071677</v>
      </c>
    </row>
    <row r="14" spans="1:12" x14ac:dyDescent="0.25">
      <c r="A14" s="33" t="s">
        <v>45</v>
      </c>
      <c r="B14">
        <f t="shared" ref="B14:L14" si="2">B7/$B$7*100</f>
        <v>100</v>
      </c>
      <c r="C14">
        <f t="shared" si="2"/>
        <v>126.84301868080932</v>
      </c>
      <c r="D14">
        <f t="shared" si="2"/>
        <v>157.34997682415462</v>
      </c>
      <c r="E14">
        <f t="shared" si="2"/>
        <v>161.63157951470859</v>
      </c>
      <c r="F14">
        <f t="shared" si="2"/>
        <v>148.86546152270691</v>
      </c>
      <c r="G14">
        <f t="shared" si="2"/>
        <v>145.33518740096369</v>
      </c>
      <c r="H14">
        <f t="shared" si="2"/>
        <v>143.27199818905024</v>
      </c>
      <c r="I14">
        <f t="shared" si="2"/>
        <v>145.68875378628638</v>
      </c>
      <c r="J14">
        <f t="shared" si="2"/>
        <v>145.99812437344372</v>
      </c>
      <c r="K14">
        <f t="shared" si="2"/>
        <v>149.77093641194793</v>
      </c>
      <c r="L14">
        <f t="shared" si="2"/>
        <v>155.59184641421163</v>
      </c>
    </row>
    <row r="15" spans="1:12" x14ac:dyDescent="0.25">
      <c r="A15" s="29" t="s">
        <v>46</v>
      </c>
      <c r="B15">
        <f>B8/$B$8*100</f>
        <v>100</v>
      </c>
      <c r="C15">
        <f t="shared" ref="C15:L15" si="3">C8/$B$8*100</f>
        <v>101.84543208851431</v>
      </c>
      <c r="D15">
        <f t="shared" si="3"/>
        <v>99.77027242092737</v>
      </c>
      <c r="E15">
        <f t="shared" si="3"/>
        <v>103.54624651429916</v>
      </c>
      <c r="F15">
        <f t="shared" si="3"/>
        <v>107.37619274974224</v>
      </c>
      <c r="G15">
        <f t="shared" si="3"/>
        <v>111.78668548772133</v>
      </c>
      <c r="H15">
        <f t="shared" si="3"/>
        <v>115.49692427985248</v>
      </c>
      <c r="I15">
        <f t="shared" si="3"/>
        <v>120.59037220019513</v>
      </c>
      <c r="J15">
        <f t="shared" si="3"/>
        <v>125.38628138860635</v>
      </c>
      <c r="K15">
        <f t="shared" si="3"/>
        <v>128.87232820597984</v>
      </c>
      <c r="L15">
        <f t="shared" si="3"/>
        <v>134.17336128813511</v>
      </c>
    </row>
    <row r="23" spans="1:12" ht="23.25" x14ac:dyDescent="0.35">
      <c r="A23" s="63" t="s">
        <v>102</v>
      </c>
    </row>
    <row r="24" spans="1:12" x14ac:dyDescent="0.25">
      <c r="A24" s="57" t="s">
        <v>47</v>
      </c>
      <c r="B24" s="58">
        <v>27.4</v>
      </c>
      <c r="C24" s="59">
        <v>43.6</v>
      </c>
      <c r="D24" s="59">
        <v>68.900000000000006</v>
      </c>
      <c r="E24" s="59">
        <v>37.299999999999997</v>
      </c>
      <c r="F24" s="59">
        <v>-43.1</v>
      </c>
      <c r="G24" s="59">
        <v>-213</v>
      </c>
      <c r="H24" s="59">
        <v>41.2</v>
      </c>
      <c r="I24" s="59">
        <v>54.2</v>
      </c>
      <c r="J24" s="59">
        <v>120.4</v>
      </c>
      <c r="K24" s="59">
        <v>88.7</v>
      </c>
      <c r="L24" s="60">
        <v>132.4</v>
      </c>
    </row>
    <row r="25" spans="1:12" x14ac:dyDescent="0.25">
      <c r="A25" s="61" t="s">
        <v>48</v>
      </c>
      <c r="B25" s="62"/>
      <c r="C25" s="62"/>
      <c r="D25" s="62"/>
      <c r="E25" s="62"/>
      <c r="F25" s="62"/>
      <c r="G25" s="62">
        <v>16</v>
      </c>
      <c r="H25" s="62">
        <v>20</v>
      </c>
      <c r="I25" s="62">
        <v>31</v>
      </c>
      <c r="J25" s="62">
        <v>10</v>
      </c>
      <c r="K25" s="62">
        <v>82</v>
      </c>
      <c r="L25" s="62">
        <v>-62</v>
      </c>
    </row>
    <row r="26" spans="1:12" x14ac:dyDescent="0.25">
      <c r="A26" s="57" t="s">
        <v>49</v>
      </c>
      <c r="B26" s="62"/>
      <c r="C26" s="62"/>
      <c r="D26" s="62"/>
      <c r="E26" s="62"/>
      <c r="F26" s="62"/>
      <c r="G26" s="62">
        <v>0.9</v>
      </c>
      <c r="H26" s="62">
        <v>0</v>
      </c>
      <c r="I26" s="62">
        <v>-25.6</v>
      </c>
      <c r="J26" s="62">
        <v>-79.900000000000006</v>
      </c>
      <c r="K26" s="62">
        <v>-129.80000000000001</v>
      </c>
      <c r="L26" s="62">
        <v>-164.2</v>
      </c>
    </row>
    <row r="27" spans="1:12" x14ac:dyDescent="0.25">
      <c r="A27" s="25" t="s">
        <v>50</v>
      </c>
      <c r="B27" s="26" t="s">
        <v>51</v>
      </c>
      <c r="C27" s="27" t="s">
        <v>29</v>
      </c>
      <c r="D27" s="27" t="s">
        <v>30</v>
      </c>
      <c r="E27" s="27" t="s">
        <v>31</v>
      </c>
      <c r="F27" s="27" t="s">
        <v>32</v>
      </c>
      <c r="G27" s="27" t="s">
        <v>33</v>
      </c>
      <c r="H27" s="27" t="s">
        <v>34</v>
      </c>
      <c r="I27" s="27" t="s">
        <v>35</v>
      </c>
      <c r="J27" s="27" t="s">
        <v>1</v>
      </c>
      <c r="K27" s="27" t="s">
        <v>2</v>
      </c>
      <c r="L27" s="28" t="s">
        <v>3</v>
      </c>
    </row>
    <row r="28" spans="1:12" x14ac:dyDescent="0.25">
      <c r="A28" s="29" t="s">
        <v>52</v>
      </c>
      <c r="B28" s="30">
        <v>295.89999999999998</v>
      </c>
      <c r="C28" s="31">
        <v>344</v>
      </c>
      <c r="D28" s="31">
        <v>412</v>
      </c>
      <c r="E28" s="31">
        <v>373.2</v>
      </c>
      <c r="F28" s="31">
        <v>425.5</v>
      </c>
      <c r="G28" s="31">
        <v>501.8</v>
      </c>
      <c r="H28" s="31">
        <v>533.20000000000005</v>
      </c>
      <c r="I28" s="31">
        <v>559.5</v>
      </c>
      <c r="J28" s="31">
        <v>594.6</v>
      </c>
      <c r="K28" s="31">
        <v>662.6</v>
      </c>
      <c r="L28" s="32">
        <v>692.8</v>
      </c>
    </row>
    <row r="29" spans="1:12" x14ac:dyDescent="0.25">
      <c r="A29" s="33" t="s">
        <v>53</v>
      </c>
      <c r="B29" s="34"/>
      <c r="C29" s="35"/>
      <c r="D29" s="35"/>
      <c r="E29" s="35"/>
      <c r="F29" s="35">
        <v>0</v>
      </c>
      <c r="G29" s="35">
        <v>93</v>
      </c>
      <c r="H29" s="35">
        <v>179</v>
      </c>
      <c r="I29" s="35">
        <v>359</v>
      </c>
      <c r="J29" s="35">
        <v>501</v>
      </c>
      <c r="K29" s="35">
        <v>772</v>
      </c>
      <c r="L29" s="36">
        <v>807</v>
      </c>
    </row>
    <row r="30" spans="1:12" x14ac:dyDescent="0.25">
      <c r="A30" s="29" t="s">
        <v>54</v>
      </c>
      <c r="B30" s="30"/>
      <c r="C30" s="31"/>
      <c r="D30" s="31"/>
      <c r="E30" s="31"/>
      <c r="F30" s="31">
        <v>0</v>
      </c>
      <c r="G30" s="31">
        <v>15.7</v>
      </c>
      <c r="H30" s="31">
        <v>18.7</v>
      </c>
      <c r="I30" s="31">
        <v>127.2</v>
      </c>
      <c r="J30" s="31">
        <v>469.5</v>
      </c>
      <c r="K30" s="31">
        <v>654.6</v>
      </c>
      <c r="L30" s="32">
        <v>610.5</v>
      </c>
    </row>
    <row r="31" spans="1:12" x14ac:dyDescent="0.25">
      <c r="A31" s="29" t="s">
        <v>47</v>
      </c>
      <c r="B31" s="44">
        <f>B24/B28</f>
        <v>9.259885096316324E-2</v>
      </c>
      <c r="C31" s="44">
        <f>C24/C28</f>
        <v>0.12674418604651164</v>
      </c>
      <c r="D31" s="44">
        <f>D24/D28</f>
        <v>0.16723300970873789</v>
      </c>
      <c r="E31" s="44">
        <f>E24/E28</f>
        <v>9.994640943193997E-2</v>
      </c>
      <c r="F31" s="44">
        <f>F24/F28</f>
        <v>-0.10129259694477086</v>
      </c>
      <c r="G31" s="44">
        <f>G24/G28</f>
        <v>-0.42447190115583899</v>
      </c>
      <c r="H31" s="44">
        <f>H24/H28</f>
        <v>7.7269317329332329E-2</v>
      </c>
      <c r="I31" s="44">
        <f>I24/I28</f>
        <v>9.6872207327971402E-2</v>
      </c>
      <c r="J31" s="44">
        <f>J24/J28</f>
        <v>0.20248906828119745</v>
      </c>
      <c r="K31" s="44">
        <f>K24/K28</f>
        <v>0.1338665861756716</v>
      </c>
      <c r="L31" s="44">
        <f>L24/L28</f>
        <v>0.19110854503464206</v>
      </c>
    </row>
    <row r="32" spans="1:12" x14ac:dyDescent="0.25">
      <c r="A32" s="33" t="s">
        <v>48</v>
      </c>
      <c r="B32" s="30"/>
      <c r="C32" s="31"/>
      <c r="D32" s="31"/>
      <c r="E32" s="31"/>
      <c r="F32" s="31"/>
      <c r="G32" s="44">
        <f>G25/G29</f>
        <v>0.17204301075268819</v>
      </c>
      <c r="H32" s="44">
        <f>H25/H29</f>
        <v>0.11173184357541899</v>
      </c>
      <c r="I32" s="44">
        <f>I25/I29</f>
        <v>8.6350974930362118E-2</v>
      </c>
      <c r="J32" s="44">
        <f>J25/J29</f>
        <v>1.9960079840319361E-2</v>
      </c>
      <c r="K32" s="44">
        <f>K25/K29</f>
        <v>0.10621761658031088</v>
      </c>
      <c r="L32" s="44">
        <f>L25/L29</f>
        <v>-7.6827757125154897E-2</v>
      </c>
    </row>
    <row r="33" spans="1:12" x14ac:dyDescent="0.25">
      <c r="A33" s="29" t="s">
        <v>49</v>
      </c>
      <c r="B33" s="30"/>
      <c r="C33" s="31"/>
      <c r="D33" s="31"/>
      <c r="E33" s="31"/>
      <c r="F33" s="31"/>
      <c r="G33" s="44">
        <f>G26/G30</f>
        <v>5.7324840764331211E-2</v>
      </c>
      <c r="H33" s="44">
        <f>H26/H30</f>
        <v>0</v>
      </c>
      <c r="I33" s="44">
        <f>I26/I30</f>
        <v>-0.20125786163522014</v>
      </c>
      <c r="J33" s="44">
        <f>J26/J30</f>
        <v>-0.17018104366347178</v>
      </c>
      <c r="K33" s="44">
        <f>K26/K30</f>
        <v>-0.19828903146959975</v>
      </c>
      <c r="L33" s="44">
        <f>L26/L30</f>
        <v>-0.26895986895986895</v>
      </c>
    </row>
    <row r="34" spans="1:12" x14ac:dyDescent="0.25">
      <c r="A34" s="33" t="s">
        <v>55</v>
      </c>
      <c r="B34" s="35">
        <f t="shared" ref="B34:L34" si="4">AVERAGE(B28:B30)</f>
        <v>295.89999999999998</v>
      </c>
      <c r="C34" s="35">
        <f t="shared" si="4"/>
        <v>344</v>
      </c>
      <c r="D34" s="35">
        <f t="shared" si="4"/>
        <v>412</v>
      </c>
      <c r="E34" s="35">
        <f t="shared" si="4"/>
        <v>373.2</v>
      </c>
      <c r="F34" s="35">
        <f t="shared" si="4"/>
        <v>141.83333333333334</v>
      </c>
      <c r="G34" s="35">
        <f t="shared" si="4"/>
        <v>203.5</v>
      </c>
      <c r="H34" s="35">
        <f t="shared" si="4"/>
        <v>243.63333333333335</v>
      </c>
      <c r="I34" s="35">
        <f t="shared" si="4"/>
        <v>348.56666666666666</v>
      </c>
      <c r="J34" s="35">
        <f t="shared" si="4"/>
        <v>521.69999999999993</v>
      </c>
      <c r="K34" s="35">
        <f t="shared" si="4"/>
        <v>696.4</v>
      </c>
      <c r="L34" s="36">
        <f t="shared" si="4"/>
        <v>703.43333333333339</v>
      </c>
    </row>
    <row r="35" spans="1:12" ht="15.75" thickBot="1" x14ac:dyDescent="0.3">
      <c r="A35" s="29" t="s">
        <v>40</v>
      </c>
      <c r="B35" s="37">
        <v>14451.9</v>
      </c>
      <c r="C35" s="31">
        <v>14718.6</v>
      </c>
      <c r="D35" s="31">
        <v>14418.7</v>
      </c>
      <c r="E35" s="31">
        <v>14964.4</v>
      </c>
      <c r="F35" s="31">
        <v>15517.9</v>
      </c>
      <c r="G35" s="31">
        <v>16155.3</v>
      </c>
      <c r="H35" s="31">
        <v>16691.5</v>
      </c>
      <c r="I35" s="31">
        <v>17427.599999999999</v>
      </c>
      <c r="J35" s="31">
        <v>18120.7</v>
      </c>
      <c r="K35" s="31">
        <v>18624.5</v>
      </c>
      <c r="L35" s="32">
        <v>19390.599999999999</v>
      </c>
    </row>
    <row r="36" spans="1:12" ht="16.5" thickTop="1" thickBot="1" x14ac:dyDescent="0.3">
      <c r="A36" s="39" t="s">
        <v>43</v>
      </c>
      <c r="B36" s="40"/>
      <c r="C36" s="40">
        <f>CORREL(H39:L39,H40:L40)</f>
        <v>0.97624577198899765</v>
      </c>
      <c r="D36" s="41"/>
      <c r="E36" s="41"/>
      <c r="F36" s="41"/>
      <c r="G36" s="41"/>
      <c r="H36" s="41"/>
      <c r="I36" s="41"/>
      <c r="J36" s="41"/>
      <c r="K36" s="41"/>
      <c r="L36" s="42"/>
    </row>
    <row r="37" spans="1:12" ht="15.75" thickTop="1" x14ac:dyDescent="0.25">
      <c r="A37" s="39" t="s">
        <v>44</v>
      </c>
      <c r="B37" s="43"/>
      <c r="C37">
        <f>CORREL(C39:L39,C40:L40)</f>
        <v>0.97588839499018243</v>
      </c>
    </row>
    <row r="39" spans="1:12" x14ac:dyDescent="0.25">
      <c r="A39" s="33" t="s">
        <v>55</v>
      </c>
      <c r="B39">
        <f t="shared" ref="B39:L39" si="5">B28/$B$28*100</f>
        <v>100</v>
      </c>
      <c r="C39">
        <f t="shared" si="5"/>
        <v>116.25549172017575</v>
      </c>
      <c r="D39">
        <f t="shared" si="5"/>
        <v>139.23622845555931</v>
      </c>
      <c r="E39">
        <f t="shared" si="5"/>
        <v>126.1236904359581</v>
      </c>
      <c r="F39">
        <f t="shared" si="5"/>
        <v>143.79858060155459</v>
      </c>
      <c r="G39">
        <f t="shared" si="5"/>
        <v>169.58431902669821</v>
      </c>
      <c r="H39">
        <f t="shared" si="5"/>
        <v>180.19601216627242</v>
      </c>
      <c r="I39">
        <f t="shared" si="5"/>
        <v>189.08415005069281</v>
      </c>
      <c r="J39">
        <f t="shared" si="5"/>
        <v>200.94626563028049</v>
      </c>
      <c r="K39">
        <f t="shared" si="5"/>
        <v>223.92700236566409</v>
      </c>
      <c r="L39">
        <f t="shared" si="5"/>
        <v>234.13315309226087</v>
      </c>
    </row>
    <row r="40" spans="1:12" x14ac:dyDescent="0.25">
      <c r="A40" s="29" t="s">
        <v>46</v>
      </c>
      <c r="B40">
        <f>B35/$B$35*100</f>
        <v>100</v>
      </c>
      <c r="C40">
        <f t="shared" ref="C40:L40" si="6">C35/$B$35*100</f>
        <v>101.84543208851431</v>
      </c>
      <c r="D40">
        <f t="shared" si="6"/>
        <v>99.77027242092737</v>
      </c>
      <c r="E40">
        <f t="shared" si="6"/>
        <v>103.54624651429916</v>
      </c>
      <c r="F40">
        <f t="shared" si="6"/>
        <v>107.37619274974224</v>
      </c>
      <c r="G40">
        <f t="shared" si="6"/>
        <v>111.78668548772133</v>
      </c>
      <c r="H40">
        <f t="shared" si="6"/>
        <v>115.49692427985248</v>
      </c>
      <c r="I40">
        <f t="shared" si="6"/>
        <v>120.59037220019513</v>
      </c>
      <c r="J40">
        <f t="shared" si="6"/>
        <v>125.38628138860635</v>
      </c>
      <c r="K40">
        <f t="shared" si="6"/>
        <v>128.87232820597984</v>
      </c>
      <c r="L40">
        <f t="shared" si="6"/>
        <v>134.17336128813511</v>
      </c>
    </row>
    <row r="52" spans="1:39" x14ac:dyDescent="0.25">
      <c r="A52" s="45" t="s">
        <v>56</v>
      </c>
      <c r="B52" s="45" t="s">
        <v>57</v>
      </c>
      <c r="C52" s="45" t="s">
        <v>58</v>
      </c>
      <c r="D52" s="45" t="s">
        <v>59</v>
      </c>
      <c r="E52" s="45" t="s">
        <v>60</v>
      </c>
      <c r="F52" s="45" t="s">
        <v>61</v>
      </c>
      <c r="G52" s="45" t="s">
        <v>62</v>
      </c>
      <c r="H52" s="45" t="s">
        <v>63</v>
      </c>
      <c r="I52" s="45" t="s">
        <v>64</v>
      </c>
      <c r="J52" s="45" t="s">
        <v>65</v>
      </c>
      <c r="K52" s="45" t="s">
        <v>66</v>
      </c>
      <c r="L52" s="45" t="s">
        <v>67</v>
      </c>
      <c r="M52" s="45" t="s">
        <v>68</v>
      </c>
      <c r="N52" s="45" t="s">
        <v>69</v>
      </c>
      <c r="O52" s="45" t="s">
        <v>70</v>
      </c>
      <c r="P52" s="45" t="s">
        <v>71</v>
      </c>
      <c r="Q52" s="45" t="s">
        <v>72</v>
      </c>
      <c r="R52" s="45" t="s">
        <v>73</v>
      </c>
      <c r="S52" s="45" t="s">
        <v>51</v>
      </c>
      <c r="T52" s="45" t="s">
        <v>29</v>
      </c>
      <c r="U52" s="45" t="s">
        <v>30</v>
      </c>
      <c r="V52" s="45" t="s">
        <v>31</v>
      </c>
      <c r="W52" s="45" t="s">
        <v>32</v>
      </c>
      <c r="X52" s="45" t="s">
        <v>33</v>
      </c>
      <c r="Y52" s="45" t="s">
        <v>34</v>
      </c>
      <c r="Z52" s="45" t="s">
        <v>35</v>
      </c>
      <c r="AA52" s="45" t="s">
        <v>1</v>
      </c>
      <c r="AB52" s="45" t="s">
        <v>74</v>
      </c>
      <c r="AC52" s="45" t="s">
        <v>75</v>
      </c>
      <c r="AD52" s="45" t="s">
        <v>4</v>
      </c>
      <c r="AE52" s="45" t="s">
        <v>5</v>
      </c>
      <c r="AF52" s="45" t="s">
        <v>6</v>
      </c>
      <c r="AG52" s="45" t="s">
        <v>7</v>
      </c>
      <c r="AH52" s="45" t="s">
        <v>8</v>
      </c>
      <c r="AI52" s="45" t="s">
        <v>9</v>
      </c>
      <c r="AJ52" s="45" t="s">
        <v>10</v>
      </c>
      <c r="AK52" s="45" t="s">
        <v>11</v>
      </c>
      <c r="AL52" s="45" t="s">
        <v>12</v>
      </c>
      <c r="AM52" s="45" t="s">
        <v>13</v>
      </c>
    </row>
    <row r="53" spans="1:39" x14ac:dyDescent="0.25">
      <c r="A53" s="46" t="s">
        <v>76</v>
      </c>
      <c r="B53" s="47">
        <v>3037.8</v>
      </c>
      <c r="C53" s="47">
        <v>3073.8</v>
      </c>
      <c r="D53" s="47">
        <v>3083.9</v>
      </c>
      <c r="E53" s="47">
        <v>3197.2</v>
      </c>
      <c r="F53" s="47">
        <v>3247.5</v>
      </c>
      <c r="G53" s="47">
        <v>3353.5</v>
      </c>
      <c r="H53" s="47">
        <v>3444.2</v>
      </c>
      <c r="I53" s="47">
        <v>3492.2</v>
      </c>
      <c r="J53" s="47">
        <v>3620.3</v>
      </c>
      <c r="K53" s="47">
        <v>3694.8</v>
      </c>
      <c r="L53" s="47">
        <v>3802.1</v>
      </c>
      <c r="M53" s="47">
        <v>3736.6</v>
      </c>
      <c r="N53" s="47">
        <v>3858.5</v>
      </c>
      <c r="O53" s="47">
        <v>3883.2</v>
      </c>
      <c r="P53" s="47">
        <v>3970.6</v>
      </c>
      <c r="Q53" s="47">
        <v>4055.4</v>
      </c>
      <c r="R53" s="47">
        <v>4064.7</v>
      </c>
      <c r="S53" s="47">
        <v>4156.7</v>
      </c>
      <c r="T53" s="47">
        <v>4119.3999999999996</v>
      </c>
      <c r="U53" s="47">
        <v>3950.3</v>
      </c>
      <c r="V53" s="47">
        <v>4125.1000000000004</v>
      </c>
      <c r="W53" s="47">
        <v>4100.1000000000004</v>
      </c>
      <c r="X53" s="47">
        <v>4047.8</v>
      </c>
      <c r="Y53" s="47">
        <v>4066</v>
      </c>
      <c r="Z53" s="47">
        <v>4104.8</v>
      </c>
      <c r="AA53" s="47">
        <v>4097</v>
      </c>
      <c r="AB53" s="47">
        <v>4081.7</v>
      </c>
      <c r="AC53" s="47">
        <v>4006.6</v>
      </c>
      <c r="AD53" s="47">
        <v>4085.6</v>
      </c>
      <c r="AE53" s="47">
        <v>4096.8999999999996</v>
      </c>
      <c r="AF53" s="47">
        <v>4171.1000000000004</v>
      </c>
      <c r="AG53" s="47">
        <v>4171.5</v>
      </c>
      <c r="AH53" s="47">
        <v>4180.3999999999996</v>
      </c>
      <c r="AI53" s="47">
        <v>4208.3</v>
      </c>
      <c r="AJ53" s="47">
        <v>4236.3999999999996</v>
      </c>
      <c r="AK53" s="47">
        <v>4262.3999999999996</v>
      </c>
      <c r="AL53" s="47">
        <v>4292.2</v>
      </c>
      <c r="AM53" s="47">
        <v>4326.1000000000004</v>
      </c>
    </row>
    <row r="54" spans="1:39" x14ac:dyDescent="0.25">
      <c r="A54" s="46" t="s">
        <v>77</v>
      </c>
      <c r="B54" s="48">
        <v>2103.62</v>
      </c>
      <c r="C54" s="48">
        <v>2103.2629999999999</v>
      </c>
      <c r="D54" s="48">
        <v>2138.7049999999999</v>
      </c>
      <c r="E54" s="48">
        <v>2230.741</v>
      </c>
      <c r="F54" s="48">
        <v>2270.1329999999998</v>
      </c>
      <c r="G54" s="48">
        <v>2293.9079999999999</v>
      </c>
      <c r="H54" s="48">
        <v>2346.018</v>
      </c>
      <c r="I54" s="48">
        <v>2430.3200000000002</v>
      </c>
      <c r="J54" s="48">
        <v>2547.0650000000001</v>
      </c>
      <c r="K54" s="48">
        <v>2569.67</v>
      </c>
      <c r="L54" s="48">
        <v>2692.4780000000001</v>
      </c>
      <c r="M54" s="48">
        <v>2677.0050000000001</v>
      </c>
      <c r="N54" s="48">
        <v>2730.1660000000002</v>
      </c>
      <c r="O54" s="48">
        <v>2758.65</v>
      </c>
      <c r="P54" s="48">
        <v>2824.7979999999998</v>
      </c>
      <c r="Q54" s="48">
        <v>2909.5219999999999</v>
      </c>
      <c r="R54" s="48">
        <v>2885.2950000000001</v>
      </c>
      <c r="S54" s="48">
        <v>2992.2379999999998</v>
      </c>
      <c r="T54" s="48">
        <v>2926.7310000000002</v>
      </c>
      <c r="U54" s="48">
        <v>2726.4520000000002</v>
      </c>
      <c r="V54" s="48">
        <v>2883.3609999999999</v>
      </c>
      <c r="W54" s="48">
        <v>2788.8670000000002</v>
      </c>
      <c r="X54" s="48">
        <v>2775.0250000000001</v>
      </c>
      <c r="Y54" s="48">
        <v>2745.9679999999998</v>
      </c>
      <c r="Z54" s="48">
        <v>2750.5720000000001</v>
      </c>
      <c r="AA54" s="48">
        <v>2732.5309999999999</v>
      </c>
      <c r="AB54" s="48">
        <v>2654.4679999999998</v>
      </c>
      <c r="AC54" s="48">
        <v>2503.386</v>
      </c>
      <c r="AD54" s="48">
        <v>2605.2159999999999</v>
      </c>
      <c r="AE54" s="48">
        <v>2583.6689999999999</v>
      </c>
      <c r="AF54" s="48">
        <v>2626.9789999999998</v>
      </c>
      <c r="AG54" s="48">
        <v>2625.56</v>
      </c>
      <c r="AH54" s="48">
        <v>2602.27</v>
      </c>
      <c r="AI54" s="48">
        <v>2604.058</v>
      </c>
      <c r="AJ54" s="48">
        <v>2622.4769999999999</v>
      </c>
      <c r="AK54" s="48">
        <v>2635.9589999999998</v>
      </c>
      <c r="AL54" s="48">
        <v>2638.2049999999999</v>
      </c>
      <c r="AM54" s="48">
        <v>2647.6010000000001</v>
      </c>
    </row>
    <row r="55" spans="1:39" x14ac:dyDescent="0.25">
      <c r="A55" s="46" t="s">
        <v>78</v>
      </c>
      <c r="B55" s="48">
        <v>576.86199999999997</v>
      </c>
      <c r="C55" s="48">
        <v>612.56500000000005</v>
      </c>
      <c r="D55" s="48">
        <v>618.77599999999995</v>
      </c>
      <c r="E55" s="48">
        <v>610.29100000000005</v>
      </c>
      <c r="F55" s="48">
        <v>640.44000000000005</v>
      </c>
      <c r="G55" s="48">
        <v>673.40200000000004</v>
      </c>
      <c r="H55" s="48">
        <v>674.72900000000004</v>
      </c>
      <c r="I55" s="48">
        <v>628.64400000000001</v>
      </c>
      <c r="J55" s="48">
        <v>673.702</v>
      </c>
      <c r="K55" s="48">
        <v>728.25400000000002</v>
      </c>
      <c r="L55" s="48">
        <v>753.89300000000003</v>
      </c>
      <c r="M55" s="48">
        <v>768.82600000000002</v>
      </c>
      <c r="N55" s="48">
        <v>780.06399999999996</v>
      </c>
      <c r="O55" s="48">
        <v>763.73299999999995</v>
      </c>
      <c r="P55" s="48">
        <v>788.52800000000002</v>
      </c>
      <c r="Q55" s="48">
        <v>781.98599999999999</v>
      </c>
      <c r="R55" s="48">
        <v>787.21900000000005</v>
      </c>
      <c r="S55" s="48">
        <v>806.42499999999995</v>
      </c>
      <c r="T55" s="48">
        <v>806.20799999999997</v>
      </c>
      <c r="U55" s="48">
        <v>798.85500000000002</v>
      </c>
      <c r="V55" s="48">
        <v>806.96799999999996</v>
      </c>
      <c r="W55" s="48">
        <v>790.20399999999995</v>
      </c>
      <c r="X55" s="48">
        <v>769.33100000000002</v>
      </c>
      <c r="Y55" s="48">
        <v>789.01599999999996</v>
      </c>
      <c r="Z55" s="48">
        <v>797.16600000000005</v>
      </c>
      <c r="AA55" s="48">
        <v>797.178</v>
      </c>
      <c r="AB55" s="48">
        <v>805.69399999999996</v>
      </c>
      <c r="AC55" s="48">
        <v>804.94</v>
      </c>
      <c r="AD55" s="48">
        <v>799.41</v>
      </c>
      <c r="AE55" s="48">
        <v>787.73400000000004</v>
      </c>
      <c r="AF55" s="48">
        <v>772.56500000000005</v>
      </c>
      <c r="AG55" s="48">
        <v>748.952</v>
      </c>
      <c r="AH55" s="48">
        <v>751.53800000000001</v>
      </c>
      <c r="AI55" s="48">
        <v>751.53800000000001</v>
      </c>
      <c r="AJ55" s="48">
        <v>742.69200000000001</v>
      </c>
      <c r="AK55" s="48">
        <v>733.87800000000004</v>
      </c>
      <c r="AL55" s="48">
        <v>733.87800000000004</v>
      </c>
      <c r="AM55" s="48">
        <v>733.87800000000004</v>
      </c>
    </row>
    <row r="56" spans="1:39" x14ac:dyDescent="0.25">
      <c r="A56" s="46" t="s">
        <v>79</v>
      </c>
      <c r="B56" s="48">
        <v>292.86599999999999</v>
      </c>
      <c r="C56" s="48">
        <v>288.99400000000003</v>
      </c>
      <c r="D56" s="48">
        <v>253.08799999999999</v>
      </c>
      <c r="E56" s="48">
        <v>280.49400000000003</v>
      </c>
      <c r="F56" s="48">
        <v>260.12599999999998</v>
      </c>
      <c r="G56" s="48">
        <v>310.83300000000003</v>
      </c>
      <c r="H56" s="48">
        <v>347.16199999999998</v>
      </c>
      <c r="I56" s="48">
        <v>356.45299999999997</v>
      </c>
      <c r="J56" s="48">
        <v>323.33600000000001</v>
      </c>
      <c r="K56" s="48">
        <v>319.536</v>
      </c>
      <c r="L56" s="48">
        <v>275.57299999999998</v>
      </c>
      <c r="M56" s="48">
        <v>216.96100000000001</v>
      </c>
      <c r="N56" s="48">
        <v>264.32900000000001</v>
      </c>
      <c r="O56" s="48">
        <v>275.80599999999998</v>
      </c>
      <c r="P56" s="48">
        <v>268.41699999999997</v>
      </c>
      <c r="Q56" s="48">
        <v>270.32100000000003</v>
      </c>
      <c r="R56" s="48">
        <v>289.24599999999998</v>
      </c>
      <c r="S56" s="48">
        <v>247.51</v>
      </c>
      <c r="T56" s="48">
        <v>254.83099999999999</v>
      </c>
      <c r="U56" s="48">
        <v>273.44499999999999</v>
      </c>
      <c r="V56" s="48">
        <v>260.20299999999997</v>
      </c>
      <c r="W56" s="48">
        <v>319.35500000000002</v>
      </c>
      <c r="X56" s="48">
        <v>276.24</v>
      </c>
      <c r="Y56" s="48">
        <v>268.565</v>
      </c>
      <c r="Z56" s="48">
        <v>259.36700000000002</v>
      </c>
      <c r="AA56" s="48">
        <v>249.08</v>
      </c>
      <c r="AB56" s="48">
        <v>267.81200000000001</v>
      </c>
      <c r="AC56" s="48">
        <v>299.19799999999998</v>
      </c>
      <c r="AD56" s="48">
        <v>265.10000000000002</v>
      </c>
      <c r="AE56" s="48">
        <v>270.64999999999998</v>
      </c>
      <c r="AF56" s="48">
        <v>271.19099999999997</v>
      </c>
      <c r="AG56" s="48">
        <v>268.47899999999998</v>
      </c>
      <c r="AH56" s="48">
        <v>273.84899999999999</v>
      </c>
      <c r="AI56" s="48">
        <v>277.95699999999999</v>
      </c>
      <c r="AJ56" s="48">
        <v>275.17700000000002</v>
      </c>
      <c r="AK56" s="48">
        <v>277.92899999999997</v>
      </c>
      <c r="AL56" s="48">
        <v>286.267</v>
      </c>
      <c r="AM56" s="48">
        <v>291.99200000000002</v>
      </c>
    </row>
    <row r="57" spans="1:39" x14ac:dyDescent="0.25">
      <c r="A57" s="46" t="s">
        <v>80</v>
      </c>
      <c r="B57" s="48">
        <v>67.988</v>
      </c>
      <c r="C57" s="48">
        <v>73.518000000000001</v>
      </c>
      <c r="D57" s="48">
        <v>77.489999999999995</v>
      </c>
      <c r="E57" s="48">
        <v>79.7</v>
      </c>
      <c r="F57" s="48">
        <v>80.201999999999998</v>
      </c>
      <c r="G57" s="48">
        <v>78.069000000000003</v>
      </c>
      <c r="H57" s="48">
        <v>79.367000000000004</v>
      </c>
      <c r="I57" s="48">
        <v>80.795000000000002</v>
      </c>
      <c r="J57" s="48">
        <v>80.66</v>
      </c>
      <c r="K57" s="48">
        <v>83.447000000000003</v>
      </c>
      <c r="L57" s="48">
        <v>85.7</v>
      </c>
      <c r="M57" s="48">
        <v>82.674999999999997</v>
      </c>
      <c r="N57" s="48">
        <v>92.635999999999996</v>
      </c>
      <c r="O57" s="48">
        <v>93.531000000000006</v>
      </c>
      <c r="P57" s="48">
        <v>97.3</v>
      </c>
      <c r="Q57" s="48">
        <v>100.15</v>
      </c>
      <c r="R57" s="48">
        <v>109.5</v>
      </c>
      <c r="S57" s="48">
        <v>117.46899999999999</v>
      </c>
      <c r="T57" s="48">
        <v>137.905</v>
      </c>
      <c r="U57" s="48">
        <v>156.20699999999999</v>
      </c>
      <c r="V57" s="48">
        <v>180.02699999999999</v>
      </c>
      <c r="W57" s="48">
        <v>208.13499999999999</v>
      </c>
      <c r="X57" s="48">
        <v>232.12</v>
      </c>
      <c r="Y57" s="48">
        <v>267.09699999999998</v>
      </c>
      <c r="Z57" s="48">
        <v>303.90699999999998</v>
      </c>
      <c r="AA57" s="48">
        <v>323.32900000000001</v>
      </c>
      <c r="AB57" s="48">
        <v>360.44499999999999</v>
      </c>
      <c r="AC57" s="48">
        <v>405.45699999999999</v>
      </c>
      <c r="AD57" s="48">
        <v>421.113</v>
      </c>
      <c r="AE57" s="48">
        <v>459.90699999999998</v>
      </c>
      <c r="AF57" s="48">
        <v>505.517</v>
      </c>
      <c r="AG57" s="48">
        <v>533.47</v>
      </c>
      <c r="AH57" s="48">
        <v>557.57500000000005</v>
      </c>
      <c r="AI57" s="48">
        <v>579.399</v>
      </c>
      <c r="AJ57" s="48">
        <v>600.47</v>
      </c>
      <c r="AK57" s="48">
        <v>618.85900000000004</v>
      </c>
      <c r="AL57" s="48">
        <v>637.92600000000004</v>
      </c>
      <c r="AM57" s="48">
        <v>656.505</v>
      </c>
    </row>
    <row r="62" spans="1:39" x14ac:dyDescent="0.25">
      <c r="AD62">
        <f>AM57/AC57</f>
        <v>1.6191729332580274</v>
      </c>
    </row>
    <row r="75" spans="1:12" x14ac:dyDescent="0.25"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</row>
    <row r="76" spans="1:12" ht="23.25" x14ac:dyDescent="0.35">
      <c r="A76" s="63" t="s">
        <v>81</v>
      </c>
    </row>
    <row r="78" spans="1:12" x14ac:dyDescent="0.25">
      <c r="A78" s="25" t="s">
        <v>50</v>
      </c>
      <c r="B78" s="26" t="s">
        <v>51</v>
      </c>
      <c r="C78" s="27" t="s">
        <v>29</v>
      </c>
      <c r="D78" s="27" t="s">
        <v>30</v>
      </c>
      <c r="E78" s="27" t="s">
        <v>31</v>
      </c>
      <c r="F78" s="27" t="s">
        <v>32</v>
      </c>
      <c r="G78" s="27" t="s">
        <v>33</v>
      </c>
      <c r="H78" s="27" t="s">
        <v>34</v>
      </c>
      <c r="I78" s="27" t="s">
        <v>35</v>
      </c>
      <c r="J78" s="27" t="s">
        <v>1</v>
      </c>
      <c r="K78" s="27" t="s">
        <v>2</v>
      </c>
      <c r="L78" s="28" t="s">
        <v>3</v>
      </c>
    </row>
    <row r="79" spans="1:12" x14ac:dyDescent="0.25">
      <c r="A79" s="29" t="s">
        <v>82</v>
      </c>
      <c r="B79" s="37">
        <v>15995</v>
      </c>
      <c r="C79" s="31">
        <v>13570.5</v>
      </c>
      <c r="D79" s="31">
        <v>9739.6</v>
      </c>
      <c r="E79" s="31">
        <v>11954.6</v>
      </c>
      <c r="F79" s="31">
        <v>14156.5</v>
      </c>
      <c r="G79" s="31">
        <v>14567</v>
      </c>
      <c r="H79" s="31">
        <v>16234</v>
      </c>
      <c r="I79" s="31">
        <v>17727.3</v>
      </c>
      <c r="J79" s="31">
        <v>18211.400000000001</v>
      </c>
      <c r="K79" s="31">
        <v>18557.599999999999</v>
      </c>
      <c r="L79" s="32">
        <v>20467</v>
      </c>
    </row>
    <row r="80" spans="1:12" x14ac:dyDescent="0.25">
      <c r="A80" s="33" t="s">
        <v>83</v>
      </c>
      <c r="B80" s="50">
        <v>154379</v>
      </c>
      <c r="C80" s="35">
        <v>127635</v>
      </c>
      <c r="D80" s="35">
        <v>103868</v>
      </c>
      <c r="E80" s="35">
        <v>119280</v>
      </c>
      <c r="F80" s="35">
        <v>128168</v>
      </c>
      <c r="G80" s="35">
        <v>126567</v>
      </c>
      <c r="H80" s="35">
        <v>139369</v>
      </c>
      <c r="I80" s="35">
        <v>135782</v>
      </c>
      <c r="J80" s="35">
        <v>140566</v>
      </c>
      <c r="K80" s="35">
        <v>141546</v>
      </c>
      <c r="L80" s="36">
        <v>145653</v>
      </c>
    </row>
    <row r="81" spans="1:12" x14ac:dyDescent="0.25">
      <c r="A81" s="29" t="s">
        <v>84</v>
      </c>
      <c r="B81" s="49">
        <v>179984</v>
      </c>
      <c r="C81" s="49">
        <v>148979</v>
      </c>
      <c r="D81" s="49">
        <v>104589</v>
      </c>
      <c r="E81" s="49">
        <v>135592</v>
      </c>
      <c r="F81" s="49">
        <v>150276</v>
      </c>
      <c r="G81" s="49">
        <v>152256</v>
      </c>
      <c r="H81" s="49">
        <v>155427</v>
      </c>
      <c r="I81" s="49">
        <v>155929</v>
      </c>
      <c r="J81" s="49">
        <v>135725</v>
      </c>
      <c r="K81" s="49">
        <v>149184</v>
      </c>
      <c r="L81" s="49">
        <v>145588</v>
      </c>
    </row>
    <row r="82" spans="1:12" x14ac:dyDescent="0.25">
      <c r="A82" s="29" t="s">
        <v>82</v>
      </c>
      <c r="B82" s="51">
        <f>B79/$B79*100</f>
        <v>100</v>
      </c>
      <c r="C82" s="51">
        <f t="shared" ref="C82:L82" si="7">C79/$B79*100</f>
        <v>84.842138168177556</v>
      </c>
      <c r="D82" s="51">
        <f t="shared" si="7"/>
        <v>60.891528602688339</v>
      </c>
      <c r="E82" s="51">
        <f t="shared" si="7"/>
        <v>74.739606126914666</v>
      </c>
      <c r="F82" s="51">
        <f t="shared" si="7"/>
        <v>88.505783057205377</v>
      </c>
      <c r="G82" s="51">
        <f t="shared" si="7"/>
        <v>91.072210065645507</v>
      </c>
      <c r="H82" s="51">
        <f t="shared" si="7"/>
        <v>101.49421694279461</v>
      </c>
      <c r="I82" s="51">
        <f t="shared" si="7"/>
        <v>110.83025945608003</v>
      </c>
      <c r="J82" s="51">
        <f t="shared" si="7"/>
        <v>113.8568302594561</v>
      </c>
      <c r="K82" s="51">
        <f t="shared" si="7"/>
        <v>116.02125664270085</v>
      </c>
      <c r="L82" s="51">
        <f t="shared" si="7"/>
        <v>127.95873710534542</v>
      </c>
    </row>
    <row r="83" spans="1:12" x14ac:dyDescent="0.25">
      <c r="A83" s="33" t="s">
        <v>83</v>
      </c>
      <c r="B83" s="51">
        <f t="shared" ref="B83:L84" si="8">B80/$B80*100</f>
        <v>100</v>
      </c>
      <c r="C83" s="51">
        <f t="shared" si="8"/>
        <v>82.676400287603883</v>
      </c>
      <c r="D83" s="51">
        <f t="shared" si="8"/>
        <v>67.281171661948832</v>
      </c>
      <c r="E83" s="51">
        <f t="shared" si="8"/>
        <v>77.264394768718546</v>
      </c>
      <c r="F83" s="51">
        <f t="shared" si="8"/>
        <v>83.021654499640491</v>
      </c>
      <c r="G83" s="51">
        <f t="shared" si="8"/>
        <v>81.984596350539903</v>
      </c>
      <c r="H83" s="51">
        <f t="shared" si="8"/>
        <v>90.277175004372353</v>
      </c>
      <c r="I83" s="51">
        <f t="shared" si="8"/>
        <v>87.953672455450544</v>
      </c>
      <c r="J83" s="51">
        <f t="shared" si="8"/>
        <v>91.052539529340123</v>
      </c>
      <c r="K83" s="51">
        <f t="shared" si="8"/>
        <v>91.687340894810816</v>
      </c>
      <c r="L83" s="51">
        <f t="shared" si="8"/>
        <v>94.34767682132933</v>
      </c>
    </row>
    <row r="84" spans="1:12" x14ac:dyDescent="0.25">
      <c r="A84" s="29" t="s">
        <v>84</v>
      </c>
      <c r="B84" s="51">
        <f t="shared" si="8"/>
        <v>100</v>
      </c>
      <c r="C84" s="51">
        <f t="shared" si="8"/>
        <v>82.77346875277803</v>
      </c>
      <c r="D84" s="51">
        <f t="shared" si="8"/>
        <v>58.110165348030939</v>
      </c>
      <c r="E84" s="51">
        <f t="shared" si="8"/>
        <v>75.335585385367594</v>
      </c>
      <c r="F84" s="51">
        <f t="shared" si="8"/>
        <v>83.494088363410086</v>
      </c>
      <c r="G84" s="51">
        <f t="shared" si="8"/>
        <v>84.594186149879988</v>
      </c>
      <c r="H84" s="51">
        <f t="shared" si="8"/>
        <v>86.356009423059831</v>
      </c>
      <c r="I84" s="51">
        <f t="shared" si="8"/>
        <v>86.634923104275941</v>
      </c>
      <c r="J84" s="51">
        <f t="shared" si="8"/>
        <v>75.409480842741573</v>
      </c>
      <c r="K84" s="51">
        <f t="shared" si="8"/>
        <v>82.887367766023644</v>
      </c>
      <c r="L84" s="51">
        <f t="shared" si="8"/>
        <v>80.889412392212648</v>
      </c>
    </row>
    <row r="85" spans="1:12" x14ac:dyDescent="0.25">
      <c r="A85" s="29" t="s">
        <v>85</v>
      </c>
      <c r="B85" s="51">
        <f>(B82+B83+B84)/3</f>
        <v>100</v>
      </c>
      <c r="C85" s="51">
        <f t="shared" ref="C85:L85" si="9">(C82+C83+C84)/3</f>
        <v>83.430669069519823</v>
      </c>
      <c r="D85" s="51">
        <f t="shared" si="9"/>
        <v>62.094288537556032</v>
      </c>
      <c r="E85" s="51">
        <f t="shared" si="9"/>
        <v>75.779862093666949</v>
      </c>
      <c r="F85" s="51">
        <f t="shared" si="9"/>
        <v>85.007175306751989</v>
      </c>
      <c r="G85" s="51">
        <f t="shared" si="9"/>
        <v>85.883664188688456</v>
      </c>
      <c r="H85" s="51">
        <f t="shared" si="9"/>
        <v>92.709133790075597</v>
      </c>
      <c r="I85" s="51">
        <f t="shared" si="9"/>
        <v>95.139618338602176</v>
      </c>
      <c r="J85" s="51">
        <f t="shared" si="9"/>
        <v>93.439616877179262</v>
      </c>
      <c r="K85" s="51">
        <f t="shared" si="9"/>
        <v>96.865321767845103</v>
      </c>
      <c r="L85" s="51">
        <f t="shared" si="9"/>
        <v>101.06527543962913</v>
      </c>
    </row>
    <row r="86" spans="1:12" ht="15.75" thickBot="1" x14ac:dyDescent="0.3">
      <c r="A86" s="29" t="s">
        <v>86</v>
      </c>
      <c r="B86" s="37">
        <v>100</v>
      </c>
      <c r="C86" s="31">
        <v>101.84543208851431</v>
      </c>
      <c r="D86" s="31">
        <v>99.77027242092737</v>
      </c>
      <c r="E86" s="31">
        <v>103.54624651429916</v>
      </c>
      <c r="F86" s="31">
        <v>107.37619274974224</v>
      </c>
      <c r="G86" s="31">
        <v>111.78668548772133</v>
      </c>
      <c r="H86" s="31">
        <v>115.49692427985248</v>
      </c>
      <c r="I86" s="31">
        <v>120.59037220019513</v>
      </c>
      <c r="J86" s="31">
        <v>125.38628138860635</v>
      </c>
      <c r="K86" s="31">
        <v>128.87232820597984</v>
      </c>
      <c r="L86" s="32">
        <v>134.17336128813511</v>
      </c>
    </row>
    <row r="87" spans="1:12" ht="16.5" thickTop="1" thickBot="1" x14ac:dyDescent="0.3">
      <c r="A87" s="39" t="s">
        <v>43</v>
      </c>
      <c r="B87" s="40"/>
      <c r="C87" s="40">
        <f>CORREL(H85:L85,H86:L86)</f>
        <v>0.87002780389679168</v>
      </c>
      <c r="D87" s="41"/>
      <c r="E87" s="41"/>
      <c r="F87" s="41"/>
      <c r="G87" s="41"/>
      <c r="H87" s="41"/>
      <c r="I87" s="41"/>
      <c r="J87" s="41"/>
      <c r="K87" s="41"/>
      <c r="L87" s="42"/>
    </row>
    <row r="88" spans="1:12" ht="15.75" thickTop="1" x14ac:dyDescent="0.25">
      <c r="A88" s="39" t="s">
        <v>44</v>
      </c>
      <c r="B88" s="43"/>
      <c r="C88">
        <f>CORREL(C85:L85,C86:L86)</f>
        <v>0.87597391331869512</v>
      </c>
    </row>
    <row r="92" spans="1:12" x14ac:dyDescent="0.25">
      <c r="A92" t="s">
        <v>26</v>
      </c>
      <c r="B92" t="s">
        <v>87</v>
      </c>
    </row>
    <row r="93" spans="1:12" x14ac:dyDescent="0.25">
      <c r="A93" s="29" t="s">
        <v>84</v>
      </c>
      <c r="B93" s="52">
        <v>0.17599999999999999</v>
      </c>
    </row>
    <row r="94" spans="1:12" x14ac:dyDescent="0.25">
      <c r="A94" s="33" t="s">
        <v>83</v>
      </c>
      <c r="B94" s="52">
        <v>0.14199999999999999</v>
      </c>
    </row>
    <row r="95" spans="1:12" x14ac:dyDescent="0.25">
      <c r="A95" s="53" t="s">
        <v>88</v>
      </c>
      <c r="B95" s="52">
        <v>0.14199999999999999</v>
      </c>
    </row>
    <row r="96" spans="1:12" x14ac:dyDescent="0.25">
      <c r="A96" s="53" t="s">
        <v>89</v>
      </c>
      <c r="B96" s="52">
        <v>0.121</v>
      </c>
    </row>
    <row r="97" spans="1:2" x14ac:dyDescent="0.25">
      <c r="A97" s="53" t="s">
        <v>90</v>
      </c>
      <c r="B97" s="52">
        <v>9.9000000000000005E-2</v>
      </c>
    </row>
    <row r="98" spans="1:2" x14ac:dyDescent="0.25">
      <c r="A98" s="53" t="s">
        <v>91</v>
      </c>
      <c r="B98" s="52">
        <v>9.6000000000000002E-2</v>
      </c>
    </row>
    <row r="99" spans="1:2" x14ac:dyDescent="0.25">
      <c r="A99" s="53" t="s">
        <v>92</v>
      </c>
      <c r="B99" s="52">
        <v>7.4999999999999997E-2</v>
      </c>
    </row>
    <row r="100" spans="1:2" x14ac:dyDescent="0.25">
      <c r="A100" s="53" t="s">
        <v>93</v>
      </c>
      <c r="B100" s="52">
        <v>3.7999999999999999E-2</v>
      </c>
    </row>
    <row r="101" spans="1:2" x14ac:dyDescent="0.25">
      <c r="A101" s="53" t="s">
        <v>94</v>
      </c>
      <c r="B101" s="52">
        <v>3.6999999999999998E-2</v>
      </c>
    </row>
    <row r="102" spans="1:2" x14ac:dyDescent="0.25">
      <c r="A102" s="53" t="s">
        <v>95</v>
      </c>
      <c r="B102" s="52">
        <v>2.1999999999999999E-2</v>
      </c>
    </row>
    <row r="103" spans="1:2" x14ac:dyDescent="0.25">
      <c r="A103" s="53" t="s">
        <v>96</v>
      </c>
      <c r="B103" s="52">
        <f>100%-SUM(B93:B102)</f>
        <v>5.2000000000000046E-2</v>
      </c>
    </row>
    <row r="111" spans="1:2" ht="23.25" x14ac:dyDescent="0.35">
      <c r="A111" s="63" t="s">
        <v>20</v>
      </c>
    </row>
    <row r="113" spans="1:12" x14ac:dyDescent="0.25">
      <c r="A113" s="25" t="s">
        <v>50</v>
      </c>
      <c r="B113" s="26" t="s">
        <v>51</v>
      </c>
      <c r="C113" s="27" t="s">
        <v>29</v>
      </c>
      <c r="D113" s="27" t="s">
        <v>30</v>
      </c>
      <c r="E113" s="27" t="s">
        <v>31</v>
      </c>
      <c r="F113" s="27" t="s">
        <v>32</v>
      </c>
      <c r="G113" s="27" t="s">
        <v>33</v>
      </c>
      <c r="H113" s="27" t="s">
        <v>34</v>
      </c>
      <c r="I113" s="27" t="s">
        <v>35</v>
      </c>
      <c r="J113" s="27" t="s">
        <v>1</v>
      </c>
      <c r="K113" s="27" t="s">
        <v>2</v>
      </c>
      <c r="L113" s="28" t="s">
        <v>3</v>
      </c>
    </row>
    <row r="114" spans="1:12" x14ac:dyDescent="0.25">
      <c r="A114" s="29" t="s">
        <v>97</v>
      </c>
      <c r="B114" s="37">
        <v>48418</v>
      </c>
      <c r="C114" s="31">
        <v>48296</v>
      </c>
      <c r="D114" s="31">
        <v>49269</v>
      </c>
      <c r="E114" s="31">
        <v>65165</v>
      </c>
      <c r="F114" s="31">
        <v>61035</v>
      </c>
      <c r="G114" s="31">
        <v>54657</v>
      </c>
      <c r="H114" s="31">
        <v>51584</v>
      </c>
      <c r="I114" s="31">
        <v>49605</v>
      </c>
      <c r="J114" s="31">
        <v>48851</v>
      </c>
      <c r="K114" s="31">
        <v>52824</v>
      </c>
      <c r="L114" s="32">
        <v>52546</v>
      </c>
    </row>
    <row r="115" spans="1:12" x14ac:dyDescent="0.25">
      <c r="A115" s="33" t="s">
        <v>98</v>
      </c>
      <c r="B115" s="50">
        <v>24197.7</v>
      </c>
      <c r="C115" s="35">
        <v>23850</v>
      </c>
      <c r="D115" s="35">
        <v>27428</v>
      </c>
      <c r="E115" s="35">
        <v>45987</v>
      </c>
      <c r="F115" s="35">
        <v>48047</v>
      </c>
      <c r="G115" s="35">
        <v>47267</v>
      </c>
      <c r="H115" s="35">
        <v>44033</v>
      </c>
      <c r="I115" s="35">
        <v>42237</v>
      </c>
      <c r="J115" s="35">
        <v>39498</v>
      </c>
      <c r="K115" s="35">
        <v>39807</v>
      </c>
      <c r="L115" s="36">
        <v>40122</v>
      </c>
    </row>
    <row r="116" spans="1:12" x14ac:dyDescent="0.25">
      <c r="A116" s="29" t="s">
        <v>99</v>
      </c>
      <c r="B116" s="49">
        <v>18633.5</v>
      </c>
      <c r="C116" s="49">
        <v>20371.900000000001</v>
      </c>
      <c r="D116" s="49">
        <v>21836</v>
      </c>
      <c r="E116" s="49">
        <v>23076</v>
      </c>
      <c r="F116" s="49">
        <v>24286.5</v>
      </c>
      <c r="G116" s="49">
        <v>22603.4</v>
      </c>
      <c r="H116" s="49">
        <v>23113.1</v>
      </c>
      <c r="I116" s="49">
        <v>19615.599999999999</v>
      </c>
      <c r="J116" s="49">
        <v>19958.7</v>
      </c>
      <c r="K116" s="49">
        <v>21222.1</v>
      </c>
      <c r="L116" s="49">
        <v>22871.3</v>
      </c>
    </row>
    <row r="117" spans="1:12" x14ac:dyDescent="0.25">
      <c r="A117" s="29" t="s">
        <v>97</v>
      </c>
      <c r="B117" s="51">
        <f>B114/$B114*100</f>
        <v>100</v>
      </c>
      <c r="C117" s="51">
        <f t="shared" ref="C117:L117" si="10">C114/$B114*100</f>
        <v>99.748027593043915</v>
      </c>
      <c r="D117" s="51">
        <f t="shared" si="10"/>
        <v>101.75761080589862</v>
      </c>
      <c r="E117" s="51">
        <f t="shared" si="10"/>
        <v>134.58837622371846</v>
      </c>
      <c r="F117" s="51">
        <f t="shared" si="10"/>
        <v>126.05849064397539</v>
      </c>
      <c r="G117" s="51">
        <f t="shared" si="10"/>
        <v>112.88570366392663</v>
      </c>
      <c r="H117" s="51">
        <f t="shared" si="10"/>
        <v>106.53889049527035</v>
      </c>
      <c r="I117" s="51">
        <f t="shared" si="10"/>
        <v>102.45156759882687</v>
      </c>
      <c r="J117" s="51">
        <f t="shared" si="10"/>
        <v>100.89429550993432</v>
      </c>
      <c r="K117" s="51">
        <f t="shared" si="10"/>
        <v>109.09992151679127</v>
      </c>
      <c r="L117" s="51">
        <f t="shared" si="10"/>
        <v>108.52575488454707</v>
      </c>
    </row>
    <row r="118" spans="1:12" x14ac:dyDescent="0.25">
      <c r="A118" s="33" t="s">
        <v>98</v>
      </c>
      <c r="B118" s="51">
        <f t="shared" ref="B118:L119" si="11">B115/$B115*100</f>
        <v>100</v>
      </c>
      <c r="C118" s="51">
        <f t="shared" si="11"/>
        <v>98.563086574343842</v>
      </c>
      <c r="D118" s="51">
        <f t="shared" si="11"/>
        <v>113.34961587258292</v>
      </c>
      <c r="E118" s="51">
        <f t="shared" si="11"/>
        <v>190.04698793687004</v>
      </c>
      <c r="F118" s="51">
        <f t="shared" si="11"/>
        <v>198.56019373742132</v>
      </c>
      <c r="G118" s="51">
        <f t="shared" si="11"/>
        <v>195.3367468809019</v>
      </c>
      <c r="H118" s="51">
        <f t="shared" si="11"/>
        <v>181.97184029887137</v>
      </c>
      <c r="I118" s="51">
        <f t="shared" si="11"/>
        <v>174.54964728052667</v>
      </c>
      <c r="J118" s="51">
        <f t="shared" si="11"/>
        <v>163.23038966513346</v>
      </c>
      <c r="K118" s="51">
        <f t="shared" si="11"/>
        <v>164.50737053521615</v>
      </c>
      <c r="L118" s="51">
        <f t="shared" si="11"/>
        <v>165.80914715034899</v>
      </c>
    </row>
    <row r="119" spans="1:12" x14ac:dyDescent="0.25">
      <c r="A119" s="29" t="s">
        <v>99</v>
      </c>
      <c r="B119" s="51">
        <f t="shared" si="11"/>
        <v>100</v>
      </c>
      <c r="C119" s="51">
        <f t="shared" si="11"/>
        <v>109.32943354710602</v>
      </c>
      <c r="D119" s="51">
        <f t="shared" si="11"/>
        <v>117.18678723803902</v>
      </c>
      <c r="E119" s="51">
        <f t="shared" si="11"/>
        <v>123.84146832318137</v>
      </c>
      <c r="F119" s="51">
        <f t="shared" si="11"/>
        <v>130.33783239863686</v>
      </c>
      <c r="G119" s="51">
        <f t="shared" si="11"/>
        <v>121.30517616121503</v>
      </c>
      <c r="H119" s="51">
        <f t="shared" si="11"/>
        <v>124.04057208790617</v>
      </c>
      <c r="I119" s="51">
        <f t="shared" si="11"/>
        <v>105.27061475299861</v>
      </c>
      <c r="J119" s="51">
        <f t="shared" si="11"/>
        <v>107.11192207583117</v>
      </c>
      <c r="K119" s="51">
        <f t="shared" si="11"/>
        <v>113.89218343306409</v>
      </c>
      <c r="L119" s="51">
        <f t="shared" si="11"/>
        <v>122.74290927630342</v>
      </c>
    </row>
    <row r="120" spans="1:12" x14ac:dyDescent="0.25">
      <c r="A120" s="29" t="s">
        <v>85</v>
      </c>
      <c r="B120" s="51">
        <f t="shared" ref="B120:L120" si="12">(B117+B118+B119)/3</f>
        <v>100</v>
      </c>
      <c r="C120" s="51">
        <f t="shared" si="12"/>
        <v>102.5468492381646</v>
      </c>
      <c r="D120" s="51">
        <f t="shared" si="12"/>
        <v>110.76467130550685</v>
      </c>
      <c r="E120" s="51">
        <f t="shared" si="12"/>
        <v>149.49227749458996</v>
      </c>
      <c r="F120" s="51">
        <f t="shared" si="12"/>
        <v>151.65217226001118</v>
      </c>
      <c r="G120" s="51">
        <f t="shared" si="12"/>
        <v>143.17587556868116</v>
      </c>
      <c r="H120" s="51">
        <f t="shared" si="12"/>
        <v>137.51710096068265</v>
      </c>
      <c r="I120" s="51">
        <f t="shared" si="12"/>
        <v>127.42394321078405</v>
      </c>
      <c r="J120" s="51">
        <f t="shared" si="12"/>
        <v>123.74553575029965</v>
      </c>
      <c r="K120" s="51">
        <f t="shared" si="12"/>
        <v>129.16649182835718</v>
      </c>
      <c r="L120" s="51">
        <f t="shared" si="12"/>
        <v>132.3592704370665</v>
      </c>
    </row>
    <row r="121" spans="1:12" ht="15.75" thickBot="1" x14ac:dyDescent="0.3">
      <c r="A121" s="29" t="s">
        <v>86</v>
      </c>
      <c r="B121" s="37">
        <v>100</v>
      </c>
      <c r="C121" s="31">
        <v>101.84543208851431</v>
      </c>
      <c r="D121" s="31">
        <v>99.77027242092737</v>
      </c>
      <c r="E121" s="31">
        <v>103.54624651429916</v>
      </c>
      <c r="F121" s="31">
        <v>107.37619274974224</v>
      </c>
      <c r="G121" s="31">
        <v>111.78668548772133</v>
      </c>
      <c r="H121" s="31">
        <v>115.49692427985248</v>
      </c>
      <c r="I121" s="31">
        <v>120.59037220019513</v>
      </c>
      <c r="J121" s="31">
        <v>125.38628138860635</v>
      </c>
      <c r="K121" s="31">
        <v>128.87232820597984</v>
      </c>
      <c r="L121" s="32">
        <v>134.17336128813511</v>
      </c>
    </row>
    <row r="122" spans="1:12" ht="16.5" thickTop="1" thickBot="1" x14ac:dyDescent="0.3">
      <c r="A122" s="39" t="s">
        <v>43</v>
      </c>
      <c r="B122" s="40"/>
      <c r="C122" s="40">
        <f>CORREL(H120:L120,H121:L121)</f>
        <v>-0.29254836670511486</v>
      </c>
      <c r="D122" s="41"/>
      <c r="E122" s="41"/>
      <c r="F122" s="41"/>
      <c r="G122" s="41"/>
      <c r="H122" s="41"/>
      <c r="I122" s="41"/>
      <c r="J122" s="41"/>
      <c r="K122" s="41"/>
      <c r="L122" s="42"/>
    </row>
    <row r="123" spans="1:12" ht="15.75" thickTop="1" x14ac:dyDescent="0.25">
      <c r="A123" s="39" t="s">
        <v>44</v>
      </c>
      <c r="B123" s="43"/>
      <c r="C123">
        <f>CORREL(C120:L120,C121:L121)</f>
        <v>0.10650746529247916</v>
      </c>
    </row>
    <row r="136" spans="1:18" x14ac:dyDescent="0.25">
      <c r="A136" t="s">
        <v>103</v>
      </c>
      <c r="B136" t="s">
        <v>67</v>
      </c>
      <c r="C136" t="s">
        <v>68</v>
      </c>
      <c r="D136" t="s">
        <v>69</v>
      </c>
      <c r="E136" t="s">
        <v>70</v>
      </c>
      <c r="F136" t="s">
        <v>71</v>
      </c>
      <c r="G136" t="s">
        <v>72</v>
      </c>
      <c r="H136" t="s">
        <v>73</v>
      </c>
      <c r="I136" t="s">
        <v>51</v>
      </c>
      <c r="J136" t="s">
        <v>29</v>
      </c>
      <c r="K136" t="s">
        <v>30</v>
      </c>
      <c r="L136" t="s">
        <v>31</v>
      </c>
      <c r="M136" t="s">
        <v>32</v>
      </c>
      <c r="N136" t="s">
        <v>33</v>
      </c>
      <c r="O136" t="s">
        <v>34</v>
      </c>
      <c r="P136" t="s">
        <v>35</v>
      </c>
      <c r="Q136" t="s">
        <v>1</v>
      </c>
      <c r="R136" t="s">
        <v>2</v>
      </c>
    </row>
    <row r="137" spans="1:18" x14ac:dyDescent="0.25">
      <c r="A137" t="s">
        <v>100</v>
      </c>
      <c r="B137" s="54">
        <v>994.4</v>
      </c>
      <c r="C137" s="54">
        <v>1163</v>
      </c>
      <c r="D137" s="54">
        <v>1467.1</v>
      </c>
      <c r="E137" s="54">
        <v>1851</v>
      </c>
      <c r="F137" s="54">
        <v>2217.6999999999998</v>
      </c>
      <c r="G137" s="54">
        <v>2708</v>
      </c>
      <c r="H137" s="54">
        <v>2609.8000000000002</v>
      </c>
      <c r="I137" s="54">
        <v>3309.3</v>
      </c>
      <c r="J137" s="54">
        <v>4219.3</v>
      </c>
      <c r="K137" s="54">
        <v>4198.2</v>
      </c>
      <c r="L137" s="54">
        <v>4265.7</v>
      </c>
      <c r="M137" s="54">
        <v>4574.1000000000004</v>
      </c>
      <c r="N137" s="54">
        <v>4277.8</v>
      </c>
      <c r="O137" s="54">
        <v>4073</v>
      </c>
      <c r="P137" s="54">
        <v>3905.9</v>
      </c>
      <c r="Q137" s="54">
        <v>3432.8</v>
      </c>
      <c r="R137" s="54">
        <v>3570.9</v>
      </c>
    </row>
    <row r="138" spans="1:18" x14ac:dyDescent="0.25">
      <c r="A138" t="s">
        <v>101</v>
      </c>
      <c r="B138">
        <v>14721.7</v>
      </c>
      <c r="C138">
        <v>14813.1</v>
      </c>
      <c r="D138">
        <v>16531.2</v>
      </c>
      <c r="E138">
        <v>19511.099999999999</v>
      </c>
      <c r="F138">
        <v>23380.6</v>
      </c>
      <c r="G138">
        <v>24072.799999999999</v>
      </c>
      <c r="H138">
        <v>25391.599999999999</v>
      </c>
      <c r="I138">
        <v>28813.1</v>
      </c>
      <c r="J138">
        <v>27134</v>
      </c>
      <c r="K138">
        <v>22521.5</v>
      </c>
      <c r="L138">
        <v>20328.3</v>
      </c>
      <c r="M138">
        <v>20802.400000000001</v>
      </c>
      <c r="N138">
        <v>21755.9</v>
      </c>
      <c r="O138">
        <v>22827.9</v>
      </c>
      <c r="P138">
        <v>26319.5</v>
      </c>
      <c r="Q138">
        <v>27021.7</v>
      </c>
      <c r="R138">
        <v>25051.7</v>
      </c>
    </row>
    <row r="146" spans="1:15" x14ac:dyDescent="0.25">
      <c r="A146" s="1" t="s">
        <v>104</v>
      </c>
      <c r="B146" s="2" t="s">
        <v>0</v>
      </c>
      <c r="C146" s="3" t="s">
        <v>1</v>
      </c>
      <c r="D146" s="3" t="s">
        <v>2</v>
      </c>
      <c r="E146" s="3" t="s">
        <v>3</v>
      </c>
      <c r="F146" s="3" t="s">
        <v>4</v>
      </c>
      <c r="G146" s="3" t="s">
        <v>5</v>
      </c>
      <c r="H146" s="3" t="s">
        <v>6</v>
      </c>
      <c r="I146" s="3" t="s">
        <v>7</v>
      </c>
      <c r="J146" s="3" t="s">
        <v>8</v>
      </c>
      <c r="K146" s="3" t="s">
        <v>9</v>
      </c>
      <c r="L146" s="3" t="s">
        <v>10</v>
      </c>
      <c r="M146" s="3" t="s">
        <v>11</v>
      </c>
      <c r="N146" s="3" t="s">
        <v>12</v>
      </c>
      <c r="O146" s="4" t="s">
        <v>13</v>
      </c>
    </row>
    <row r="147" spans="1:15" ht="25.5" x14ac:dyDescent="0.25">
      <c r="A147" s="5" t="s">
        <v>14</v>
      </c>
      <c r="B147" s="6" t="s">
        <v>15</v>
      </c>
      <c r="C147" s="7">
        <v>4097.027</v>
      </c>
      <c r="D147" s="7">
        <v>4081.7330000000002</v>
      </c>
      <c r="E147" s="7">
        <v>4006.6280000000002</v>
      </c>
      <c r="F147" s="7">
        <v>4085.5839999999998</v>
      </c>
      <c r="G147" s="7">
        <v>4096.8779999999997</v>
      </c>
      <c r="H147" s="7">
        <v>4171.0690000000004</v>
      </c>
      <c r="I147" s="7">
        <v>4171.4650000000001</v>
      </c>
      <c r="J147" s="7">
        <v>4180.4210000000003</v>
      </c>
      <c r="K147" s="7">
        <v>4208.3280000000004</v>
      </c>
      <c r="L147" s="7">
        <v>4236.38</v>
      </c>
      <c r="M147" s="7">
        <v>4262.375</v>
      </c>
      <c r="N147" s="7">
        <v>4292.2120000000004</v>
      </c>
      <c r="O147" s="8">
        <v>4326.098</v>
      </c>
    </row>
    <row r="148" spans="1:15" ht="63.75" x14ac:dyDescent="0.25">
      <c r="A148" s="9" t="s">
        <v>16</v>
      </c>
      <c r="B148" s="10" t="s">
        <v>17</v>
      </c>
      <c r="C148" s="11">
        <v>8271.1779999999999</v>
      </c>
      <c r="D148" s="11">
        <v>8820.6650000000009</v>
      </c>
      <c r="E148" s="11">
        <v>9158.4529999999995</v>
      </c>
      <c r="F148" s="11">
        <v>9616.3760000000002</v>
      </c>
      <c r="G148" s="11">
        <v>10097.194</v>
      </c>
      <c r="H148" s="11">
        <v>10400.11</v>
      </c>
      <c r="I148" s="11">
        <v>10764.114</v>
      </c>
      <c r="J148" s="11">
        <v>11140.858</v>
      </c>
      <c r="K148" s="11">
        <v>11530.788</v>
      </c>
      <c r="L148" s="11">
        <v>11934.366</v>
      </c>
      <c r="M148" s="11">
        <v>12352.069</v>
      </c>
      <c r="N148" s="11">
        <v>12784.391</v>
      </c>
      <c r="O148" s="12">
        <v>13231.844999999999</v>
      </c>
    </row>
    <row r="149" spans="1:15" ht="63.75" x14ac:dyDescent="0.25">
      <c r="A149" s="5" t="s">
        <v>18</v>
      </c>
      <c r="B149" s="6" t="s">
        <v>19</v>
      </c>
      <c r="C149" s="7">
        <v>17.919957</v>
      </c>
      <c r="D149" s="7">
        <v>17.951350999999999</v>
      </c>
      <c r="E149" s="7">
        <v>17.645478000000001</v>
      </c>
      <c r="F149" s="7">
        <v>17.499869</v>
      </c>
      <c r="G149" s="7">
        <v>17.208659999999998</v>
      </c>
      <c r="H149" s="7">
        <v>17.353588999999999</v>
      </c>
      <c r="I149" s="7">
        <v>17.524716000000002</v>
      </c>
      <c r="J149" s="7">
        <v>17.722676</v>
      </c>
      <c r="K149" s="7">
        <v>17.948492999999999</v>
      </c>
      <c r="L149" s="7">
        <v>18.203598</v>
      </c>
      <c r="M149" s="7">
        <v>18.489865000000002</v>
      </c>
      <c r="N149" s="7">
        <v>18.809656</v>
      </c>
      <c r="O149" s="8">
        <v>19.165873000000001</v>
      </c>
    </row>
    <row r="150" spans="1:15" ht="51" x14ac:dyDescent="0.25">
      <c r="A150" s="9" t="s">
        <v>20</v>
      </c>
      <c r="B150" s="10" t="s">
        <v>21</v>
      </c>
      <c r="C150" s="11">
        <v>343.60500000000002</v>
      </c>
      <c r="D150" s="11">
        <v>362.12900000000002</v>
      </c>
      <c r="E150" s="11">
        <v>373.32299999999998</v>
      </c>
      <c r="F150" s="11">
        <v>385.4</v>
      </c>
      <c r="G150" s="11">
        <v>395.20800000000003</v>
      </c>
      <c r="H150" s="11">
        <v>408.029</v>
      </c>
      <c r="I150" s="11">
        <v>421.22399999999999</v>
      </c>
      <c r="J150" s="11">
        <v>434.75900000000001</v>
      </c>
      <c r="K150" s="11">
        <v>448.59699999999998</v>
      </c>
      <c r="L150" s="11">
        <v>462.697</v>
      </c>
      <c r="M150" s="11">
        <v>477.05500000000001</v>
      </c>
      <c r="N150" s="11">
        <v>491.66800000000001</v>
      </c>
      <c r="O150" s="12">
        <v>506.53199999999998</v>
      </c>
    </row>
    <row r="151" spans="1:15" x14ac:dyDescent="0.25">
      <c r="A151" s="13" t="s">
        <v>14</v>
      </c>
      <c r="B151" s="14" t="s">
        <v>22</v>
      </c>
      <c r="C151" s="15">
        <v>100</v>
      </c>
      <c r="D151" s="15">
        <v>99.626704925303159</v>
      </c>
      <c r="E151" s="15">
        <v>97.793546393519009</v>
      </c>
      <c r="F151" s="15">
        <v>99.720699912399894</v>
      </c>
      <c r="G151" s="15">
        <v>99.99636321654701</v>
      </c>
      <c r="H151" s="15">
        <v>101.80721288876056</v>
      </c>
      <c r="I151" s="15">
        <v>101.81687843404499</v>
      </c>
      <c r="J151" s="15">
        <v>102.0354759683058</v>
      </c>
      <c r="K151" s="15">
        <v>102.71662842348854</v>
      </c>
      <c r="L151" s="15">
        <v>103.40132003035372</v>
      </c>
      <c r="M151" s="15">
        <v>104.0358044992137</v>
      </c>
      <c r="N151" s="15">
        <v>104.76406428368669</v>
      </c>
      <c r="O151" s="16">
        <v>105.59115182789863</v>
      </c>
    </row>
    <row r="152" spans="1:15" ht="25.5" x14ac:dyDescent="0.25">
      <c r="A152" s="17" t="s">
        <v>16</v>
      </c>
      <c r="B152" s="18" t="s">
        <v>23</v>
      </c>
      <c r="C152" s="19">
        <v>100</v>
      </c>
      <c r="D152" s="19">
        <v>106.64339468936591</v>
      </c>
      <c r="E152" s="19">
        <v>110.72731115205114</v>
      </c>
      <c r="F152" s="19">
        <v>118.7036809412154</v>
      </c>
      <c r="G152" s="19">
        <v>124.41685531613516</v>
      </c>
      <c r="H152" s="19">
        <v>127.86916315185091</v>
      </c>
      <c r="I152" s="19">
        <v>132.18003567569212</v>
      </c>
      <c r="J152" s="19">
        <v>136.76493704524313</v>
      </c>
      <c r="K152" s="19">
        <v>141.52925947912135</v>
      </c>
      <c r="L152" s="19">
        <v>146.28858863876462</v>
      </c>
      <c r="M152" s="19">
        <v>151.33869153825489</v>
      </c>
      <c r="N152" s="19">
        <v>156.56554072467065</v>
      </c>
      <c r="O152" s="20">
        <v>161.97533845843967</v>
      </c>
    </row>
    <row r="153" spans="1:15" ht="25.5" x14ac:dyDescent="0.25">
      <c r="A153" s="13" t="s">
        <v>18</v>
      </c>
      <c r="B153" s="14" t="s">
        <v>23</v>
      </c>
      <c r="C153" s="15">
        <v>100</v>
      </c>
      <c r="D153" s="15">
        <v>100.17519015252101</v>
      </c>
      <c r="E153" s="15">
        <v>98.468305476402648</v>
      </c>
      <c r="F153" s="15">
        <v>100.09575330342589</v>
      </c>
      <c r="G153" s="15">
        <v>98.370699180807193</v>
      </c>
      <c r="H153" s="15">
        <v>98.969456701821315</v>
      </c>
      <c r="I153" s="15">
        <v>99.834408770065693</v>
      </c>
      <c r="J153" s="15">
        <v>100.96909892082888</v>
      </c>
      <c r="K153" s="15">
        <v>102.27924145353697</v>
      </c>
      <c r="L153" s="15">
        <v>103.58282187842302</v>
      </c>
      <c r="M153" s="15">
        <v>105.18029780986639</v>
      </c>
      <c r="N153" s="15">
        <v>106.96485008306659</v>
      </c>
      <c r="O153" s="16">
        <v>108.95267293331116</v>
      </c>
    </row>
    <row r="154" spans="1:15" x14ac:dyDescent="0.25">
      <c r="A154" s="17" t="s">
        <v>20</v>
      </c>
      <c r="B154" s="18" t="s">
        <v>22</v>
      </c>
      <c r="C154" s="19">
        <v>100</v>
      </c>
      <c r="D154" s="19">
        <v>105.39107405305511</v>
      </c>
      <c r="E154" s="19">
        <v>108.64888462042171</v>
      </c>
      <c r="F154" s="19">
        <v>112.16367631437258</v>
      </c>
      <c r="G154" s="19">
        <v>115.01811673287641</v>
      </c>
      <c r="H154" s="19">
        <v>118.74943612578397</v>
      </c>
      <c r="I154" s="19">
        <v>122.58960143187672</v>
      </c>
      <c r="J154" s="19">
        <v>126.52871756813784</v>
      </c>
      <c r="K154" s="19">
        <v>130.55601635599015</v>
      </c>
      <c r="L154" s="19">
        <v>134.65956548944283</v>
      </c>
      <c r="M154" s="19">
        <v>138.83820084108206</v>
      </c>
      <c r="N154" s="19">
        <v>143.09104931534756</v>
      </c>
      <c r="O154" s="20">
        <v>147.41694678482557</v>
      </c>
    </row>
    <row r="155" spans="1:15" ht="38.25" x14ac:dyDescent="0.25">
      <c r="A155" s="21" t="s">
        <v>24</v>
      </c>
      <c r="B155" s="22" t="s">
        <v>25</v>
      </c>
      <c r="C155" s="23"/>
      <c r="D155" s="23"/>
      <c r="E155" s="23"/>
      <c r="F155" s="23">
        <v>2.44</v>
      </c>
      <c r="G155" s="23">
        <v>2.34</v>
      </c>
      <c r="H155" s="23">
        <v>2.13</v>
      </c>
      <c r="I155" s="23">
        <v>2.04</v>
      </c>
      <c r="J155" s="23">
        <v>2.0699999999999998</v>
      </c>
      <c r="K155" s="23">
        <v>2.12</v>
      </c>
      <c r="L155" s="23">
        <v>2</v>
      </c>
      <c r="M155" s="23">
        <v>2</v>
      </c>
      <c r="N155" s="23">
        <v>2</v>
      </c>
      <c r="O155" s="24">
        <v>2</v>
      </c>
    </row>
  </sheetData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VH Bristol</vt:lpstr>
      <vt:lpstr>Gilead Sciences</vt:lpstr>
      <vt:lpstr>Odvětví - grafy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2019-01-16T23:42:00Z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</Properties>
</file>