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214B29FA-5FA1-4562-BEC7-A78B7BA6FE1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definedNames>
    <definedName name="_xlnm._FilterDatabase" localSheetId="0" hidden="1">Hárok1!$C$2:$P$87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4" i="1" l="1"/>
  <c r="S41" i="1" l="1"/>
  <c r="S37" i="1"/>
  <c r="S33" i="1"/>
  <c r="S30" i="1"/>
  <c r="S21" i="1"/>
  <c r="AH86" i="1"/>
  <c r="AG86" i="1"/>
  <c r="S10" i="1" l="1"/>
  <c r="S16" i="1" s="1"/>
  <c r="S9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5" i="1"/>
  <c r="L55" i="1"/>
  <c r="L56" i="1"/>
  <c r="K57" i="1"/>
  <c r="L57" i="1"/>
  <c r="K59" i="1"/>
  <c r="L59" i="1"/>
  <c r="L60" i="1"/>
  <c r="K61" i="1"/>
  <c r="L61" i="1"/>
  <c r="K62" i="1"/>
  <c r="L62" i="1"/>
  <c r="K63" i="1"/>
  <c r="L63" i="1"/>
  <c r="K65" i="1"/>
  <c r="L65" i="1"/>
  <c r="K66" i="1"/>
  <c r="L66" i="1"/>
  <c r="K67" i="1"/>
  <c r="L67" i="1"/>
  <c r="K68" i="1"/>
  <c r="L68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1" i="1"/>
  <c r="L81" i="1"/>
  <c r="K82" i="1"/>
  <c r="L82" i="1"/>
  <c r="K84" i="1"/>
  <c r="L84" i="1"/>
  <c r="K85" i="1"/>
  <c r="L85" i="1"/>
  <c r="K86" i="1"/>
  <c r="L86" i="1"/>
  <c r="K45" i="1"/>
  <c r="L45" i="1"/>
  <c r="K40" i="1"/>
  <c r="L40" i="1"/>
  <c r="L41" i="1"/>
  <c r="K42" i="1"/>
  <c r="L42" i="1"/>
  <c r="L43" i="1"/>
  <c r="K44" i="1"/>
  <c r="L44" i="1"/>
  <c r="L39" i="1"/>
  <c r="K38" i="1"/>
  <c r="L38" i="1"/>
  <c r="K36" i="1"/>
  <c r="L36" i="1"/>
  <c r="K35" i="1"/>
  <c r="L35" i="1"/>
  <c r="K34" i="1"/>
  <c r="L34" i="1"/>
  <c r="K33" i="1"/>
  <c r="L33" i="1"/>
  <c r="K32" i="1"/>
  <c r="L32" i="1"/>
  <c r="K31" i="1"/>
  <c r="L31" i="1"/>
  <c r="L30" i="1"/>
  <c r="K29" i="1"/>
  <c r="L29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L7" i="1"/>
  <c r="K7" i="1"/>
  <c r="L6" i="1"/>
  <c r="K6" i="1"/>
  <c r="L5" i="1"/>
  <c r="L4" i="1"/>
  <c r="K4" i="1"/>
  <c r="K5" i="1"/>
  <c r="J4" i="1"/>
  <c r="F83" i="1"/>
  <c r="G83" i="1" s="1"/>
  <c r="L83" i="1" s="1"/>
  <c r="F80" i="1"/>
  <c r="G80" i="1" s="1"/>
  <c r="L80" i="1" s="1"/>
  <c r="F69" i="1"/>
  <c r="K69" i="1" s="1"/>
  <c r="F64" i="1"/>
  <c r="K64" i="1" s="1"/>
  <c r="F60" i="1"/>
  <c r="K60" i="1" s="1"/>
  <c r="G58" i="1"/>
  <c r="L58" i="1" s="1"/>
  <c r="F58" i="1"/>
  <c r="K58" i="1" s="1"/>
  <c r="F56" i="1"/>
  <c r="K56" i="1" s="1"/>
  <c r="F54" i="1"/>
  <c r="K54" i="1" s="1"/>
  <c r="F43" i="1"/>
  <c r="K43" i="1" s="1"/>
  <c r="F41" i="1"/>
  <c r="K41" i="1" s="1"/>
  <c r="F39" i="1"/>
  <c r="K39" i="1" s="1"/>
  <c r="F37" i="1"/>
  <c r="G37" i="1" s="1"/>
  <c r="L37" i="1" s="1"/>
  <c r="F30" i="1"/>
  <c r="K30" i="1" s="1"/>
  <c r="F28" i="1"/>
  <c r="K28" i="1" s="1"/>
  <c r="S15" i="1" l="1"/>
  <c r="G64" i="1"/>
  <c r="L64" i="1" s="1"/>
  <c r="K83" i="1"/>
  <c r="G54" i="1"/>
  <c r="L54" i="1" s="1"/>
  <c r="S19" i="1" s="1"/>
  <c r="K37" i="1"/>
  <c r="K80" i="1"/>
  <c r="M4" i="1"/>
  <c r="AH3" i="1" l="1"/>
  <c r="AG3" i="1"/>
  <c r="S18" i="1"/>
  <c r="P4" i="1"/>
  <c r="J5" i="1" l="1"/>
  <c r="N4" i="1"/>
  <c r="O4" i="1"/>
  <c r="M5" i="1"/>
  <c r="AH4" i="1" l="1"/>
  <c r="AG4" i="1"/>
  <c r="P5" i="1"/>
  <c r="N5" i="1" l="1"/>
  <c r="O5" i="1"/>
  <c r="J6" i="1"/>
  <c r="M6" i="1" s="1"/>
  <c r="AH5" i="1" l="1"/>
  <c r="AG5" i="1"/>
  <c r="P6" i="1"/>
  <c r="N6" i="1" l="1"/>
  <c r="O6" i="1"/>
  <c r="J7" i="1"/>
  <c r="M7" i="1" s="1"/>
  <c r="AH6" i="1" l="1"/>
  <c r="AG6" i="1"/>
  <c r="P7" i="1"/>
  <c r="J8" i="1" l="1"/>
  <c r="M8" i="1" s="1"/>
  <c r="N7" i="1"/>
  <c r="O7" i="1"/>
  <c r="AG7" i="1" l="1"/>
  <c r="AH7" i="1"/>
  <c r="P8" i="1"/>
  <c r="J9" i="1" l="1"/>
  <c r="M9" i="1" s="1"/>
  <c r="O8" i="1"/>
  <c r="N8" i="1"/>
  <c r="P9" i="1" l="1"/>
  <c r="N9" i="1" s="1"/>
  <c r="AH8" i="1"/>
  <c r="AG8" i="1"/>
  <c r="J10" i="1"/>
  <c r="M10" i="1" s="1"/>
  <c r="O9" i="1"/>
  <c r="P10" i="1" l="1"/>
  <c r="AH9" i="1"/>
  <c r="AG9" i="1"/>
  <c r="J11" i="1"/>
  <c r="M11" i="1" s="1"/>
  <c r="O10" i="1"/>
  <c r="N10" i="1"/>
  <c r="P11" i="1" l="1"/>
  <c r="AH10" i="1"/>
  <c r="AG10" i="1"/>
  <c r="J12" i="1"/>
  <c r="M12" i="1" s="1"/>
  <c r="N11" i="1"/>
  <c r="O11" i="1"/>
  <c r="P12" i="1" l="1"/>
  <c r="N12" i="1" s="1"/>
  <c r="AH11" i="1"/>
  <c r="AG11" i="1"/>
  <c r="J13" i="1"/>
  <c r="M13" i="1" s="1"/>
  <c r="O12" i="1"/>
  <c r="P13" i="1" l="1"/>
  <c r="N13" i="1" s="1"/>
  <c r="AH12" i="1"/>
  <c r="AG12" i="1"/>
  <c r="O13" i="1" l="1"/>
  <c r="J14" i="1"/>
  <c r="M14" i="1" s="1"/>
  <c r="AG13" i="1" s="1"/>
  <c r="AH13" i="1" l="1"/>
  <c r="P14" i="1"/>
  <c r="N14" i="1" s="1"/>
  <c r="J15" i="1"/>
  <c r="M15" i="1" s="1"/>
  <c r="P15" i="1" s="1"/>
  <c r="O14" i="1" l="1"/>
  <c r="N15" i="1"/>
  <c r="O15" i="1"/>
  <c r="J16" i="1"/>
  <c r="M16" i="1" s="1"/>
  <c r="AG15" i="1" s="1"/>
  <c r="AG14" i="1"/>
  <c r="AH14" i="1"/>
  <c r="P16" i="1" l="1"/>
  <c r="AH15" i="1"/>
  <c r="N16" i="1" l="1"/>
  <c r="J17" i="1"/>
  <c r="M17" i="1" s="1"/>
  <c r="O16" i="1"/>
  <c r="AG16" i="1" l="1"/>
  <c r="AH16" i="1"/>
  <c r="P17" i="1"/>
  <c r="N17" i="1" l="1"/>
  <c r="J18" i="1"/>
  <c r="M18" i="1" s="1"/>
  <c r="O17" i="1"/>
  <c r="P18" i="1"/>
  <c r="N18" i="1" l="1"/>
  <c r="J19" i="1"/>
  <c r="M19" i="1" s="1"/>
  <c r="P19" i="1" s="1"/>
  <c r="O18" i="1"/>
  <c r="AG17" i="1"/>
  <c r="AH17" i="1"/>
  <c r="AH18" i="1" l="1"/>
  <c r="AG18" i="1"/>
  <c r="O19" i="1"/>
  <c r="N19" i="1"/>
  <c r="J20" i="1"/>
  <c r="M20" i="1" s="1"/>
  <c r="P20" i="1" s="1"/>
  <c r="O20" i="1" l="1"/>
  <c r="N20" i="1"/>
  <c r="J21" i="1"/>
  <c r="M21" i="1" s="1"/>
  <c r="P21" i="1" s="1"/>
  <c r="AH19" i="1"/>
  <c r="AG19" i="1"/>
  <c r="J22" i="1" l="1"/>
  <c r="M22" i="1" s="1"/>
  <c r="N21" i="1"/>
  <c r="O21" i="1"/>
  <c r="P22" i="1"/>
  <c r="AG20" i="1"/>
  <c r="AH20" i="1"/>
  <c r="J23" i="1" l="1"/>
  <c r="M23" i="1" s="1"/>
  <c r="O22" i="1"/>
  <c r="N22" i="1"/>
  <c r="P23" i="1"/>
  <c r="AH21" i="1"/>
  <c r="AG21" i="1"/>
  <c r="J24" i="1" l="1"/>
  <c r="M24" i="1" s="1"/>
  <c r="O23" i="1"/>
  <c r="N23" i="1"/>
  <c r="P24" i="1"/>
  <c r="AG22" i="1"/>
  <c r="AH22" i="1"/>
  <c r="O24" i="1" l="1"/>
  <c r="N24" i="1"/>
  <c r="J25" i="1"/>
  <c r="M25" i="1" s="1"/>
  <c r="AG23" i="1"/>
  <c r="AH23" i="1"/>
  <c r="AG24" i="1" l="1"/>
  <c r="AH24" i="1"/>
  <c r="P25" i="1"/>
  <c r="O25" i="1" l="1"/>
  <c r="J26" i="1"/>
  <c r="M26" i="1" s="1"/>
  <c r="P26" i="1" s="1"/>
  <c r="N25" i="1"/>
  <c r="S31" i="1" l="1"/>
  <c r="J27" i="1"/>
  <c r="M27" i="1" s="1"/>
  <c r="N26" i="1"/>
  <c r="O26" i="1"/>
  <c r="AG25" i="1"/>
  <c r="AH25" i="1"/>
  <c r="AG26" i="1" l="1"/>
  <c r="AH26" i="1"/>
  <c r="P27" i="1"/>
  <c r="J28" i="1" l="1"/>
  <c r="M28" i="1" s="1"/>
  <c r="N27" i="1"/>
  <c r="O27" i="1"/>
  <c r="P28" i="1"/>
  <c r="N28" i="1" l="1"/>
  <c r="O28" i="1"/>
  <c r="J29" i="1"/>
  <c r="M29" i="1" s="1"/>
  <c r="P29" i="1" s="1"/>
  <c r="AH27" i="1"/>
  <c r="AG27" i="1"/>
  <c r="N29" i="1" l="1"/>
  <c r="O29" i="1"/>
  <c r="J30" i="1"/>
  <c r="M30" i="1" s="1"/>
  <c r="P30" i="1" s="1"/>
  <c r="AH28" i="1"/>
  <c r="AG28" i="1"/>
  <c r="N30" i="1" l="1"/>
  <c r="O30" i="1"/>
  <c r="J31" i="1"/>
  <c r="M31" i="1" s="1"/>
  <c r="P31" i="1" s="1"/>
  <c r="AH29" i="1"/>
  <c r="AG29" i="1"/>
  <c r="O31" i="1" l="1"/>
  <c r="J32" i="1"/>
  <c r="M32" i="1" s="1"/>
  <c r="N31" i="1"/>
  <c r="P32" i="1"/>
  <c r="AH30" i="1"/>
  <c r="AG30" i="1"/>
  <c r="AG31" i="1" l="1"/>
  <c r="AH31" i="1"/>
  <c r="O32" i="1"/>
  <c r="N32" i="1"/>
  <c r="J33" i="1"/>
  <c r="M33" i="1" s="1"/>
  <c r="P33" i="1" s="1"/>
  <c r="J34" i="1" l="1"/>
  <c r="M34" i="1" s="1"/>
  <c r="N33" i="1"/>
  <c r="O33" i="1"/>
  <c r="P34" i="1"/>
  <c r="AG32" i="1"/>
  <c r="AH32" i="1"/>
  <c r="J35" i="1" l="1"/>
  <c r="M35" i="1" s="1"/>
  <c r="P35" i="1" s="1"/>
  <c r="N34" i="1"/>
  <c r="O34" i="1"/>
  <c r="AG33" i="1"/>
  <c r="AH33" i="1"/>
  <c r="J36" i="1" l="1"/>
  <c r="M36" i="1" s="1"/>
  <c r="N35" i="1"/>
  <c r="O35" i="1"/>
  <c r="P36" i="1"/>
  <c r="AG34" i="1"/>
  <c r="AH34" i="1"/>
  <c r="J37" i="1" l="1"/>
  <c r="M37" i="1" s="1"/>
  <c r="O36" i="1"/>
  <c r="N36" i="1"/>
  <c r="P37" i="1"/>
  <c r="AG35" i="1"/>
  <c r="AH35" i="1"/>
  <c r="O37" i="1" l="1"/>
  <c r="N37" i="1"/>
  <c r="J38" i="1"/>
  <c r="M38" i="1" s="1"/>
  <c r="P38" i="1" s="1"/>
  <c r="AG36" i="1"/>
  <c r="AH36" i="1"/>
  <c r="O38" i="1" l="1"/>
  <c r="N38" i="1"/>
  <c r="S32" i="1"/>
  <c r="J39" i="1"/>
  <c r="M39" i="1" s="1"/>
  <c r="AG37" i="1"/>
  <c r="AH37" i="1"/>
  <c r="AG38" i="1" l="1"/>
  <c r="AH38" i="1"/>
  <c r="P39" i="1"/>
  <c r="J40" i="1" l="1"/>
  <c r="M40" i="1" s="1"/>
  <c r="O39" i="1"/>
  <c r="N39" i="1"/>
  <c r="P40" i="1"/>
  <c r="J41" i="1" l="1"/>
  <c r="M41" i="1" s="1"/>
  <c r="N40" i="1"/>
  <c r="O40" i="1"/>
  <c r="P41" i="1"/>
  <c r="N41" i="1" s="1"/>
  <c r="AG39" i="1"/>
  <c r="AH39" i="1"/>
  <c r="J42" i="1" l="1"/>
  <c r="M42" i="1" s="1"/>
  <c r="AH41" i="1" s="1"/>
  <c r="O41" i="1"/>
  <c r="AH40" i="1"/>
  <c r="AG40" i="1"/>
  <c r="P42" i="1" l="1"/>
  <c r="AG41" i="1"/>
  <c r="O42" i="1"/>
  <c r="J43" i="1"/>
  <c r="M43" i="1" s="1"/>
  <c r="N42" i="1"/>
  <c r="P43" i="1" l="1"/>
  <c r="AH42" i="1"/>
  <c r="AG42" i="1"/>
  <c r="N43" i="1" l="1"/>
  <c r="O43" i="1"/>
  <c r="J44" i="1"/>
  <c r="M44" i="1" s="1"/>
  <c r="P44" i="1" l="1"/>
  <c r="AH43" i="1"/>
  <c r="AG43" i="1"/>
  <c r="O44" i="1" l="1"/>
  <c r="N44" i="1"/>
  <c r="J45" i="1"/>
  <c r="M45" i="1" s="1"/>
  <c r="P45" i="1" l="1"/>
  <c r="AH44" i="1"/>
  <c r="AG44" i="1"/>
  <c r="N45" i="1" l="1"/>
  <c r="O45" i="1"/>
  <c r="J46" i="1"/>
  <c r="M46" i="1" s="1"/>
  <c r="P46" i="1" l="1"/>
  <c r="AH45" i="1"/>
  <c r="AG45" i="1"/>
  <c r="O46" i="1" l="1"/>
  <c r="N46" i="1"/>
  <c r="J47" i="1"/>
  <c r="M47" i="1" s="1"/>
  <c r="P47" i="1" l="1"/>
  <c r="AH46" i="1"/>
  <c r="AG46" i="1"/>
  <c r="O47" i="1" l="1"/>
  <c r="J48" i="1"/>
  <c r="M48" i="1" s="1"/>
  <c r="N47" i="1"/>
  <c r="P48" i="1" l="1"/>
  <c r="AH47" i="1"/>
  <c r="AG47" i="1"/>
  <c r="O48" i="1" l="1"/>
  <c r="N48" i="1"/>
  <c r="J49" i="1"/>
  <c r="M49" i="1" s="1"/>
  <c r="P49" i="1" l="1"/>
  <c r="AH48" i="1"/>
  <c r="AG48" i="1"/>
  <c r="N49" i="1" l="1"/>
  <c r="J50" i="1"/>
  <c r="M50" i="1" s="1"/>
  <c r="O49" i="1"/>
  <c r="P50" i="1" l="1"/>
  <c r="AH49" i="1"/>
  <c r="AG49" i="1"/>
  <c r="N50" i="1" l="1"/>
  <c r="O50" i="1"/>
  <c r="J51" i="1"/>
  <c r="M51" i="1" s="1"/>
  <c r="P51" i="1" l="1"/>
  <c r="AH50" i="1"/>
  <c r="AG50" i="1"/>
  <c r="O51" i="1" l="1"/>
  <c r="J52" i="1"/>
  <c r="M52" i="1" s="1"/>
  <c r="N51" i="1"/>
  <c r="P52" i="1" l="1"/>
  <c r="AG51" i="1"/>
  <c r="AH51" i="1"/>
  <c r="O52" i="1" l="1"/>
  <c r="N52" i="1"/>
  <c r="J53" i="1"/>
  <c r="M53" i="1" s="1"/>
  <c r="P53" i="1" l="1"/>
  <c r="AH52" i="1"/>
  <c r="AG52" i="1"/>
  <c r="N53" i="1" l="1"/>
  <c r="J54" i="1"/>
  <c r="M54" i="1" s="1"/>
  <c r="O53" i="1"/>
  <c r="P54" i="1" l="1"/>
  <c r="AH53" i="1"/>
  <c r="AG53" i="1"/>
  <c r="N54" i="1" l="1"/>
  <c r="J55" i="1"/>
  <c r="M55" i="1" s="1"/>
  <c r="O54" i="1"/>
  <c r="P55" i="1" l="1"/>
  <c r="AH54" i="1"/>
  <c r="AG54" i="1"/>
  <c r="O55" i="1" l="1"/>
  <c r="J56" i="1"/>
  <c r="M56" i="1" s="1"/>
  <c r="N55" i="1"/>
  <c r="P56" i="1" l="1"/>
  <c r="AG55" i="1"/>
  <c r="AH55" i="1"/>
  <c r="N56" i="1" l="1"/>
  <c r="J57" i="1"/>
  <c r="M57" i="1" s="1"/>
  <c r="O56" i="1"/>
  <c r="P57" i="1" l="1"/>
  <c r="AH56" i="1"/>
  <c r="AG56" i="1"/>
  <c r="N57" i="1" l="1"/>
  <c r="O57" i="1"/>
  <c r="J58" i="1"/>
  <c r="M58" i="1" s="1"/>
  <c r="P58" i="1" l="1"/>
  <c r="AH57" i="1"/>
  <c r="AG57" i="1"/>
  <c r="N58" i="1" l="1"/>
  <c r="O58" i="1"/>
  <c r="J59" i="1"/>
  <c r="M59" i="1" s="1"/>
  <c r="P59" i="1" l="1"/>
  <c r="AH58" i="1"/>
  <c r="AG58" i="1"/>
  <c r="O59" i="1" l="1"/>
  <c r="J60" i="1"/>
  <c r="M60" i="1" s="1"/>
  <c r="N59" i="1"/>
  <c r="P60" i="1" l="1"/>
  <c r="AH59" i="1"/>
  <c r="AG59" i="1"/>
  <c r="N60" i="1" l="1"/>
  <c r="O60" i="1"/>
  <c r="J61" i="1"/>
  <c r="M61" i="1" s="1"/>
  <c r="P61" i="1" l="1"/>
  <c r="AH60" i="1"/>
  <c r="AG60" i="1"/>
  <c r="N61" i="1" l="1"/>
  <c r="J62" i="1"/>
  <c r="M62" i="1" s="1"/>
  <c r="O61" i="1"/>
  <c r="P62" i="1" l="1"/>
  <c r="AH61" i="1"/>
  <c r="AG61" i="1"/>
  <c r="N62" i="1" l="1"/>
  <c r="O62" i="1"/>
  <c r="J63" i="1"/>
  <c r="M63" i="1" s="1"/>
  <c r="P63" i="1" s="1"/>
  <c r="N63" i="1" l="1"/>
  <c r="O63" i="1"/>
  <c r="J64" i="1"/>
  <c r="M64" i="1" s="1"/>
  <c r="AH62" i="1"/>
  <c r="AG62" i="1"/>
  <c r="P64" i="1" l="1"/>
  <c r="AH63" i="1"/>
  <c r="AG63" i="1"/>
  <c r="O64" i="1" l="1"/>
  <c r="J65" i="1"/>
  <c r="M65" i="1" s="1"/>
  <c r="N64" i="1"/>
  <c r="P65" i="1" l="1"/>
  <c r="AH64" i="1"/>
  <c r="AG64" i="1"/>
  <c r="N65" i="1" l="1"/>
  <c r="J66" i="1"/>
  <c r="O65" i="1"/>
  <c r="M66" i="1" l="1"/>
  <c r="P66" i="1" l="1"/>
  <c r="AH65" i="1"/>
  <c r="AG65" i="1"/>
  <c r="N66" i="1" l="1"/>
  <c r="O66" i="1"/>
  <c r="J67" i="1"/>
  <c r="M67" i="1" l="1"/>
  <c r="P67" i="1" l="1"/>
  <c r="AH66" i="1"/>
  <c r="AG66" i="1"/>
  <c r="O67" i="1" l="1"/>
  <c r="N67" i="1"/>
  <c r="J68" i="1"/>
  <c r="M68" i="1" l="1"/>
  <c r="P68" i="1" l="1"/>
  <c r="AG67" i="1"/>
  <c r="AH67" i="1"/>
  <c r="N68" i="1" l="1"/>
  <c r="O68" i="1"/>
  <c r="J69" i="1"/>
  <c r="M69" i="1" l="1"/>
  <c r="P69" i="1" l="1"/>
  <c r="AH68" i="1"/>
  <c r="AG68" i="1"/>
  <c r="N69" i="1" l="1"/>
  <c r="J70" i="1"/>
  <c r="O69" i="1"/>
  <c r="M70" i="1" l="1"/>
  <c r="P70" i="1" l="1"/>
  <c r="AH69" i="1"/>
  <c r="AG69" i="1"/>
  <c r="O70" i="1" l="1"/>
  <c r="J71" i="1"/>
  <c r="M71" i="1" s="1"/>
  <c r="N70" i="1"/>
  <c r="P71" i="1" l="1"/>
  <c r="AH70" i="1"/>
  <c r="AG70" i="1"/>
  <c r="O71" i="1" l="1"/>
  <c r="N71" i="1"/>
  <c r="J72" i="1"/>
  <c r="M72" i="1" s="1"/>
  <c r="P72" i="1" l="1"/>
  <c r="AH71" i="1"/>
  <c r="AG71" i="1"/>
  <c r="N72" i="1" l="1"/>
  <c r="J73" i="1"/>
  <c r="M73" i="1" s="1"/>
  <c r="O72" i="1"/>
  <c r="P73" i="1" l="1"/>
  <c r="AH72" i="1"/>
  <c r="AG72" i="1"/>
  <c r="N73" i="1" l="1"/>
  <c r="J74" i="1"/>
  <c r="M74" i="1" s="1"/>
  <c r="O73" i="1"/>
  <c r="P74" i="1" l="1"/>
  <c r="AH73" i="1"/>
  <c r="AG73" i="1"/>
  <c r="N74" i="1" l="1"/>
  <c r="J75" i="1"/>
  <c r="M75" i="1" s="1"/>
  <c r="O74" i="1"/>
  <c r="P75" i="1" l="1"/>
  <c r="AH74" i="1"/>
  <c r="AG74" i="1"/>
  <c r="O75" i="1" l="1"/>
  <c r="J76" i="1"/>
  <c r="M76" i="1" s="1"/>
  <c r="N75" i="1"/>
  <c r="P76" i="1" l="1"/>
  <c r="AH75" i="1"/>
  <c r="AG75" i="1"/>
  <c r="N76" i="1" l="1"/>
  <c r="J77" i="1"/>
  <c r="M77" i="1" s="1"/>
  <c r="O76" i="1"/>
  <c r="P77" i="1" l="1"/>
  <c r="AH76" i="1"/>
  <c r="AG76" i="1"/>
  <c r="O77" i="1" l="1"/>
  <c r="J78" i="1"/>
  <c r="M78" i="1" s="1"/>
  <c r="N77" i="1"/>
  <c r="AH77" i="1" l="1"/>
  <c r="AG77" i="1"/>
  <c r="P78" i="1"/>
  <c r="N78" i="1" l="1"/>
  <c r="J79" i="1"/>
  <c r="M79" i="1" s="1"/>
  <c r="O78" i="1"/>
  <c r="P79" i="1" l="1"/>
  <c r="AH78" i="1"/>
  <c r="AG78" i="1"/>
  <c r="O79" i="1" l="1"/>
  <c r="J80" i="1"/>
  <c r="M80" i="1" s="1"/>
  <c r="N79" i="1"/>
  <c r="P80" i="1" l="1"/>
  <c r="AH79" i="1"/>
  <c r="AG79" i="1"/>
  <c r="N80" i="1" l="1"/>
  <c r="O80" i="1"/>
  <c r="J81" i="1"/>
  <c r="M81" i="1" s="1"/>
  <c r="P81" i="1" l="1"/>
  <c r="AH80" i="1"/>
  <c r="AG80" i="1"/>
  <c r="N81" i="1" l="1"/>
  <c r="J82" i="1"/>
  <c r="M82" i="1" s="1"/>
  <c r="O81" i="1"/>
  <c r="P82" i="1" l="1"/>
  <c r="AH81" i="1"/>
  <c r="AG81" i="1"/>
  <c r="O82" i="1" l="1"/>
  <c r="J83" i="1"/>
  <c r="M83" i="1" s="1"/>
  <c r="N82" i="1"/>
  <c r="P83" i="1" l="1"/>
  <c r="AH82" i="1"/>
  <c r="AG82" i="1"/>
  <c r="N83" i="1" l="1"/>
  <c r="O83" i="1"/>
  <c r="J84" i="1"/>
  <c r="M84" i="1" s="1"/>
  <c r="P84" i="1" s="1"/>
  <c r="J85" i="1" l="1"/>
  <c r="M85" i="1" s="1"/>
  <c r="O84" i="1"/>
  <c r="N84" i="1"/>
  <c r="AG83" i="1"/>
  <c r="AH83" i="1"/>
  <c r="P85" i="1" l="1"/>
  <c r="AH84" i="1"/>
  <c r="AG84" i="1"/>
  <c r="O85" i="1" l="1"/>
  <c r="J86" i="1"/>
  <c r="N85" i="1"/>
  <c r="M86" i="1" l="1"/>
  <c r="S8" i="1"/>
  <c r="S17" i="1" l="1"/>
  <c r="S13" i="1"/>
  <c r="S14" i="1"/>
  <c r="AH85" i="1"/>
  <c r="S24" i="1" s="1"/>
  <c r="AG85" i="1"/>
  <c r="S23" i="1" s="1"/>
  <c r="S20" i="1"/>
  <c r="P86" i="1"/>
  <c r="S27" i="1" l="1"/>
  <c r="S28" i="1" s="1"/>
  <c r="O86" i="1"/>
  <c r="N86" i="1"/>
  <c r="S35" i="1" s="1"/>
  <c r="S6" i="1"/>
  <c r="S7" i="1" s="1"/>
  <c r="S25" i="1"/>
  <c r="S38" i="1" l="1"/>
  <c r="S42" i="1"/>
</calcChain>
</file>

<file path=xl/sharedStrings.xml><?xml version="1.0" encoding="utf-8"?>
<sst xmlns="http://schemas.openxmlformats.org/spreadsheetml/2006/main" count="131" uniqueCount="45">
  <si>
    <t xml:space="preserve">Date </t>
  </si>
  <si>
    <t xml:space="preserve">Open </t>
  </si>
  <si>
    <t>Acount balance</t>
  </si>
  <si>
    <t>Position type</t>
  </si>
  <si>
    <t>Quantity</t>
  </si>
  <si>
    <t>Profit 1 (pips)</t>
  </si>
  <si>
    <t>Profit total (€)</t>
  </si>
  <si>
    <t>Profit 2 (pips)</t>
  </si>
  <si>
    <t>Short</t>
  </si>
  <si>
    <t>Close 2</t>
  </si>
  <si>
    <t>Close 1</t>
  </si>
  <si>
    <t>Long</t>
  </si>
  <si>
    <t>Time 1</t>
  </si>
  <si>
    <t>Time 2</t>
  </si>
  <si>
    <t>Leverage</t>
  </si>
  <si>
    <t>Risk</t>
  </si>
  <si>
    <t>Net profit (€)</t>
  </si>
  <si>
    <t>Net profit (%)</t>
  </si>
  <si>
    <t>Number of trades</t>
  </si>
  <si>
    <t>Long (%)</t>
  </si>
  <si>
    <t>Short (%)</t>
  </si>
  <si>
    <t>Long win (%)</t>
  </si>
  <si>
    <t>Short win</t>
  </si>
  <si>
    <t>Long win</t>
  </si>
  <si>
    <t>Win rate</t>
  </si>
  <si>
    <t xml:space="preserve"> Short win (%)</t>
  </si>
  <si>
    <t>Best trade (pips)</t>
  </si>
  <si>
    <t>Worst trade (pips)</t>
  </si>
  <si>
    <t>Worst trade (€)</t>
  </si>
  <si>
    <t>Best trade (€)</t>
  </si>
  <si>
    <t>Profit (%)</t>
  </si>
  <si>
    <t>Cumulative profits (%)</t>
  </si>
  <si>
    <t>Account balance</t>
  </si>
  <si>
    <t>Profit factor</t>
  </si>
  <si>
    <t>Sharpe ratio</t>
  </si>
  <si>
    <t>Drawdowns</t>
  </si>
  <si>
    <t>Absolute low</t>
  </si>
  <si>
    <t>St. dev of returns (%)</t>
  </si>
  <si>
    <t>German 10Y Bunds</t>
  </si>
  <si>
    <t>p.a</t>
  </si>
  <si>
    <t>Effective 4 months rate</t>
  </si>
  <si>
    <t>Gross profit</t>
  </si>
  <si>
    <t>Gross loss</t>
  </si>
  <si>
    <t>1Y US Treasurry bills</t>
  </si>
  <si>
    <t>spread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</si>
</sst>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"/>
    <numFmt numFmtId="166" formatCode="0.000%"/>
    <numFmt numFmtId="167" formatCode="0.0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20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0" fontId="0" fillId="0" borderId="1" xfId="1" applyNumberFormat="1" applyFont="1" applyBorder="1"/>
    <xf numFmtId="1" fontId="0" fillId="0" borderId="1" xfId="1" applyNumberFormat="1" applyFont="1" applyBorder="1"/>
    <xf numFmtId="10" fontId="0" fillId="0" borderId="1" xfId="0" applyNumberFormat="1" applyBorder="1"/>
    <xf numFmtId="166" fontId="0" fillId="0" borderId="1" xfId="1" applyNumberFormat="1" applyFont="1" applyBorder="1"/>
    <xf numFmtId="167" fontId="0" fillId="0" borderId="1" xfId="0" applyNumberFormat="1" applyBorder="1"/>
    <xf numFmtId="167" fontId="0" fillId="0" borderId="1" xfId="1" applyNumberFormat="1" applyFont="1" applyBorder="1"/>
    <xf numFmtId="0" fontId="0" fillId="0" borderId="0" xfId="0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Hárok1!$P$1:$P$2</c:f>
              <c:strCache>
                <c:ptCount val="2"/>
                <c:pt idx="1">
                  <c:v>Acount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Hárok1!$C$3:$C$87</c:f>
              <c:numCache>
                <c:formatCode>m/d/yyyy</c:formatCode>
                <c:ptCount val="8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43578</c:v>
                </c:pt>
                <c:pt idx="79">
                  <c:v>43579</c:v>
                </c:pt>
                <c:pt idx="80">
                  <c:v>43580</c:v>
                </c:pt>
                <c:pt idx="81">
                  <c:v>43581</c:v>
                </c:pt>
                <c:pt idx="82">
                  <c:v>43584</c:v>
                </c:pt>
                <c:pt idx="83">
                  <c:v>43585</c:v>
                </c:pt>
              </c:numCache>
            </c:numRef>
          </c:cat>
          <c:val>
            <c:numRef>
              <c:f>Hárok1!$P$3:$P$87</c:f>
              <c:numCache>
                <c:formatCode>#\ ##0.00\ "€"</c:formatCode>
                <c:ptCount val="85"/>
                <c:pt idx="0">
                  <c:v>10000</c:v>
                </c:pt>
                <c:pt idx="1">
                  <c:v>9843.9024390243903</c:v>
                </c:pt>
                <c:pt idx="2">
                  <c:v>9980.7566924449729</c:v>
                </c:pt>
                <c:pt idx="3">
                  <c:v>10294.7853786219</c:v>
                </c:pt>
                <c:pt idx="4">
                  <c:v>10131.575366521796</c:v>
                </c:pt>
                <c:pt idx="5">
                  <c:v>10290.962344848786</c:v>
                </c:pt>
                <c:pt idx="6">
                  <c:v>10306.022289743687</c:v>
                </c:pt>
                <c:pt idx="7">
                  <c:v>10215.530386711791</c:v>
                </c:pt>
                <c:pt idx="8">
                  <c:v>10011.219778977555</c:v>
                </c:pt>
                <c:pt idx="9">
                  <c:v>9810.9953833980035</c:v>
                </c:pt>
                <c:pt idx="10">
                  <c:v>9949.7850741875354</c:v>
                </c:pt>
                <c:pt idx="11">
                  <c:v>9974.0528426611636</c:v>
                </c:pt>
                <c:pt idx="12">
                  <c:v>9905.9373598332331</c:v>
                </c:pt>
                <c:pt idx="13">
                  <c:v>10175.33053437504</c:v>
                </c:pt>
                <c:pt idx="14">
                  <c:v>10291.974567330071</c:v>
                </c:pt>
                <c:pt idx="15">
                  <c:v>10471.456562833509</c:v>
                </c:pt>
                <c:pt idx="16">
                  <c:v>10394.836148959117</c:v>
                </c:pt>
                <c:pt idx="17">
                  <c:v>10372.018215949207</c:v>
                </c:pt>
                <c:pt idx="18">
                  <c:v>10182.28617541355</c:v>
                </c:pt>
                <c:pt idx="19">
                  <c:v>10137.583455619051</c:v>
                </c:pt>
                <c:pt idx="20">
                  <c:v>10065.878597030525</c:v>
                </c:pt>
                <c:pt idx="21">
                  <c:v>9884.2017638158286</c:v>
                </c:pt>
                <c:pt idx="22">
                  <c:v>9985.4545623719914</c:v>
                </c:pt>
                <c:pt idx="23">
                  <c:v>9917.2612141411591</c:v>
                </c:pt>
                <c:pt idx="24">
                  <c:v>9760.036341234043</c:v>
                </c:pt>
                <c:pt idx="25">
                  <c:v>10046.886189799579</c:v>
                </c:pt>
                <c:pt idx="26">
                  <c:v>9939.065947762705</c:v>
                </c:pt>
                <c:pt idx="27">
                  <c:v>10236.025844982445</c:v>
                </c:pt>
                <c:pt idx="28">
                  <c:v>10093.720119820495</c:v>
                </c:pt>
                <c:pt idx="29">
                  <c:v>10231.585565359506</c:v>
                </c:pt>
                <c:pt idx="30">
                  <c:v>10380.068331490944</c:v>
                </c:pt>
                <c:pt idx="31">
                  <c:v>10223.101444526934</c:v>
                </c:pt>
                <c:pt idx="32">
                  <c:v>10183.206414499511</c:v>
                </c:pt>
                <c:pt idx="33">
                  <c:v>10054.053552657078</c:v>
                </c:pt>
                <c:pt idx="34">
                  <c:v>9852.9724816039361</c:v>
                </c:pt>
                <c:pt idx="35">
                  <c:v>9737.6206086485727</c:v>
                </c:pt>
                <c:pt idx="36">
                  <c:v>9837.3718441518013</c:v>
                </c:pt>
                <c:pt idx="37">
                  <c:v>9971.7359473889974</c:v>
                </c:pt>
                <c:pt idx="38">
                  <c:v>10071.453306862888</c:v>
                </c:pt>
                <c:pt idx="39">
                  <c:v>9965.8258697421315</c:v>
                </c:pt>
                <c:pt idx="40">
                  <c:v>10183.372556410894</c:v>
                </c:pt>
                <c:pt idx="41">
                  <c:v>10213.177549258926</c:v>
                </c:pt>
                <c:pt idx="42">
                  <c:v>10135.95596291087</c:v>
                </c:pt>
                <c:pt idx="43">
                  <c:v>10218.774139680996</c:v>
                </c:pt>
                <c:pt idx="44">
                  <c:v>10441.842501998422</c:v>
                </c:pt>
                <c:pt idx="45">
                  <c:v>10597.196744101326</c:v>
                </c:pt>
                <c:pt idx="46">
                  <c:v>10700.584029409631</c:v>
                </c:pt>
                <c:pt idx="47">
                  <c:v>10541.380218240365</c:v>
                </c:pt>
                <c:pt idx="48">
                  <c:v>10438.537484403874</c:v>
                </c:pt>
                <c:pt idx="49">
                  <c:v>10609.118462807548</c:v>
                </c:pt>
                <c:pt idx="50">
                  <c:v>10448.687890930945</c:v>
                </c:pt>
                <c:pt idx="51">
                  <c:v>10239.714133112326</c:v>
                </c:pt>
                <c:pt idx="52">
                  <c:v>10087.367166741629</c:v>
                </c:pt>
                <c:pt idx="53">
                  <c:v>10209.153672779119</c:v>
                </c:pt>
                <c:pt idx="54">
                  <c:v>10109.552173532493</c:v>
                </c:pt>
                <c:pt idx="55">
                  <c:v>10400.510016575623</c:v>
                </c:pt>
                <c:pt idx="56">
                  <c:v>10260.990979767901</c:v>
                </c:pt>
                <c:pt idx="57">
                  <c:v>10408.649142647488</c:v>
                </c:pt>
                <c:pt idx="58">
                  <c:v>10357.875244390671</c:v>
                </c:pt>
                <c:pt idx="59">
                  <c:v>10148.19142846764</c:v>
                </c:pt>
                <c:pt idx="60">
                  <c:v>10239.772668187958</c:v>
                </c:pt>
                <c:pt idx="61">
                  <c:v>10034.977214824199</c:v>
                </c:pt>
                <c:pt idx="62">
                  <c:v>10121.865432172068</c:v>
                </c:pt>
                <c:pt idx="63">
                  <c:v>10262.584049155923</c:v>
                </c:pt>
                <c:pt idx="64">
                  <c:v>10460.326522298195</c:v>
                </c:pt>
                <c:pt idx="65">
                  <c:v>10304.697274039612</c:v>
                </c:pt>
                <c:pt idx="66">
                  <c:v>10509.534549121132</c:v>
                </c:pt>
                <c:pt idx="67">
                  <c:v>10669.74086846749</c:v>
                </c:pt>
                <c:pt idx="68">
                  <c:v>10667.138492645912</c:v>
                </c:pt>
                <c:pt idx="69">
                  <c:v>10677.545457028982</c:v>
                </c:pt>
                <c:pt idx="70">
                  <c:v>10862.449292992167</c:v>
                </c:pt>
                <c:pt idx="71">
                  <c:v>10973.723163798428</c:v>
                </c:pt>
                <c:pt idx="72">
                  <c:v>11011.194413626032</c:v>
                </c:pt>
                <c:pt idx="73">
                  <c:v>11215.304358854222</c:v>
                </c:pt>
                <c:pt idx="74">
                  <c:v>11218.039798941747</c:v>
                </c:pt>
                <c:pt idx="75">
                  <c:v>11368.525698683648</c:v>
                </c:pt>
                <c:pt idx="76">
                  <c:v>11543.212800882933</c:v>
                </c:pt>
                <c:pt idx="77">
                  <c:v>11312.348544865274</c:v>
                </c:pt>
                <c:pt idx="78">
                  <c:v>11306.8303260629</c:v>
                </c:pt>
                <c:pt idx="79">
                  <c:v>11590.879965961554</c:v>
                </c:pt>
                <c:pt idx="80">
                  <c:v>11359.062366642323</c:v>
                </c:pt>
                <c:pt idx="81">
                  <c:v>11456.029972211221</c:v>
                </c:pt>
                <c:pt idx="82">
                  <c:v>11355.440440747903</c:v>
                </c:pt>
                <c:pt idx="83">
                  <c:v>11208.65060090409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6-4E07-89E9-81521686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401464"/>
        <c:axId val="379649648"/>
      </c:lineChart>
      <c:dateAx>
        <c:axId val="98401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79649648"/>
        <c:crosses val="autoZero"/>
        <c:auto val="1"/>
        <c:lblOffset val="100"/>
        <c:baseTimeUnit val="days"/>
      </c:dateAx>
      <c:valAx>
        <c:axId val="379649648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40146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Number</a:t>
            </a:r>
            <a:r>
              <a:rPr lang="sk-SK" baseline="0"/>
              <a:t> and % of trades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B9-44D4-A75F-3943176110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5B9-44D4-A75F-39431761100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B51E6A5-991F-45B1-A4DF-EF7752BC0C77}" type="VALUE">
                      <a:rPr lang="en-US"/>
                      <a:pPr/>
                      <a:t>[HODNOTA]</a:t>
                    </a:fld>
                    <a:r>
                      <a:rPr lang="en-US" baseline="0"/>
                      <a:t> (61,45%)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9-44D4-A75F-3943176110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D198AD-65A4-488C-8C32-DE9FD7F74CD2}" type="VALUE">
                      <a:rPr lang="en-US"/>
                      <a:pPr/>
                      <a:t>[HODNOTA]</a:t>
                    </a:fld>
                    <a:r>
                      <a:rPr lang="en-US" baseline="0"/>
                      <a:t> (38,55%)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5B9-44D4-A75F-394317611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Hárok1!$R$9:$R$10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Hárok1!$S$9:$S$10</c:f>
              <c:numCache>
                <c:formatCode>General</c:formatCode>
                <c:ptCount val="2"/>
                <c:pt idx="0">
                  <c:v>51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9-44D4-A75F-3943176110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Success</a:t>
            </a:r>
            <a:r>
              <a:rPr lang="sk-SK" baseline="0"/>
              <a:t> of trades 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1-4B4A-BB54-97DD93BB8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531-4B4A-BB54-97DD93BB82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B546C6B-D5C4-4ECC-9CED-CA9F36B4F754}" type="VALUE">
                      <a:rPr lang="en-US"/>
                      <a:pPr/>
                      <a:t>[HODNOTA]</a:t>
                    </a:fld>
                    <a:r>
                      <a:rPr lang="en-US"/>
                      <a:t> (54,90%)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531-4B4A-BB54-97DD93BB82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1AC274-5F24-45FF-AB12-85B65E11AAA9}" type="VALUE">
                      <a:rPr lang="en-US"/>
                      <a:pPr/>
                      <a:t>[HODNOTA]</a:t>
                    </a:fld>
                    <a:r>
                      <a:rPr lang="en-US"/>
                      <a:t> (46,88%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531-4B4A-BB54-97DD93BB82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Hárok1!$R$11:$R$12</c:f>
              <c:strCache>
                <c:ptCount val="2"/>
                <c:pt idx="0">
                  <c:v>Long win</c:v>
                </c:pt>
                <c:pt idx="1">
                  <c:v>Short win</c:v>
                </c:pt>
              </c:strCache>
            </c:strRef>
          </c:cat>
          <c:val>
            <c:numRef>
              <c:f>Hárok1!$S$11:$S$12</c:f>
              <c:numCache>
                <c:formatCode>General</c:formatCode>
                <c:ptCount val="2"/>
                <c:pt idx="0">
                  <c:v>28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1-4B4A-BB54-97DD93BB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4330</xdr:colOff>
      <xdr:row>3</xdr:row>
      <xdr:rowOff>5195</xdr:rowOff>
    </xdr:from>
    <xdr:to>
      <xdr:col>30</xdr:col>
      <xdr:colOff>597477</xdr:colOff>
      <xdr:row>19</xdr:row>
      <xdr:rowOff>181840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FBDACBD-3C1D-4F57-B014-3FAFDDE46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11906</xdr:colOff>
      <xdr:row>21</xdr:row>
      <xdr:rowOff>1429</xdr:rowOff>
    </xdr:from>
    <xdr:to>
      <xdr:col>27</xdr:col>
      <xdr:colOff>414814</xdr:colOff>
      <xdr:row>35</xdr:row>
      <xdr:rowOff>77629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7FF24168-AD53-4B81-B3E8-B2B013CF3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</xdr:colOff>
      <xdr:row>36</xdr:row>
      <xdr:rowOff>1428</xdr:rowOff>
    </xdr:from>
    <xdr:to>
      <xdr:col>27</xdr:col>
      <xdr:colOff>404813</xdr:colOff>
      <xdr:row>50</xdr:row>
      <xdr:rowOff>77628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2DCBA7C9-D405-47F5-B5E3-AAD8553C1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H87"/>
  <sheetViews>
    <sheetView tabSelected="1" topLeftCell="M31" zoomScaleNormal="100" workbookViewId="0">
      <selection activeCell="S44" sqref="S44"/>
    </sheetView>
  </sheetViews>
  <sheetFormatPr defaultRowHeight="15" x14ac:dyDescent="0.25"/>
  <cols>
    <col min="3" max="3" width="24.85546875" style="6" bestFit="1" customWidth="1"/>
    <col min="4" max="4" width="12.7109375" bestFit="1" customWidth="1"/>
    <col min="10" max="10" width="11.42578125" bestFit="1" customWidth="1"/>
    <col min="11" max="12" width="13.140625" bestFit="1" customWidth="1"/>
    <col min="13" max="13" width="13.5703125" bestFit="1" customWidth="1"/>
    <col min="14" max="14" width="13.5703125" customWidth="1"/>
    <col min="15" max="15" width="23.42578125" bestFit="1" customWidth="1"/>
    <col min="16" max="16" width="14.7109375" bestFit="1" customWidth="1"/>
    <col min="18" max="18" width="21.85546875" bestFit="1" customWidth="1"/>
    <col min="19" max="19" width="12.7109375" bestFit="1" customWidth="1"/>
    <col min="20" max="20" width="12" bestFit="1" customWidth="1"/>
    <col min="21" max="21" width="10.42578125" bestFit="1" customWidth="1"/>
    <col min="22" max="22" width="11" bestFit="1" customWidth="1"/>
    <col min="25" max="25" width="11.85546875" bestFit="1" customWidth="1"/>
    <col min="27" max="27" width="12.140625" bestFit="1" customWidth="1"/>
  </cols>
  <sheetData>
    <row r="2" spans="3:34" x14ac:dyDescent="0.25">
      <c r="C2" s="6" t="s">
        <v>0</v>
      </c>
      <c r="D2" t="s">
        <v>3</v>
      </c>
      <c r="E2" t="s">
        <v>1</v>
      </c>
      <c r="F2" t="s">
        <v>10</v>
      </c>
      <c r="G2" t="s">
        <v>9</v>
      </c>
      <c r="H2" t="s">
        <v>12</v>
      </c>
      <c r="I2" t="s">
        <v>13</v>
      </c>
      <c r="J2" t="s">
        <v>4</v>
      </c>
      <c r="K2" t="s">
        <v>5</v>
      </c>
      <c r="L2" t="s">
        <v>7</v>
      </c>
      <c r="M2" t="s">
        <v>6</v>
      </c>
      <c r="N2" t="s">
        <v>30</v>
      </c>
      <c r="O2" t="s">
        <v>31</v>
      </c>
      <c r="P2" t="s">
        <v>2</v>
      </c>
      <c r="R2" t="s">
        <v>14</v>
      </c>
      <c r="S2" t="s">
        <v>15</v>
      </c>
      <c r="V2" t="s">
        <v>32</v>
      </c>
    </row>
    <row r="3" spans="3:34" x14ac:dyDescent="0.25">
      <c r="C3" s="6">
        <v>43466</v>
      </c>
      <c r="H3" s="1"/>
      <c r="I3" s="1"/>
      <c r="P3" s="2">
        <v>10000</v>
      </c>
      <c r="R3" s="1">
        <v>5.5555555555555552E-2</v>
      </c>
      <c r="S3" s="3">
        <v>0.02</v>
      </c>
      <c r="AG3">
        <f>IF(M4&gt;0,M4,0)</f>
        <v>0</v>
      </c>
      <c r="AH3">
        <f>IF(M4&lt;0,M4,0)</f>
        <v>-156.09756097560975</v>
      </c>
    </row>
    <row r="4" spans="3:34" x14ac:dyDescent="0.25">
      <c r="C4" s="6">
        <v>43467</v>
      </c>
      <c r="D4" t="s">
        <v>11</v>
      </c>
      <c r="E4">
        <v>10499</v>
      </c>
      <c r="F4">
        <v>10435</v>
      </c>
      <c r="G4">
        <v>10435</v>
      </c>
      <c r="H4" s="1">
        <v>0.42708333333333331</v>
      </c>
      <c r="I4" s="1"/>
      <c r="J4" s="4">
        <f t="shared" ref="J4:J39" si="0">(P3*$S$3)/-(E4-(E4+82))</f>
        <v>2.4390243902439024</v>
      </c>
      <c r="K4">
        <f t="shared" ref="K4:K39" si="1">IF(D4="Long",F4-E4,E4-F4)</f>
        <v>-64</v>
      </c>
      <c r="L4">
        <f t="shared" ref="L4:L39" si="2">IF(D4="Long",G4-E4,E4-G4)</f>
        <v>-64</v>
      </c>
      <c r="M4" s="2">
        <f t="shared" ref="M4:M39" si="3">J4/2*K4+J4/2*L4</f>
        <v>-156.09756097560975</v>
      </c>
      <c r="N4" s="5">
        <f>(P4-P3)/P3</f>
        <v>-1.5609756097560967E-2</v>
      </c>
      <c r="O4" s="5">
        <f>(P4-$P$3)/$P$3</f>
        <v>-1.5609756097560967E-2</v>
      </c>
      <c r="P4" s="2">
        <f t="shared" ref="P4:P39" si="4">P3+M4</f>
        <v>9843.9024390243903</v>
      </c>
      <c r="U4" s="2"/>
      <c r="AG4">
        <f t="shared" ref="AG4:AG67" si="5">IF(M5&gt;0,M5,0)</f>
        <v>136.85425342058298</v>
      </c>
      <c r="AH4">
        <f t="shared" ref="AH4:AH67" si="6">IF(M5&lt;0,M5,0)</f>
        <v>0</v>
      </c>
    </row>
    <row r="5" spans="3:34" x14ac:dyDescent="0.25">
      <c r="C5" s="6">
        <v>43468</v>
      </c>
      <c r="D5" t="s">
        <v>8</v>
      </c>
      <c r="E5">
        <v>10489</v>
      </c>
      <c r="F5">
        <v>10432</v>
      </c>
      <c r="G5">
        <v>10432</v>
      </c>
      <c r="H5" s="1">
        <v>0.91666666666666663</v>
      </c>
      <c r="I5" s="1">
        <v>0.91666666666666663</v>
      </c>
      <c r="J5" s="4">
        <f t="shared" si="0"/>
        <v>2.4009518143961928</v>
      </c>
      <c r="K5">
        <f t="shared" si="1"/>
        <v>57</v>
      </c>
      <c r="L5">
        <f t="shared" si="2"/>
        <v>57</v>
      </c>
      <c r="M5" s="2">
        <f t="shared" si="3"/>
        <v>136.85425342058298</v>
      </c>
      <c r="N5" s="5">
        <f t="shared" ref="N5:N68" si="7">(P5-P4)/P4</f>
        <v>1.3902439024390206E-2</v>
      </c>
      <c r="O5" s="5">
        <f>(P5-$P$3)/$P$3</f>
        <v>-1.9243307555027059E-3</v>
      </c>
      <c r="P5" s="2">
        <f t="shared" si="4"/>
        <v>9980.7566924449729</v>
      </c>
      <c r="AG5">
        <f t="shared" si="5"/>
        <v>314.02868617692718</v>
      </c>
      <c r="AH5">
        <f t="shared" si="6"/>
        <v>0</v>
      </c>
    </row>
    <row r="6" spans="3:34" x14ac:dyDescent="0.25">
      <c r="C6" s="6">
        <v>43469</v>
      </c>
      <c r="D6" t="s">
        <v>11</v>
      </c>
      <c r="E6">
        <v>10514</v>
      </c>
      <c r="F6">
        <v>10593</v>
      </c>
      <c r="G6">
        <v>10693</v>
      </c>
      <c r="H6" s="1">
        <v>0.54166666666666663</v>
      </c>
      <c r="I6" s="1">
        <v>0.66666666666666663</v>
      </c>
      <c r="J6" s="4">
        <f t="shared" si="0"/>
        <v>2.4343309005963349</v>
      </c>
      <c r="K6">
        <f t="shared" si="1"/>
        <v>79</v>
      </c>
      <c r="L6">
        <f t="shared" si="2"/>
        <v>179</v>
      </c>
      <c r="M6" s="2">
        <f t="shared" si="3"/>
        <v>314.02868617692718</v>
      </c>
      <c r="N6" s="5">
        <f t="shared" si="7"/>
        <v>3.1463414634146349E-2</v>
      </c>
      <c r="O6" s="5">
        <f t="shared" ref="O6:O68" si="8">(P6-$P$3)/$P$3</f>
        <v>2.9478537862190023E-2</v>
      </c>
      <c r="P6" s="2">
        <f t="shared" si="4"/>
        <v>10294.7853786219</v>
      </c>
      <c r="R6" s="7" t="s">
        <v>16</v>
      </c>
      <c r="S6" s="9">
        <f>P86-P3</f>
        <v>1208.6506009040895</v>
      </c>
      <c r="T6" s="16"/>
      <c r="AG6">
        <f t="shared" si="5"/>
        <v>0</v>
      </c>
      <c r="AH6">
        <f t="shared" si="6"/>
        <v>-163.21001210010331</v>
      </c>
    </row>
    <row r="7" spans="3:34" x14ac:dyDescent="0.25">
      <c r="C7" s="6">
        <v>43472</v>
      </c>
      <c r="D7" t="s">
        <v>11</v>
      </c>
      <c r="E7">
        <v>10827</v>
      </c>
      <c r="F7">
        <v>10762</v>
      </c>
      <c r="G7">
        <v>10762</v>
      </c>
      <c r="H7" s="1">
        <v>0.47222222222222227</v>
      </c>
      <c r="J7" s="4">
        <f t="shared" si="0"/>
        <v>2.5109232630785123</v>
      </c>
      <c r="K7">
        <f t="shared" si="1"/>
        <v>-65</v>
      </c>
      <c r="L7">
        <f t="shared" si="2"/>
        <v>-65</v>
      </c>
      <c r="M7" s="2">
        <f t="shared" si="3"/>
        <v>-163.21001210010331</v>
      </c>
      <c r="N7" s="5">
        <f t="shared" si="7"/>
        <v>-1.5853658536585435E-2</v>
      </c>
      <c r="O7" s="5">
        <f t="shared" si="8"/>
        <v>1.3157536652179624E-2</v>
      </c>
      <c r="P7" s="2">
        <f t="shared" si="4"/>
        <v>10131.575366521796</v>
      </c>
      <c r="R7" s="7" t="s">
        <v>17</v>
      </c>
      <c r="S7" s="10">
        <f>S6/P3</f>
        <v>0.12086506009040895</v>
      </c>
      <c r="T7" s="16"/>
      <c r="AG7">
        <f t="shared" si="5"/>
        <v>159.38697832698924</v>
      </c>
      <c r="AH7">
        <f t="shared" si="6"/>
        <v>0</v>
      </c>
    </row>
    <row r="8" spans="3:34" x14ac:dyDescent="0.25">
      <c r="C8" s="6">
        <v>43473</v>
      </c>
      <c r="D8" t="s">
        <v>11</v>
      </c>
      <c r="E8">
        <v>10777</v>
      </c>
      <c r="F8">
        <v>10854</v>
      </c>
      <c r="G8">
        <v>10829</v>
      </c>
      <c r="H8" s="1">
        <v>0.625</v>
      </c>
      <c r="I8" s="1">
        <v>0.73958333333333337</v>
      </c>
      <c r="J8" s="4">
        <f t="shared" si="0"/>
        <v>2.4711159430540968</v>
      </c>
      <c r="K8">
        <f t="shared" si="1"/>
        <v>77</v>
      </c>
      <c r="L8">
        <f t="shared" si="2"/>
        <v>52</v>
      </c>
      <c r="M8" s="2">
        <f t="shared" si="3"/>
        <v>159.38697832698924</v>
      </c>
      <c r="N8" s="5">
        <f t="shared" si="7"/>
        <v>1.5731707317073174E-2</v>
      </c>
      <c r="O8" s="5">
        <f t="shared" si="8"/>
        <v>2.9096234484878549E-2</v>
      </c>
      <c r="P8" s="2">
        <f t="shared" si="4"/>
        <v>10290.962344848786</v>
      </c>
      <c r="R8" s="7" t="s">
        <v>18</v>
      </c>
      <c r="S8" s="11">
        <f>COUNT(J4:J86)</f>
        <v>83</v>
      </c>
      <c r="T8" s="16"/>
      <c r="AG8">
        <f t="shared" si="5"/>
        <v>15.059944894900662</v>
      </c>
      <c r="AH8">
        <f t="shared" si="6"/>
        <v>0</v>
      </c>
    </row>
    <row r="9" spans="3:34" x14ac:dyDescent="0.25">
      <c r="C9" s="6">
        <v>43474</v>
      </c>
      <c r="D9" t="s">
        <v>8</v>
      </c>
      <c r="E9">
        <v>10904</v>
      </c>
      <c r="F9">
        <v>10898</v>
      </c>
      <c r="G9">
        <v>10898</v>
      </c>
      <c r="H9" s="1">
        <v>0.91666666666666663</v>
      </c>
      <c r="I9" s="1">
        <v>0.91666666666666663</v>
      </c>
      <c r="J9" s="4">
        <f t="shared" si="0"/>
        <v>2.509990815816777</v>
      </c>
      <c r="K9">
        <f t="shared" si="1"/>
        <v>6</v>
      </c>
      <c r="L9">
        <f t="shared" si="2"/>
        <v>6</v>
      </c>
      <c r="M9" s="2">
        <f t="shared" si="3"/>
        <v>15.059944894900662</v>
      </c>
      <c r="N9" s="5">
        <f t="shared" si="7"/>
        <v>1.4634146341464221E-3</v>
      </c>
      <c r="O9" s="5">
        <f t="shared" si="8"/>
        <v>3.0602228974368699E-2</v>
      </c>
      <c r="P9" s="2">
        <f t="shared" si="4"/>
        <v>10306.022289743687</v>
      </c>
      <c r="R9" s="7" t="s">
        <v>11</v>
      </c>
      <c r="S9" s="7">
        <f>COUNTIF(D$4:D$1048576,"Long")</f>
        <v>51</v>
      </c>
      <c r="T9" s="16"/>
      <c r="AG9">
        <f t="shared" si="5"/>
        <v>0</v>
      </c>
      <c r="AH9">
        <f t="shared" si="6"/>
        <v>-90.491903031895788</v>
      </c>
    </row>
    <row r="10" spans="3:34" x14ac:dyDescent="0.25">
      <c r="C10" s="6">
        <v>43475</v>
      </c>
      <c r="D10" t="s">
        <v>8</v>
      </c>
      <c r="E10">
        <v>10831</v>
      </c>
      <c r="F10">
        <v>10867</v>
      </c>
      <c r="G10">
        <v>10867</v>
      </c>
      <c r="H10" s="1">
        <v>0.5</v>
      </c>
      <c r="J10" s="4">
        <f t="shared" si="0"/>
        <v>2.5136639731082164</v>
      </c>
      <c r="K10">
        <f t="shared" si="1"/>
        <v>-36</v>
      </c>
      <c r="L10">
        <f t="shared" si="2"/>
        <v>-36</v>
      </c>
      <c r="M10" s="2">
        <f t="shared" si="3"/>
        <v>-90.491903031895788</v>
      </c>
      <c r="N10" s="5">
        <f t="shared" si="7"/>
        <v>-8.7804878048780757E-3</v>
      </c>
      <c r="O10" s="5">
        <f t="shared" si="8"/>
        <v>2.1553038671179092E-2</v>
      </c>
      <c r="P10" s="2">
        <f t="shared" si="4"/>
        <v>10215.530386711791</v>
      </c>
      <c r="R10" s="7" t="s">
        <v>8</v>
      </c>
      <c r="S10" s="7">
        <f>COUNTIF(D:D,"Short")</f>
        <v>32</v>
      </c>
      <c r="T10" s="16"/>
      <c r="AG10">
        <f t="shared" si="5"/>
        <v>0</v>
      </c>
      <c r="AH10">
        <f t="shared" si="6"/>
        <v>-204.31060773423582</v>
      </c>
    </row>
    <row r="11" spans="3:34" x14ac:dyDescent="0.25">
      <c r="C11" s="6">
        <v>43476</v>
      </c>
      <c r="D11" t="s">
        <v>11</v>
      </c>
      <c r="E11">
        <v>10943</v>
      </c>
      <c r="F11">
        <v>10861</v>
      </c>
      <c r="G11">
        <v>10861</v>
      </c>
      <c r="H11" s="1">
        <v>0.625</v>
      </c>
      <c r="J11" s="4">
        <f t="shared" si="0"/>
        <v>2.4915927772467783</v>
      </c>
      <c r="K11">
        <f t="shared" si="1"/>
        <v>-82</v>
      </c>
      <c r="L11">
        <f t="shared" si="2"/>
        <v>-82</v>
      </c>
      <c r="M11" s="2">
        <f t="shared" si="3"/>
        <v>-204.31060773423582</v>
      </c>
      <c r="N11" s="5">
        <f t="shared" si="7"/>
        <v>-2.0000000000000049E-2</v>
      </c>
      <c r="O11" s="5">
        <f t="shared" si="8"/>
        <v>1.1219778977554597E-3</v>
      </c>
      <c r="P11" s="2">
        <f t="shared" si="4"/>
        <v>10011.219778977555</v>
      </c>
      <c r="R11" s="7" t="s">
        <v>23</v>
      </c>
      <c r="S11" s="7">
        <v>28</v>
      </c>
      <c r="T11" s="16"/>
      <c r="AG11">
        <f t="shared" si="5"/>
        <v>0</v>
      </c>
      <c r="AH11">
        <f t="shared" si="6"/>
        <v>-200.2243955795511</v>
      </c>
    </row>
    <row r="12" spans="3:34" x14ac:dyDescent="0.25">
      <c r="C12" s="6">
        <v>43479</v>
      </c>
      <c r="D12" t="s">
        <v>8</v>
      </c>
      <c r="E12">
        <v>10802</v>
      </c>
      <c r="F12">
        <v>10884</v>
      </c>
      <c r="G12">
        <v>10884</v>
      </c>
      <c r="H12" s="1">
        <v>0.70833333333333337</v>
      </c>
      <c r="J12" s="4">
        <f t="shared" si="0"/>
        <v>2.4417609217018428</v>
      </c>
      <c r="K12">
        <f t="shared" si="1"/>
        <v>-82</v>
      </c>
      <c r="L12">
        <f t="shared" si="2"/>
        <v>-82</v>
      </c>
      <c r="M12" s="2">
        <f t="shared" si="3"/>
        <v>-200.2243955795511</v>
      </c>
      <c r="N12" s="5">
        <f t="shared" si="7"/>
        <v>-2.0000000000000004E-2</v>
      </c>
      <c r="O12" s="5">
        <f t="shared" si="8"/>
        <v>-1.8900461660199652E-2</v>
      </c>
      <c r="P12" s="2">
        <f t="shared" si="4"/>
        <v>9810.9953833980035</v>
      </c>
      <c r="R12" s="7" t="s">
        <v>22</v>
      </c>
      <c r="S12" s="7">
        <v>15</v>
      </c>
      <c r="T12" s="16"/>
      <c r="AG12">
        <f t="shared" si="5"/>
        <v>138.78969078953273</v>
      </c>
      <c r="AH12">
        <f t="shared" si="6"/>
        <v>0</v>
      </c>
    </row>
    <row r="13" spans="3:34" x14ac:dyDescent="0.25">
      <c r="C13" s="6">
        <v>43480</v>
      </c>
      <c r="D13" t="s">
        <v>8</v>
      </c>
      <c r="E13">
        <v>10935</v>
      </c>
      <c r="F13">
        <v>10858</v>
      </c>
      <c r="G13">
        <v>10896</v>
      </c>
      <c r="H13" s="1">
        <v>0.5</v>
      </c>
      <c r="I13" s="1">
        <v>0.75</v>
      </c>
      <c r="J13" s="4">
        <f t="shared" si="0"/>
        <v>2.3929257032678057</v>
      </c>
      <c r="K13">
        <f t="shared" si="1"/>
        <v>77</v>
      </c>
      <c r="L13">
        <f t="shared" si="2"/>
        <v>39</v>
      </c>
      <c r="M13" s="2">
        <f t="shared" si="3"/>
        <v>138.78969078953273</v>
      </c>
      <c r="N13" s="5">
        <f t="shared" si="7"/>
        <v>1.4146341463414555E-2</v>
      </c>
      <c r="O13" s="5">
        <f t="shared" si="8"/>
        <v>-5.021492581246457E-3</v>
      </c>
      <c r="P13" s="2">
        <f t="shared" si="4"/>
        <v>9949.7850741875354</v>
      </c>
      <c r="R13" s="7" t="s">
        <v>19</v>
      </c>
      <c r="S13" s="10">
        <f>S9/S8</f>
        <v>0.61445783132530118</v>
      </c>
      <c r="T13" s="16"/>
      <c r="AG13">
        <f t="shared" si="5"/>
        <v>24.267768473628134</v>
      </c>
      <c r="AH13">
        <f t="shared" si="6"/>
        <v>0</v>
      </c>
    </row>
    <row r="14" spans="3:34" x14ac:dyDescent="0.25">
      <c r="C14" s="6">
        <v>43481</v>
      </c>
      <c r="D14" t="s">
        <v>11</v>
      </c>
      <c r="E14">
        <v>10924</v>
      </c>
      <c r="F14">
        <v>10934</v>
      </c>
      <c r="G14">
        <v>10934</v>
      </c>
      <c r="H14" s="1">
        <v>0.91666666666666663</v>
      </c>
      <c r="I14" s="1">
        <v>0.91666666666666663</v>
      </c>
      <c r="J14" s="4">
        <f t="shared" si="0"/>
        <v>2.4267768473628135</v>
      </c>
      <c r="K14">
        <f t="shared" si="1"/>
        <v>10</v>
      </c>
      <c r="L14">
        <f t="shared" si="2"/>
        <v>10</v>
      </c>
      <c r="M14" s="2">
        <f t="shared" si="3"/>
        <v>24.267768473628134</v>
      </c>
      <c r="N14" s="5">
        <f t="shared" si="7"/>
        <v>2.4390243902439055E-3</v>
      </c>
      <c r="O14" s="5">
        <f t="shared" si="8"/>
        <v>-2.5947157338836405E-3</v>
      </c>
      <c r="P14" s="2">
        <f t="shared" si="4"/>
        <v>9974.0528426611636</v>
      </c>
      <c r="R14" s="7" t="s">
        <v>20</v>
      </c>
      <c r="S14" s="10">
        <f>S10/S8</f>
        <v>0.38554216867469882</v>
      </c>
      <c r="T14" s="16"/>
      <c r="AG14">
        <f t="shared" si="5"/>
        <v>0</v>
      </c>
      <c r="AH14">
        <f t="shared" si="6"/>
        <v>-68.115482827929895</v>
      </c>
    </row>
    <row r="15" spans="3:34" x14ac:dyDescent="0.25">
      <c r="C15" s="6">
        <v>43482</v>
      </c>
      <c r="D15" t="s">
        <v>8</v>
      </c>
      <c r="E15">
        <v>10875</v>
      </c>
      <c r="F15">
        <v>10903</v>
      </c>
      <c r="G15">
        <v>10903</v>
      </c>
      <c r="H15" s="1">
        <v>0.5</v>
      </c>
      <c r="J15" s="4">
        <f t="shared" si="0"/>
        <v>2.4326958152832105</v>
      </c>
      <c r="K15">
        <f t="shared" si="1"/>
        <v>-28</v>
      </c>
      <c r="L15">
        <f t="shared" si="2"/>
        <v>-28</v>
      </c>
      <c r="M15" s="2">
        <f t="shared" si="3"/>
        <v>-68.115482827929895</v>
      </c>
      <c r="N15" s="5">
        <f t="shared" si="7"/>
        <v>-6.8292682926829832E-3</v>
      </c>
      <c r="O15" s="5">
        <f t="shared" si="8"/>
        <v>-9.4062640166766871E-3</v>
      </c>
      <c r="P15" s="2">
        <f t="shared" si="4"/>
        <v>9905.9373598332331</v>
      </c>
      <c r="R15" s="7" t="s">
        <v>21</v>
      </c>
      <c r="S15" s="10">
        <f>S11/S9</f>
        <v>0.5490196078431373</v>
      </c>
      <c r="T15" s="16"/>
      <c r="AG15">
        <f t="shared" si="5"/>
        <v>269.39317454180622</v>
      </c>
      <c r="AH15">
        <f t="shared" si="6"/>
        <v>0</v>
      </c>
    </row>
    <row r="16" spans="3:34" x14ac:dyDescent="0.25">
      <c r="C16" s="6">
        <v>43483</v>
      </c>
      <c r="D16" t="s">
        <v>11</v>
      </c>
      <c r="E16">
        <v>10985</v>
      </c>
      <c r="F16">
        <v>11062</v>
      </c>
      <c r="G16">
        <v>11131</v>
      </c>
      <c r="H16" s="1">
        <v>0.54166666666666663</v>
      </c>
      <c r="I16" s="1">
        <v>0.66666666666666663</v>
      </c>
      <c r="J16" s="4">
        <f t="shared" si="0"/>
        <v>2.4160822828861543</v>
      </c>
      <c r="K16">
        <f t="shared" si="1"/>
        <v>77</v>
      </c>
      <c r="L16">
        <f t="shared" si="2"/>
        <v>146</v>
      </c>
      <c r="M16" s="2">
        <f t="shared" si="3"/>
        <v>269.39317454180622</v>
      </c>
      <c r="N16" s="5">
        <f t="shared" si="7"/>
        <v>2.7195121951219564E-2</v>
      </c>
      <c r="O16" s="5">
        <f t="shared" si="8"/>
        <v>1.7533053437503988E-2</v>
      </c>
      <c r="P16" s="2">
        <f t="shared" si="4"/>
        <v>10175.33053437504</v>
      </c>
      <c r="R16" s="7" t="s">
        <v>25</v>
      </c>
      <c r="S16" s="10">
        <f>S12/S10</f>
        <v>0.46875</v>
      </c>
      <c r="T16" s="16"/>
      <c r="AG16">
        <f t="shared" si="5"/>
        <v>116.64403295503094</v>
      </c>
      <c r="AH16">
        <f t="shared" si="6"/>
        <v>0</v>
      </c>
    </row>
    <row r="17" spans="3:34" x14ac:dyDescent="0.25">
      <c r="C17" s="6">
        <v>43486</v>
      </c>
      <c r="D17" t="s">
        <v>8</v>
      </c>
      <c r="E17">
        <v>11196</v>
      </c>
      <c r="F17">
        <v>11149</v>
      </c>
      <c r="G17">
        <v>11149</v>
      </c>
      <c r="H17" s="1">
        <v>0.91666666666666663</v>
      </c>
      <c r="I17" s="1">
        <v>0.91666666666666663</v>
      </c>
      <c r="J17" s="4">
        <f t="shared" si="0"/>
        <v>2.4817879352134242</v>
      </c>
      <c r="K17">
        <f t="shared" si="1"/>
        <v>47</v>
      </c>
      <c r="L17">
        <f t="shared" si="2"/>
        <v>47</v>
      </c>
      <c r="M17" s="2">
        <f t="shared" si="3"/>
        <v>116.64403295503094</v>
      </c>
      <c r="N17" s="5">
        <f t="shared" si="7"/>
        <v>1.146341463414639E-2</v>
      </c>
      <c r="O17" s="5">
        <f t="shared" si="8"/>
        <v>2.9197456733007131E-2</v>
      </c>
      <c r="P17" s="2">
        <f t="shared" si="4"/>
        <v>10291.974567330071</v>
      </c>
      <c r="R17" s="7" t="s">
        <v>24</v>
      </c>
      <c r="S17" s="10">
        <f>(S11+S12)/S8</f>
        <v>0.51807228915662651</v>
      </c>
      <c r="T17" s="16"/>
      <c r="AG17">
        <f t="shared" si="5"/>
        <v>179.48199550343901</v>
      </c>
      <c r="AH17">
        <f t="shared" si="6"/>
        <v>0</v>
      </c>
    </row>
    <row r="18" spans="3:34" x14ac:dyDescent="0.25">
      <c r="C18" s="6">
        <v>43487</v>
      </c>
      <c r="D18" t="s">
        <v>8</v>
      </c>
      <c r="E18">
        <v>11083</v>
      </c>
      <c r="F18">
        <v>11007</v>
      </c>
      <c r="G18">
        <v>11016</v>
      </c>
      <c r="H18" s="1">
        <v>0.875</v>
      </c>
      <c r="I18" s="1">
        <v>0.91666666666666663</v>
      </c>
      <c r="J18" s="4">
        <f t="shared" si="0"/>
        <v>2.5102376993487976</v>
      </c>
      <c r="K18">
        <f t="shared" si="1"/>
        <v>76</v>
      </c>
      <c r="L18">
        <f t="shared" si="2"/>
        <v>67</v>
      </c>
      <c r="M18" s="2">
        <f t="shared" si="3"/>
        <v>179.48199550343901</v>
      </c>
      <c r="N18" s="5">
        <f t="shared" si="7"/>
        <v>1.7439024390243817E-2</v>
      </c>
      <c r="O18" s="5">
        <f t="shared" si="8"/>
        <v>4.7145656283350948E-2</v>
      </c>
      <c r="P18" s="2">
        <f t="shared" si="4"/>
        <v>10471.456562833509</v>
      </c>
      <c r="R18" s="7" t="s">
        <v>26</v>
      </c>
      <c r="S18" s="7">
        <f>MAX(L:L)</f>
        <v>179</v>
      </c>
      <c r="T18" s="16"/>
      <c r="AG18">
        <f t="shared" si="5"/>
        <v>0</v>
      </c>
      <c r="AH18">
        <f t="shared" si="6"/>
        <v>-76.620413874391531</v>
      </c>
    </row>
    <row r="19" spans="3:34" x14ac:dyDescent="0.25">
      <c r="C19" s="6">
        <v>43488</v>
      </c>
      <c r="D19" t="s">
        <v>11</v>
      </c>
      <c r="E19">
        <v>11074</v>
      </c>
      <c r="F19">
        <v>11044</v>
      </c>
      <c r="G19">
        <v>11044</v>
      </c>
      <c r="H19" s="1">
        <v>0.91666666666666663</v>
      </c>
      <c r="I19" s="1">
        <v>0.91666666666666663</v>
      </c>
      <c r="J19" s="4">
        <f t="shared" si="0"/>
        <v>2.5540137958130509</v>
      </c>
      <c r="K19">
        <f t="shared" si="1"/>
        <v>-30</v>
      </c>
      <c r="L19">
        <f t="shared" si="2"/>
        <v>-30</v>
      </c>
      <c r="M19" s="2">
        <f t="shared" si="3"/>
        <v>-76.620413874391531</v>
      </c>
      <c r="N19" s="5">
        <f t="shared" si="7"/>
        <v>-7.3170731707317901E-3</v>
      </c>
      <c r="O19" s="5">
        <f t="shared" si="8"/>
        <v>3.9483614895911706E-2</v>
      </c>
      <c r="P19" s="2">
        <f t="shared" si="4"/>
        <v>10394.836148959117</v>
      </c>
      <c r="R19" s="7" t="s">
        <v>27</v>
      </c>
      <c r="S19" s="7">
        <f>MIN(L:L)</f>
        <v>-83</v>
      </c>
      <c r="T19" s="16"/>
      <c r="AG19">
        <f t="shared" si="5"/>
        <v>0</v>
      </c>
      <c r="AH19">
        <f t="shared" si="6"/>
        <v>-22.817933009910256</v>
      </c>
    </row>
    <row r="20" spans="3:34" x14ac:dyDescent="0.25">
      <c r="C20" s="6">
        <v>43489</v>
      </c>
      <c r="D20" t="s">
        <v>11</v>
      </c>
      <c r="E20">
        <v>11076</v>
      </c>
      <c r="F20">
        <v>11067</v>
      </c>
      <c r="G20">
        <v>11067</v>
      </c>
      <c r="H20" s="1">
        <v>0.625</v>
      </c>
      <c r="J20" s="4">
        <f t="shared" si="0"/>
        <v>2.5353258899900286</v>
      </c>
      <c r="K20">
        <f t="shared" si="1"/>
        <v>-9</v>
      </c>
      <c r="L20">
        <f t="shared" si="2"/>
        <v>-9</v>
      </c>
      <c r="M20" s="2">
        <f t="shared" si="3"/>
        <v>-22.817933009910256</v>
      </c>
      <c r="N20" s="5">
        <f t="shared" si="7"/>
        <v>-2.195121951219499E-3</v>
      </c>
      <c r="O20" s="5">
        <f t="shared" si="8"/>
        <v>3.7201821594920692E-2</v>
      </c>
      <c r="P20" s="2">
        <f t="shared" si="4"/>
        <v>10372.018215949207</v>
      </c>
      <c r="R20" s="7" t="s">
        <v>29</v>
      </c>
      <c r="S20" s="9">
        <f>MAX(M:M)</f>
        <v>314.02868617692718</v>
      </c>
      <c r="T20" s="16"/>
      <c r="AG20">
        <f t="shared" si="5"/>
        <v>0</v>
      </c>
      <c r="AH20">
        <f t="shared" si="6"/>
        <v>-189.73204053565624</v>
      </c>
    </row>
    <row r="21" spans="3:34" x14ac:dyDescent="0.25">
      <c r="C21" s="6">
        <v>43490</v>
      </c>
      <c r="D21" t="s">
        <v>8</v>
      </c>
      <c r="E21">
        <v>11192</v>
      </c>
      <c r="F21">
        <v>11267</v>
      </c>
      <c r="G21">
        <v>11267</v>
      </c>
      <c r="H21" s="1">
        <v>0.41666666666666669</v>
      </c>
      <c r="J21" s="4">
        <f t="shared" si="0"/>
        <v>2.5297605404754164</v>
      </c>
      <c r="K21">
        <f t="shared" si="1"/>
        <v>-75</v>
      </c>
      <c r="L21">
        <f t="shared" si="2"/>
        <v>-75</v>
      </c>
      <c r="M21" s="2">
        <f t="shared" si="3"/>
        <v>-189.73204053565624</v>
      </c>
      <c r="N21" s="5">
        <f t="shared" si="7"/>
        <v>-1.8292682926829323E-2</v>
      </c>
      <c r="O21" s="5">
        <f t="shared" si="8"/>
        <v>1.8228617541355015E-2</v>
      </c>
      <c r="P21" s="2">
        <f t="shared" si="4"/>
        <v>10182.28617541355</v>
      </c>
      <c r="R21" s="7" t="s">
        <v>28</v>
      </c>
      <c r="S21" s="9">
        <f>MIN(M:M)</f>
        <v>-231.81759931923108</v>
      </c>
      <c r="T21" s="16"/>
      <c r="AG21">
        <f t="shared" si="5"/>
        <v>0</v>
      </c>
      <c r="AH21">
        <f t="shared" si="6"/>
        <v>-44.702719794498513</v>
      </c>
    </row>
    <row r="22" spans="3:34" x14ac:dyDescent="0.25">
      <c r="C22" s="6">
        <v>43493</v>
      </c>
      <c r="D22" t="s">
        <v>8</v>
      </c>
      <c r="E22">
        <v>11221</v>
      </c>
      <c r="F22">
        <v>11239</v>
      </c>
      <c r="G22">
        <v>11239</v>
      </c>
      <c r="H22" s="1">
        <v>0.91666666666666663</v>
      </c>
      <c r="I22" s="1">
        <v>0.91666666666666663</v>
      </c>
      <c r="J22" s="4">
        <f t="shared" si="0"/>
        <v>2.4834844330276953</v>
      </c>
      <c r="K22">
        <f t="shared" si="1"/>
        <v>-18</v>
      </c>
      <c r="L22">
        <f t="shared" si="2"/>
        <v>-18</v>
      </c>
      <c r="M22" s="2">
        <f t="shared" si="3"/>
        <v>-44.702719794498513</v>
      </c>
      <c r="N22" s="5">
        <f t="shared" si="7"/>
        <v>-4.3902439024390708E-3</v>
      </c>
      <c r="O22" s="5">
        <f t="shared" si="8"/>
        <v>1.3758345561905116E-2</v>
      </c>
      <c r="P22" s="2">
        <f t="shared" si="4"/>
        <v>10137.583455619051</v>
      </c>
      <c r="R22" s="7"/>
      <c r="S22" s="7"/>
      <c r="T22" s="16"/>
      <c r="AG22">
        <f t="shared" si="5"/>
        <v>0</v>
      </c>
      <c r="AH22">
        <f t="shared" si="6"/>
        <v>-71.704858588524999</v>
      </c>
    </row>
    <row r="23" spans="3:34" x14ac:dyDescent="0.25">
      <c r="C23" s="6">
        <v>43494</v>
      </c>
      <c r="D23" t="s">
        <v>8</v>
      </c>
      <c r="E23">
        <v>11212</v>
      </c>
      <c r="F23">
        <v>11241</v>
      </c>
      <c r="G23">
        <v>11241</v>
      </c>
      <c r="H23" s="1">
        <v>0.625</v>
      </c>
      <c r="J23" s="4">
        <f t="shared" si="0"/>
        <v>2.4725813306387932</v>
      </c>
      <c r="K23">
        <f t="shared" si="1"/>
        <v>-29</v>
      </c>
      <c r="L23">
        <f t="shared" si="2"/>
        <v>-29</v>
      </c>
      <c r="M23" s="2">
        <f t="shared" si="3"/>
        <v>-71.704858588524999</v>
      </c>
      <c r="N23" s="5">
        <f t="shared" si="7"/>
        <v>-7.0731707317074058E-3</v>
      </c>
      <c r="O23" s="5">
        <f t="shared" si="8"/>
        <v>6.5878597030525274E-3</v>
      </c>
      <c r="P23" s="2">
        <f t="shared" si="4"/>
        <v>10065.878597030525</v>
      </c>
      <c r="R23" s="7" t="s">
        <v>41</v>
      </c>
      <c r="S23" s="9">
        <f>SUM(AG:AG)</f>
        <v>6341.1789110152386</v>
      </c>
      <c r="T23" s="16"/>
      <c r="U23" s="2"/>
      <c r="AG23">
        <f t="shared" si="5"/>
        <v>0</v>
      </c>
      <c r="AH23">
        <f t="shared" si="6"/>
        <v>-181.6768332146973</v>
      </c>
    </row>
    <row r="24" spans="3:34" x14ac:dyDescent="0.25">
      <c r="C24" s="6">
        <v>43495</v>
      </c>
      <c r="D24" t="s">
        <v>11</v>
      </c>
      <c r="E24">
        <v>11207</v>
      </c>
      <c r="F24">
        <v>11133</v>
      </c>
      <c r="G24">
        <v>11133</v>
      </c>
      <c r="H24" s="1">
        <v>0.70833333333333337</v>
      </c>
      <c r="J24" s="4">
        <f t="shared" si="0"/>
        <v>2.4550923407391525</v>
      </c>
      <c r="K24">
        <f t="shared" si="1"/>
        <v>-74</v>
      </c>
      <c r="L24">
        <f t="shared" si="2"/>
        <v>-74</v>
      </c>
      <c r="M24" s="2">
        <f t="shared" si="3"/>
        <v>-181.6768332146973</v>
      </c>
      <c r="N24" s="5">
        <f t="shared" si="7"/>
        <v>-1.8048780487804818E-2</v>
      </c>
      <c r="O24" s="5">
        <f t="shared" si="8"/>
        <v>-1.157982361841714E-2</v>
      </c>
      <c r="P24" s="2">
        <f t="shared" si="4"/>
        <v>9884.2017638158286</v>
      </c>
      <c r="R24" s="7" t="s">
        <v>42</v>
      </c>
      <c r="S24" s="9">
        <f>-SUM(AH:AH)</f>
        <v>5132.5283101111436</v>
      </c>
      <c r="T24" s="16"/>
      <c r="AG24">
        <f t="shared" si="5"/>
        <v>101.25279855616215</v>
      </c>
      <c r="AH24">
        <f t="shared" si="6"/>
        <v>0</v>
      </c>
    </row>
    <row r="25" spans="3:34" x14ac:dyDescent="0.25">
      <c r="C25" s="6">
        <v>43496</v>
      </c>
      <c r="D25" t="s">
        <v>11</v>
      </c>
      <c r="E25">
        <v>11223</v>
      </c>
      <c r="F25">
        <v>11300</v>
      </c>
      <c r="G25">
        <v>11230</v>
      </c>
      <c r="H25" s="1">
        <v>0.41666666666666669</v>
      </c>
      <c r="I25" s="1">
        <v>0.45833333333333331</v>
      </c>
      <c r="J25" s="4">
        <f t="shared" si="0"/>
        <v>2.4107809180038604</v>
      </c>
      <c r="K25">
        <f t="shared" si="1"/>
        <v>77</v>
      </c>
      <c r="L25">
        <f t="shared" si="2"/>
        <v>7</v>
      </c>
      <c r="M25" s="2">
        <f t="shared" si="3"/>
        <v>101.25279855616215</v>
      </c>
      <c r="N25" s="5">
        <f t="shared" si="7"/>
        <v>1.0243902439024458E-2</v>
      </c>
      <c r="O25" s="5">
        <f t="shared" si="8"/>
        <v>-1.4545437628008585E-3</v>
      </c>
      <c r="P25" s="2">
        <f t="shared" si="4"/>
        <v>9985.4545623719914</v>
      </c>
      <c r="R25" s="7" t="s">
        <v>33</v>
      </c>
      <c r="S25" s="8">
        <f>S23/S24</f>
        <v>1.2354883456800498</v>
      </c>
      <c r="T25" s="16"/>
      <c r="AG25">
        <f t="shared" si="5"/>
        <v>0</v>
      </c>
      <c r="AH25">
        <f t="shared" si="6"/>
        <v>-68.193348230833124</v>
      </c>
    </row>
    <row r="26" spans="3:34" x14ac:dyDescent="0.25">
      <c r="C26" s="6">
        <v>43497</v>
      </c>
      <c r="D26" t="s">
        <v>11</v>
      </c>
      <c r="E26">
        <v>11166</v>
      </c>
      <c r="F26">
        <v>11138</v>
      </c>
      <c r="G26">
        <v>11138</v>
      </c>
      <c r="H26" s="1">
        <v>0.58333333333333337</v>
      </c>
      <c r="J26" s="4">
        <f t="shared" si="0"/>
        <v>2.4354767225297542</v>
      </c>
      <c r="K26">
        <f t="shared" si="1"/>
        <v>-28</v>
      </c>
      <c r="L26">
        <f t="shared" si="2"/>
        <v>-28</v>
      </c>
      <c r="M26" s="2">
        <f t="shared" si="3"/>
        <v>-68.193348230833124</v>
      </c>
      <c r="N26" s="5">
        <f t="shared" si="7"/>
        <v>-6.8292682926828427E-3</v>
      </c>
      <c r="O26" s="5">
        <f t="shared" si="8"/>
        <v>-8.2738785858840862E-3</v>
      </c>
      <c r="P26" s="2">
        <f t="shared" si="4"/>
        <v>9917.2612141411591</v>
      </c>
      <c r="R26" s="7"/>
      <c r="S26" s="7"/>
      <c r="T26" s="16"/>
      <c r="AG26">
        <f t="shared" si="5"/>
        <v>0</v>
      </c>
      <c r="AH26">
        <f t="shared" si="6"/>
        <v>-157.22487290711592</v>
      </c>
    </row>
    <row r="27" spans="3:34" x14ac:dyDescent="0.25">
      <c r="C27" s="6">
        <v>43500</v>
      </c>
      <c r="D27" t="s">
        <v>11</v>
      </c>
      <c r="E27">
        <v>11194</v>
      </c>
      <c r="F27">
        <v>11129</v>
      </c>
      <c r="G27">
        <v>11129</v>
      </c>
      <c r="H27" s="1">
        <v>0.66666666666666663</v>
      </c>
      <c r="J27" s="4">
        <f t="shared" si="0"/>
        <v>2.4188441985710143</v>
      </c>
      <c r="K27">
        <f t="shared" si="1"/>
        <v>-65</v>
      </c>
      <c r="L27">
        <f t="shared" si="2"/>
        <v>-65</v>
      </c>
      <c r="M27" s="2">
        <f t="shared" si="3"/>
        <v>-157.22487290711592</v>
      </c>
      <c r="N27" s="5">
        <f t="shared" si="7"/>
        <v>-1.5853658536585387E-2</v>
      </c>
      <c r="O27" s="5">
        <f t="shared" si="8"/>
        <v>-2.3996365876595701E-2</v>
      </c>
      <c r="P27" s="2">
        <f t="shared" si="4"/>
        <v>9760.036341234043</v>
      </c>
      <c r="R27" s="7" t="s">
        <v>36</v>
      </c>
      <c r="S27" s="9">
        <f>MIN(P:P)</f>
        <v>9737.6206086485727</v>
      </c>
      <c r="T27" s="16"/>
      <c r="AG27">
        <f t="shared" si="5"/>
        <v>286.84984856553712</v>
      </c>
      <c r="AH27">
        <f t="shared" si="6"/>
        <v>0</v>
      </c>
    </row>
    <row r="28" spans="3:34" x14ac:dyDescent="0.25">
      <c r="C28" s="6">
        <v>43501</v>
      </c>
      <c r="D28" t="s">
        <v>11</v>
      </c>
      <c r="E28">
        <v>11196</v>
      </c>
      <c r="F28">
        <f>E28+76</f>
        <v>11272</v>
      </c>
      <c r="G28">
        <v>11361</v>
      </c>
      <c r="H28" s="1">
        <v>0.41666666666666669</v>
      </c>
      <c r="I28" s="1">
        <v>0.70833333333333337</v>
      </c>
      <c r="J28" s="4">
        <f t="shared" si="0"/>
        <v>2.3804966685936688</v>
      </c>
      <c r="K28">
        <f t="shared" si="1"/>
        <v>76</v>
      </c>
      <c r="L28">
        <f t="shared" si="2"/>
        <v>165</v>
      </c>
      <c r="M28" s="2">
        <f t="shared" si="3"/>
        <v>286.84984856553712</v>
      </c>
      <c r="N28" s="5">
        <f t="shared" si="7"/>
        <v>2.939024390243895E-2</v>
      </c>
      <c r="O28" s="5">
        <f t="shared" si="8"/>
        <v>4.6886189799579371E-3</v>
      </c>
      <c r="P28" s="2">
        <f t="shared" si="4"/>
        <v>10046.886189799579</v>
      </c>
      <c r="R28" s="7"/>
      <c r="S28" s="10">
        <f>(S27-P3)/P3</f>
        <v>-2.6237939135142732E-2</v>
      </c>
      <c r="T28" s="16"/>
      <c r="AG28">
        <f t="shared" si="5"/>
        <v>0</v>
      </c>
      <c r="AH28">
        <f t="shared" si="6"/>
        <v>-107.82024203687354</v>
      </c>
    </row>
    <row r="29" spans="3:34" x14ac:dyDescent="0.25">
      <c r="C29" s="6">
        <v>43502</v>
      </c>
      <c r="D29" t="s">
        <v>11</v>
      </c>
      <c r="E29">
        <v>11357</v>
      </c>
      <c r="F29">
        <v>11313</v>
      </c>
      <c r="G29">
        <v>11313</v>
      </c>
      <c r="H29" s="1">
        <v>0.91666666666666663</v>
      </c>
      <c r="I29" s="1">
        <v>0.91666666666666663</v>
      </c>
      <c r="J29" s="4">
        <f t="shared" si="0"/>
        <v>2.4504600462925805</v>
      </c>
      <c r="K29">
        <f t="shared" si="1"/>
        <v>-44</v>
      </c>
      <c r="L29">
        <f t="shared" si="2"/>
        <v>-44</v>
      </c>
      <c r="M29" s="2">
        <f t="shared" si="3"/>
        <v>-107.82024203687354</v>
      </c>
      <c r="N29" s="5">
        <f t="shared" si="7"/>
        <v>-1.073170731707325E-2</v>
      </c>
      <c r="O29" s="5">
        <f t="shared" si="8"/>
        <v>-6.0934052237294964E-3</v>
      </c>
      <c r="P29" s="2">
        <f t="shared" si="4"/>
        <v>9939.065947762705</v>
      </c>
      <c r="R29" s="7"/>
      <c r="S29" s="7"/>
      <c r="T29" s="16"/>
      <c r="AG29">
        <f t="shared" si="5"/>
        <v>296.95989721973933</v>
      </c>
      <c r="AH29">
        <f t="shared" si="6"/>
        <v>0</v>
      </c>
    </row>
    <row r="30" spans="3:34" x14ac:dyDescent="0.25">
      <c r="C30" s="6">
        <v>43503</v>
      </c>
      <c r="D30" t="s">
        <v>8</v>
      </c>
      <c r="E30">
        <v>11280</v>
      </c>
      <c r="F30">
        <f>E30-76</f>
        <v>11204</v>
      </c>
      <c r="G30">
        <v>11111</v>
      </c>
      <c r="H30" s="1">
        <v>0.5</v>
      </c>
      <c r="I30" s="1">
        <v>0.625</v>
      </c>
      <c r="J30" s="4">
        <f t="shared" si="0"/>
        <v>2.4241624262835866</v>
      </c>
      <c r="K30">
        <f t="shared" si="1"/>
        <v>76</v>
      </c>
      <c r="L30">
        <f t="shared" si="2"/>
        <v>169</v>
      </c>
      <c r="M30" s="2">
        <f t="shared" si="3"/>
        <v>296.95989721973933</v>
      </c>
      <c r="N30" s="5">
        <f t="shared" si="7"/>
        <v>2.987804878048787E-2</v>
      </c>
      <c r="O30" s="5">
        <f t="shared" si="8"/>
        <v>2.3602584498244504E-2</v>
      </c>
      <c r="P30" s="2">
        <f t="shared" si="4"/>
        <v>10236.025844982445</v>
      </c>
      <c r="R30" s="7" t="s">
        <v>35</v>
      </c>
      <c r="S30" s="10">
        <f>(P9-P15)/P9</f>
        <v>3.8820499186054451E-2</v>
      </c>
      <c r="T30" s="16"/>
      <c r="AG30">
        <f t="shared" si="5"/>
        <v>0</v>
      </c>
      <c r="AH30">
        <f t="shared" si="6"/>
        <v>-142.30572516195107</v>
      </c>
    </row>
    <row r="31" spans="3:34" x14ac:dyDescent="0.25">
      <c r="C31" s="6">
        <v>43504</v>
      </c>
      <c r="D31" t="s">
        <v>11</v>
      </c>
      <c r="E31">
        <v>11021</v>
      </c>
      <c r="F31">
        <v>10964</v>
      </c>
      <c r="G31">
        <v>10964</v>
      </c>
      <c r="H31" s="1">
        <v>0.54166666666666663</v>
      </c>
      <c r="J31" s="4">
        <f t="shared" si="0"/>
        <v>2.4965916695079136</v>
      </c>
      <c r="K31">
        <f t="shared" si="1"/>
        <v>-57</v>
      </c>
      <c r="L31">
        <f t="shared" si="2"/>
        <v>-57</v>
      </c>
      <c r="M31" s="2">
        <f t="shared" si="3"/>
        <v>-142.30572516195107</v>
      </c>
      <c r="N31" s="5">
        <f t="shared" si="7"/>
        <v>-1.3902439024390164E-2</v>
      </c>
      <c r="O31" s="5">
        <f t="shared" si="8"/>
        <v>9.3720119820494795E-3</v>
      </c>
      <c r="P31" s="2">
        <f t="shared" si="4"/>
        <v>10093.720119820495</v>
      </c>
      <c r="R31" s="7"/>
      <c r="S31" s="12">
        <f>(P18-P26)/P18</f>
        <v>5.2924380229906483E-2</v>
      </c>
      <c r="T31" s="16"/>
      <c r="AG31">
        <f t="shared" si="5"/>
        <v>137.86544553901166</v>
      </c>
      <c r="AH31">
        <f t="shared" si="6"/>
        <v>0</v>
      </c>
    </row>
    <row r="32" spans="3:34" x14ac:dyDescent="0.25">
      <c r="C32" s="6">
        <v>43507</v>
      </c>
      <c r="D32" t="s">
        <v>11</v>
      </c>
      <c r="E32">
        <v>10959</v>
      </c>
      <c r="F32">
        <v>11036</v>
      </c>
      <c r="G32">
        <v>10994</v>
      </c>
      <c r="H32" s="1">
        <v>0.5</v>
      </c>
      <c r="I32" s="1">
        <v>0.91666666666666663</v>
      </c>
      <c r="J32" s="4">
        <f t="shared" si="0"/>
        <v>2.4618829560537794</v>
      </c>
      <c r="K32">
        <f t="shared" si="1"/>
        <v>77</v>
      </c>
      <c r="L32">
        <f t="shared" si="2"/>
        <v>35</v>
      </c>
      <c r="M32" s="2">
        <f t="shared" si="3"/>
        <v>137.86544553901166</v>
      </c>
      <c r="N32" s="5">
        <f t="shared" si="7"/>
        <v>1.365853658536584E-2</v>
      </c>
      <c r="O32" s="5">
        <f t="shared" si="8"/>
        <v>2.3158556535950628E-2</v>
      </c>
      <c r="P32" s="2">
        <f t="shared" si="4"/>
        <v>10231.585565359506</v>
      </c>
      <c r="R32" s="7"/>
      <c r="S32" s="10">
        <f>(P33-P38)/P33</f>
        <v>6.1892436766848621E-2</v>
      </c>
      <c r="T32" s="16"/>
      <c r="AG32">
        <f t="shared" si="5"/>
        <v>148.48276613143673</v>
      </c>
      <c r="AH32">
        <f t="shared" si="6"/>
        <v>0</v>
      </c>
    </row>
    <row r="33" spans="3:34" x14ac:dyDescent="0.25">
      <c r="C33" s="6">
        <v>43508</v>
      </c>
      <c r="D33" t="s">
        <v>11</v>
      </c>
      <c r="E33">
        <v>11090</v>
      </c>
      <c r="F33">
        <v>11163</v>
      </c>
      <c r="G33">
        <v>11136</v>
      </c>
      <c r="H33" s="1">
        <v>0.58333333333333337</v>
      </c>
      <c r="I33" s="1">
        <v>0.91666666666666663</v>
      </c>
      <c r="J33" s="4">
        <f t="shared" si="0"/>
        <v>2.4955086744779282</v>
      </c>
      <c r="K33">
        <f t="shared" si="1"/>
        <v>73</v>
      </c>
      <c r="L33">
        <f t="shared" si="2"/>
        <v>46</v>
      </c>
      <c r="M33" s="2">
        <f t="shared" si="3"/>
        <v>148.48276613143673</v>
      </c>
      <c r="N33" s="5">
        <f t="shared" si="7"/>
        <v>1.4512195121951297E-2</v>
      </c>
      <c r="O33" s="5">
        <f t="shared" si="8"/>
        <v>3.8006833149094379E-2</v>
      </c>
      <c r="P33" s="2">
        <f t="shared" si="4"/>
        <v>10380.068331490944</v>
      </c>
      <c r="R33" s="7"/>
      <c r="S33" s="10">
        <f>(P49-P64)/P49</f>
        <v>6.2202849186181679E-2</v>
      </c>
      <c r="T33" s="16"/>
      <c r="AG33">
        <f t="shared" si="5"/>
        <v>0</v>
      </c>
      <c r="AH33">
        <f t="shared" si="6"/>
        <v>-156.96688696400938</v>
      </c>
    </row>
    <row r="34" spans="3:34" x14ac:dyDescent="0.25">
      <c r="C34" s="6">
        <v>43509</v>
      </c>
      <c r="D34" t="s">
        <v>11</v>
      </c>
      <c r="E34">
        <v>11201</v>
      </c>
      <c r="F34">
        <v>11139</v>
      </c>
      <c r="G34">
        <v>11139</v>
      </c>
      <c r="H34" s="1">
        <v>0.45833333333333331</v>
      </c>
      <c r="J34" s="4">
        <f t="shared" si="0"/>
        <v>2.5317239832904739</v>
      </c>
      <c r="K34">
        <f t="shared" si="1"/>
        <v>-62</v>
      </c>
      <c r="L34">
        <f t="shared" si="2"/>
        <v>-62</v>
      </c>
      <c r="M34" s="2">
        <f t="shared" si="3"/>
        <v>-156.96688696400938</v>
      </c>
      <c r="N34" s="5">
        <f t="shared" si="7"/>
        <v>-1.512195121951225E-2</v>
      </c>
      <c r="O34" s="5">
        <f t="shared" si="8"/>
        <v>2.2310144452693383E-2</v>
      </c>
      <c r="P34" s="2">
        <f t="shared" si="4"/>
        <v>10223.101444526934</v>
      </c>
      <c r="R34" s="7"/>
      <c r="S34" s="7"/>
      <c r="T34" s="16"/>
      <c r="AG34">
        <f t="shared" si="5"/>
        <v>0</v>
      </c>
      <c r="AH34">
        <f t="shared" si="6"/>
        <v>-39.89503002742218</v>
      </c>
    </row>
    <row r="35" spans="3:34" x14ac:dyDescent="0.25">
      <c r="C35" s="6">
        <v>43510</v>
      </c>
      <c r="D35" t="s">
        <v>11</v>
      </c>
      <c r="E35">
        <v>11204</v>
      </c>
      <c r="F35">
        <v>11188</v>
      </c>
      <c r="G35">
        <v>11188</v>
      </c>
      <c r="H35" s="1">
        <v>0.45833333333333331</v>
      </c>
      <c r="J35" s="4">
        <f t="shared" si="0"/>
        <v>2.4934393767138863</v>
      </c>
      <c r="K35">
        <f t="shared" si="1"/>
        <v>-16</v>
      </c>
      <c r="L35">
        <f t="shared" si="2"/>
        <v>-16</v>
      </c>
      <c r="M35" s="2">
        <f t="shared" si="3"/>
        <v>-39.89503002742218</v>
      </c>
      <c r="N35" s="5">
        <f t="shared" si="7"/>
        <v>-3.9024390243903007E-3</v>
      </c>
      <c r="O35" s="5">
        <f t="shared" si="8"/>
        <v>1.832064144995111E-2</v>
      </c>
      <c r="P35" s="2">
        <f t="shared" si="4"/>
        <v>10183.206414499511</v>
      </c>
      <c r="R35" s="7" t="s">
        <v>37</v>
      </c>
      <c r="S35" s="13">
        <f>_xlfn.STDEV.P(N:N)</f>
        <v>1.5036619018153024E-2</v>
      </c>
      <c r="T35" s="16"/>
      <c r="AG35">
        <f t="shared" si="5"/>
        <v>0</v>
      </c>
      <c r="AH35">
        <f t="shared" si="6"/>
        <v>-129.15286184243283</v>
      </c>
    </row>
    <row r="36" spans="3:34" x14ac:dyDescent="0.25">
      <c r="C36" s="6">
        <v>43511</v>
      </c>
      <c r="D36" t="s">
        <v>8</v>
      </c>
      <c r="E36">
        <v>11046</v>
      </c>
      <c r="F36">
        <v>11098</v>
      </c>
      <c r="G36">
        <v>11098</v>
      </c>
      <c r="H36" s="1">
        <v>0.45833333333333331</v>
      </c>
      <c r="J36" s="4">
        <f t="shared" si="0"/>
        <v>2.4837088815852466</v>
      </c>
      <c r="K36">
        <f t="shared" si="1"/>
        <v>-52</v>
      </c>
      <c r="L36">
        <f t="shared" si="2"/>
        <v>-52</v>
      </c>
      <c r="M36" s="2">
        <f t="shared" si="3"/>
        <v>-129.15286184243283</v>
      </c>
      <c r="N36" s="5">
        <f t="shared" si="7"/>
        <v>-1.268292682926828E-2</v>
      </c>
      <c r="O36" s="5">
        <f t="shared" si="8"/>
        <v>5.40535526570784E-3</v>
      </c>
      <c r="P36" s="2">
        <f t="shared" si="4"/>
        <v>10054.053552657078</v>
      </c>
      <c r="R36" s="7" t="s">
        <v>38</v>
      </c>
      <c r="S36" s="14">
        <v>1.6000000000000001E-4</v>
      </c>
      <c r="T36" s="16" t="s">
        <v>39</v>
      </c>
      <c r="AG36">
        <f t="shared" si="5"/>
        <v>0</v>
      </c>
      <c r="AH36">
        <f t="shared" si="6"/>
        <v>-201.08107105314159</v>
      </c>
    </row>
    <row r="37" spans="3:34" x14ac:dyDescent="0.25">
      <c r="C37" s="6">
        <v>43514</v>
      </c>
      <c r="D37" t="s">
        <v>11</v>
      </c>
      <c r="E37">
        <v>11343</v>
      </c>
      <c r="F37">
        <f>E37-82</f>
        <v>11261</v>
      </c>
      <c r="G37">
        <f>F37</f>
        <v>11261</v>
      </c>
      <c r="H37" s="1">
        <v>0.41666666666666669</v>
      </c>
      <c r="J37" s="4">
        <f t="shared" si="0"/>
        <v>2.4522081835748972</v>
      </c>
      <c r="K37">
        <f t="shared" si="1"/>
        <v>-82</v>
      </c>
      <c r="L37">
        <f t="shared" si="2"/>
        <v>-82</v>
      </c>
      <c r="M37" s="2">
        <f t="shared" si="3"/>
        <v>-201.08107105314159</v>
      </c>
      <c r="N37" s="5">
        <f t="shared" si="7"/>
        <v>-2.0000000000000073E-2</v>
      </c>
      <c r="O37" s="5">
        <f t="shared" si="8"/>
        <v>-1.470275183960639E-2</v>
      </c>
      <c r="P37" s="2">
        <f t="shared" si="4"/>
        <v>9852.9724816039361</v>
      </c>
      <c r="R37" s="7" t="s">
        <v>40</v>
      </c>
      <c r="S37" s="15">
        <f>(((1+S36)^(1/3))-1)*3</f>
        <v>1.5999146742506909E-4</v>
      </c>
      <c r="T37" s="16"/>
      <c r="AG37">
        <f t="shared" si="5"/>
        <v>0</v>
      </c>
      <c r="AH37">
        <f t="shared" si="6"/>
        <v>-115.35187295536316</v>
      </c>
    </row>
    <row r="38" spans="3:34" x14ac:dyDescent="0.25">
      <c r="C38" s="6">
        <v>43515</v>
      </c>
      <c r="D38" t="s">
        <v>8</v>
      </c>
      <c r="E38">
        <v>11297</v>
      </c>
      <c r="F38">
        <v>11345</v>
      </c>
      <c r="G38">
        <v>11345</v>
      </c>
      <c r="H38" s="1">
        <v>0.41666666666666669</v>
      </c>
      <c r="J38" s="4">
        <f t="shared" si="0"/>
        <v>2.4031640199033992</v>
      </c>
      <c r="K38">
        <f t="shared" si="1"/>
        <v>-48</v>
      </c>
      <c r="L38">
        <f t="shared" si="2"/>
        <v>-48</v>
      </c>
      <c r="M38" s="2">
        <f t="shared" si="3"/>
        <v>-115.35187295536316</v>
      </c>
      <c r="N38" s="5">
        <f t="shared" si="7"/>
        <v>-1.1707317073170759E-2</v>
      </c>
      <c r="O38" s="5">
        <f t="shared" si="8"/>
        <v>-2.6237939135142732E-2</v>
      </c>
      <c r="P38" s="2">
        <f t="shared" si="4"/>
        <v>9737.6206086485727</v>
      </c>
      <c r="R38" s="7" t="s">
        <v>34</v>
      </c>
      <c r="S38" s="8">
        <f>(S7-S37)/S35</f>
        <v>8.0274075227457828</v>
      </c>
      <c r="T38" s="16"/>
      <c r="AG38">
        <f t="shared" si="5"/>
        <v>99.751235503229282</v>
      </c>
      <c r="AH38">
        <f t="shared" si="6"/>
        <v>0</v>
      </c>
    </row>
    <row r="39" spans="3:34" x14ac:dyDescent="0.25">
      <c r="C39" s="6">
        <v>43516</v>
      </c>
      <c r="D39" t="s">
        <v>11</v>
      </c>
      <c r="E39">
        <v>11324</v>
      </c>
      <c r="F39">
        <f>E39+76</f>
        <v>11400</v>
      </c>
      <c r="G39">
        <v>11332</v>
      </c>
      <c r="H39" s="1">
        <v>0.41666666666666669</v>
      </c>
      <c r="I39" s="1">
        <v>0.45833333333333331</v>
      </c>
      <c r="J39" s="4">
        <f t="shared" si="0"/>
        <v>2.3750294167435544</v>
      </c>
      <c r="K39">
        <f t="shared" si="1"/>
        <v>76</v>
      </c>
      <c r="L39">
        <f t="shared" si="2"/>
        <v>8</v>
      </c>
      <c r="M39" s="2">
        <f t="shared" si="3"/>
        <v>99.751235503229282</v>
      </c>
      <c r="N39" s="5">
        <f t="shared" si="7"/>
        <v>1.024390243902432E-2</v>
      </c>
      <c r="O39" s="5">
        <f t="shared" si="8"/>
        <v>-1.6262815584819873E-2</v>
      </c>
      <c r="P39" s="2">
        <f t="shared" si="4"/>
        <v>9837.3718441518013</v>
      </c>
      <c r="R39" s="7"/>
      <c r="S39" s="7"/>
      <c r="T39" s="16"/>
      <c r="AG39">
        <f t="shared" si="5"/>
        <v>134.36410323719534</v>
      </c>
      <c r="AH39">
        <f t="shared" si="6"/>
        <v>0</v>
      </c>
    </row>
    <row r="40" spans="3:34" x14ac:dyDescent="0.25">
      <c r="C40" s="6">
        <v>43517</v>
      </c>
      <c r="D40" t="s">
        <v>8</v>
      </c>
      <c r="E40">
        <v>11452</v>
      </c>
      <c r="F40">
        <v>11396</v>
      </c>
      <c r="G40">
        <v>11396</v>
      </c>
      <c r="H40" s="1">
        <v>0.91666666666666663</v>
      </c>
      <c r="I40" s="1">
        <v>0.91666666666666663</v>
      </c>
      <c r="J40" s="4">
        <f t="shared" ref="J40:J44" si="9">(P39*$S$3)/-(E40-(E40+82))</f>
        <v>2.3993589863784881</v>
      </c>
      <c r="K40">
        <f t="shared" ref="K40:K44" si="10">IF(D40="Long",F40-E40,E40-F40)</f>
        <v>56</v>
      </c>
      <c r="L40">
        <f t="shared" ref="L40:L44" si="11">IF(D40="Long",G40-E40,E40-G40)</f>
        <v>56</v>
      </c>
      <c r="M40" s="2">
        <f t="shared" ref="M40:M44" si="12">J40/2*K40+J40/2*L40</f>
        <v>134.36410323719534</v>
      </c>
      <c r="N40" s="5">
        <f t="shared" si="7"/>
        <v>1.3658536585365932E-2</v>
      </c>
      <c r="O40" s="5">
        <f t="shared" si="8"/>
        <v>-2.8264052611002627E-3</v>
      </c>
      <c r="P40" s="2">
        <f t="shared" ref="P40:P44" si="13">P39+M40</f>
        <v>9971.7359473889974</v>
      </c>
      <c r="R40" s="7" t="s">
        <v>43</v>
      </c>
      <c r="S40" s="12">
        <v>2.3099999999999999E-2</v>
      </c>
      <c r="T40" s="16" t="s">
        <v>39</v>
      </c>
      <c r="AG40">
        <f t="shared" si="5"/>
        <v>99.717359473889985</v>
      </c>
      <c r="AH40">
        <f t="shared" si="6"/>
        <v>0</v>
      </c>
    </row>
    <row r="41" spans="3:34" x14ac:dyDescent="0.25">
      <c r="C41" s="6">
        <v>43518</v>
      </c>
      <c r="D41" t="s">
        <v>11</v>
      </c>
      <c r="E41">
        <v>11427</v>
      </c>
      <c r="F41">
        <f>E41+76</f>
        <v>11503</v>
      </c>
      <c r="G41">
        <v>11433</v>
      </c>
      <c r="H41" s="1">
        <v>0.5</v>
      </c>
      <c r="I41" s="1">
        <v>0.91666666666666663</v>
      </c>
      <c r="J41" s="4">
        <f t="shared" si="9"/>
        <v>2.4321307188753654</v>
      </c>
      <c r="K41">
        <f t="shared" si="10"/>
        <v>76</v>
      </c>
      <c r="L41">
        <f t="shared" si="11"/>
        <v>6</v>
      </c>
      <c r="M41" s="2">
        <f t="shared" si="12"/>
        <v>99.717359473889985</v>
      </c>
      <c r="N41" s="5">
        <f t="shared" si="7"/>
        <v>1.0000000000000064E-2</v>
      </c>
      <c r="O41" s="5">
        <f t="shared" si="8"/>
        <v>7.1453306862887984E-3</v>
      </c>
      <c r="P41" s="2">
        <f t="shared" si="13"/>
        <v>10071.453306862888</v>
      </c>
      <c r="R41" s="7" t="s">
        <v>40</v>
      </c>
      <c r="S41" s="10">
        <f>(((1+S40)^(1/3))-1)*3</f>
        <v>2.2924378096948583E-2</v>
      </c>
      <c r="T41" s="16"/>
      <c r="AG41">
        <f t="shared" si="5"/>
        <v>0</v>
      </c>
      <c r="AH41">
        <f t="shared" si="6"/>
        <v>-105.62743712075711</v>
      </c>
    </row>
    <row r="42" spans="3:34" x14ac:dyDescent="0.25">
      <c r="C42" s="6">
        <v>43521</v>
      </c>
      <c r="D42" t="s">
        <v>11</v>
      </c>
      <c r="E42">
        <v>11534</v>
      </c>
      <c r="F42">
        <v>11491</v>
      </c>
      <c r="G42">
        <v>11491</v>
      </c>
      <c r="H42" s="1">
        <v>0.91666666666666663</v>
      </c>
      <c r="I42" s="1">
        <v>0.91666666666666663</v>
      </c>
      <c r="J42" s="4">
        <f t="shared" si="9"/>
        <v>2.4564520260641189</v>
      </c>
      <c r="K42">
        <f t="shared" si="10"/>
        <v>-43</v>
      </c>
      <c r="L42">
        <f t="shared" si="11"/>
        <v>-43</v>
      </c>
      <c r="M42" s="2">
        <f t="shared" si="12"/>
        <v>-105.62743712075711</v>
      </c>
      <c r="N42" s="5">
        <f t="shared" si="7"/>
        <v>-1.0487804878048713E-2</v>
      </c>
      <c r="O42" s="5">
        <f t="shared" si="8"/>
        <v>-3.4174130257868455E-3</v>
      </c>
      <c r="P42" s="2">
        <f t="shared" si="13"/>
        <v>9965.8258697421315</v>
      </c>
      <c r="R42" s="7" t="s">
        <v>34</v>
      </c>
      <c r="S42" s="8">
        <f ca="1">R11:S42=(S7-S41)/S35</f>
        <v>0</v>
      </c>
      <c r="T42" s="16"/>
      <c r="AG42">
        <f t="shared" si="5"/>
        <v>217.54668666876114</v>
      </c>
      <c r="AH42">
        <f t="shared" si="6"/>
        <v>0</v>
      </c>
    </row>
    <row r="43" spans="3:34" x14ac:dyDescent="0.25">
      <c r="C43" s="6">
        <v>43522</v>
      </c>
      <c r="D43" t="s">
        <v>11</v>
      </c>
      <c r="E43">
        <v>11440</v>
      </c>
      <c r="F43">
        <f>E43+76</f>
        <v>11516</v>
      </c>
      <c r="G43">
        <v>11543</v>
      </c>
      <c r="H43" s="1">
        <v>0.66666666666666663</v>
      </c>
      <c r="I43" s="1">
        <v>0.91666666666666663</v>
      </c>
      <c r="J43" s="4">
        <f t="shared" si="9"/>
        <v>2.430689236522471</v>
      </c>
      <c r="K43">
        <f t="shared" si="10"/>
        <v>76</v>
      </c>
      <c r="L43">
        <f t="shared" si="11"/>
        <v>103</v>
      </c>
      <c r="M43" s="2">
        <f t="shared" si="12"/>
        <v>217.54668666876114</v>
      </c>
      <c r="N43" s="5">
        <f t="shared" si="7"/>
        <v>2.1829268292683016E-2</v>
      </c>
      <c r="O43" s="5">
        <f t="shared" si="8"/>
        <v>1.8337255641089359E-2</v>
      </c>
      <c r="P43" s="2">
        <f t="shared" si="13"/>
        <v>10183.372556410894</v>
      </c>
      <c r="R43" s="7"/>
      <c r="S43" s="7"/>
      <c r="AG43">
        <f t="shared" si="5"/>
        <v>29.80499284803188</v>
      </c>
      <c r="AH43">
        <f t="shared" si="6"/>
        <v>0</v>
      </c>
    </row>
    <row r="44" spans="3:34" x14ac:dyDescent="0.25">
      <c r="C44" s="6">
        <v>43523</v>
      </c>
      <c r="D44" t="s">
        <v>8</v>
      </c>
      <c r="E44">
        <v>11515</v>
      </c>
      <c r="F44">
        <v>11503</v>
      </c>
      <c r="G44">
        <v>11503</v>
      </c>
      <c r="H44" s="1">
        <v>0.91666666666666663</v>
      </c>
      <c r="I44" s="1">
        <v>0.91666666666666663</v>
      </c>
      <c r="J44" s="4">
        <f t="shared" si="9"/>
        <v>2.4837494040026566</v>
      </c>
      <c r="K44">
        <f t="shared" si="10"/>
        <v>12</v>
      </c>
      <c r="L44">
        <f t="shared" si="11"/>
        <v>12</v>
      </c>
      <c r="M44" s="2">
        <f t="shared" si="12"/>
        <v>29.80499284803188</v>
      </c>
      <c r="N44" s="5">
        <f t="shared" si="7"/>
        <v>2.9268292682927211E-3</v>
      </c>
      <c r="O44" s="5">
        <f t="shared" si="8"/>
        <v>2.1317754925892586E-2</v>
      </c>
      <c r="P44" s="2">
        <f t="shared" si="13"/>
        <v>10213.177549258926</v>
      </c>
      <c r="R44" s="7" t="s">
        <v>44</v>
      </c>
      <c r="S44" s="9">
        <f>0.8*(AVERAGE(J4:J86))*S8</f>
        <v>167.89275943721486</v>
      </c>
      <c r="AG44">
        <f t="shared" si="5"/>
        <v>0</v>
      </c>
      <c r="AH44">
        <f t="shared" si="6"/>
        <v>-77.221586348055297</v>
      </c>
    </row>
    <row r="45" spans="3:34" x14ac:dyDescent="0.25">
      <c r="C45" s="6">
        <v>43524</v>
      </c>
      <c r="D45" t="s">
        <v>8</v>
      </c>
      <c r="E45">
        <v>11452</v>
      </c>
      <c r="F45">
        <v>11483</v>
      </c>
      <c r="G45">
        <v>11483</v>
      </c>
      <c r="H45" s="1">
        <v>0.45833333333333331</v>
      </c>
      <c r="J45" s="4">
        <f>(P44*$S$3)/-(E45-(E45+82))</f>
        <v>2.4910189144533965</v>
      </c>
      <c r="K45">
        <f>IF(D45="Long",F45-E45,E45-F45)</f>
        <v>-31</v>
      </c>
      <c r="L45">
        <f>IF(D45="Long",G45-E45,E45-G45)</f>
        <v>-31</v>
      </c>
      <c r="M45" s="2">
        <f>J45/2*K45+J45/2*L45</f>
        <v>-77.221586348055297</v>
      </c>
      <c r="N45" s="5">
        <f t="shared" si="7"/>
        <v>-7.5609756097561676E-3</v>
      </c>
      <c r="O45" s="5">
        <f t="shared" si="8"/>
        <v>1.3595596291086986E-2</v>
      </c>
      <c r="P45" s="2">
        <f>P44+M45</f>
        <v>10135.95596291087</v>
      </c>
      <c r="AG45">
        <f t="shared" si="5"/>
        <v>82.818176770125405</v>
      </c>
      <c r="AH45">
        <f t="shared" si="6"/>
        <v>0</v>
      </c>
    </row>
    <row r="46" spans="3:34" x14ac:dyDescent="0.25">
      <c r="C46" s="6">
        <v>43525</v>
      </c>
      <c r="D46" t="s">
        <v>11</v>
      </c>
      <c r="E46">
        <v>11600</v>
      </c>
      <c r="F46">
        <v>11672</v>
      </c>
      <c r="G46">
        <v>11595</v>
      </c>
      <c r="H46" s="1">
        <v>0.58333333333333337</v>
      </c>
      <c r="I46" s="1">
        <v>0.70833333333333337</v>
      </c>
      <c r="J46" s="4">
        <f t="shared" ref="J46:J86" si="14">(P45*$S$3)/-(E46-(E46+82))</f>
        <v>2.4721843811977733</v>
      </c>
      <c r="K46">
        <f t="shared" ref="K46:K86" si="15">IF(D46="Long",F46-E46,E46-F46)</f>
        <v>72</v>
      </c>
      <c r="L46">
        <f t="shared" ref="L46:L86" si="16">IF(D46="Long",G46-E46,E46-G46)</f>
        <v>-5</v>
      </c>
      <c r="M46" s="2">
        <f t="shared" ref="M46:M86" si="17">J46/2*K46+J46/2*L46</f>
        <v>82.818176770125405</v>
      </c>
      <c r="N46" s="5">
        <f t="shared" si="7"/>
        <v>8.170731707317155E-3</v>
      </c>
      <c r="O46" s="5">
        <f t="shared" si="8"/>
        <v>2.1877413968099609E-2</v>
      </c>
      <c r="P46" s="2">
        <f t="shared" ref="P46:P86" si="18">P45+M46</f>
        <v>10218.774139680996</v>
      </c>
      <c r="AG46">
        <f t="shared" si="5"/>
        <v>223.06836231742665</v>
      </c>
      <c r="AH46">
        <f t="shared" si="6"/>
        <v>0</v>
      </c>
    </row>
    <row r="47" spans="3:34" x14ac:dyDescent="0.25">
      <c r="C47" s="6">
        <v>43528</v>
      </c>
      <c r="D47" t="s">
        <v>8</v>
      </c>
      <c r="E47">
        <v>11668</v>
      </c>
      <c r="F47">
        <v>11591</v>
      </c>
      <c r="G47">
        <v>11566</v>
      </c>
      <c r="H47" s="1">
        <v>0.75</v>
      </c>
      <c r="I47" s="1">
        <v>0.91666666666666663</v>
      </c>
      <c r="J47" s="4">
        <f t="shared" si="14"/>
        <v>2.4923839365075602</v>
      </c>
      <c r="K47">
        <f t="shared" si="15"/>
        <v>77</v>
      </c>
      <c r="L47">
        <f t="shared" si="16"/>
        <v>102</v>
      </c>
      <c r="M47" s="2">
        <f t="shared" si="17"/>
        <v>223.06836231742665</v>
      </c>
      <c r="N47" s="5">
        <f t="shared" si="7"/>
        <v>2.1829268292682901E-2</v>
      </c>
      <c r="O47" s="5">
        <f t="shared" si="8"/>
        <v>4.4184250199842248E-2</v>
      </c>
      <c r="P47" s="2">
        <f t="shared" si="18"/>
        <v>10441.842501998422</v>
      </c>
      <c r="AG47">
        <f t="shared" si="5"/>
        <v>155.35424210290336</v>
      </c>
      <c r="AH47">
        <f t="shared" si="6"/>
        <v>0</v>
      </c>
    </row>
    <row r="48" spans="3:34" x14ac:dyDescent="0.25">
      <c r="C48" s="6">
        <v>43529</v>
      </c>
      <c r="D48" t="s">
        <v>11</v>
      </c>
      <c r="E48">
        <v>11569</v>
      </c>
      <c r="F48">
        <v>11630</v>
      </c>
      <c r="G48">
        <v>11630</v>
      </c>
      <c r="H48" s="1">
        <v>0.91666666666666663</v>
      </c>
      <c r="I48" s="1">
        <v>0.91666666666666663</v>
      </c>
      <c r="J48" s="4">
        <f t="shared" si="14"/>
        <v>2.5467908541459567</v>
      </c>
      <c r="K48">
        <f t="shared" si="15"/>
        <v>61</v>
      </c>
      <c r="L48">
        <f t="shared" si="16"/>
        <v>61</v>
      </c>
      <c r="M48" s="2">
        <f t="shared" si="17"/>
        <v>155.35424210290336</v>
      </c>
      <c r="N48" s="5">
        <f t="shared" si="7"/>
        <v>1.4878048780487799E-2</v>
      </c>
      <c r="O48" s="5">
        <f t="shared" si="8"/>
        <v>5.9719674410132574E-2</v>
      </c>
      <c r="P48" s="2">
        <f t="shared" si="18"/>
        <v>10597.196744101326</v>
      </c>
      <c r="AG48">
        <f t="shared" si="5"/>
        <v>103.38728530830562</v>
      </c>
      <c r="AH48">
        <f t="shared" si="6"/>
        <v>0</v>
      </c>
    </row>
    <row r="49" spans="3:34" x14ac:dyDescent="0.25">
      <c r="C49" s="6">
        <v>43530</v>
      </c>
      <c r="D49" t="s">
        <v>8</v>
      </c>
      <c r="E49">
        <v>11613</v>
      </c>
      <c r="F49">
        <v>11573</v>
      </c>
      <c r="G49">
        <v>11573</v>
      </c>
      <c r="H49" s="1">
        <v>0.70833333333333337</v>
      </c>
      <c r="J49" s="4">
        <f t="shared" si="14"/>
        <v>2.5846821327076404</v>
      </c>
      <c r="K49">
        <f t="shared" si="15"/>
        <v>40</v>
      </c>
      <c r="L49">
        <f t="shared" si="16"/>
        <v>40</v>
      </c>
      <c r="M49" s="2">
        <f t="shared" si="17"/>
        <v>103.38728530830562</v>
      </c>
      <c r="N49" s="5">
        <f t="shared" si="7"/>
        <v>9.7560975609755369E-3</v>
      </c>
      <c r="O49" s="5">
        <f t="shared" si="8"/>
        <v>7.0058402940963063E-2</v>
      </c>
      <c r="P49" s="2">
        <f t="shared" si="18"/>
        <v>10700.584029409631</v>
      </c>
      <c r="AG49">
        <f t="shared" si="5"/>
        <v>0</v>
      </c>
      <c r="AH49">
        <f t="shared" si="6"/>
        <v>-159.20381116926524</v>
      </c>
    </row>
    <row r="50" spans="3:34" x14ac:dyDescent="0.25">
      <c r="C50" s="6">
        <v>43531</v>
      </c>
      <c r="D50" t="s">
        <v>8</v>
      </c>
      <c r="E50">
        <v>11535</v>
      </c>
      <c r="F50">
        <v>11596</v>
      </c>
      <c r="G50">
        <v>11596</v>
      </c>
      <c r="H50" s="1">
        <v>0.625</v>
      </c>
      <c r="J50" s="4">
        <f t="shared" si="14"/>
        <v>2.6098985437584465</v>
      </c>
      <c r="K50">
        <f t="shared" si="15"/>
        <v>-61</v>
      </c>
      <c r="L50">
        <f t="shared" si="16"/>
        <v>-61</v>
      </c>
      <c r="M50" s="2">
        <f t="shared" si="17"/>
        <v>-159.20381116926524</v>
      </c>
      <c r="N50" s="5">
        <f t="shared" si="7"/>
        <v>-1.4878048780487827E-2</v>
      </c>
      <c r="O50" s="5">
        <f t="shared" si="8"/>
        <v>5.4138021824036514E-2</v>
      </c>
      <c r="P50" s="2">
        <f t="shared" si="18"/>
        <v>10541.380218240365</v>
      </c>
      <c r="AG50">
        <f t="shared" si="5"/>
        <v>0</v>
      </c>
      <c r="AH50">
        <f t="shared" si="6"/>
        <v>-102.84273383649138</v>
      </c>
    </row>
    <row r="51" spans="3:34" x14ac:dyDescent="0.25">
      <c r="C51" s="6">
        <v>43532</v>
      </c>
      <c r="D51" t="s">
        <v>8</v>
      </c>
      <c r="E51">
        <v>11439</v>
      </c>
      <c r="F51">
        <v>11479</v>
      </c>
      <c r="G51">
        <v>11479</v>
      </c>
      <c r="H51" s="1">
        <v>0.91666666666666663</v>
      </c>
      <c r="I51" s="1">
        <v>0.91666666666666663</v>
      </c>
      <c r="J51" s="4">
        <f t="shared" si="14"/>
        <v>2.5710683459122845</v>
      </c>
      <c r="K51">
        <f t="shared" si="15"/>
        <v>-40</v>
      </c>
      <c r="L51">
        <f t="shared" si="16"/>
        <v>-40</v>
      </c>
      <c r="M51" s="2">
        <f t="shared" si="17"/>
        <v>-102.84273383649138</v>
      </c>
      <c r="N51" s="5">
        <f t="shared" si="7"/>
        <v>-9.7560975609755629E-3</v>
      </c>
      <c r="O51" s="5">
        <f t="shared" si="8"/>
        <v>4.3853748440387426E-2</v>
      </c>
      <c r="P51" s="2">
        <f t="shared" si="18"/>
        <v>10438.537484403874</v>
      </c>
      <c r="AG51">
        <f t="shared" si="5"/>
        <v>170.58097840367307</v>
      </c>
      <c r="AH51">
        <f t="shared" si="6"/>
        <v>0</v>
      </c>
    </row>
    <row r="52" spans="3:34" x14ac:dyDescent="0.25">
      <c r="C52" s="6">
        <v>43535</v>
      </c>
      <c r="D52" t="s">
        <v>11</v>
      </c>
      <c r="E52">
        <v>11511</v>
      </c>
      <c r="F52">
        <v>11578</v>
      </c>
      <c r="G52">
        <v>11578</v>
      </c>
      <c r="H52" s="1">
        <v>0.91666666666666663</v>
      </c>
      <c r="I52" s="1">
        <v>0.91666666666666663</v>
      </c>
      <c r="J52" s="4">
        <f t="shared" si="14"/>
        <v>2.5459847522936281</v>
      </c>
      <c r="K52">
        <f t="shared" si="15"/>
        <v>67</v>
      </c>
      <c r="L52">
        <f t="shared" si="16"/>
        <v>67</v>
      </c>
      <c r="M52" s="2">
        <f t="shared" si="17"/>
        <v>170.58097840367307</v>
      </c>
      <c r="N52" s="5">
        <f t="shared" si="7"/>
        <v>1.6341463414634209E-2</v>
      </c>
      <c r="O52" s="5">
        <f t="shared" si="8"/>
        <v>6.09118462807548E-2</v>
      </c>
      <c r="P52" s="2">
        <f t="shared" si="18"/>
        <v>10609.118462807548</v>
      </c>
      <c r="AG52">
        <f t="shared" si="5"/>
        <v>0</v>
      </c>
      <c r="AH52">
        <f t="shared" si="6"/>
        <v>-160.43057187660196</v>
      </c>
    </row>
    <row r="53" spans="3:34" x14ac:dyDescent="0.25">
      <c r="C53" s="6">
        <v>43536</v>
      </c>
      <c r="D53" t="s">
        <v>11</v>
      </c>
      <c r="E53">
        <v>11613</v>
      </c>
      <c r="F53">
        <v>11551</v>
      </c>
      <c r="G53">
        <v>11551</v>
      </c>
      <c r="H53" s="1">
        <v>0.41666666666666669</v>
      </c>
      <c r="J53" s="4">
        <f t="shared" si="14"/>
        <v>2.5875898689774508</v>
      </c>
      <c r="K53">
        <f t="shared" si="15"/>
        <v>-62</v>
      </c>
      <c r="L53">
        <f t="shared" si="16"/>
        <v>-62</v>
      </c>
      <c r="M53" s="2">
        <f t="shared" si="17"/>
        <v>-160.43057187660196</v>
      </c>
      <c r="N53" s="5">
        <f t="shared" si="7"/>
        <v>-1.5121951219512266E-2</v>
      </c>
      <c r="O53" s="5">
        <f t="shared" si="8"/>
        <v>4.4868789093094531E-2</v>
      </c>
      <c r="P53" s="2">
        <f t="shared" si="18"/>
        <v>10448.687890930945</v>
      </c>
      <c r="AG53">
        <f t="shared" si="5"/>
        <v>0</v>
      </c>
      <c r="AH53">
        <f t="shared" si="6"/>
        <v>-208.97375781861894</v>
      </c>
    </row>
    <row r="54" spans="3:34" x14ac:dyDescent="0.25">
      <c r="C54" s="6">
        <v>43537</v>
      </c>
      <c r="D54" t="s">
        <v>8</v>
      </c>
      <c r="E54">
        <v>11491</v>
      </c>
      <c r="F54">
        <f>E54+82</f>
        <v>11573</v>
      </c>
      <c r="G54">
        <f>F54</f>
        <v>11573</v>
      </c>
      <c r="H54" s="1">
        <v>0.70833333333333337</v>
      </c>
      <c r="J54" s="4">
        <f t="shared" si="14"/>
        <v>2.5484604612026698</v>
      </c>
      <c r="K54">
        <f t="shared" si="15"/>
        <v>-82</v>
      </c>
      <c r="L54">
        <f t="shared" si="16"/>
        <v>-82</v>
      </c>
      <c r="M54" s="2">
        <f t="shared" si="17"/>
        <v>-208.97375781861894</v>
      </c>
      <c r="N54" s="5">
        <f t="shared" si="7"/>
        <v>-2.0000000000000063E-2</v>
      </c>
      <c r="O54" s="5">
        <f t="shared" si="8"/>
        <v>2.3971413311232571E-2</v>
      </c>
      <c r="P54" s="2">
        <f t="shared" si="18"/>
        <v>10239.714133112326</v>
      </c>
      <c r="AG54">
        <f t="shared" si="5"/>
        <v>0</v>
      </c>
      <c r="AH54">
        <f t="shared" si="6"/>
        <v>-152.34696637069558</v>
      </c>
    </row>
    <row r="55" spans="3:34" x14ac:dyDescent="0.25">
      <c r="C55" s="6">
        <v>43538</v>
      </c>
      <c r="D55" t="s">
        <v>8</v>
      </c>
      <c r="E55">
        <v>11559</v>
      </c>
      <c r="F55">
        <v>11620</v>
      </c>
      <c r="G55">
        <v>11620</v>
      </c>
      <c r="H55" s="1">
        <v>0.58333333333333337</v>
      </c>
      <c r="J55" s="4">
        <f t="shared" si="14"/>
        <v>2.4974912519786163</v>
      </c>
      <c r="K55">
        <f t="shared" si="15"/>
        <v>-61</v>
      </c>
      <c r="L55">
        <f t="shared" si="16"/>
        <v>-61</v>
      </c>
      <c r="M55" s="2">
        <f t="shared" si="17"/>
        <v>-152.34696637069558</v>
      </c>
      <c r="N55" s="5">
        <f t="shared" si="7"/>
        <v>-1.4878048780487891E-2</v>
      </c>
      <c r="O55" s="5">
        <f t="shared" si="8"/>
        <v>8.7367166741629254E-3</v>
      </c>
      <c r="P55" s="2">
        <f t="shared" si="18"/>
        <v>10087.367166741629</v>
      </c>
      <c r="AG55">
        <f t="shared" si="5"/>
        <v>121.78650603749038</v>
      </c>
      <c r="AH55">
        <f t="shared" si="6"/>
        <v>0</v>
      </c>
    </row>
    <row r="56" spans="3:34" x14ac:dyDescent="0.25">
      <c r="C56" s="6">
        <v>43539</v>
      </c>
      <c r="D56" t="s">
        <v>11</v>
      </c>
      <c r="E56">
        <v>11614</v>
      </c>
      <c r="F56">
        <f>E56+76</f>
        <v>11690</v>
      </c>
      <c r="G56">
        <v>11637</v>
      </c>
      <c r="H56" s="1">
        <v>0.5</v>
      </c>
      <c r="I56" s="1">
        <v>0.66666666666666663</v>
      </c>
      <c r="J56" s="4">
        <f t="shared" si="14"/>
        <v>2.4603334553028362</v>
      </c>
      <c r="K56">
        <f t="shared" si="15"/>
        <v>76</v>
      </c>
      <c r="L56">
        <f t="shared" si="16"/>
        <v>23</v>
      </c>
      <c r="M56" s="2">
        <f t="shared" si="17"/>
        <v>121.78650603749038</v>
      </c>
      <c r="N56" s="5">
        <f t="shared" si="7"/>
        <v>1.2073170731707251E-2</v>
      </c>
      <c r="O56" s="5">
        <f t="shared" si="8"/>
        <v>2.0915367277911899E-2</v>
      </c>
      <c r="P56" s="2">
        <f t="shared" si="18"/>
        <v>10209.153672779119</v>
      </c>
      <c r="AG56">
        <f t="shared" si="5"/>
        <v>0</v>
      </c>
      <c r="AH56">
        <f t="shared" si="6"/>
        <v>-99.601499246625565</v>
      </c>
    </row>
    <row r="57" spans="3:34" x14ac:dyDescent="0.25">
      <c r="C57" s="6">
        <v>43542</v>
      </c>
      <c r="D57" t="s">
        <v>11</v>
      </c>
      <c r="E57">
        <v>11708</v>
      </c>
      <c r="F57">
        <v>11668</v>
      </c>
      <c r="G57">
        <v>11668</v>
      </c>
      <c r="H57" s="1">
        <v>0.91666666666666663</v>
      </c>
      <c r="I57" s="1">
        <v>0.91666666666666663</v>
      </c>
      <c r="J57" s="4">
        <f t="shared" si="14"/>
        <v>2.4900374811656389</v>
      </c>
      <c r="K57">
        <f t="shared" si="15"/>
        <v>-40</v>
      </c>
      <c r="L57">
        <f t="shared" si="16"/>
        <v>-40</v>
      </c>
      <c r="M57" s="2">
        <f t="shared" si="17"/>
        <v>-99.601499246625565</v>
      </c>
      <c r="N57" s="5">
        <f t="shared" si="7"/>
        <v>-9.7560975609756722E-3</v>
      </c>
      <c r="O57" s="5">
        <f t="shared" si="8"/>
        <v>1.0955217353249282E-2</v>
      </c>
      <c r="P57" s="2">
        <f t="shared" si="18"/>
        <v>10109.552173532493</v>
      </c>
      <c r="AG57">
        <f t="shared" si="5"/>
        <v>290.95784304313031</v>
      </c>
      <c r="AH57">
        <f t="shared" si="6"/>
        <v>0</v>
      </c>
    </row>
    <row r="58" spans="3:34" x14ac:dyDescent="0.25">
      <c r="C58" s="6">
        <v>43543</v>
      </c>
      <c r="D58" t="s">
        <v>11</v>
      </c>
      <c r="E58">
        <v>11659</v>
      </c>
      <c r="F58">
        <f>E58+76</f>
        <v>11735</v>
      </c>
      <c r="G58">
        <f>E58+160</f>
        <v>11819</v>
      </c>
      <c r="H58" s="1">
        <v>0.45833333333333331</v>
      </c>
      <c r="I58" s="1">
        <v>0.66666666666666663</v>
      </c>
      <c r="J58" s="4">
        <f t="shared" si="14"/>
        <v>2.4657444325689011</v>
      </c>
      <c r="K58">
        <f t="shared" si="15"/>
        <v>76</v>
      </c>
      <c r="L58">
        <f t="shared" si="16"/>
        <v>160</v>
      </c>
      <c r="M58" s="2">
        <f t="shared" si="17"/>
        <v>290.95784304313031</v>
      </c>
      <c r="N58" s="5">
        <f t="shared" si="7"/>
        <v>2.878048780487804E-2</v>
      </c>
      <c r="O58" s="5">
        <f t="shared" si="8"/>
        <v>4.0051001657562299E-2</v>
      </c>
      <c r="P58" s="2">
        <f t="shared" si="18"/>
        <v>10400.510016575623</v>
      </c>
      <c r="AG58">
        <f t="shared" si="5"/>
        <v>0</v>
      </c>
      <c r="AH58">
        <f t="shared" si="6"/>
        <v>-139.51903680772179</v>
      </c>
    </row>
    <row r="59" spans="3:34" x14ac:dyDescent="0.25">
      <c r="C59" s="6">
        <v>43544</v>
      </c>
      <c r="D59" t="s">
        <v>11</v>
      </c>
      <c r="E59">
        <v>11696</v>
      </c>
      <c r="F59">
        <v>11641</v>
      </c>
      <c r="G59">
        <v>11641</v>
      </c>
      <c r="H59" s="1">
        <v>0.5</v>
      </c>
      <c r="J59" s="4">
        <f t="shared" si="14"/>
        <v>2.5367097601403961</v>
      </c>
      <c r="K59">
        <f t="shared" si="15"/>
        <v>-55</v>
      </c>
      <c r="L59">
        <f t="shared" si="16"/>
        <v>-55</v>
      </c>
      <c r="M59" s="2">
        <f t="shared" si="17"/>
        <v>-139.51903680772179</v>
      </c>
      <c r="N59" s="5">
        <f t="shared" si="7"/>
        <v>-1.3414634146341479E-2</v>
      </c>
      <c r="O59" s="5">
        <f t="shared" si="8"/>
        <v>2.6099097976790109E-2</v>
      </c>
      <c r="P59" s="2">
        <f t="shared" si="18"/>
        <v>10260.990979767901</v>
      </c>
      <c r="AG59">
        <f t="shared" si="5"/>
        <v>147.65816287958688</v>
      </c>
      <c r="AH59">
        <f t="shared" si="6"/>
        <v>0</v>
      </c>
    </row>
    <row r="60" spans="3:34" x14ac:dyDescent="0.25">
      <c r="C60" s="6">
        <v>43545</v>
      </c>
      <c r="D60" t="s">
        <v>8</v>
      </c>
      <c r="E60">
        <v>11590</v>
      </c>
      <c r="F60">
        <f>E60-76</f>
        <v>11514</v>
      </c>
      <c r="G60">
        <v>11548</v>
      </c>
      <c r="H60" s="1">
        <v>0.54166666666666663</v>
      </c>
      <c r="I60" s="1">
        <v>0.70833333333333337</v>
      </c>
      <c r="J60" s="4">
        <f t="shared" si="14"/>
        <v>2.5026807267726587</v>
      </c>
      <c r="K60">
        <f t="shared" si="15"/>
        <v>76</v>
      </c>
      <c r="L60">
        <f t="shared" si="16"/>
        <v>42</v>
      </c>
      <c r="M60" s="2">
        <f t="shared" si="17"/>
        <v>147.65816287958688</v>
      </c>
      <c r="N60" s="5">
        <f t="shared" si="7"/>
        <v>1.4390243902438997E-2</v>
      </c>
      <c r="O60" s="5">
        <f t="shared" si="8"/>
        <v>4.0864914264748767E-2</v>
      </c>
      <c r="P60" s="2">
        <f t="shared" si="18"/>
        <v>10408.649142647488</v>
      </c>
      <c r="AG60">
        <f t="shared" si="5"/>
        <v>0</v>
      </c>
      <c r="AH60">
        <f t="shared" si="6"/>
        <v>-50.77389825681702</v>
      </c>
    </row>
    <row r="61" spans="3:34" x14ac:dyDescent="0.25">
      <c r="C61" s="6">
        <v>43546</v>
      </c>
      <c r="D61" t="s">
        <v>11</v>
      </c>
      <c r="E61">
        <v>11561</v>
      </c>
      <c r="F61">
        <v>11541</v>
      </c>
      <c r="G61">
        <v>11541</v>
      </c>
      <c r="H61" s="1">
        <v>0.41666666666666669</v>
      </c>
      <c r="J61" s="4">
        <f t="shared" si="14"/>
        <v>2.5386949128408509</v>
      </c>
      <c r="K61">
        <f t="shared" si="15"/>
        <v>-20</v>
      </c>
      <c r="L61">
        <f t="shared" si="16"/>
        <v>-20</v>
      </c>
      <c r="M61" s="2">
        <f t="shared" si="17"/>
        <v>-50.77389825681702</v>
      </c>
      <c r="N61" s="5">
        <f t="shared" si="7"/>
        <v>-4.8780487804878153E-3</v>
      </c>
      <c r="O61" s="5">
        <f t="shared" si="8"/>
        <v>3.5787524439067055E-2</v>
      </c>
      <c r="P61" s="2">
        <f t="shared" si="18"/>
        <v>10357.875244390671</v>
      </c>
      <c r="AG61">
        <f t="shared" si="5"/>
        <v>0</v>
      </c>
      <c r="AH61">
        <f t="shared" si="6"/>
        <v>-209.68381592303066</v>
      </c>
    </row>
    <row r="62" spans="3:34" x14ac:dyDescent="0.25">
      <c r="C62" s="6">
        <v>43549</v>
      </c>
      <c r="D62" t="s">
        <v>8</v>
      </c>
      <c r="E62">
        <v>11273</v>
      </c>
      <c r="F62">
        <v>11356</v>
      </c>
      <c r="G62">
        <v>11356</v>
      </c>
      <c r="H62" s="1">
        <v>0.41666666666666669</v>
      </c>
      <c r="J62" s="4">
        <f t="shared" si="14"/>
        <v>2.5263110352172369</v>
      </c>
      <c r="K62">
        <f t="shared" si="15"/>
        <v>-83</v>
      </c>
      <c r="L62">
        <f t="shared" si="16"/>
        <v>-83</v>
      </c>
      <c r="M62" s="2">
        <f t="shared" si="17"/>
        <v>-209.68381592303066</v>
      </c>
      <c r="N62" s="5">
        <f t="shared" si="7"/>
        <v>-2.0243902439024339E-2</v>
      </c>
      <c r="O62" s="5">
        <f t="shared" si="8"/>
        <v>1.4819142846764043E-2</v>
      </c>
      <c r="P62" s="2">
        <f t="shared" si="18"/>
        <v>10148.19142846764</v>
      </c>
      <c r="AG62">
        <f t="shared" si="5"/>
        <v>91.58123972031774</v>
      </c>
      <c r="AH62">
        <f t="shared" si="6"/>
        <v>0</v>
      </c>
    </row>
    <row r="63" spans="3:34" x14ac:dyDescent="0.25">
      <c r="C63" s="6">
        <v>43550</v>
      </c>
      <c r="D63" t="s">
        <v>8</v>
      </c>
      <c r="E63">
        <v>11378</v>
      </c>
      <c r="F63">
        <v>11302</v>
      </c>
      <c r="G63">
        <v>11380</v>
      </c>
      <c r="H63" s="1">
        <v>0.41666666666666669</v>
      </c>
      <c r="I63" s="1">
        <v>0.54166666666666663</v>
      </c>
      <c r="J63" s="4">
        <f t="shared" si="14"/>
        <v>2.4751686410896685</v>
      </c>
      <c r="K63">
        <f t="shared" si="15"/>
        <v>76</v>
      </c>
      <c r="L63">
        <f t="shared" si="16"/>
        <v>-2</v>
      </c>
      <c r="M63" s="2">
        <f t="shared" si="17"/>
        <v>91.58123972031774</v>
      </c>
      <c r="N63" s="5">
        <f t="shared" si="7"/>
        <v>9.0243902439023846E-3</v>
      </c>
      <c r="O63" s="5">
        <f t="shared" si="8"/>
        <v>2.3977266818795761E-2</v>
      </c>
      <c r="P63" s="2">
        <f t="shared" si="18"/>
        <v>10239.772668187958</v>
      </c>
      <c r="AG63">
        <f t="shared" si="5"/>
        <v>0</v>
      </c>
      <c r="AH63">
        <f t="shared" si="6"/>
        <v>-204.79545336375915</v>
      </c>
    </row>
    <row r="64" spans="3:34" x14ac:dyDescent="0.25">
      <c r="C64" s="6">
        <v>43551</v>
      </c>
      <c r="D64" t="s">
        <v>11</v>
      </c>
      <c r="E64">
        <v>11463</v>
      </c>
      <c r="F64">
        <f>E64-82</f>
        <v>11381</v>
      </c>
      <c r="G64">
        <f>F64</f>
        <v>11381</v>
      </c>
      <c r="H64" s="1">
        <v>0.45833333333333331</v>
      </c>
      <c r="J64" s="4">
        <f t="shared" si="14"/>
        <v>2.497505528826331</v>
      </c>
      <c r="K64">
        <f t="shared" si="15"/>
        <v>-82</v>
      </c>
      <c r="L64">
        <f t="shared" si="16"/>
        <v>-82</v>
      </c>
      <c r="M64" s="2">
        <f t="shared" si="17"/>
        <v>-204.79545336375915</v>
      </c>
      <c r="N64" s="5">
        <f t="shared" si="7"/>
        <v>-1.9999999999999934E-2</v>
      </c>
      <c r="O64" s="5">
        <f t="shared" si="8"/>
        <v>3.497721482419911E-3</v>
      </c>
      <c r="P64" s="2">
        <f t="shared" si="18"/>
        <v>10034.977214824199</v>
      </c>
      <c r="AG64">
        <f t="shared" si="5"/>
        <v>86.888217347868078</v>
      </c>
      <c r="AH64">
        <f t="shared" si="6"/>
        <v>0</v>
      </c>
    </row>
    <row r="65" spans="3:34" x14ac:dyDescent="0.25">
      <c r="C65" s="6">
        <v>43552</v>
      </c>
      <c r="D65" t="s">
        <v>11</v>
      </c>
      <c r="E65">
        <v>11418</v>
      </c>
      <c r="F65">
        <v>11495</v>
      </c>
      <c r="G65">
        <v>11412</v>
      </c>
      <c r="H65" s="1">
        <v>0.45833333333333331</v>
      </c>
      <c r="I65" s="1">
        <v>0.70833333333333337</v>
      </c>
      <c r="J65" s="4">
        <f t="shared" si="14"/>
        <v>2.4475554182498049</v>
      </c>
      <c r="K65">
        <f t="shared" si="15"/>
        <v>77</v>
      </c>
      <c r="L65">
        <f t="shared" si="16"/>
        <v>-6</v>
      </c>
      <c r="M65" s="2">
        <f t="shared" si="17"/>
        <v>86.888217347868078</v>
      </c>
      <c r="N65" s="5">
        <f t="shared" si="7"/>
        <v>8.6585365853659169E-3</v>
      </c>
      <c r="O65" s="5">
        <f t="shared" si="8"/>
        <v>1.2186543217206781E-2</v>
      </c>
      <c r="P65" s="2">
        <f t="shared" si="18"/>
        <v>10121.865432172068</v>
      </c>
      <c r="AG65">
        <f t="shared" si="5"/>
        <v>140.71861698385558</v>
      </c>
      <c r="AH65">
        <f t="shared" si="6"/>
        <v>0</v>
      </c>
    </row>
    <row r="66" spans="3:34" x14ac:dyDescent="0.25">
      <c r="C66" s="6">
        <v>43553</v>
      </c>
      <c r="D66" t="s">
        <v>11</v>
      </c>
      <c r="E66">
        <v>11487</v>
      </c>
      <c r="F66">
        <v>11544</v>
      </c>
      <c r="G66">
        <v>11544</v>
      </c>
      <c r="H66" s="1">
        <v>0.91666666666666663</v>
      </c>
      <c r="I66" s="1">
        <v>0.91666666666666663</v>
      </c>
      <c r="J66" s="4">
        <f t="shared" si="14"/>
        <v>2.4687476663834311</v>
      </c>
      <c r="K66">
        <f t="shared" si="15"/>
        <v>57</v>
      </c>
      <c r="L66">
        <f t="shared" si="16"/>
        <v>57</v>
      </c>
      <c r="M66" s="2">
        <f t="shared" si="17"/>
        <v>140.71861698385558</v>
      </c>
      <c r="N66" s="5">
        <f t="shared" si="7"/>
        <v>1.3902439024390197E-2</v>
      </c>
      <c r="O66" s="5">
        <f t="shared" si="8"/>
        <v>2.6258404915592292E-2</v>
      </c>
      <c r="P66" s="2">
        <f t="shared" si="18"/>
        <v>10262.584049155923</v>
      </c>
      <c r="AG66">
        <f t="shared" si="5"/>
        <v>197.74247314227264</v>
      </c>
      <c r="AH66">
        <f t="shared" si="6"/>
        <v>0</v>
      </c>
    </row>
    <row r="67" spans="3:34" x14ac:dyDescent="0.25">
      <c r="C67" s="6">
        <v>43556</v>
      </c>
      <c r="D67" t="s">
        <v>11</v>
      </c>
      <c r="E67">
        <v>11630</v>
      </c>
      <c r="F67">
        <v>11709</v>
      </c>
      <c r="G67">
        <v>11709</v>
      </c>
      <c r="H67" s="1">
        <v>0.91666666666666663</v>
      </c>
      <c r="I67" s="1">
        <v>0.91666666666666663</v>
      </c>
      <c r="J67" s="4">
        <f t="shared" si="14"/>
        <v>2.5030692802819323</v>
      </c>
      <c r="K67">
        <f t="shared" si="15"/>
        <v>79</v>
      </c>
      <c r="L67">
        <f t="shared" si="16"/>
        <v>79</v>
      </c>
      <c r="M67" s="2">
        <f t="shared" si="17"/>
        <v>197.74247314227264</v>
      </c>
      <c r="N67" s="5">
        <f t="shared" si="7"/>
        <v>1.9268292682926815E-2</v>
      </c>
      <c r="O67" s="5">
        <f t="shared" si="8"/>
        <v>4.6032652229819539E-2</v>
      </c>
      <c r="P67" s="2">
        <f t="shared" si="18"/>
        <v>10460.326522298195</v>
      </c>
      <c r="AG67">
        <f t="shared" si="5"/>
        <v>0</v>
      </c>
      <c r="AH67">
        <f t="shared" si="6"/>
        <v>-155.62924825858292</v>
      </c>
    </row>
    <row r="68" spans="3:34" x14ac:dyDescent="0.25">
      <c r="C68" s="6">
        <v>43557</v>
      </c>
      <c r="D68" t="s">
        <v>8</v>
      </c>
      <c r="E68">
        <v>11678</v>
      </c>
      <c r="F68">
        <v>11739</v>
      </c>
      <c r="G68">
        <v>11739</v>
      </c>
      <c r="H68" s="1">
        <v>0.54166666666666663</v>
      </c>
      <c r="J68" s="4">
        <f t="shared" si="14"/>
        <v>2.5512991517800478</v>
      </c>
      <c r="K68">
        <f t="shared" si="15"/>
        <v>-61</v>
      </c>
      <c r="L68">
        <f t="shared" si="16"/>
        <v>-61</v>
      </c>
      <c r="M68" s="2">
        <f t="shared" si="17"/>
        <v>-155.62924825858292</v>
      </c>
      <c r="N68" s="5">
        <f t="shared" si="7"/>
        <v>-1.487804878048783E-2</v>
      </c>
      <c r="O68" s="5">
        <f t="shared" si="8"/>
        <v>3.0469727403961224E-2</v>
      </c>
      <c r="P68" s="2">
        <f t="shared" si="18"/>
        <v>10304.697274039612</v>
      </c>
      <c r="AG68">
        <f t="shared" ref="AG68:AG86" si="19">IF(M69&gt;0,M69,0)</f>
        <v>204.83727508151915</v>
      </c>
      <c r="AH68">
        <f t="shared" ref="AH68:AH86" si="20">IF(M69&lt;0,M69,0)</f>
        <v>0</v>
      </c>
    </row>
    <row r="69" spans="3:34" x14ac:dyDescent="0.25">
      <c r="C69" s="6">
        <v>43558</v>
      </c>
      <c r="D69" t="s">
        <v>11</v>
      </c>
      <c r="E69">
        <v>11856</v>
      </c>
      <c r="F69">
        <f>E69+76</f>
        <v>11932</v>
      </c>
      <c r="G69">
        <v>11943</v>
      </c>
      <c r="H69" s="1">
        <v>0.70833333333333337</v>
      </c>
      <c r="I69" s="1">
        <v>0.91666666666666663</v>
      </c>
      <c r="J69" s="4">
        <f t="shared" si="14"/>
        <v>2.5133407985462473</v>
      </c>
      <c r="K69">
        <f t="shared" si="15"/>
        <v>76</v>
      </c>
      <c r="L69">
        <f t="shared" si="16"/>
        <v>87</v>
      </c>
      <c r="M69" s="2">
        <f t="shared" si="17"/>
        <v>204.83727508151915</v>
      </c>
      <c r="N69" s="5">
        <f t="shared" ref="N69:N86" si="21">(P69-P68)/P68</f>
        <v>1.9878048780487861E-2</v>
      </c>
      <c r="O69" s="5">
        <f t="shared" ref="O69:O86" si="22">(P69-$P$3)/$P$3</f>
        <v>5.0953454912113193E-2</v>
      </c>
      <c r="P69" s="2">
        <f t="shared" si="18"/>
        <v>10509.534549121132</v>
      </c>
      <c r="AG69">
        <f t="shared" si="19"/>
        <v>160.2063193463587</v>
      </c>
      <c r="AH69">
        <f t="shared" si="20"/>
        <v>0</v>
      </c>
    </row>
    <row r="70" spans="3:34" x14ac:dyDescent="0.25">
      <c r="C70" s="6">
        <v>43559</v>
      </c>
      <c r="D70" t="s">
        <v>11</v>
      </c>
      <c r="E70">
        <v>11942</v>
      </c>
      <c r="F70">
        <v>12019</v>
      </c>
      <c r="G70">
        <v>11990</v>
      </c>
      <c r="H70" s="1">
        <v>0.70833333333333337</v>
      </c>
      <c r="I70" s="1">
        <v>0.91666666666666663</v>
      </c>
      <c r="J70" s="4">
        <f t="shared" si="14"/>
        <v>2.5633011095417393</v>
      </c>
      <c r="K70">
        <f t="shared" si="15"/>
        <v>77</v>
      </c>
      <c r="L70">
        <f t="shared" si="16"/>
        <v>48</v>
      </c>
      <c r="M70" s="2">
        <f t="shared" si="17"/>
        <v>160.2063193463587</v>
      </c>
      <c r="N70" s="5">
        <f t="shared" si="21"/>
        <v>1.5243902439024343E-2</v>
      </c>
      <c r="O70" s="5">
        <f t="shared" si="22"/>
        <v>6.697408684674902E-2</v>
      </c>
      <c r="P70" s="2">
        <f t="shared" si="18"/>
        <v>10669.74086846749</v>
      </c>
      <c r="AG70">
        <f t="shared" si="19"/>
        <v>0</v>
      </c>
      <c r="AH70">
        <f t="shared" si="20"/>
        <v>-2.6023758215774366</v>
      </c>
    </row>
    <row r="71" spans="3:34" x14ac:dyDescent="0.25">
      <c r="C71" s="6">
        <v>43560</v>
      </c>
      <c r="D71" t="s">
        <v>11</v>
      </c>
      <c r="E71">
        <v>11995</v>
      </c>
      <c r="F71">
        <v>11994</v>
      </c>
      <c r="G71">
        <v>11994</v>
      </c>
      <c r="H71" s="1">
        <v>0.91666666666666663</v>
      </c>
      <c r="I71" s="1">
        <v>0.91666666666666663</v>
      </c>
      <c r="J71" s="4">
        <f t="shared" si="14"/>
        <v>2.6023758215774366</v>
      </c>
      <c r="K71">
        <f t="shared" si="15"/>
        <v>-1</v>
      </c>
      <c r="L71">
        <f t="shared" si="16"/>
        <v>-1</v>
      </c>
      <c r="M71" s="2">
        <f t="shared" si="17"/>
        <v>-2.6023758215774366</v>
      </c>
      <c r="N71" s="5">
        <f t="shared" si="21"/>
        <v>-2.439024390244318E-4</v>
      </c>
      <c r="O71" s="5">
        <f t="shared" si="22"/>
        <v>6.671384926459123E-2</v>
      </c>
      <c r="P71" s="2">
        <f t="shared" si="18"/>
        <v>10667.138492645912</v>
      </c>
      <c r="AG71">
        <f t="shared" si="19"/>
        <v>10.406964383069184</v>
      </c>
      <c r="AH71">
        <f t="shared" si="20"/>
        <v>0</v>
      </c>
    </row>
    <row r="72" spans="3:34" x14ac:dyDescent="0.25">
      <c r="C72" s="6">
        <v>43563</v>
      </c>
      <c r="D72" t="s">
        <v>8</v>
      </c>
      <c r="E72">
        <v>11952</v>
      </c>
      <c r="F72">
        <v>11948</v>
      </c>
      <c r="G72">
        <v>11948</v>
      </c>
      <c r="H72" s="1">
        <v>0.91666666666666663</v>
      </c>
      <c r="I72" s="1">
        <v>0.91666666666666663</v>
      </c>
      <c r="J72" s="4">
        <f t="shared" si="14"/>
        <v>2.601741095767296</v>
      </c>
      <c r="K72">
        <f t="shared" si="15"/>
        <v>4</v>
      </c>
      <c r="L72">
        <f t="shared" si="16"/>
        <v>4</v>
      </c>
      <c r="M72" s="2">
        <f t="shared" si="17"/>
        <v>10.406964383069184</v>
      </c>
      <c r="N72" s="5">
        <f t="shared" si="21"/>
        <v>9.7560975609762473E-4</v>
      </c>
      <c r="O72" s="5">
        <f t="shared" si="22"/>
        <v>6.7754545702898211E-2</v>
      </c>
      <c r="P72" s="2">
        <f t="shared" si="18"/>
        <v>10677.545457028982</v>
      </c>
      <c r="AG72">
        <f t="shared" si="19"/>
        <v>184.9038359631848</v>
      </c>
      <c r="AH72">
        <f t="shared" si="20"/>
        <v>0</v>
      </c>
    </row>
    <row r="73" spans="3:34" x14ac:dyDescent="0.25">
      <c r="C73" s="6">
        <v>43564</v>
      </c>
      <c r="D73" t="s">
        <v>8</v>
      </c>
      <c r="E73">
        <v>11921</v>
      </c>
      <c r="F73">
        <v>11850</v>
      </c>
      <c r="G73">
        <v>11850</v>
      </c>
      <c r="H73" s="1">
        <v>0.91666666666666663</v>
      </c>
      <c r="I73" s="1">
        <v>0.91666666666666663</v>
      </c>
      <c r="J73" s="4">
        <f t="shared" si="14"/>
        <v>2.6042793797631663</v>
      </c>
      <c r="K73">
        <f t="shared" si="15"/>
        <v>71</v>
      </c>
      <c r="L73">
        <f t="shared" si="16"/>
        <v>71</v>
      </c>
      <c r="M73" s="2">
        <f t="shared" si="17"/>
        <v>184.9038359631848</v>
      </c>
      <c r="N73" s="5">
        <f t="shared" si="21"/>
        <v>1.7317073170731723E-2</v>
      </c>
      <c r="O73" s="5">
        <f t="shared" si="22"/>
        <v>8.6244929299216705E-2</v>
      </c>
      <c r="P73" s="2">
        <f t="shared" si="18"/>
        <v>10862.449292992167</v>
      </c>
      <c r="AG73">
        <f t="shared" si="19"/>
        <v>111.27387080626121</v>
      </c>
      <c r="AH73">
        <f t="shared" si="20"/>
        <v>0</v>
      </c>
    </row>
    <row r="74" spans="3:34" x14ac:dyDescent="0.25">
      <c r="C74" s="6">
        <v>43565</v>
      </c>
      <c r="D74" t="s">
        <v>11</v>
      </c>
      <c r="E74">
        <v>11871</v>
      </c>
      <c r="F74">
        <v>11913</v>
      </c>
      <c r="G74">
        <v>11913</v>
      </c>
      <c r="H74" s="1">
        <v>0.91666666666666663</v>
      </c>
      <c r="I74" s="1">
        <v>0.91666666666666663</v>
      </c>
      <c r="J74" s="4">
        <f t="shared" si="14"/>
        <v>2.6493778763395528</v>
      </c>
      <c r="K74">
        <f t="shared" si="15"/>
        <v>42</v>
      </c>
      <c r="L74">
        <f t="shared" si="16"/>
        <v>42</v>
      </c>
      <c r="M74" s="2">
        <f t="shared" si="17"/>
        <v>111.27387080626121</v>
      </c>
      <c r="N74" s="5">
        <f t="shared" si="21"/>
        <v>1.024390243902434E-2</v>
      </c>
      <c r="O74" s="5">
        <f t="shared" si="22"/>
        <v>9.7372316379842783E-2</v>
      </c>
      <c r="P74" s="2">
        <f t="shared" si="18"/>
        <v>10973.723163798428</v>
      </c>
      <c r="AG74">
        <f t="shared" si="19"/>
        <v>37.471249827604382</v>
      </c>
      <c r="AH74">
        <f t="shared" si="20"/>
        <v>0</v>
      </c>
    </row>
    <row r="75" spans="3:34" x14ac:dyDescent="0.25">
      <c r="C75" s="6">
        <v>43566</v>
      </c>
      <c r="D75" t="s">
        <v>11</v>
      </c>
      <c r="E75">
        <v>11895</v>
      </c>
      <c r="F75">
        <v>11909</v>
      </c>
      <c r="G75">
        <v>11909</v>
      </c>
      <c r="H75" s="1">
        <v>0.91666666666666663</v>
      </c>
      <c r="I75" s="1">
        <v>0.91666666666666663</v>
      </c>
      <c r="J75" s="4">
        <f t="shared" si="14"/>
        <v>2.6765178448288847</v>
      </c>
      <c r="K75">
        <f t="shared" si="15"/>
        <v>14</v>
      </c>
      <c r="L75">
        <f t="shared" si="16"/>
        <v>14</v>
      </c>
      <c r="M75" s="2">
        <f t="shared" si="17"/>
        <v>37.471249827604382</v>
      </c>
      <c r="N75" s="5">
        <f t="shared" si="21"/>
        <v>3.4146341463414252E-3</v>
      </c>
      <c r="O75" s="5">
        <f t="shared" si="22"/>
        <v>0.10111944136260317</v>
      </c>
      <c r="P75" s="2">
        <f t="shared" si="18"/>
        <v>11011.194413626032</v>
      </c>
      <c r="AG75">
        <f t="shared" si="19"/>
        <v>204.10994522818987</v>
      </c>
      <c r="AH75">
        <f t="shared" si="20"/>
        <v>0</v>
      </c>
    </row>
    <row r="76" spans="3:34" x14ac:dyDescent="0.25">
      <c r="C76" s="6">
        <v>43567</v>
      </c>
      <c r="D76" t="s">
        <v>11</v>
      </c>
      <c r="E76">
        <v>11942</v>
      </c>
      <c r="F76">
        <v>12018</v>
      </c>
      <c r="G76">
        <v>12018</v>
      </c>
      <c r="H76" s="1">
        <v>0.625</v>
      </c>
      <c r="I76" s="1">
        <v>0.91666666666666663</v>
      </c>
      <c r="J76" s="4">
        <f t="shared" si="14"/>
        <v>2.6856571740551298</v>
      </c>
      <c r="K76">
        <f t="shared" si="15"/>
        <v>76</v>
      </c>
      <c r="L76">
        <f t="shared" si="16"/>
        <v>76</v>
      </c>
      <c r="M76" s="2">
        <f t="shared" si="17"/>
        <v>204.10994522818987</v>
      </c>
      <c r="N76" s="5">
        <f t="shared" si="21"/>
        <v>1.8536585365853724E-2</v>
      </c>
      <c r="O76" s="5">
        <f t="shared" si="22"/>
        <v>0.12153043588542223</v>
      </c>
      <c r="P76" s="2">
        <f t="shared" si="18"/>
        <v>11215.304358854222</v>
      </c>
      <c r="AG76">
        <f t="shared" si="19"/>
        <v>2.7354400875254203</v>
      </c>
      <c r="AH76">
        <f t="shared" si="20"/>
        <v>0</v>
      </c>
    </row>
    <row r="77" spans="3:34" x14ac:dyDescent="0.25">
      <c r="C77" s="6">
        <v>43570</v>
      </c>
      <c r="D77" t="s">
        <v>8</v>
      </c>
      <c r="E77">
        <v>12015</v>
      </c>
      <c r="F77">
        <v>12014</v>
      </c>
      <c r="G77">
        <v>12014</v>
      </c>
      <c r="H77" s="1">
        <v>0.91666666666666663</v>
      </c>
      <c r="I77" s="1">
        <v>0.91666666666666663</v>
      </c>
      <c r="J77" s="4">
        <f t="shared" si="14"/>
        <v>2.7354400875254203</v>
      </c>
      <c r="K77">
        <f t="shared" si="15"/>
        <v>1</v>
      </c>
      <c r="L77">
        <f t="shared" si="16"/>
        <v>1</v>
      </c>
      <c r="M77" s="2">
        <f t="shared" si="17"/>
        <v>2.7354400875254203</v>
      </c>
      <c r="N77" s="5">
        <f t="shared" si="21"/>
        <v>2.4390243902432549E-4</v>
      </c>
      <c r="O77" s="5">
        <f t="shared" si="22"/>
        <v>0.1218039798941747</v>
      </c>
      <c r="P77" s="2">
        <f t="shared" si="18"/>
        <v>11218.039798941747</v>
      </c>
      <c r="AG77">
        <f t="shared" si="19"/>
        <v>150.48589974190148</v>
      </c>
      <c r="AH77">
        <f t="shared" si="20"/>
        <v>0</v>
      </c>
    </row>
    <row r="78" spans="3:34" x14ac:dyDescent="0.25">
      <c r="C78" s="6">
        <v>43571</v>
      </c>
      <c r="D78" t="s">
        <v>11</v>
      </c>
      <c r="E78">
        <v>12050</v>
      </c>
      <c r="F78">
        <v>12105</v>
      </c>
      <c r="G78">
        <v>12105</v>
      </c>
      <c r="H78" s="1">
        <v>0.91666666666666663</v>
      </c>
      <c r="I78" s="1">
        <v>0.91666666666666663</v>
      </c>
      <c r="J78" s="4">
        <f t="shared" si="14"/>
        <v>2.7361072680345724</v>
      </c>
      <c r="K78">
        <f t="shared" si="15"/>
        <v>55</v>
      </c>
      <c r="L78">
        <f t="shared" si="16"/>
        <v>55</v>
      </c>
      <c r="M78" s="2">
        <f t="shared" si="17"/>
        <v>150.48589974190148</v>
      </c>
      <c r="N78" s="5">
        <f t="shared" si="21"/>
        <v>1.341463414634146E-2</v>
      </c>
      <c r="O78" s="5">
        <f t="shared" si="22"/>
        <v>0.13685256986836483</v>
      </c>
      <c r="P78" s="2">
        <f t="shared" si="18"/>
        <v>11368.525698683648</v>
      </c>
      <c r="AG78">
        <f t="shared" si="19"/>
        <v>174.68710219928533</v>
      </c>
      <c r="AH78">
        <f t="shared" si="20"/>
        <v>0</v>
      </c>
    </row>
    <row r="79" spans="3:34" x14ac:dyDescent="0.25">
      <c r="C79" s="6">
        <v>43572</v>
      </c>
      <c r="D79" t="s">
        <v>11</v>
      </c>
      <c r="E79">
        <v>12114</v>
      </c>
      <c r="F79">
        <v>12190</v>
      </c>
      <c r="G79">
        <v>12164</v>
      </c>
      <c r="H79" s="1">
        <v>0.66666666666666663</v>
      </c>
      <c r="I79" s="1">
        <v>0.91666666666666663</v>
      </c>
      <c r="J79" s="4">
        <f t="shared" si="14"/>
        <v>2.7728111460204024</v>
      </c>
      <c r="K79">
        <f t="shared" si="15"/>
        <v>76</v>
      </c>
      <c r="L79">
        <f t="shared" si="16"/>
        <v>50</v>
      </c>
      <c r="M79" s="2">
        <f t="shared" si="17"/>
        <v>174.68710219928533</v>
      </c>
      <c r="N79" s="5">
        <f t="shared" si="21"/>
        <v>1.5365853658536531E-2</v>
      </c>
      <c r="O79" s="5">
        <f t="shared" si="22"/>
        <v>0.15432128008829332</v>
      </c>
      <c r="P79" s="2">
        <f t="shared" si="18"/>
        <v>11543.212800882933</v>
      </c>
      <c r="AG79">
        <f t="shared" si="19"/>
        <v>0</v>
      </c>
      <c r="AH79">
        <f t="shared" si="20"/>
        <v>-230.86425601765868</v>
      </c>
    </row>
    <row r="80" spans="3:34" x14ac:dyDescent="0.25">
      <c r="C80" s="6">
        <v>43573</v>
      </c>
      <c r="D80" t="s">
        <v>8</v>
      </c>
      <c r="E80">
        <v>12109</v>
      </c>
      <c r="F80">
        <f>E80+82</f>
        <v>12191</v>
      </c>
      <c r="G80">
        <f>F80</f>
        <v>12191</v>
      </c>
      <c r="H80" s="1">
        <v>0.5</v>
      </c>
      <c r="J80" s="4">
        <f t="shared" si="14"/>
        <v>2.8154177563129106</v>
      </c>
      <c r="K80">
        <f t="shared" si="15"/>
        <v>-82</v>
      </c>
      <c r="L80">
        <f t="shared" si="16"/>
        <v>-82</v>
      </c>
      <c r="M80" s="2">
        <f t="shared" si="17"/>
        <v>-230.86425601765868</v>
      </c>
      <c r="N80" s="5">
        <f t="shared" si="21"/>
        <v>-2.0000000000000073E-2</v>
      </c>
      <c r="O80" s="5">
        <f t="shared" si="22"/>
        <v>0.13123485448652736</v>
      </c>
      <c r="P80" s="2">
        <f t="shared" si="18"/>
        <v>11312.348544865274</v>
      </c>
      <c r="AG80">
        <f t="shared" si="19"/>
        <v>0</v>
      </c>
      <c r="AH80">
        <f t="shared" si="20"/>
        <v>-5.5182188023733048</v>
      </c>
    </row>
    <row r="81" spans="3:34" x14ac:dyDescent="0.25">
      <c r="C81" s="6">
        <v>43578</v>
      </c>
      <c r="D81" t="s">
        <v>11</v>
      </c>
      <c r="E81">
        <v>11241</v>
      </c>
      <c r="F81">
        <v>11239</v>
      </c>
      <c r="G81">
        <v>11239</v>
      </c>
      <c r="H81" s="1">
        <v>0.91666666666666663</v>
      </c>
      <c r="I81" s="1">
        <v>0.91666666666666663</v>
      </c>
      <c r="J81" s="4">
        <f t="shared" si="14"/>
        <v>2.7591094011866524</v>
      </c>
      <c r="K81">
        <f t="shared" si="15"/>
        <v>-2</v>
      </c>
      <c r="L81">
        <f t="shared" si="16"/>
        <v>-2</v>
      </c>
      <c r="M81" s="2">
        <f t="shared" si="17"/>
        <v>-5.5182188023733048</v>
      </c>
      <c r="N81" s="5">
        <f t="shared" si="21"/>
        <v>-4.8780487804881258E-4</v>
      </c>
      <c r="O81" s="5">
        <f t="shared" si="22"/>
        <v>0.13068303260628999</v>
      </c>
      <c r="P81" s="2">
        <f t="shared" si="18"/>
        <v>11306.8303260629</v>
      </c>
      <c r="AG81">
        <f t="shared" si="19"/>
        <v>284.04963989865337</v>
      </c>
      <c r="AH81">
        <f t="shared" si="20"/>
        <v>0</v>
      </c>
    </row>
    <row r="82" spans="3:34" x14ac:dyDescent="0.25">
      <c r="C82" s="6">
        <v>43579</v>
      </c>
      <c r="D82" t="s">
        <v>11</v>
      </c>
      <c r="E82">
        <v>12212</v>
      </c>
      <c r="F82">
        <v>12288</v>
      </c>
      <c r="G82">
        <v>12342</v>
      </c>
      <c r="H82" s="1">
        <v>0.5</v>
      </c>
      <c r="I82" s="1">
        <v>0.54166666666666663</v>
      </c>
      <c r="J82" s="4">
        <f t="shared" si="14"/>
        <v>2.7577634941616833</v>
      </c>
      <c r="K82">
        <f t="shared" si="15"/>
        <v>76</v>
      </c>
      <c r="L82">
        <f t="shared" si="16"/>
        <v>130</v>
      </c>
      <c r="M82" s="2">
        <f t="shared" si="17"/>
        <v>284.04963989865337</v>
      </c>
      <c r="N82" s="5">
        <f t="shared" si="21"/>
        <v>2.5121951219512276E-2</v>
      </c>
      <c r="O82" s="5">
        <f t="shared" si="22"/>
        <v>0.15908799659615544</v>
      </c>
      <c r="P82" s="2">
        <f t="shared" si="18"/>
        <v>11590.879965961554</v>
      </c>
      <c r="AG82">
        <f t="shared" si="19"/>
        <v>0</v>
      </c>
      <c r="AH82">
        <f t="shared" si="20"/>
        <v>-231.81759931923108</v>
      </c>
    </row>
    <row r="83" spans="3:34" x14ac:dyDescent="0.25">
      <c r="C83" s="6">
        <v>43580</v>
      </c>
      <c r="D83" t="s">
        <v>11</v>
      </c>
      <c r="E83">
        <v>12328</v>
      </c>
      <c r="F83">
        <f>E83-82</f>
        <v>12246</v>
      </c>
      <c r="G83">
        <f>F83</f>
        <v>12246</v>
      </c>
      <c r="H83" s="1">
        <v>0.70833333333333337</v>
      </c>
      <c r="J83" s="4">
        <f>(P82*$S$3)/-(E83-(E83+82))</f>
        <v>2.8270438941369642</v>
      </c>
      <c r="K83">
        <f t="shared" si="15"/>
        <v>-82</v>
      </c>
      <c r="L83">
        <f t="shared" si="16"/>
        <v>-82</v>
      </c>
      <c r="M83" s="2">
        <f t="shared" si="17"/>
        <v>-231.81759931923108</v>
      </c>
      <c r="N83" s="5">
        <f t="shared" si="21"/>
        <v>-1.9999999999999976E-2</v>
      </c>
      <c r="O83" s="5">
        <f t="shared" si="22"/>
        <v>0.13590623666423235</v>
      </c>
      <c r="P83" s="2">
        <f t="shared" si="18"/>
        <v>11359.062366642323</v>
      </c>
      <c r="AG83">
        <f t="shared" si="19"/>
        <v>96.967605568897881</v>
      </c>
      <c r="AH83">
        <f t="shared" si="20"/>
        <v>0</v>
      </c>
    </row>
    <row r="84" spans="3:34" x14ac:dyDescent="0.25">
      <c r="C84" s="6">
        <v>43581</v>
      </c>
      <c r="D84" t="s">
        <v>11</v>
      </c>
      <c r="E84">
        <v>12278</v>
      </c>
      <c r="F84">
        <v>12313</v>
      </c>
      <c r="G84">
        <v>12313</v>
      </c>
      <c r="H84" s="1">
        <v>0.91666666666666663</v>
      </c>
      <c r="I84" s="1">
        <v>0.91666666666666663</v>
      </c>
      <c r="J84" s="4">
        <f t="shared" si="14"/>
        <v>2.7705030162542252</v>
      </c>
      <c r="K84">
        <f t="shared" si="15"/>
        <v>35</v>
      </c>
      <c r="L84">
        <f t="shared" si="16"/>
        <v>35</v>
      </c>
      <c r="M84" s="2">
        <f t="shared" si="17"/>
        <v>96.967605568897881</v>
      </c>
      <c r="N84" s="5">
        <f t="shared" si="21"/>
        <v>8.5365853658536557E-3</v>
      </c>
      <c r="O84" s="5">
        <f t="shared" si="22"/>
        <v>0.14560299722112213</v>
      </c>
      <c r="P84" s="2">
        <f t="shared" si="18"/>
        <v>11456.029972211221</v>
      </c>
      <c r="AG84">
        <f t="shared" si="19"/>
        <v>0</v>
      </c>
      <c r="AH84">
        <f t="shared" si="20"/>
        <v>-100.58953146331804</v>
      </c>
    </row>
    <row r="85" spans="3:34" x14ac:dyDescent="0.25">
      <c r="C85" s="6">
        <v>43584</v>
      </c>
      <c r="D85" t="s">
        <v>11</v>
      </c>
      <c r="E85">
        <v>12331</v>
      </c>
      <c r="F85">
        <v>12295</v>
      </c>
      <c r="G85">
        <v>12295</v>
      </c>
      <c r="H85" s="1">
        <v>0.45833333333333331</v>
      </c>
      <c r="J85" s="4">
        <f t="shared" si="14"/>
        <v>2.7941536517588346</v>
      </c>
      <c r="K85">
        <f t="shared" si="15"/>
        <v>-36</v>
      </c>
      <c r="L85">
        <f t="shared" si="16"/>
        <v>-36</v>
      </c>
      <c r="M85" s="2">
        <f t="shared" si="17"/>
        <v>-100.58953146331804</v>
      </c>
      <c r="N85" s="5">
        <f t="shared" si="21"/>
        <v>-8.7804878048780496E-3</v>
      </c>
      <c r="O85" s="5">
        <f t="shared" si="22"/>
        <v>0.13554404407479032</v>
      </c>
      <c r="P85" s="2">
        <f t="shared" si="18"/>
        <v>11355.440440747903</v>
      </c>
      <c r="AG85">
        <f t="shared" si="19"/>
        <v>0</v>
      </c>
      <c r="AH85">
        <f t="shared" si="20"/>
        <v>-146.78983984381438</v>
      </c>
    </row>
    <row r="86" spans="3:34" x14ac:dyDescent="0.25">
      <c r="C86" s="6">
        <v>43585</v>
      </c>
      <c r="D86" t="s">
        <v>8</v>
      </c>
      <c r="E86">
        <v>12306</v>
      </c>
      <c r="F86">
        <v>12359</v>
      </c>
      <c r="G86">
        <v>12359</v>
      </c>
      <c r="H86" s="1">
        <v>0.83333333333333337</v>
      </c>
      <c r="J86" s="4">
        <f t="shared" si="14"/>
        <v>2.7696196196946108</v>
      </c>
      <c r="K86">
        <f t="shared" si="15"/>
        <v>-53</v>
      </c>
      <c r="L86">
        <f t="shared" si="16"/>
        <v>-53</v>
      </c>
      <c r="M86" s="2">
        <f t="shared" si="17"/>
        <v>-146.78983984381438</v>
      </c>
      <c r="N86" s="5">
        <f t="shared" si="21"/>
        <v>-1.292682926829263E-2</v>
      </c>
      <c r="O86" s="5">
        <f t="shared" si="22"/>
        <v>0.12086506009040895</v>
      </c>
      <c r="P86" s="2">
        <f t="shared" si="18"/>
        <v>11208.65060090409</v>
      </c>
      <c r="AG86">
        <f t="shared" si="19"/>
        <v>0</v>
      </c>
      <c r="AH86">
        <f t="shared" si="20"/>
        <v>0</v>
      </c>
    </row>
    <row r="87" spans="3:34" x14ac:dyDescent="0.25">
      <c r="M87" s="2"/>
      <c r="N87" s="2"/>
      <c r="O87" s="2"/>
    </row>
  </sheetData>
  <autoFilter ref="C2:P87" xr:uid="{44408BC6-1AA8-4698-B219-776C381A29A9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2019-05-25T17:48:36Z</dcterms:modified>
</cp:coreProperties>
</file>