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elinka/Dropbox/PohanovaDP/"/>
    </mc:Choice>
  </mc:AlternateContent>
  <xr:revisionPtr revIDLastSave="0" documentId="13_ncr:1_{42A6999C-E7F7-1A40-A474-FDB0CCC50C7C}" xr6:coauthVersionLast="43" xr6:coauthVersionMax="43" xr10:uidLastSave="{00000000-0000-0000-0000-000000000000}"/>
  <bookViews>
    <workbookView xWindow="0" yWindow="460" windowWidth="28800" windowHeight="15840" activeTab="3" xr2:uid="{00000000-000D-0000-FFFF-FFFF00000000}"/>
  </bookViews>
  <sheets>
    <sheet name="Data" sheetId="1" r:id="rId1"/>
    <sheet name="Úspěšnost sběru dat" sheetId="9" r:id="rId2"/>
    <sheet name="Členská základna" sheetId="10" r:id="rId3"/>
    <sheet name="Výsledek hospodaření " sheetId="14" r:id="rId4"/>
    <sheet name="!Diverzifikace zdrojů" sheetId="15" r:id="rId5"/>
    <sheet name="!Rentabilita" sheetId="16" r:id="rId6"/>
    <sheet name="!Autarkie" sheetId="17" r:id="rId7"/>
    <sheet name="VO 2" sheetId="19" r:id="rId8"/>
    <sheet name="VO 1,3,4,5" sheetId="18" r:id="rId9"/>
  </sheets>
  <definedNames>
    <definedName name="_xlnm._FilterDatabase" localSheetId="4" hidden="1">'!Diverzifikace zdrojů'!$A$1:$BC$94</definedName>
    <definedName name="_xlnm._FilterDatabase" localSheetId="5" hidden="1">'!Rentabilita'!$A$1:$AP$94</definedName>
    <definedName name="_xlnm._FilterDatabase" localSheetId="2" hidden="1">'Členská základna'!$A$2:$J$97</definedName>
    <definedName name="_xlnm._FilterDatabase" localSheetId="0" hidden="1">Data!$A$2:$GR$95</definedName>
    <definedName name="_xlnm._FilterDatabase" localSheetId="8" hidden="1">'VO 1,3,4,5'!$L$1:$M$94</definedName>
    <definedName name="_xlnm._FilterDatabase" localSheetId="7" hidden="1">'VO 2'!$A$1:$BC$95</definedName>
    <definedName name="_xlnm._FilterDatabase" localSheetId="3" hidden="1">'Výsledek hospodaření '!$U$2:$AH$95</definedName>
    <definedName name="_xlchart.v1.0" hidden="1">Data!$B$3:$B$95</definedName>
  </definedNames>
  <calcPr calcId="191029"/>
  <pivotCaches>
    <pivotCache cacheId="6" r:id="rId10"/>
    <pivotCache cacheId="7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11" i="18" l="1"/>
  <c r="L312" i="18"/>
  <c r="O148" i="14" l="1"/>
  <c r="A170" i="18" l="1"/>
  <c r="A169" i="18"/>
  <c r="A102" i="18" l="1"/>
  <c r="A99" i="18"/>
  <c r="G131" i="18"/>
  <c r="F131" i="18"/>
  <c r="D131" i="18"/>
  <c r="E131" i="18"/>
  <c r="C131" i="18"/>
  <c r="C123" i="18"/>
  <c r="G130" i="18"/>
  <c r="G129" i="18"/>
  <c r="G128" i="18"/>
  <c r="G120" i="18"/>
  <c r="G127" i="18"/>
  <c r="G126" i="18"/>
  <c r="G125" i="18"/>
  <c r="G124" i="18"/>
  <c r="G116" i="18"/>
  <c r="E129" i="18"/>
  <c r="E130" i="18"/>
  <c r="E128" i="18"/>
  <c r="D129" i="18"/>
  <c r="D130" i="18"/>
  <c r="D128" i="18"/>
  <c r="C129" i="18"/>
  <c r="C130" i="18"/>
  <c r="C128" i="18"/>
  <c r="C120" i="18"/>
  <c r="F129" i="18"/>
  <c r="F130" i="18"/>
  <c r="F128" i="18"/>
  <c r="F127" i="18"/>
  <c r="F126" i="18"/>
  <c r="F125" i="18"/>
  <c r="F120" i="18"/>
  <c r="F124" i="18"/>
  <c r="F116" i="18"/>
  <c r="CI95" i="18"/>
  <c r="CH95" i="18"/>
  <c r="CG95" i="18"/>
  <c r="CA98" i="18"/>
  <c r="CT2" i="18"/>
  <c r="CQ2" i="18"/>
  <c r="CN3" i="18"/>
  <c r="CO3" i="18"/>
  <c r="CP3" i="18"/>
  <c r="CN4" i="18"/>
  <c r="BX4" i="18" s="1"/>
  <c r="CO4" i="18"/>
  <c r="CP4" i="18"/>
  <c r="CN5" i="18"/>
  <c r="CO5" i="18"/>
  <c r="BY5" i="18" s="1"/>
  <c r="CP5" i="18"/>
  <c r="CN6" i="18"/>
  <c r="CO6" i="18"/>
  <c r="CP6" i="18"/>
  <c r="BZ6" i="18" s="1"/>
  <c r="CN7" i="18"/>
  <c r="CO7" i="18"/>
  <c r="CP7" i="18"/>
  <c r="CN8" i="18"/>
  <c r="BX8" i="18" s="1"/>
  <c r="CO8" i="18"/>
  <c r="CP8" i="18"/>
  <c r="CN9" i="18"/>
  <c r="CO9" i="18"/>
  <c r="BY9" i="18" s="1"/>
  <c r="CP9" i="18"/>
  <c r="CN10" i="18"/>
  <c r="CO10" i="18"/>
  <c r="CP10" i="18"/>
  <c r="BZ10" i="18" s="1"/>
  <c r="CN11" i="18"/>
  <c r="CO11" i="18"/>
  <c r="CP11" i="18"/>
  <c r="CN12" i="18"/>
  <c r="BX12" i="18" s="1"/>
  <c r="CO12" i="18"/>
  <c r="CP12" i="18"/>
  <c r="CN13" i="18"/>
  <c r="CO13" i="18"/>
  <c r="BY13" i="18" s="1"/>
  <c r="CP13" i="18"/>
  <c r="CN14" i="18"/>
  <c r="CO14" i="18"/>
  <c r="CP14" i="18"/>
  <c r="BZ14" i="18" s="1"/>
  <c r="CN15" i="18"/>
  <c r="CO15" i="18"/>
  <c r="CP15" i="18"/>
  <c r="CN16" i="18"/>
  <c r="BX16" i="18" s="1"/>
  <c r="CO16" i="18"/>
  <c r="CP16" i="18"/>
  <c r="CN17" i="18"/>
  <c r="CO17" i="18"/>
  <c r="BY17" i="18" s="1"/>
  <c r="CP17" i="18"/>
  <c r="CN18" i="18"/>
  <c r="CO18" i="18"/>
  <c r="CP18" i="18"/>
  <c r="BZ18" i="18" s="1"/>
  <c r="CN19" i="18"/>
  <c r="CO19" i="18"/>
  <c r="CP19" i="18"/>
  <c r="CN20" i="18"/>
  <c r="BX20" i="18" s="1"/>
  <c r="CO20" i="18"/>
  <c r="CP20" i="18"/>
  <c r="CN21" i="18"/>
  <c r="CO21" i="18"/>
  <c r="BY21" i="18" s="1"/>
  <c r="CP21" i="18"/>
  <c r="CN22" i="18"/>
  <c r="CO22" i="18"/>
  <c r="CP22" i="18"/>
  <c r="BZ22" i="18" s="1"/>
  <c r="CN23" i="18"/>
  <c r="CO23" i="18"/>
  <c r="CP23" i="18"/>
  <c r="CN24" i="18"/>
  <c r="BX24" i="18" s="1"/>
  <c r="CO24" i="18"/>
  <c r="CP24" i="18"/>
  <c r="CN25" i="18"/>
  <c r="CO25" i="18"/>
  <c r="BY25" i="18" s="1"/>
  <c r="CP25" i="18"/>
  <c r="CN26" i="18"/>
  <c r="CO26" i="18"/>
  <c r="CP26" i="18"/>
  <c r="BZ26" i="18" s="1"/>
  <c r="CN27" i="18"/>
  <c r="CO27" i="18"/>
  <c r="CP27" i="18"/>
  <c r="CN28" i="18"/>
  <c r="BX28" i="18" s="1"/>
  <c r="CO28" i="18"/>
  <c r="CP28" i="18"/>
  <c r="CN29" i="18"/>
  <c r="CO29" i="18"/>
  <c r="BY29" i="18" s="1"/>
  <c r="CP29" i="18"/>
  <c r="CN30" i="18"/>
  <c r="CO30" i="18"/>
  <c r="CP30" i="18"/>
  <c r="BZ30" i="18" s="1"/>
  <c r="CN31" i="18"/>
  <c r="CO31" i="18"/>
  <c r="CP31" i="18"/>
  <c r="CN32" i="18"/>
  <c r="BX32" i="18" s="1"/>
  <c r="CO32" i="18"/>
  <c r="CP32" i="18"/>
  <c r="CN33" i="18"/>
  <c r="CO33" i="18"/>
  <c r="BY33" i="18" s="1"/>
  <c r="CP33" i="18"/>
  <c r="CN34" i="18"/>
  <c r="CO34" i="18"/>
  <c r="CP34" i="18"/>
  <c r="BZ34" i="18" s="1"/>
  <c r="CN35" i="18"/>
  <c r="CO35" i="18"/>
  <c r="CP35" i="18"/>
  <c r="CN36" i="18"/>
  <c r="BX36" i="18" s="1"/>
  <c r="CO36" i="18"/>
  <c r="CP36" i="18"/>
  <c r="CN37" i="18"/>
  <c r="CO37" i="18"/>
  <c r="BY37" i="18" s="1"/>
  <c r="CP37" i="18"/>
  <c r="CN38" i="18"/>
  <c r="CO38" i="18"/>
  <c r="CP38" i="18"/>
  <c r="BZ38" i="18" s="1"/>
  <c r="CN39" i="18"/>
  <c r="CO39" i="18"/>
  <c r="CP39" i="18"/>
  <c r="CN40" i="18"/>
  <c r="BX40" i="18" s="1"/>
  <c r="CO40" i="18"/>
  <c r="CP40" i="18"/>
  <c r="CN41" i="18"/>
  <c r="CO41" i="18"/>
  <c r="BY41" i="18" s="1"/>
  <c r="CP41" i="18"/>
  <c r="CN42" i="18"/>
  <c r="CO42" i="18"/>
  <c r="CP42" i="18"/>
  <c r="BZ42" i="18" s="1"/>
  <c r="CN43" i="18"/>
  <c r="CO43" i="18"/>
  <c r="CP43" i="18"/>
  <c r="CN44" i="18"/>
  <c r="BX44" i="18" s="1"/>
  <c r="CO44" i="18"/>
  <c r="CP44" i="18"/>
  <c r="CN45" i="18"/>
  <c r="CO45" i="18"/>
  <c r="BY45" i="18" s="1"/>
  <c r="CP45" i="18"/>
  <c r="CN46" i="18"/>
  <c r="CO46" i="18"/>
  <c r="CP46" i="18"/>
  <c r="BZ46" i="18" s="1"/>
  <c r="CN47" i="18"/>
  <c r="CO47" i="18"/>
  <c r="CP47" i="18"/>
  <c r="CN48" i="18"/>
  <c r="BX48" i="18" s="1"/>
  <c r="CO48" i="18"/>
  <c r="CP48" i="18"/>
  <c r="CN49" i="18"/>
  <c r="CO49" i="18"/>
  <c r="BY49" i="18" s="1"/>
  <c r="CP49" i="18"/>
  <c r="CN50" i="18"/>
  <c r="CO50" i="18"/>
  <c r="CP50" i="18"/>
  <c r="BZ50" i="18" s="1"/>
  <c r="CN51" i="18"/>
  <c r="CO51" i="18"/>
  <c r="CP51" i="18"/>
  <c r="CN52" i="18"/>
  <c r="BX52" i="18" s="1"/>
  <c r="CO52" i="18"/>
  <c r="CP52" i="18"/>
  <c r="CN53" i="18"/>
  <c r="CO53" i="18"/>
  <c r="BY53" i="18" s="1"/>
  <c r="CP53" i="18"/>
  <c r="CN54" i="18"/>
  <c r="CO54" i="18"/>
  <c r="CP54" i="18"/>
  <c r="BZ54" i="18" s="1"/>
  <c r="CN55" i="18"/>
  <c r="CO55" i="18"/>
  <c r="CP55" i="18"/>
  <c r="CN56" i="18"/>
  <c r="BX56" i="18" s="1"/>
  <c r="CO56" i="18"/>
  <c r="CP56" i="18"/>
  <c r="CN57" i="18"/>
  <c r="CO57" i="18"/>
  <c r="BY57" i="18" s="1"/>
  <c r="CP57" i="18"/>
  <c r="CN58" i="18"/>
  <c r="CO58" i="18"/>
  <c r="CP58" i="18"/>
  <c r="BZ58" i="18" s="1"/>
  <c r="CN59" i="18"/>
  <c r="CO59" i="18"/>
  <c r="CP59" i="18"/>
  <c r="CN60" i="18"/>
  <c r="BX60" i="18" s="1"/>
  <c r="CO60" i="18"/>
  <c r="CP60" i="18"/>
  <c r="CN61" i="18"/>
  <c r="CO61" i="18"/>
  <c r="BY61" i="18" s="1"/>
  <c r="CP61" i="18"/>
  <c r="CN62" i="18"/>
  <c r="CO62" i="18"/>
  <c r="CP62" i="18"/>
  <c r="BZ62" i="18" s="1"/>
  <c r="CN63" i="18"/>
  <c r="CO63" i="18"/>
  <c r="CP63" i="18"/>
  <c r="CN64" i="18"/>
  <c r="BX64" i="18" s="1"/>
  <c r="CO64" i="18"/>
  <c r="CP64" i="18"/>
  <c r="CN65" i="18"/>
  <c r="CO65" i="18"/>
  <c r="BY65" i="18" s="1"/>
  <c r="CP65" i="18"/>
  <c r="CN66" i="18"/>
  <c r="CO66" i="18"/>
  <c r="CP66" i="18"/>
  <c r="BZ66" i="18" s="1"/>
  <c r="CN67" i="18"/>
  <c r="CO67" i="18"/>
  <c r="CP67" i="18"/>
  <c r="CN68" i="18"/>
  <c r="BX68" i="18" s="1"/>
  <c r="CO68" i="18"/>
  <c r="CP68" i="18"/>
  <c r="CN69" i="18"/>
  <c r="CO69" i="18"/>
  <c r="BY69" i="18" s="1"/>
  <c r="CP69" i="18"/>
  <c r="CN70" i="18"/>
  <c r="CO70" i="18"/>
  <c r="CP70" i="18"/>
  <c r="BZ70" i="18" s="1"/>
  <c r="CN71" i="18"/>
  <c r="CO71" i="18"/>
  <c r="CP71" i="18"/>
  <c r="CN72" i="18"/>
  <c r="BX72" i="18" s="1"/>
  <c r="CO72" i="18"/>
  <c r="CP72" i="18"/>
  <c r="CN73" i="18"/>
  <c r="CO73" i="18"/>
  <c r="BY73" i="18" s="1"/>
  <c r="CP73" i="18"/>
  <c r="CN74" i="18"/>
  <c r="CO74" i="18"/>
  <c r="CP74" i="18"/>
  <c r="BZ74" i="18" s="1"/>
  <c r="CN75" i="18"/>
  <c r="CO75" i="18"/>
  <c r="CP75" i="18"/>
  <c r="CN76" i="18"/>
  <c r="BX76" i="18" s="1"/>
  <c r="CO76" i="18"/>
  <c r="CP76" i="18"/>
  <c r="CN77" i="18"/>
  <c r="CO77" i="18"/>
  <c r="BY77" i="18" s="1"/>
  <c r="CP77" i="18"/>
  <c r="CN78" i="18"/>
  <c r="CO78" i="18"/>
  <c r="CP78" i="18"/>
  <c r="BZ78" i="18" s="1"/>
  <c r="CN79" i="18"/>
  <c r="CO79" i="18"/>
  <c r="CP79" i="18"/>
  <c r="CN80" i="18"/>
  <c r="BX80" i="18" s="1"/>
  <c r="CO80" i="18"/>
  <c r="CP80" i="18"/>
  <c r="CN81" i="18"/>
  <c r="CO81" i="18"/>
  <c r="BY81" i="18" s="1"/>
  <c r="CP81" i="18"/>
  <c r="CN82" i="18"/>
  <c r="CO82" i="18"/>
  <c r="CP82" i="18"/>
  <c r="BZ82" i="18" s="1"/>
  <c r="CN83" i="18"/>
  <c r="CO83" i="18"/>
  <c r="CP83" i="18"/>
  <c r="CN84" i="18"/>
  <c r="BX84" i="18" s="1"/>
  <c r="CO84" i="18"/>
  <c r="CP84" i="18"/>
  <c r="CN85" i="18"/>
  <c r="CO85" i="18"/>
  <c r="BY85" i="18" s="1"/>
  <c r="CP85" i="18"/>
  <c r="CN86" i="18"/>
  <c r="CO86" i="18"/>
  <c r="CP86" i="18"/>
  <c r="BZ86" i="18" s="1"/>
  <c r="CN87" i="18"/>
  <c r="CO87" i="18"/>
  <c r="CP87" i="18"/>
  <c r="CN88" i="18"/>
  <c r="BX88" i="18" s="1"/>
  <c r="CO88" i="18"/>
  <c r="CP88" i="18"/>
  <c r="CN89" i="18"/>
  <c r="CO89" i="18"/>
  <c r="BY89" i="18" s="1"/>
  <c r="CP89" i="18"/>
  <c r="CN90" i="18"/>
  <c r="CO90" i="18"/>
  <c r="CP90" i="18"/>
  <c r="BZ90" i="18" s="1"/>
  <c r="CN91" i="18"/>
  <c r="CO91" i="18"/>
  <c r="CP91" i="18"/>
  <c r="CN92" i="18"/>
  <c r="BX92" i="18" s="1"/>
  <c r="CO92" i="18"/>
  <c r="CP92" i="18"/>
  <c r="CN93" i="18"/>
  <c r="CO93" i="18"/>
  <c r="BY93" i="18" s="1"/>
  <c r="CP93" i="18"/>
  <c r="CN94" i="18"/>
  <c r="CO94" i="18"/>
  <c r="CP94" i="18"/>
  <c r="BZ94" i="18" s="1"/>
  <c r="CO2" i="18"/>
  <c r="CP2" i="18"/>
  <c r="CN2" i="18"/>
  <c r="CQ4" i="18"/>
  <c r="CB98" i="18"/>
  <c r="CD97" i="18"/>
  <c r="CA97" i="18"/>
  <c r="CF95" i="18"/>
  <c r="CE95" i="18"/>
  <c r="CD95" i="18"/>
  <c r="CC95" i="18"/>
  <c r="CB95" i="18"/>
  <c r="CA95" i="18"/>
  <c r="CD3" i="18"/>
  <c r="CE3" i="18"/>
  <c r="CF3" i="18"/>
  <c r="CD4" i="18"/>
  <c r="CE4" i="18"/>
  <c r="CF4" i="18"/>
  <c r="CD5" i="18"/>
  <c r="CE5" i="18"/>
  <c r="CF5" i="18"/>
  <c r="CD6" i="18"/>
  <c r="CE6" i="18"/>
  <c r="CF6" i="18"/>
  <c r="CD7" i="18"/>
  <c r="CE7" i="18"/>
  <c r="CF7" i="18"/>
  <c r="CD8" i="18"/>
  <c r="CE8" i="18"/>
  <c r="CF8" i="18"/>
  <c r="CD9" i="18"/>
  <c r="CE9" i="18"/>
  <c r="CF9" i="18"/>
  <c r="CD10" i="18"/>
  <c r="CE10" i="18"/>
  <c r="CF10" i="18"/>
  <c r="CD11" i="18"/>
  <c r="CE11" i="18"/>
  <c r="CF11" i="18"/>
  <c r="CD12" i="18"/>
  <c r="CE12" i="18"/>
  <c r="CF12" i="18"/>
  <c r="CD13" i="18"/>
  <c r="CE13" i="18"/>
  <c r="CF13" i="18"/>
  <c r="CD14" i="18"/>
  <c r="CE14" i="18"/>
  <c r="CF14" i="18"/>
  <c r="CD15" i="18"/>
  <c r="CE15" i="18"/>
  <c r="CF15" i="18"/>
  <c r="CD16" i="18"/>
  <c r="CE16" i="18"/>
  <c r="CF16" i="18"/>
  <c r="CD17" i="18"/>
  <c r="CE17" i="18"/>
  <c r="CF17" i="18"/>
  <c r="CD18" i="18"/>
  <c r="CE18" i="18"/>
  <c r="CF18" i="18"/>
  <c r="CD19" i="18"/>
  <c r="CE19" i="18"/>
  <c r="CF19" i="18"/>
  <c r="CD20" i="18"/>
  <c r="CE20" i="18"/>
  <c r="CF20" i="18"/>
  <c r="CD21" i="18"/>
  <c r="CE21" i="18"/>
  <c r="CF21" i="18"/>
  <c r="CD22" i="18"/>
  <c r="CE22" i="18"/>
  <c r="CF22" i="18"/>
  <c r="CD23" i="18"/>
  <c r="CE23" i="18"/>
  <c r="CF23" i="18"/>
  <c r="CD24" i="18"/>
  <c r="CE24" i="18"/>
  <c r="CF24" i="18"/>
  <c r="CD25" i="18"/>
  <c r="CE25" i="18"/>
  <c r="CF25" i="18"/>
  <c r="CD26" i="18"/>
  <c r="CE26" i="18"/>
  <c r="CF26" i="18"/>
  <c r="CD27" i="18"/>
  <c r="CE27" i="18"/>
  <c r="CF27" i="18"/>
  <c r="CD28" i="18"/>
  <c r="CE28" i="18"/>
  <c r="CF28" i="18"/>
  <c r="CD29" i="18"/>
  <c r="CE29" i="18"/>
  <c r="CF29" i="18"/>
  <c r="CD30" i="18"/>
  <c r="CE30" i="18"/>
  <c r="CF30" i="18"/>
  <c r="CD31" i="18"/>
  <c r="CE31" i="18"/>
  <c r="CF31" i="18"/>
  <c r="CD32" i="18"/>
  <c r="CE32" i="18"/>
  <c r="CF32" i="18"/>
  <c r="CD33" i="18"/>
  <c r="CE33" i="18"/>
  <c r="CF33" i="18"/>
  <c r="CD34" i="18"/>
  <c r="CE34" i="18"/>
  <c r="CF34" i="18"/>
  <c r="CD35" i="18"/>
  <c r="CE35" i="18"/>
  <c r="CF35" i="18"/>
  <c r="CD36" i="18"/>
  <c r="CE36" i="18"/>
  <c r="CF36" i="18"/>
  <c r="CD37" i="18"/>
  <c r="CE37" i="18"/>
  <c r="CF37" i="18"/>
  <c r="CD38" i="18"/>
  <c r="CE38" i="18"/>
  <c r="CF38" i="18"/>
  <c r="CD39" i="18"/>
  <c r="CE39" i="18"/>
  <c r="CF39" i="18"/>
  <c r="CD40" i="18"/>
  <c r="CE40" i="18"/>
  <c r="CF40" i="18"/>
  <c r="CD41" i="18"/>
  <c r="CE41" i="18"/>
  <c r="CF41" i="18"/>
  <c r="CD42" i="18"/>
  <c r="CE42" i="18"/>
  <c r="CF42" i="18"/>
  <c r="CD43" i="18"/>
  <c r="CE43" i="18"/>
  <c r="CF43" i="18"/>
  <c r="CD44" i="18"/>
  <c r="CE44" i="18"/>
  <c r="CF44" i="18"/>
  <c r="CD45" i="18"/>
  <c r="CE45" i="18"/>
  <c r="CF45" i="18"/>
  <c r="CD46" i="18"/>
  <c r="CE46" i="18"/>
  <c r="CF46" i="18"/>
  <c r="CD47" i="18"/>
  <c r="CE47" i="18"/>
  <c r="CF47" i="18"/>
  <c r="CD48" i="18"/>
  <c r="CE48" i="18"/>
  <c r="CF48" i="18"/>
  <c r="CD49" i="18"/>
  <c r="CE49" i="18"/>
  <c r="CF49" i="18"/>
  <c r="CD50" i="18"/>
  <c r="CE50" i="18"/>
  <c r="CF50" i="18"/>
  <c r="CD51" i="18"/>
  <c r="CE51" i="18"/>
  <c r="CF51" i="18"/>
  <c r="CD52" i="18"/>
  <c r="CE52" i="18"/>
  <c r="CF52" i="18"/>
  <c r="CD53" i="18"/>
  <c r="CE53" i="18"/>
  <c r="CF53" i="18"/>
  <c r="CD54" i="18"/>
  <c r="CE54" i="18"/>
  <c r="CF54" i="18"/>
  <c r="CD55" i="18"/>
  <c r="CE55" i="18"/>
  <c r="CF55" i="18"/>
  <c r="CD56" i="18"/>
  <c r="CE56" i="18"/>
  <c r="CF56" i="18"/>
  <c r="CD57" i="18"/>
  <c r="CE57" i="18"/>
  <c r="CF57" i="18"/>
  <c r="CD58" i="18"/>
  <c r="CE58" i="18"/>
  <c r="CF58" i="18"/>
  <c r="CD59" i="18"/>
  <c r="CE59" i="18"/>
  <c r="CF59" i="18"/>
  <c r="CD60" i="18"/>
  <c r="CE60" i="18"/>
  <c r="CF60" i="18"/>
  <c r="CD61" i="18"/>
  <c r="CE61" i="18"/>
  <c r="CF61" i="18"/>
  <c r="CD62" i="18"/>
  <c r="CE62" i="18"/>
  <c r="CF62" i="18"/>
  <c r="CD63" i="18"/>
  <c r="CE63" i="18"/>
  <c r="CF63" i="18"/>
  <c r="CD64" i="18"/>
  <c r="CE64" i="18"/>
  <c r="CF64" i="18"/>
  <c r="CD65" i="18"/>
  <c r="CE65" i="18"/>
  <c r="CF65" i="18"/>
  <c r="CD66" i="18"/>
  <c r="CE66" i="18"/>
  <c r="CF66" i="18"/>
  <c r="CD67" i="18"/>
  <c r="CE67" i="18"/>
  <c r="CF67" i="18"/>
  <c r="CD68" i="18"/>
  <c r="CE68" i="18"/>
  <c r="CF68" i="18"/>
  <c r="CD69" i="18"/>
  <c r="CE69" i="18"/>
  <c r="CF69" i="18"/>
  <c r="CD70" i="18"/>
  <c r="CE70" i="18"/>
  <c r="CF70" i="18"/>
  <c r="CD71" i="18"/>
  <c r="CE71" i="18"/>
  <c r="CF71" i="18"/>
  <c r="CD72" i="18"/>
  <c r="CE72" i="18"/>
  <c r="CF72" i="18"/>
  <c r="CD73" i="18"/>
  <c r="CE73" i="18"/>
  <c r="CF73" i="18"/>
  <c r="CD74" i="18"/>
  <c r="CE74" i="18"/>
  <c r="CF74" i="18"/>
  <c r="CD75" i="18"/>
  <c r="CE75" i="18"/>
  <c r="CF75" i="18"/>
  <c r="CD76" i="18"/>
  <c r="CE76" i="18"/>
  <c r="CF76" i="18"/>
  <c r="CD77" i="18"/>
  <c r="CE77" i="18"/>
  <c r="CF77" i="18"/>
  <c r="CD78" i="18"/>
  <c r="CE78" i="18"/>
  <c r="CF78" i="18"/>
  <c r="CD79" i="18"/>
  <c r="CE79" i="18"/>
  <c r="CF79" i="18"/>
  <c r="CD80" i="18"/>
  <c r="CE80" i="18"/>
  <c r="CF80" i="18"/>
  <c r="CD81" i="18"/>
  <c r="CE81" i="18"/>
  <c r="CF81" i="18"/>
  <c r="CD82" i="18"/>
  <c r="CE82" i="18"/>
  <c r="CF82" i="18"/>
  <c r="CD83" i="18"/>
  <c r="CE83" i="18"/>
  <c r="CF83" i="18"/>
  <c r="CD84" i="18"/>
  <c r="CE84" i="18"/>
  <c r="CF84" i="18"/>
  <c r="CD85" i="18"/>
  <c r="CE85" i="18"/>
  <c r="CF85" i="18"/>
  <c r="CD86" i="18"/>
  <c r="CE86" i="18"/>
  <c r="CF86" i="18"/>
  <c r="CD87" i="18"/>
  <c r="CE87" i="18"/>
  <c r="CF87" i="18"/>
  <c r="CD88" i="18"/>
  <c r="CE88" i="18"/>
  <c r="CF88" i="18"/>
  <c r="CD89" i="18"/>
  <c r="CE89" i="18"/>
  <c r="CF89" i="18"/>
  <c r="CD90" i="18"/>
  <c r="CE90" i="18"/>
  <c r="CF90" i="18"/>
  <c r="CD91" i="18"/>
  <c r="CE91" i="18"/>
  <c r="CF91" i="18"/>
  <c r="CD92" i="18"/>
  <c r="CE92" i="18"/>
  <c r="CF92" i="18"/>
  <c r="CD93" i="18"/>
  <c r="CE93" i="18"/>
  <c r="CF93" i="18"/>
  <c r="CD94" i="18"/>
  <c r="CE94" i="18"/>
  <c r="CF94" i="18"/>
  <c r="CE2" i="18"/>
  <c r="CF2" i="18"/>
  <c r="CD2" i="18"/>
  <c r="CA3" i="18"/>
  <c r="CB3" i="18"/>
  <c r="CC3" i="18"/>
  <c r="CA4" i="18"/>
  <c r="CB4" i="18"/>
  <c r="CC4" i="18"/>
  <c r="CA5" i="18"/>
  <c r="CB5" i="18"/>
  <c r="CC5" i="18"/>
  <c r="CA6" i="18"/>
  <c r="CB6" i="18"/>
  <c r="CC6" i="18"/>
  <c r="CA7" i="18"/>
  <c r="CB7" i="18"/>
  <c r="CC7" i="18"/>
  <c r="CA8" i="18"/>
  <c r="CB8" i="18"/>
  <c r="CC8" i="18"/>
  <c r="CA9" i="18"/>
  <c r="CB9" i="18"/>
  <c r="CC9" i="18"/>
  <c r="CA10" i="18"/>
  <c r="CB10" i="18"/>
  <c r="CC10" i="18"/>
  <c r="CA11" i="18"/>
  <c r="CB11" i="18"/>
  <c r="CC11" i="18"/>
  <c r="CA12" i="18"/>
  <c r="CB12" i="18"/>
  <c r="CC12" i="18"/>
  <c r="CA13" i="18"/>
  <c r="CB13" i="18"/>
  <c r="CC13" i="18"/>
  <c r="CA14" i="18"/>
  <c r="CB14" i="18"/>
  <c r="CC14" i="18"/>
  <c r="CA15" i="18"/>
  <c r="CB15" i="18"/>
  <c r="CC15" i="18"/>
  <c r="CA16" i="18"/>
  <c r="CB16" i="18"/>
  <c r="CC16" i="18"/>
  <c r="CA17" i="18"/>
  <c r="CB17" i="18"/>
  <c r="CC17" i="18"/>
  <c r="CA18" i="18"/>
  <c r="CB18" i="18"/>
  <c r="CC18" i="18"/>
  <c r="CA19" i="18"/>
  <c r="CB19" i="18"/>
  <c r="CC19" i="18"/>
  <c r="CA20" i="18"/>
  <c r="CB20" i="18"/>
  <c r="CC20" i="18"/>
  <c r="CA21" i="18"/>
  <c r="CB21" i="18"/>
  <c r="CC21" i="18"/>
  <c r="CA22" i="18"/>
  <c r="CB22" i="18"/>
  <c r="CC22" i="18"/>
  <c r="CA23" i="18"/>
  <c r="CB23" i="18"/>
  <c r="CC23" i="18"/>
  <c r="CA24" i="18"/>
  <c r="CB24" i="18"/>
  <c r="CC24" i="18"/>
  <c r="CA25" i="18"/>
  <c r="CB25" i="18"/>
  <c r="CC25" i="18"/>
  <c r="CA26" i="18"/>
  <c r="CB26" i="18"/>
  <c r="CC26" i="18"/>
  <c r="CA27" i="18"/>
  <c r="CB27" i="18"/>
  <c r="CC27" i="18"/>
  <c r="CA28" i="18"/>
  <c r="CB28" i="18"/>
  <c r="CC28" i="18"/>
  <c r="CA29" i="18"/>
  <c r="CB29" i="18"/>
  <c r="CC29" i="18"/>
  <c r="CA30" i="18"/>
  <c r="CB30" i="18"/>
  <c r="CC30" i="18"/>
  <c r="CA31" i="18"/>
  <c r="CB31" i="18"/>
  <c r="CC31" i="18"/>
  <c r="CA32" i="18"/>
  <c r="CB32" i="18"/>
  <c r="CC32" i="18"/>
  <c r="CA33" i="18"/>
  <c r="CB33" i="18"/>
  <c r="CC33" i="18"/>
  <c r="CA34" i="18"/>
  <c r="CB34" i="18"/>
  <c r="CC34" i="18"/>
  <c r="CA35" i="18"/>
  <c r="CB35" i="18"/>
  <c r="CC35" i="18"/>
  <c r="CA36" i="18"/>
  <c r="CB36" i="18"/>
  <c r="CC36" i="18"/>
  <c r="CA37" i="18"/>
  <c r="CB37" i="18"/>
  <c r="CC37" i="18"/>
  <c r="CA38" i="18"/>
  <c r="CB38" i="18"/>
  <c r="CC38" i="18"/>
  <c r="CA39" i="18"/>
  <c r="CB39" i="18"/>
  <c r="CC39" i="18"/>
  <c r="CA40" i="18"/>
  <c r="CB40" i="18"/>
  <c r="CC40" i="18"/>
  <c r="CA41" i="18"/>
  <c r="CB41" i="18"/>
  <c r="CC41" i="18"/>
  <c r="CA42" i="18"/>
  <c r="CB42" i="18"/>
  <c r="CC42" i="18"/>
  <c r="CA43" i="18"/>
  <c r="CB43" i="18"/>
  <c r="CC43" i="18"/>
  <c r="CA44" i="18"/>
  <c r="CB44" i="18"/>
  <c r="CC44" i="18"/>
  <c r="CA45" i="18"/>
  <c r="CB45" i="18"/>
  <c r="CC45" i="18"/>
  <c r="CA46" i="18"/>
  <c r="CB46" i="18"/>
  <c r="CC46" i="18"/>
  <c r="CA47" i="18"/>
  <c r="CB47" i="18"/>
  <c r="CC47" i="18"/>
  <c r="CA48" i="18"/>
  <c r="CB48" i="18"/>
  <c r="CC48" i="18"/>
  <c r="CA49" i="18"/>
  <c r="CB49" i="18"/>
  <c r="CC49" i="18"/>
  <c r="CA50" i="18"/>
  <c r="CB50" i="18"/>
  <c r="CC50" i="18"/>
  <c r="CA51" i="18"/>
  <c r="CB51" i="18"/>
  <c r="CC51" i="18"/>
  <c r="CA52" i="18"/>
  <c r="CB52" i="18"/>
  <c r="CC52" i="18"/>
  <c r="CA53" i="18"/>
  <c r="CB53" i="18"/>
  <c r="CC53" i="18"/>
  <c r="CA54" i="18"/>
  <c r="CB54" i="18"/>
  <c r="CC54" i="18"/>
  <c r="CA55" i="18"/>
  <c r="CB55" i="18"/>
  <c r="CC55" i="18"/>
  <c r="CA56" i="18"/>
  <c r="CB56" i="18"/>
  <c r="CC56" i="18"/>
  <c r="CA57" i="18"/>
  <c r="CB57" i="18"/>
  <c r="CC57" i="18"/>
  <c r="CA58" i="18"/>
  <c r="CB58" i="18"/>
  <c r="CC58" i="18"/>
  <c r="CA59" i="18"/>
  <c r="CB59" i="18"/>
  <c r="CC59" i="18"/>
  <c r="CA60" i="18"/>
  <c r="CB60" i="18"/>
  <c r="CC60" i="18"/>
  <c r="CA61" i="18"/>
  <c r="CB61" i="18"/>
  <c r="CC61" i="18"/>
  <c r="CA62" i="18"/>
  <c r="CB62" i="18"/>
  <c r="CC62" i="18"/>
  <c r="CA63" i="18"/>
  <c r="CB63" i="18"/>
  <c r="CC63" i="18"/>
  <c r="CA64" i="18"/>
  <c r="CB64" i="18"/>
  <c r="CC64" i="18"/>
  <c r="CA65" i="18"/>
  <c r="CB65" i="18"/>
  <c r="CC65" i="18"/>
  <c r="CA66" i="18"/>
  <c r="CB66" i="18"/>
  <c r="CC66" i="18"/>
  <c r="CA67" i="18"/>
  <c r="CB67" i="18"/>
  <c r="CC67" i="18"/>
  <c r="CA68" i="18"/>
  <c r="CB68" i="18"/>
  <c r="CC68" i="18"/>
  <c r="CA69" i="18"/>
  <c r="CB69" i="18"/>
  <c r="CC69" i="18"/>
  <c r="CA70" i="18"/>
  <c r="CB70" i="18"/>
  <c r="CC70" i="18"/>
  <c r="CA71" i="18"/>
  <c r="CB71" i="18"/>
  <c r="CC71" i="18"/>
  <c r="CA72" i="18"/>
  <c r="CB72" i="18"/>
  <c r="CC72" i="18"/>
  <c r="CA73" i="18"/>
  <c r="CB73" i="18"/>
  <c r="CC73" i="18"/>
  <c r="CA74" i="18"/>
  <c r="CB74" i="18"/>
  <c r="CC74" i="18"/>
  <c r="CA75" i="18"/>
  <c r="CB75" i="18"/>
  <c r="CC75" i="18"/>
  <c r="CA76" i="18"/>
  <c r="CB76" i="18"/>
  <c r="CC76" i="18"/>
  <c r="CA77" i="18"/>
  <c r="CB77" i="18"/>
  <c r="CC77" i="18"/>
  <c r="CA78" i="18"/>
  <c r="CB78" i="18"/>
  <c r="CC78" i="18"/>
  <c r="CA79" i="18"/>
  <c r="CB79" i="18"/>
  <c r="CC79" i="18"/>
  <c r="CA80" i="18"/>
  <c r="CB80" i="18"/>
  <c r="CC80" i="18"/>
  <c r="CA81" i="18"/>
  <c r="CB81" i="18"/>
  <c r="CC81" i="18"/>
  <c r="CA82" i="18"/>
  <c r="CB82" i="18"/>
  <c r="CC82" i="18"/>
  <c r="CA83" i="18"/>
  <c r="CB83" i="18"/>
  <c r="CC83" i="18"/>
  <c r="CA84" i="18"/>
  <c r="CB84" i="18"/>
  <c r="CC84" i="18"/>
  <c r="CA85" i="18"/>
  <c r="CB85" i="18"/>
  <c r="CC85" i="18"/>
  <c r="CA86" i="18"/>
  <c r="CB86" i="18"/>
  <c r="CC86" i="18"/>
  <c r="CA87" i="18"/>
  <c r="CB87" i="18"/>
  <c r="CC87" i="18"/>
  <c r="CA88" i="18"/>
  <c r="CB88" i="18"/>
  <c r="CC88" i="18"/>
  <c r="CA89" i="18"/>
  <c r="CB89" i="18"/>
  <c r="CC89" i="18"/>
  <c r="CA90" i="18"/>
  <c r="CB90" i="18"/>
  <c r="CC90" i="18"/>
  <c r="CA91" i="18"/>
  <c r="CB91" i="18"/>
  <c r="CC91" i="18"/>
  <c r="CA92" i="18"/>
  <c r="CB92" i="18"/>
  <c r="CC92" i="18"/>
  <c r="CA93" i="18"/>
  <c r="CB93" i="18"/>
  <c r="CC93" i="18"/>
  <c r="CA94" i="18"/>
  <c r="CB94" i="18"/>
  <c r="CC94" i="18"/>
  <c r="CB2" i="18"/>
  <c r="CC2" i="18"/>
  <c r="CA2" i="18"/>
  <c r="BX3" i="18"/>
  <c r="BY3" i="18"/>
  <c r="BZ3" i="18"/>
  <c r="BY4" i="18"/>
  <c r="BZ4" i="18"/>
  <c r="BX5" i="18"/>
  <c r="BZ5" i="18"/>
  <c r="BX6" i="18"/>
  <c r="BY6" i="18"/>
  <c r="BX7" i="18"/>
  <c r="BY7" i="18"/>
  <c r="BZ7" i="18"/>
  <c r="BY8" i="18"/>
  <c r="BZ8" i="18"/>
  <c r="BX9" i="18"/>
  <c r="BZ9" i="18"/>
  <c r="BX10" i="18"/>
  <c r="BY10" i="18"/>
  <c r="BX11" i="18"/>
  <c r="BY11" i="18"/>
  <c r="BZ11" i="18"/>
  <c r="BY12" i="18"/>
  <c r="BZ12" i="18"/>
  <c r="BX13" i="18"/>
  <c r="BZ13" i="18"/>
  <c r="BX14" i="18"/>
  <c r="BY14" i="18"/>
  <c r="BX15" i="18"/>
  <c r="BY15" i="18"/>
  <c r="BZ15" i="18"/>
  <c r="BY16" i="18"/>
  <c r="BZ16" i="18"/>
  <c r="BX17" i="18"/>
  <c r="BZ17" i="18"/>
  <c r="BX18" i="18"/>
  <c r="BY18" i="18"/>
  <c r="BX19" i="18"/>
  <c r="BY19" i="18"/>
  <c r="BZ19" i="18"/>
  <c r="BY20" i="18"/>
  <c r="BZ20" i="18"/>
  <c r="BX21" i="18"/>
  <c r="BZ21" i="18"/>
  <c r="BX22" i="18"/>
  <c r="BY22" i="18"/>
  <c r="BX23" i="18"/>
  <c r="BY23" i="18"/>
  <c r="BZ23" i="18"/>
  <c r="BY24" i="18"/>
  <c r="BZ24" i="18"/>
  <c r="BX25" i="18"/>
  <c r="BZ25" i="18"/>
  <c r="BX26" i="18"/>
  <c r="BY26" i="18"/>
  <c r="BX27" i="18"/>
  <c r="BY27" i="18"/>
  <c r="BZ27" i="18"/>
  <c r="BY28" i="18"/>
  <c r="BZ28" i="18"/>
  <c r="BX29" i="18"/>
  <c r="BZ29" i="18"/>
  <c r="BX30" i="18"/>
  <c r="BY30" i="18"/>
  <c r="BX31" i="18"/>
  <c r="BY31" i="18"/>
  <c r="BZ31" i="18"/>
  <c r="BY32" i="18"/>
  <c r="BZ32" i="18"/>
  <c r="BX33" i="18"/>
  <c r="BZ33" i="18"/>
  <c r="BX34" i="18"/>
  <c r="BY34" i="18"/>
  <c r="BX35" i="18"/>
  <c r="BY35" i="18"/>
  <c r="BZ35" i="18"/>
  <c r="BY36" i="18"/>
  <c r="BZ36" i="18"/>
  <c r="BX37" i="18"/>
  <c r="BZ37" i="18"/>
  <c r="BX38" i="18"/>
  <c r="BY38" i="18"/>
  <c r="BX39" i="18"/>
  <c r="BY39" i="18"/>
  <c r="BZ39" i="18"/>
  <c r="BY40" i="18"/>
  <c r="BZ40" i="18"/>
  <c r="BX41" i="18"/>
  <c r="BZ41" i="18"/>
  <c r="BX42" i="18"/>
  <c r="BY42" i="18"/>
  <c r="BX43" i="18"/>
  <c r="BY43" i="18"/>
  <c r="BZ43" i="18"/>
  <c r="BY44" i="18"/>
  <c r="BZ44" i="18"/>
  <c r="BX45" i="18"/>
  <c r="BZ45" i="18"/>
  <c r="BX46" i="18"/>
  <c r="BY46" i="18"/>
  <c r="BX47" i="18"/>
  <c r="BY47" i="18"/>
  <c r="BZ47" i="18"/>
  <c r="BY48" i="18"/>
  <c r="BZ48" i="18"/>
  <c r="BX49" i="18"/>
  <c r="BZ49" i="18"/>
  <c r="BX50" i="18"/>
  <c r="BY50" i="18"/>
  <c r="BX51" i="18"/>
  <c r="BY51" i="18"/>
  <c r="BZ51" i="18"/>
  <c r="BY52" i="18"/>
  <c r="BZ52" i="18"/>
  <c r="BX53" i="18"/>
  <c r="BZ53" i="18"/>
  <c r="BX54" i="18"/>
  <c r="BY54" i="18"/>
  <c r="BX55" i="18"/>
  <c r="BY55" i="18"/>
  <c r="BZ55" i="18"/>
  <c r="BY56" i="18"/>
  <c r="BZ56" i="18"/>
  <c r="BX57" i="18"/>
  <c r="BZ57" i="18"/>
  <c r="BX58" i="18"/>
  <c r="BY58" i="18"/>
  <c r="BX59" i="18"/>
  <c r="BY59" i="18"/>
  <c r="BZ59" i="18"/>
  <c r="BY60" i="18"/>
  <c r="BZ60" i="18"/>
  <c r="BX61" i="18"/>
  <c r="BZ61" i="18"/>
  <c r="BX62" i="18"/>
  <c r="BY62" i="18"/>
  <c r="BX63" i="18"/>
  <c r="BY63" i="18"/>
  <c r="BZ63" i="18"/>
  <c r="BY64" i="18"/>
  <c r="BZ64" i="18"/>
  <c r="BX65" i="18"/>
  <c r="BZ65" i="18"/>
  <c r="BX66" i="18"/>
  <c r="BY66" i="18"/>
  <c r="BX67" i="18"/>
  <c r="BY67" i="18"/>
  <c r="BZ67" i="18"/>
  <c r="BY68" i="18"/>
  <c r="BZ68" i="18"/>
  <c r="BX69" i="18"/>
  <c r="BZ69" i="18"/>
  <c r="BX70" i="18"/>
  <c r="BY70" i="18"/>
  <c r="BX71" i="18"/>
  <c r="BY71" i="18"/>
  <c r="BZ71" i="18"/>
  <c r="BY72" i="18"/>
  <c r="BZ72" i="18"/>
  <c r="BX73" i="18"/>
  <c r="BZ73" i="18"/>
  <c r="BX74" i="18"/>
  <c r="BY74" i="18"/>
  <c r="BX75" i="18"/>
  <c r="BY75" i="18"/>
  <c r="BZ75" i="18"/>
  <c r="BY76" i="18"/>
  <c r="BZ76" i="18"/>
  <c r="BX77" i="18"/>
  <c r="BZ77" i="18"/>
  <c r="BX78" i="18"/>
  <c r="BY78" i="18"/>
  <c r="BX79" i="18"/>
  <c r="BY79" i="18"/>
  <c r="BZ79" i="18"/>
  <c r="BY80" i="18"/>
  <c r="BZ80" i="18"/>
  <c r="BX81" i="18"/>
  <c r="BZ81" i="18"/>
  <c r="BX82" i="18"/>
  <c r="BY82" i="18"/>
  <c r="BX83" i="18"/>
  <c r="BY83" i="18"/>
  <c r="BZ83" i="18"/>
  <c r="BY84" i="18"/>
  <c r="BZ84" i="18"/>
  <c r="BX85" i="18"/>
  <c r="BZ85" i="18"/>
  <c r="BX86" i="18"/>
  <c r="BY86" i="18"/>
  <c r="BX87" i="18"/>
  <c r="BY87" i="18"/>
  <c r="BZ87" i="18"/>
  <c r="BY88" i="18"/>
  <c r="BZ88" i="18"/>
  <c r="BX89" i="18"/>
  <c r="BZ89" i="18"/>
  <c r="BX90" i="18"/>
  <c r="BY90" i="18"/>
  <c r="BX91" i="18"/>
  <c r="BY91" i="18"/>
  <c r="BZ91" i="18"/>
  <c r="BY92" i="18"/>
  <c r="BZ92" i="18"/>
  <c r="BX93" i="18"/>
  <c r="BZ93" i="18"/>
  <c r="BX94" i="18"/>
  <c r="BY94" i="18"/>
  <c r="BY2" i="18"/>
  <c r="BZ2" i="18"/>
  <c r="CT3" i="18"/>
  <c r="CU3" i="18"/>
  <c r="CV3" i="18"/>
  <c r="CT4" i="18"/>
  <c r="CU4" i="18"/>
  <c r="CV4" i="18"/>
  <c r="CT5" i="18"/>
  <c r="CU5" i="18"/>
  <c r="CV5" i="18"/>
  <c r="CT6" i="18"/>
  <c r="CU6" i="18"/>
  <c r="CV6" i="18"/>
  <c r="CT7" i="18"/>
  <c r="CU7" i="18"/>
  <c r="CV7" i="18"/>
  <c r="CT8" i="18"/>
  <c r="CU8" i="18"/>
  <c r="CV8" i="18"/>
  <c r="CT9" i="18"/>
  <c r="CU9" i="18"/>
  <c r="CV9" i="18"/>
  <c r="CT10" i="18"/>
  <c r="CU10" i="18"/>
  <c r="CV10" i="18"/>
  <c r="CT11" i="18"/>
  <c r="CU11" i="18"/>
  <c r="CV11" i="18"/>
  <c r="CT12" i="18"/>
  <c r="CU12" i="18"/>
  <c r="CV12" i="18"/>
  <c r="CT13" i="18"/>
  <c r="CU13" i="18"/>
  <c r="CV13" i="18"/>
  <c r="CT14" i="18"/>
  <c r="CU14" i="18"/>
  <c r="CV14" i="18"/>
  <c r="CT15" i="18"/>
  <c r="CU15" i="18"/>
  <c r="CV15" i="18"/>
  <c r="CT16" i="18"/>
  <c r="CU16" i="18"/>
  <c r="CV16" i="18"/>
  <c r="CT17" i="18"/>
  <c r="CU17" i="18"/>
  <c r="CV17" i="18"/>
  <c r="CT18" i="18"/>
  <c r="CU18" i="18"/>
  <c r="CV18" i="18"/>
  <c r="CT19" i="18"/>
  <c r="CU19" i="18"/>
  <c r="CV19" i="18"/>
  <c r="CT20" i="18"/>
  <c r="CU20" i="18"/>
  <c r="CV20" i="18"/>
  <c r="CT21" i="18"/>
  <c r="CU21" i="18"/>
  <c r="CV21" i="18"/>
  <c r="CT22" i="18"/>
  <c r="CU22" i="18"/>
  <c r="CV22" i="18"/>
  <c r="CT23" i="18"/>
  <c r="CU23" i="18"/>
  <c r="CV23" i="18"/>
  <c r="CT24" i="18"/>
  <c r="CU24" i="18"/>
  <c r="CV24" i="18"/>
  <c r="CT25" i="18"/>
  <c r="CU25" i="18"/>
  <c r="CV25" i="18"/>
  <c r="CT26" i="18"/>
  <c r="CU26" i="18"/>
  <c r="CV26" i="18"/>
  <c r="CT27" i="18"/>
  <c r="CU27" i="18"/>
  <c r="CV27" i="18"/>
  <c r="CT28" i="18"/>
  <c r="CU28" i="18"/>
  <c r="CV28" i="18"/>
  <c r="CT29" i="18"/>
  <c r="CU29" i="18"/>
  <c r="CV29" i="18"/>
  <c r="CT30" i="18"/>
  <c r="CU30" i="18"/>
  <c r="CV30" i="18"/>
  <c r="CT31" i="18"/>
  <c r="CU31" i="18"/>
  <c r="CV31" i="18"/>
  <c r="CT32" i="18"/>
  <c r="CU32" i="18"/>
  <c r="CV32" i="18"/>
  <c r="CT33" i="18"/>
  <c r="CU33" i="18"/>
  <c r="CV33" i="18"/>
  <c r="CT34" i="18"/>
  <c r="CU34" i="18"/>
  <c r="CV34" i="18"/>
  <c r="CT35" i="18"/>
  <c r="CU35" i="18"/>
  <c r="CV35" i="18"/>
  <c r="CT36" i="18"/>
  <c r="CU36" i="18"/>
  <c r="CV36" i="18"/>
  <c r="CT37" i="18"/>
  <c r="CU37" i="18"/>
  <c r="CV37" i="18"/>
  <c r="CT38" i="18"/>
  <c r="CU38" i="18"/>
  <c r="CV38" i="18"/>
  <c r="CT39" i="18"/>
  <c r="CU39" i="18"/>
  <c r="CV39" i="18"/>
  <c r="CT40" i="18"/>
  <c r="CU40" i="18"/>
  <c r="CV40" i="18"/>
  <c r="CT41" i="18"/>
  <c r="CU41" i="18"/>
  <c r="CV41" i="18"/>
  <c r="CT42" i="18"/>
  <c r="CU42" i="18"/>
  <c r="CV42" i="18"/>
  <c r="CT43" i="18"/>
  <c r="CU43" i="18"/>
  <c r="CV43" i="18"/>
  <c r="CT44" i="18"/>
  <c r="CU44" i="18"/>
  <c r="CV44" i="18"/>
  <c r="CT45" i="18"/>
  <c r="CU45" i="18"/>
  <c r="CV45" i="18"/>
  <c r="CT46" i="18"/>
  <c r="CU46" i="18"/>
  <c r="CV46" i="18"/>
  <c r="CT47" i="18"/>
  <c r="CU47" i="18"/>
  <c r="CV47" i="18"/>
  <c r="CT48" i="18"/>
  <c r="CU48" i="18"/>
  <c r="CV48" i="18"/>
  <c r="CT49" i="18"/>
  <c r="CU49" i="18"/>
  <c r="CV49" i="18"/>
  <c r="CT50" i="18"/>
  <c r="CU50" i="18"/>
  <c r="CV50" i="18"/>
  <c r="CT51" i="18"/>
  <c r="CU51" i="18"/>
  <c r="CV51" i="18"/>
  <c r="CT52" i="18"/>
  <c r="CU52" i="18"/>
  <c r="CV52" i="18"/>
  <c r="CT53" i="18"/>
  <c r="CU53" i="18"/>
  <c r="CV53" i="18"/>
  <c r="CT54" i="18"/>
  <c r="CU54" i="18"/>
  <c r="CV54" i="18"/>
  <c r="CT55" i="18"/>
  <c r="CU55" i="18"/>
  <c r="CV55" i="18"/>
  <c r="CT56" i="18"/>
  <c r="CU56" i="18"/>
  <c r="CV56" i="18"/>
  <c r="CT57" i="18"/>
  <c r="CU57" i="18"/>
  <c r="CV57" i="18"/>
  <c r="CT58" i="18"/>
  <c r="CU58" i="18"/>
  <c r="CV58" i="18"/>
  <c r="CT59" i="18"/>
  <c r="CU59" i="18"/>
  <c r="CV59" i="18"/>
  <c r="CT60" i="18"/>
  <c r="CU60" i="18"/>
  <c r="CV60" i="18"/>
  <c r="CT61" i="18"/>
  <c r="CU61" i="18"/>
  <c r="CV61" i="18"/>
  <c r="CT62" i="18"/>
  <c r="CU62" i="18"/>
  <c r="CV62" i="18"/>
  <c r="CT63" i="18"/>
  <c r="CU63" i="18"/>
  <c r="CV63" i="18"/>
  <c r="CT64" i="18"/>
  <c r="CU64" i="18"/>
  <c r="CV64" i="18"/>
  <c r="CT65" i="18"/>
  <c r="CU65" i="18"/>
  <c r="CV65" i="18"/>
  <c r="CT66" i="18"/>
  <c r="CU66" i="18"/>
  <c r="CV66" i="18"/>
  <c r="CT67" i="18"/>
  <c r="CU67" i="18"/>
  <c r="CV67" i="18"/>
  <c r="CT68" i="18"/>
  <c r="CU68" i="18"/>
  <c r="CV68" i="18"/>
  <c r="CT69" i="18"/>
  <c r="CU69" i="18"/>
  <c r="CV69" i="18"/>
  <c r="CT70" i="18"/>
  <c r="CU70" i="18"/>
  <c r="CV70" i="18"/>
  <c r="CT71" i="18"/>
  <c r="CU71" i="18"/>
  <c r="CV71" i="18"/>
  <c r="CT72" i="18"/>
  <c r="CU72" i="18"/>
  <c r="CV72" i="18"/>
  <c r="CT73" i="18"/>
  <c r="CU73" i="18"/>
  <c r="CV73" i="18"/>
  <c r="CT74" i="18"/>
  <c r="CU74" i="18"/>
  <c r="CV74" i="18"/>
  <c r="CT75" i="18"/>
  <c r="CU75" i="18"/>
  <c r="CV75" i="18"/>
  <c r="CT76" i="18"/>
  <c r="CU76" i="18"/>
  <c r="CV76" i="18"/>
  <c r="CT77" i="18"/>
  <c r="CU77" i="18"/>
  <c r="CV77" i="18"/>
  <c r="CT78" i="18"/>
  <c r="CU78" i="18"/>
  <c r="CV78" i="18"/>
  <c r="CT79" i="18"/>
  <c r="CU79" i="18"/>
  <c r="CV79" i="18"/>
  <c r="CT80" i="18"/>
  <c r="CU80" i="18"/>
  <c r="CV80" i="18"/>
  <c r="CT81" i="18"/>
  <c r="CU81" i="18"/>
  <c r="CV81" i="18"/>
  <c r="CT82" i="18"/>
  <c r="CU82" i="18"/>
  <c r="CV82" i="18"/>
  <c r="CT83" i="18"/>
  <c r="CU83" i="18"/>
  <c r="CV83" i="18"/>
  <c r="CT84" i="18"/>
  <c r="CU84" i="18"/>
  <c r="CV84" i="18"/>
  <c r="CT85" i="18"/>
  <c r="CU85" i="18"/>
  <c r="CV85" i="18"/>
  <c r="CT86" i="18"/>
  <c r="CU86" i="18"/>
  <c r="CV86" i="18"/>
  <c r="CT87" i="18"/>
  <c r="CU87" i="18"/>
  <c r="CV87" i="18"/>
  <c r="CT88" i="18"/>
  <c r="CU88" i="18"/>
  <c r="CV88" i="18"/>
  <c r="CT89" i="18"/>
  <c r="CU89" i="18"/>
  <c r="CV89" i="18"/>
  <c r="CT90" i="18"/>
  <c r="CU90" i="18"/>
  <c r="CV90" i="18"/>
  <c r="CT91" i="18"/>
  <c r="CU91" i="18"/>
  <c r="CV91" i="18"/>
  <c r="CT92" i="18"/>
  <c r="CU92" i="18"/>
  <c r="CV92" i="18"/>
  <c r="CT93" i="18"/>
  <c r="CU93" i="18"/>
  <c r="CV93" i="18"/>
  <c r="CT94" i="18"/>
  <c r="CU94" i="18"/>
  <c r="CV94" i="18"/>
  <c r="CU2" i="18"/>
  <c r="CV2" i="18"/>
  <c r="CQ3" i="18"/>
  <c r="CR3" i="18"/>
  <c r="CS3" i="18"/>
  <c r="CR4" i="18"/>
  <c r="CS4" i="18"/>
  <c r="CQ5" i="18"/>
  <c r="CR5" i="18"/>
  <c r="CS5" i="18"/>
  <c r="CQ6" i="18"/>
  <c r="CR6" i="18"/>
  <c r="CS6" i="18"/>
  <c r="CQ7" i="18"/>
  <c r="CR7" i="18"/>
  <c r="CS7" i="18"/>
  <c r="CQ8" i="18"/>
  <c r="CR8" i="18"/>
  <c r="CS8" i="18"/>
  <c r="CQ9" i="18"/>
  <c r="CR9" i="18"/>
  <c r="CS9" i="18"/>
  <c r="CQ10" i="18"/>
  <c r="CR10" i="18"/>
  <c r="CS10" i="18"/>
  <c r="CQ11" i="18"/>
  <c r="CR11" i="18"/>
  <c r="CS11" i="18"/>
  <c r="CQ12" i="18"/>
  <c r="CR12" i="18"/>
  <c r="CS12" i="18"/>
  <c r="CQ13" i="18"/>
  <c r="CR13" i="18"/>
  <c r="CS13" i="18"/>
  <c r="CQ14" i="18"/>
  <c r="CR14" i="18"/>
  <c r="CS14" i="18"/>
  <c r="CQ15" i="18"/>
  <c r="CR15" i="18"/>
  <c r="CS15" i="18"/>
  <c r="CQ16" i="18"/>
  <c r="CR16" i="18"/>
  <c r="CS16" i="18"/>
  <c r="CQ17" i="18"/>
  <c r="CR17" i="18"/>
  <c r="CS17" i="18"/>
  <c r="CQ18" i="18"/>
  <c r="CR18" i="18"/>
  <c r="CS18" i="18"/>
  <c r="CQ19" i="18"/>
  <c r="CR19" i="18"/>
  <c r="CS19" i="18"/>
  <c r="CQ20" i="18"/>
  <c r="CR20" i="18"/>
  <c r="CS20" i="18"/>
  <c r="CQ21" i="18"/>
  <c r="CR21" i="18"/>
  <c r="CS21" i="18"/>
  <c r="CQ22" i="18"/>
  <c r="CR22" i="18"/>
  <c r="CS22" i="18"/>
  <c r="CQ23" i="18"/>
  <c r="CR23" i="18"/>
  <c r="CS23" i="18"/>
  <c r="CQ24" i="18"/>
  <c r="CR24" i="18"/>
  <c r="CS24" i="18"/>
  <c r="CQ25" i="18"/>
  <c r="CR25" i="18"/>
  <c r="CS25" i="18"/>
  <c r="CQ26" i="18"/>
  <c r="CR26" i="18"/>
  <c r="CS26" i="18"/>
  <c r="CQ27" i="18"/>
  <c r="CR27" i="18"/>
  <c r="CS27" i="18"/>
  <c r="CQ28" i="18"/>
  <c r="CR28" i="18"/>
  <c r="CS28" i="18"/>
  <c r="CQ29" i="18"/>
  <c r="CR29" i="18"/>
  <c r="CS29" i="18"/>
  <c r="CQ30" i="18"/>
  <c r="CR30" i="18"/>
  <c r="CS30" i="18"/>
  <c r="CQ31" i="18"/>
  <c r="CR31" i="18"/>
  <c r="CS31" i="18"/>
  <c r="CQ32" i="18"/>
  <c r="CR32" i="18"/>
  <c r="CS32" i="18"/>
  <c r="CQ33" i="18"/>
  <c r="CR33" i="18"/>
  <c r="CS33" i="18"/>
  <c r="CQ34" i="18"/>
  <c r="CR34" i="18"/>
  <c r="CS34" i="18"/>
  <c r="CQ35" i="18"/>
  <c r="CR35" i="18"/>
  <c r="CS35" i="18"/>
  <c r="CQ36" i="18"/>
  <c r="CR36" i="18"/>
  <c r="CS36" i="18"/>
  <c r="CQ37" i="18"/>
  <c r="CR37" i="18"/>
  <c r="CS37" i="18"/>
  <c r="CQ38" i="18"/>
  <c r="CR38" i="18"/>
  <c r="CS38" i="18"/>
  <c r="CQ39" i="18"/>
  <c r="CR39" i="18"/>
  <c r="CS39" i="18"/>
  <c r="CQ40" i="18"/>
  <c r="CR40" i="18"/>
  <c r="CS40" i="18"/>
  <c r="CQ41" i="18"/>
  <c r="CR41" i="18"/>
  <c r="CS41" i="18"/>
  <c r="CQ42" i="18"/>
  <c r="CR42" i="18"/>
  <c r="CS42" i="18"/>
  <c r="CQ43" i="18"/>
  <c r="CR43" i="18"/>
  <c r="CS43" i="18"/>
  <c r="CQ44" i="18"/>
  <c r="CR44" i="18"/>
  <c r="CS44" i="18"/>
  <c r="CQ45" i="18"/>
  <c r="CR45" i="18"/>
  <c r="CS45" i="18"/>
  <c r="CQ46" i="18"/>
  <c r="CR46" i="18"/>
  <c r="CS46" i="18"/>
  <c r="CQ47" i="18"/>
  <c r="CR47" i="18"/>
  <c r="CS47" i="18"/>
  <c r="CQ48" i="18"/>
  <c r="CR48" i="18"/>
  <c r="CS48" i="18"/>
  <c r="CQ49" i="18"/>
  <c r="CR49" i="18"/>
  <c r="CS49" i="18"/>
  <c r="CQ50" i="18"/>
  <c r="CR50" i="18"/>
  <c r="CS50" i="18"/>
  <c r="CQ51" i="18"/>
  <c r="CR51" i="18"/>
  <c r="CS51" i="18"/>
  <c r="CQ52" i="18"/>
  <c r="CR52" i="18"/>
  <c r="CS52" i="18"/>
  <c r="CQ53" i="18"/>
  <c r="CR53" i="18"/>
  <c r="CS53" i="18"/>
  <c r="CQ54" i="18"/>
  <c r="CR54" i="18"/>
  <c r="CS54" i="18"/>
  <c r="CQ55" i="18"/>
  <c r="CR55" i="18"/>
  <c r="CS55" i="18"/>
  <c r="CQ56" i="18"/>
  <c r="CR56" i="18"/>
  <c r="CS56" i="18"/>
  <c r="CQ57" i="18"/>
  <c r="CR57" i="18"/>
  <c r="CS57" i="18"/>
  <c r="CQ58" i="18"/>
  <c r="CR58" i="18"/>
  <c r="CS58" i="18"/>
  <c r="CQ59" i="18"/>
  <c r="CR59" i="18"/>
  <c r="CS59" i="18"/>
  <c r="CQ60" i="18"/>
  <c r="CR60" i="18"/>
  <c r="CS60" i="18"/>
  <c r="CQ61" i="18"/>
  <c r="CR61" i="18"/>
  <c r="CS61" i="18"/>
  <c r="CQ62" i="18"/>
  <c r="CR62" i="18"/>
  <c r="CS62" i="18"/>
  <c r="CQ63" i="18"/>
  <c r="CR63" i="18"/>
  <c r="CS63" i="18"/>
  <c r="CQ64" i="18"/>
  <c r="CR64" i="18"/>
  <c r="CS64" i="18"/>
  <c r="CQ65" i="18"/>
  <c r="CR65" i="18"/>
  <c r="CS65" i="18"/>
  <c r="CQ66" i="18"/>
  <c r="CR66" i="18"/>
  <c r="CS66" i="18"/>
  <c r="CQ67" i="18"/>
  <c r="CR67" i="18"/>
  <c r="CS67" i="18"/>
  <c r="CQ68" i="18"/>
  <c r="CR68" i="18"/>
  <c r="CS68" i="18"/>
  <c r="CQ69" i="18"/>
  <c r="CR69" i="18"/>
  <c r="CS69" i="18"/>
  <c r="CQ70" i="18"/>
  <c r="CR70" i="18"/>
  <c r="CS70" i="18"/>
  <c r="CQ71" i="18"/>
  <c r="CR71" i="18"/>
  <c r="CS71" i="18"/>
  <c r="CQ72" i="18"/>
  <c r="CR72" i="18"/>
  <c r="CS72" i="18"/>
  <c r="CQ73" i="18"/>
  <c r="CR73" i="18"/>
  <c r="CS73" i="18"/>
  <c r="CQ74" i="18"/>
  <c r="CR74" i="18"/>
  <c r="CS74" i="18"/>
  <c r="CQ75" i="18"/>
  <c r="CR75" i="18"/>
  <c r="CS75" i="18"/>
  <c r="CQ76" i="18"/>
  <c r="CR76" i="18"/>
  <c r="CS76" i="18"/>
  <c r="CQ77" i="18"/>
  <c r="CR77" i="18"/>
  <c r="CS77" i="18"/>
  <c r="CQ78" i="18"/>
  <c r="CR78" i="18"/>
  <c r="CS78" i="18"/>
  <c r="CQ79" i="18"/>
  <c r="CR79" i="18"/>
  <c r="CS79" i="18"/>
  <c r="CQ80" i="18"/>
  <c r="CR80" i="18"/>
  <c r="CS80" i="18"/>
  <c r="CQ81" i="18"/>
  <c r="CR81" i="18"/>
  <c r="CS81" i="18"/>
  <c r="CQ82" i="18"/>
  <c r="CR82" i="18"/>
  <c r="CS82" i="18"/>
  <c r="CQ83" i="18"/>
  <c r="CR83" i="18"/>
  <c r="CS83" i="18"/>
  <c r="CQ84" i="18"/>
  <c r="CR84" i="18"/>
  <c r="CS84" i="18"/>
  <c r="CQ85" i="18"/>
  <c r="CR85" i="18"/>
  <c r="CS85" i="18"/>
  <c r="CQ86" i="18"/>
  <c r="CR86" i="18"/>
  <c r="CS86" i="18"/>
  <c r="CQ87" i="18"/>
  <c r="CR87" i="18"/>
  <c r="CS87" i="18"/>
  <c r="CQ88" i="18"/>
  <c r="CR88" i="18"/>
  <c r="CS88" i="18"/>
  <c r="CQ89" i="18"/>
  <c r="CR89" i="18"/>
  <c r="CS89" i="18"/>
  <c r="CQ90" i="18"/>
  <c r="CR90" i="18"/>
  <c r="CS90" i="18"/>
  <c r="CQ91" i="18"/>
  <c r="CR91" i="18"/>
  <c r="CS91" i="18"/>
  <c r="CQ92" i="18"/>
  <c r="CR92" i="18"/>
  <c r="CS92" i="18"/>
  <c r="CQ93" i="18"/>
  <c r="CR93" i="18"/>
  <c r="CS93" i="18"/>
  <c r="CQ94" i="18"/>
  <c r="CR94" i="18"/>
  <c r="CS94" i="18"/>
  <c r="CR2" i="18"/>
  <c r="CS2" i="18"/>
  <c r="CG6" i="18"/>
  <c r="CG7" i="18"/>
  <c r="CG8" i="18"/>
  <c r="CG9" i="18"/>
  <c r="CG10" i="18"/>
  <c r="CG11" i="18"/>
  <c r="CG12" i="18"/>
  <c r="CG13" i="18"/>
  <c r="CG14" i="18"/>
  <c r="CG15" i="18"/>
  <c r="CG16" i="18"/>
  <c r="CG17" i="18"/>
  <c r="CG18" i="18"/>
  <c r="CG19" i="18"/>
  <c r="CG20" i="18"/>
  <c r="CG21" i="18"/>
  <c r="CG22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36" i="18"/>
  <c r="CG37" i="18"/>
  <c r="CG38" i="18"/>
  <c r="CG39" i="18"/>
  <c r="CG40" i="18"/>
  <c r="CG41" i="18"/>
  <c r="CG42" i="18"/>
  <c r="CG43" i="18"/>
  <c r="CG44" i="18"/>
  <c r="CG45" i="18"/>
  <c r="CG46" i="18"/>
  <c r="CG47" i="18"/>
  <c r="CG48" i="18"/>
  <c r="CG49" i="18"/>
  <c r="CG50" i="18"/>
  <c r="CG51" i="18"/>
  <c r="CG52" i="18"/>
  <c r="CG53" i="18"/>
  <c r="CG54" i="18"/>
  <c r="CG55" i="18"/>
  <c r="CG56" i="18"/>
  <c r="CG57" i="18"/>
  <c r="CG58" i="18"/>
  <c r="CG59" i="18"/>
  <c r="CG60" i="18"/>
  <c r="CG61" i="18"/>
  <c r="CG62" i="18"/>
  <c r="CG63" i="18"/>
  <c r="CG64" i="18"/>
  <c r="CG65" i="18"/>
  <c r="CG66" i="18"/>
  <c r="CG67" i="18"/>
  <c r="CG68" i="18"/>
  <c r="CG69" i="18"/>
  <c r="CG70" i="18"/>
  <c r="CG71" i="18"/>
  <c r="CG72" i="18"/>
  <c r="CG73" i="18"/>
  <c r="CG74" i="18"/>
  <c r="CG75" i="18"/>
  <c r="CG76" i="18"/>
  <c r="CG77" i="18"/>
  <c r="CG78" i="18"/>
  <c r="CG79" i="18"/>
  <c r="CG80" i="18"/>
  <c r="CG81" i="18"/>
  <c r="CG82" i="18"/>
  <c r="CG83" i="18"/>
  <c r="CG84" i="18"/>
  <c r="CG85" i="18"/>
  <c r="CG86" i="18"/>
  <c r="CG87" i="18"/>
  <c r="CG88" i="18"/>
  <c r="CG89" i="18"/>
  <c r="CG90" i="18"/>
  <c r="CG91" i="18"/>
  <c r="CG92" i="18"/>
  <c r="CG93" i="18"/>
  <c r="CG94" i="18"/>
  <c r="CG3" i="18"/>
  <c r="CH3" i="18"/>
  <c r="CI3" i="18"/>
  <c r="CG4" i="18"/>
  <c r="CH4" i="18"/>
  <c r="CI4" i="18"/>
  <c r="CG5" i="18"/>
  <c r="CH5" i="18"/>
  <c r="CI5" i="18"/>
  <c r="CH6" i="18"/>
  <c r="CI6" i="18"/>
  <c r="CH7" i="18"/>
  <c r="CI7" i="18"/>
  <c r="CH8" i="18"/>
  <c r="CI8" i="18"/>
  <c r="CH9" i="18"/>
  <c r="CI9" i="18"/>
  <c r="CH10" i="18"/>
  <c r="CI10" i="18"/>
  <c r="CH11" i="18"/>
  <c r="CI11" i="18"/>
  <c r="CH12" i="18"/>
  <c r="CI12" i="18"/>
  <c r="CH13" i="18"/>
  <c r="CI13" i="18"/>
  <c r="CH14" i="18"/>
  <c r="CI14" i="18"/>
  <c r="CH15" i="18"/>
  <c r="CI15" i="18"/>
  <c r="CH16" i="18"/>
  <c r="CI16" i="18"/>
  <c r="CH17" i="18"/>
  <c r="CI17" i="18"/>
  <c r="CH18" i="18"/>
  <c r="CI18" i="18"/>
  <c r="CH19" i="18"/>
  <c r="CI19" i="18"/>
  <c r="CH20" i="18"/>
  <c r="CI20" i="18"/>
  <c r="CH21" i="18"/>
  <c r="CI21" i="18"/>
  <c r="CH22" i="18"/>
  <c r="CI22" i="18"/>
  <c r="CH23" i="18"/>
  <c r="CI23" i="18"/>
  <c r="CH24" i="18"/>
  <c r="CI24" i="18"/>
  <c r="CH25" i="18"/>
  <c r="CI25" i="18"/>
  <c r="CH26" i="18"/>
  <c r="CI26" i="18"/>
  <c r="CH27" i="18"/>
  <c r="CI27" i="18"/>
  <c r="CH28" i="18"/>
  <c r="CI28" i="18"/>
  <c r="CH29" i="18"/>
  <c r="CI29" i="18"/>
  <c r="CH30" i="18"/>
  <c r="CI30" i="18"/>
  <c r="CH31" i="18"/>
  <c r="CI31" i="18"/>
  <c r="CH32" i="18"/>
  <c r="CI32" i="18"/>
  <c r="CH33" i="18"/>
  <c r="CI33" i="18"/>
  <c r="CH34" i="18"/>
  <c r="CI34" i="18"/>
  <c r="CH35" i="18"/>
  <c r="CI35" i="18"/>
  <c r="CH36" i="18"/>
  <c r="CI36" i="18"/>
  <c r="CH37" i="18"/>
  <c r="CI37" i="18"/>
  <c r="CH38" i="18"/>
  <c r="CI38" i="18"/>
  <c r="CH39" i="18"/>
  <c r="CI39" i="18"/>
  <c r="CH40" i="18"/>
  <c r="CI40" i="18"/>
  <c r="CH41" i="18"/>
  <c r="CI41" i="18"/>
  <c r="CH42" i="18"/>
  <c r="CI42" i="18"/>
  <c r="CH43" i="18"/>
  <c r="CI43" i="18"/>
  <c r="CH44" i="18"/>
  <c r="CI44" i="18"/>
  <c r="CH45" i="18"/>
  <c r="CI45" i="18"/>
  <c r="CH46" i="18"/>
  <c r="CI46" i="18"/>
  <c r="CH47" i="18"/>
  <c r="CI47" i="18"/>
  <c r="CH48" i="18"/>
  <c r="CI48" i="18"/>
  <c r="CH49" i="18"/>
  <c r="CI49" i="18"/>
  <c r="CH50" i="18"/>
  <c r="CI50" i="18"/>
  <c r="CH51" i="18"/>
  <c r="CI51" i="18"/>
  <c r="CH52" i="18"/>
  <c r="CI52" i="18"/>
  <c r="CH53" i="18"/>
  <c r="CI53" i="18"/>
  <c r="CH54" i="18"/>
  <c r="CI54" i="18"/>
  <c r="CH55" i="18"/>
  <c r="CI55" i="18"/>
  <c r="CH56" i="18"/>
  <c r="CI56" i="18"/>
  <c r="CH57" i="18"/>
  <c r="CI57" i="18"/>
  <c r="CH58" i="18"/>
  <c r="CI58" i="18"/>
  <c r="CH59" i="18"/>
  <c r="CI59" i="18"/>
  <c r="CH60" i="18"/>
  <c r="CI60" i="18"/>
  <c r="CH61" i="18"/>
  <c r="CI61" i="18"/>
  <c r="CH62" i="18"/>
  <c r="CI62" i="18"/>
  <c r="CH63" i="18"/>
  <c r="CI63" i="18"/>
  <c r="CH64" i="18"/>
  <c r="CI64" i="18"/>
  <c r="CH65" i="18"/>
  <c r="CI65" i="18"/>
  <c r="CH66" i="18"/>
  <c r="CI66" i="18"/>
  <c r="CH67" i="18"/>
  <c r="CI67" i="18"/>
  <c r="CH68" i="18"/>
  <c r="CI68" i="18"/>
  <c r="CH69" i="18"/>
  <c r="CI69" i="18"/>
  <c r="CH70" i="18"/>
  <c r="CI70" i="18"/>
  <c r="CH71" i="18"/>
  <c r="CI71" i="18"/>
  <c r="CH72" i="18"/>
  <c r="CI72" i="18"/>
  <c r="CH73" i="18"/>
  <c r="CI73" i="18"/>
  <c r="CH74" i="18"/>
  <c r="CI74" i="18"/>
  <c r="CH75" i="18"/>
  <c r="CI75" i="18"/>
  <c r="CH76" i="18"/>
  <c r="CI76" i="18"/>
  <c r="CH77" i="18"/>
  <c r="CI77" i="18"/>
  <c r="CH78" i="18"/>
  <c r="CI78" i="18"/>
  <c r="CH79" i="18"/>
  <c r="CI79" i="18"/>
  <c r="CH80" i="18"/>
  <c r="CI80" i="18"/>
  <c r="CH81" i="18"/>
  <c r="CI81" i="18"/>
  <c r="CH82" i="18"/>
  <c r="CI82" i="18"/>
  <c r="CH83" i="18"/>
  <c r="CI83" i="18"/>
  <c r="CH84" i="18"/>
  <c r="CI84" i="18"/>
  <c r="CH85" i="18"/>
  <c r="CI85" i="18"/>
  <c r="CH86" i="18"/>
  <c r="CI86" i="18"/>
  <c r="CH87" i="18"/>
  <c r="CI87" i="18"/>
  <c r="CH88" i="18"/>
  <c r="CI88" i="18"/>
  <c r="CH89" i="18"/>
  <c r="CI89" i="18"/>
  <c r="CH90" i="18"/>
  <c r="CI90" i="18"/>
  <c r="CH91" i="18"/>
  <c r="CI91" i="18"/>
  <c r="CH92" i="18"/>
  <c r="CI92" i="18"/>
  <c r="CH93" i="18"/>
  <c r="CI93" i="18"/>
  <c r="CH94" i="18"/>
  <c r="CI94" i="18"/>
  <c r="CH2" i="18"/>
  <c r="CI2" i="18"/>
  <c r="CG2" i="18"/>
  <c r="N152" i="14"/>
  <c r="N153" i="14"/>
  <c r="G121" i="18"/>
  <c r="F122" i="18"/>
  <c r="F121" i="18"/>
  <c r="M89" i="18"/>
  <c r="P3" i="18"/>
  <c r="BZ95" i="18" l="1"/>
  <c r="BY95" i="18"/>
  <c r="P302" i="18"/>
  <c r="Q302" i="18"/>
  <c r="O302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Q289" i="18"/>
  <c r="P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289" i="18"/>
  <c r="G122" i="18"/>
  <c r="G123" i="18"/>
  <c r="E123" i="18"/>
  <c r="E120" i="18"/>
  <c r="D123" i="18"/>
  <c r="F123" i="18"/>
  <c r="G117" i="18"/>
  <c r="G118" i="18"/>
  <c r="G119" i="18"/>
  <c r="E121" i="18"/>
  <c r="E122" i="18"/>
  <c r="D121" i="18"/>
  <c r="D122" i="18"/>
  <c r="D120" i="18"/>
  <c r="C121" i="18"/>
  <c r="C122" i="18"/>
  <c r="O105" i="19"/>
  <c r="O106" i="19"/>
  <c r="O104" i="19"/>
  <c r="AA95" i="19"/>
  <c r="AB95" i="19"/>
  <c r="Z95" i="19"/>
  <c r="AA97" i="19"/>
  <c r="N105" i="19"/>
  <c r="L106" i="19"/>
  <c r="L105" i="19"/>
  <c r="L104" i="19"/>
  <c r="AF98" i="19"/>
  <c r="AG98" i="19"/>
  <c r="AE98" i="19"/>
  <c r="AF99" i="19" s="1"/>
  <c r="K99" i="19"/>
  <c r="E198" i="19"/>
  <c r="H199" i="19"/>
  <c r="H170" i="19"/>
  <c r="E130" i="19"/>
  <c r="I169" i="19"/>
  <c r="I199" i="19"/>
  <c r="I131" i="19"/>
  <c r="H131" i="19"/>
  <c r="F130" i="19"/>
  <c r="G130" i="19"/>
  <c r="F198" i="19"/>
  <c r="G198" i="19"/>
  <c r="F169" i="19"/>
  <c r="G169" i="19"/>
  <c r="E169" i="19"/>
  <c r="F146" i="10"/>
  <c r="F145" i="10"/>
  <c r="F144" i="10"/>
  <c r="E146" i="10"/>
  <c r="E145" i="10"/>
  <c r="E144" i="10"/>
  <c r="D144" i="10"/>
  <c r="D145" i="10"/>
  <c r="D146" i="10"/>
  <c r="AA103" i="19"/>
  <c r="AB103" i="19"/>
  <c r="Z103" i="19"/>
  <c r="AA105" i="19"/>
  <c r="AB105" i="19"/>
  <c r="Z105" i="19"/>
  <c r="C144" i="10"/>
  <c r="C145" i="10"/>
  <c r="C146" i="10"/>
  <c r="AA98" i="19" l="1"/>
  <c r="M3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90" i="18"/>
  <c r="M91" i="18"/>
  <c r="M92" i="18"/>
  <c r="M93" i="18"/>
  <c r="M94" i="18"/>
  <c r="M2" i="18"/>
  <c r="C141" i="18"/>
  <c r="C140" i="18"/>
  <c r="C144" i="18" s="1"/>
  <c r="D137" i="18"/>
  <c r="E137" i="18"/>
  <c r="F137" i="18"/>
  <c r="C143" i="18" s="1"/>
  <c r="C148" i="18" s="1"/>
  <c r="C137" i="18"/>
  <c r="D136" i="18"/>
  <c r="E136" i="18"/>
  <c r="F136" i="18"/>
  <c r="C142" i="18" s="1"/>
  <c r="C147" i="18" s="1"/>
  <c r="C149" i="18" s="1"/>
  <c r="C136" i="18"/>
  <c r="F117" i="18"/>
  <c r="F118" i="18"/>
  <c r="F119" i="18"/>
  <c r="C116" i="18"/>
  <c r="D116" i="18"/>
  <c r="E116" i="18"/>
  <c r="BN3" i="18"/>
  <c r="BO3" i="18"/>
  <c r="BP3" i="18"/>
  <c r="BN4" i="18"/>
  <c r="BO4" i="18"/>
  <c r="BP4" i="18"/>
  <c r="BN5" i="18"/>
  <c r="BO5" i="18"/>
  <c r="BP5" i="18"/>
  <c r="BN6" i="18"/>
  <c r="BO6" i="18"/>
  <c r="BP6" i="18"/>
  <c r="BN7" i="18"/>
  <c r="BO7" i="18"/>
  <c r="BP7" i="18"/>
  <c r="BN8" i="18"/>
  <c r="BO8" i="18"/>
  <c r="BP8" i="18"/>
  <c r="BN9" i="18"/>
  <c r="BO9" i="18"/>
  <c r="BP9" i="18"/>
  <c r="BN10" i="18"/>
  <c r="BO10" i="18"/>
  <c r="BP10" i="18"/>
  <c r="BN11" i="18"/>
  <c r="BO11" i="18"/>
  <c r="BP11" i="18"/>
  <c r="BN12" i="18"/>
  <c r="BO12" i="18"/>
  <c r="BP12" i="18"/>
  <c r="BN13" i="18"/>
  <c r="BO13" i="18"/>
  <c r="BP13" i="18"/>
  <c r="BN14" i="18"/>
  <c r="BO14" i="18"/>
  <c r="BP14" i="18"/>
  <c r="BN15" i="18"/>
  <c r="BO15" i="18"/>
  <c r="BP15" i="18"/>
  <c r="BN16" i="18"/>
  <c r="BO16" i="18"/>
  <c r="BP16" i="18"/>
  <c r="BN17" i="18"/>
  <c r="BO17" i="18"/>
  <c r="BP17" i="18"/>
  <c r="BN18" i="18"/>
  <c r="BO18" i="18"/>
  <c r="BP18" i="18"/>
  <c r="BN19" i="18"/>
  <c r="BO19" i="18"/>
  <c r="BP19" i="18"/>
  <c r="BN20" i="18"/>
  <c r="BO20" i="18"/>
  <c r="BP20" i="18"/>
  <c r="BN21" i="18"/>
  <c r="BO21" i="18"/>
  <c r="BP21" i="18"/>
  <c r="BN22" i="18"/>
  <c r="BO22" i="18"/>
  <c r="BP22" i="18"/>
  <c r="BN23" i="18"/>
  <c r="BO23" i="18"/>
  <c r="BP23" i="18"/>
  <c r="BN24" i="18"/>
  <c r="BO24" i="18"/>
  <c r="BP24" i="18"/>
  <c r="BN25" i="18"/>
  <c r="BO25" i="18"/>
  <c r="BP25" i="18"/>
  <c r="BN26" i="18"/>
  <c r="BO26" i="18"/>
  <c r="BP26" i="18"/>
  <c r="BN27" i="18"/>
  <c r="BO27" i="18"/>
  <c r="BP27" i="18"/>
  <c r="BN28" i="18"/>
  <c r="BO28" i="18"/>
  <c r="BP28" i="18"/>
  <c r="BN29" i="18"/>
  <c r="BO29" i="18"/>
  <c r="BP29" i="18"/>
  <c r="BN30" i="18"/>
  <c r="BO30" i="18"/>
  <c r="BP30" i="18"/>
  <c r="BN31" i="18"/>
  <c r="BO31" i="18"/>
  <c r="BP31" i="18"/>
  <c r="BN32" i="18"/>
  <c r="BO32" i="18"/>
  <c r="BP32" i="18"/>
  <c r="BN33" i="18"/>
  <c r="BO33" i="18"/>
  <c r="BP33" i="18"/>
  <c r="BN34" i="18"/>
  <c r="BO34" i="18"/>
  <c r="BP34" i="18"/>
  <c r="BN35" i="18"/>
  <c r="BO35" i="18"/>
  <c r="BP35" i="18"/>
  <c r="BN36" i="18"/>
  <c r="BO36" i="18"/>
  <c r="BP36" i="18"/>
  <c r="BN37" i="18"/>
  <c r="BO37" i="18"/>
  <c r="BP37" i="18"/>
  <c r="BN38" i="18"/>
  <c r="BO38" i="18"/>
  <c r="BP38" i="18"/>
  <c r="BN39" i="18"/>
  <c r="BO39" i="18"/>
  <c r="BP39" i="18"/>
  <c r="BN40" i="18"/>
  <c r="BO40" i="18"/>
  <c r="BP40" i="18"/>
  <c r="BN41" i="18"/>
  <c r="BO41" i="18"/>
  <c r="BP41" i="18"/>
  <c r="BN42" i="18"/>
  <c r="BO42" i="18"/>
  <c r="BP42" i="18"/>
  <c r="BN43" i="18"/>
  <c r="BO43" i="18"/>
  <c r="BP43" i="18"/>
  <c r="BN44" i="18"/>
  <c r="BO44" i="18"/>
  <c r="BP44" i="18"/>
  <c r="BN45" i="18"/>
  <c r="BO45" i="18"/>
  <c r="BP45" i="18"/>
  <c r="BN46" i="18"/>
  <c r="BO46" i="18"/>
  <c r="BP46" i="18"/>
  <c r="BN47" i="18"/>
  <c r="BO47" i="18"/>
  <c r="BP47" i="18"/>
  <c r="BN48" i="18"/>
  <c r="BO48" i="18"/>
  <c r="BP48" i="18"/>
  <c r="BN49" i="18"/>
  <c r="BO49" i="18"/>
  <c r="BP49" i="18"/>
  <c r="BN50" i="18"/>
  <c r="BO50" i="18"/>
  <c r="BP50" i="18"/>
  <c r="BN51" i="18"/>
  <c r="BO51" i="18"/>
  <c r="BP51" i="18"/>
  <c r="BN52" i="18"/>
  <c r="BO52" i="18"/>
  <c r="BP52" i="18"/>
  <c r="BN53" i="18"/>
  <c r="BO53" i="18"/>
  <c r="BP53" i="18"/>
  <c r="BN54" i="18"/>
  <c r="BO54" i="18"/>
  <c r="BP54" i="18"/>
  <c r="BN55" i="18"/>
  <c r="BO55" i="18"/>
  <c r="BP55" i="18"/>
  <c r="BN56" i="18"/>
  <c r="BO56" i="18"/>
  <c r="BP56" i="18"/>
  <c r="BN57" i="18"/>
  <c r="BO57" i="18"/>
  <c r="BP57" i="18"/>
  <c r="BN58" i="18"/>
  <c r="BO58" i="18"/>
  <c r="BP58" i="18"/>
  <c r="BN59" i="18"/>
  <c r="BO59" i="18"/>
  <c r="BP59" i="18"/>
  <c r="BN60" i="18"/>
  <c r="BO60" i="18"/>
  <c r="BP60" i="18"/>
  <c r="BN61" i="18"/>
  <c r="BO61" i="18"/>
  <c r="BP61" i="18"/>
  <c r="BN62" i="18"/>
  <c r="BO62" i="18"/>
  <c r="BP62" i="18"/>
  <c r="BN63" i="18"/>
  <c r="BO63" i="18"/>
  <c r="BP63" i="18"/>
  <c r="BN64" i="18"/>
  <c r="BO64" i="18"/>
  <c r="BP64" i="18"/>
  <c r="BN65" i="18"/>
  <c r="BO65" i="18"/>
  <c r="BP65" i="18"/>
  <c r="BN66" i="18"/>
  <c r="BO66" i="18"/>
  <c r="BP66" i="18"/>
  <c r="BN67" i="18"/>
  <c r="BO67" i="18"/>
  <c r="BP67" i="18"/>
  <c r="BN68" i="18"/>
  <c r="BO68" i="18"/>
  <c r="BP68" i="18"/>
  <c r="BN69" i="18"/>
  <c r="BO69" i="18"/>
  <c r="BP69" i="18"/>
  <c r="BN70" i="18"/>
  <c r="BO70" i="18"/>
  <c r="BP70" i="18"/>
  <c r="BN71" i="18"/>
  <c r="BO71" i="18"/>
  <c r="BP71" i="18"/>
  <c r="BN72" i="18"/>
  <c r="BO72" i="18"/>
  <c r="BP72" i="18"/>
  <c r="BN73" i="18"/>
  <c r="BO73" i="18"/>
  <c r="BP73" i="18"/>
  <c r="BN74" i="18"/>
  <c r="BO74" i="18"/>
  <c r="BP74" i="18"/>
  <c r="BN75" i="18"/>
  <c r="BO75" i="18"/>
  <c r="BP75" i="18"/>
  <c r="BN76" i="18"/>
  <c r="BO76" i="18"/>
  <c r="BP76" i="18"/>
  <c r="BN77" i="18"/>
  <c r="BO77" i="18"/>
  <c r="BP77" i="18"/>
  <c r="BN78" i="18"/>
  <c r="BO78" i="18"/>
  <c r="BP78" i="18"/>
  <c r="BN79" i="18"/>
  <c r="BO79" i="18"/>
  <c r="BP79" i="18"/>
  <c r="BN80" i="18"/>
  <c r="BO80" i="18"/>
  <c r="BP80" i="18"/>
  <c r="BN81" i="18"/>
  <c r="BO81" i="18"/>
  <c r="BP81" i="18"/>
  <c r="BN82" i="18"/>
  <c r="BO82" i="18"/>
  <c r="BP82" i="18"/>
  <c r="BN83" i="18"/>
  <c r="BO83" i="18"/>
  <c r="BP83" i="18"/>
  <c r="BN84" i="18"/>
  <c r="BO84" i="18"/>
  <c r="BP84" i="18"/>
  <c r="BN85" i="18"/>
  <c r="BO85" i="18"/>
  <c r="BP85" i="18"/>
  <c r="BN86" i="18"/>
  <c r="BO86" i="18"/>
  <c r="BP86" i="18"/>
  <c r="BN87" i="18"/>
  <c r="BO87" i="18"/>
  <c r="BP87" i="18"/>
  <c r="BN88" i="18"/>
  <c r="BO88" i="18"/>
  <c r="BP88" i="18"/>
  <c r="BN89" i="18"/>
  <c r="BO89" i="18"/>
  <c r="BP89" i="18"/>
  <c r="BN90" i="18"/>
  <c r="BO90" i="18"/>
  <c r="BP90" i="18"/>
  <c r="BN91" i="18"/>
  <c r="BO91" i="18"/>
  <c r="BP91" i="18"/>
  <c r="BN92" i="18"/>
  <c r="BO92" i="18"/>
  <c r="BP92" i="18"/>
  <c r="BN93" i="18"/>
  <c r="BO93" i="18"/>
  <c r="BP93" i="18"/>
  <c r="BN94" i="18"/>
  <c r="BO94" i="18"/>
  <c r="BP94" i="18"/>
  <c r="BO2" i="18"/>
  <c r="BP2" i="18"/>
  <c r="BN2" i="18"/>
  <c r="BE3" i="18"/>
  <c r="BF3" i="18"/>
  <c r="BG3" i="18"/>
  <c r="BE4" i="18"/>
  <c r="BF4" i="18"/>
  <c r="BG4" i="18"/>
  <c r="BE5" i="18"/>
  <c r="BF5" i="18"/>
  <c r="BG5" i="18"/>
  <c r="BE6" i="18"/>
  <c r="BF6" i="18"/>
  <c r="BG6" i="18"/>
  <c r="BE7" i="18"/>
  <c r="BF7" i="18"/>
  <c r="BG7" i="18"/>
  <c r="BE8" i="18"/>
  <c r="BF8" i="18"/>
  <c r="BG8" i="18"/>
  <c r="BE9" i="18"/>
  <c r="BF9" i="18"/>
  <c r="BG9" i="18"/>
  <c r="BE10" i="18"/>
  <c r="BF10" i="18"/>
  <c r="BG10" i="18"/>
  <c r="BE11" i="18"/>
  <c r="BF11" i="18"/>
  <c r="BG11" i="18"/>
  <c r="BE12" i="18"/>
  <c r="BF12" i="18"/>
  <c r="BG12" i="18"/>
  <c r="BE13" i="18"/>
  <c r="BF13" i="18"/>
  <c r="BG13" i="18"/>
  <c r="BE14" i="18"/>
  <c r="BF14" i="18"/>
  <c r="BG14" i="18"/>
  <c r="BE15" i="18"/>
  <c r="BF15" i="18"/>
  <c r="BG15" i="18"/>
  <c r="BE16" i="18"/>
  <c r="BF16" i="18"/>
  <c r="BG16" i="18"/>
  <c r="BE17" i="18"/>
  <c r="BF17" i="18"/>
  <c r="BG17" i="18"/>
  <c r="BE18" i="18"/>
  <c r="BF18" i="18"/>
  <c r="BG18" i="18"/>
  <c r="BE19" i="18"/>
  <c r="BF19" i="18"/>
  <c r="BG19" i="18"/>
  <c r="BE20" i="18"/>
  <c r="BF20" i="18"/>
  <c r="BG20" i="18"/>
  <c r="BE21" i="18"/>
  <c r="BF21" i="18"/>
  <c r="BG21" i="18"/>
  <c r="BE22" i="18"/>
  <c r="BF22" i="18"/>
  <c r="BG22" i="18"/>
  <c r="BE23" i="18"/>
  <c r="BF23" i="18"/>
  <c r="BG23" i="18"/>
  <c r="BE24" i="18"/>
  <c r="BF24" i="18"/>
  <c r="BG24" i="18"/>
  <c r="BE25" i="18"/>
  <c r="BF25" i="18"/>
  <c r="BG25" i="18"/>
  <c r="BE26" i="18"/>
  <c r="BF26" i="18"/>
  <c r="BG26" i="18"/>
  <c r="BE27" i="18"/>
  <c r="BF27" i="18"/>
  <c r="BG27" i="18"/>
  <c r="BE28" i="18"/>
  <c r="BF28" i="18"/>
  <c r="BG28" i="18"/>
  <c r="BE29" i="18"/>
  <c r="BF29" i="18"/>
  <c r="BG29" i="18"/>
  <c r="BE30" i="18"/>
  <c r="BF30" i="18"/>
  <c r="BG30" i="18"/>
  <c r="BE31" i="18"/>
  <c r="BF31" i="18"/>
  <c r="BG31" i="18"/>
  <c r="BE32" i="18"/>
  <c r="BF32" i="18"/>
  <c r="BG32" i="18"/>
  <c r="BE33" i="18"/>
  <c r="BF33" i="18"/>
  <c r="BG33" i="18"/>
  <c r="BE34" i="18"/>
  <c r="BF34" i="18"/>
  <c r="BG34" i="18"/>
  <c r="BE35" i="18"/>
  <c r="BF35" i="18"/>
  <c r="BG35" i="18"/>
  <c r="BE36" i="18"/>
  <c r="BF36" i="18"/>
  <c r="BG36" i="18"/>
  <c r="BE37" i="18"/>
  <c r="BF37" i="18"/>
  <c r="BG37" i="18"/>
  <c r="BE38" i="18"/>
  <c r="BF38" i="18"/>
  <c r="BG38" i="18"/>
  <c r="BE39" i="18"/>
  <c r="BF39" i="18"/>
  <c r="BG39" i="18"/>
  <c r="BE40" i="18"/>
  <c r="BF40" i="18"/>
  <c r="BG40" i="18"/>
  <c r="BE41" i="18"/>
  <c r="BF41" i="18"/>
  <c r="BG41" i="18"/>
  <c r="BE42" i="18"/>
  <c r="BF42" i="18"/>
  <c r="BG42" i="18"/>
  <c r="BE43" i="18"/>
  <c r="BF43" i="18"/>
  <c r="BG43" i="18"/>
  <c r="BE44" i="18"/>
  <c r="BF44" i="18"/>
  <c r="BG44" i="18"/>
  <c r="BE45" i="18"/>
  <c r="BF45" i="18"/>
  <c r="BG45" i="18"/>
  <c r="BE46" i="18"/>
  <c r="BF46" i="18"/>
  <c r="BG46" i="18"/>
  <c r="BE47" i="18"/>
  <c r="BF47" i="18"/>
  <c r="BG47" i="18"/>
  <c r="BE48" i="18"/>
  <c r="BF48" i="18"/>
  <c r="BG48" i="18"/>
  <c r="BE49" i="18"/>
  <c r="BF49" i="18"/>
  <c r="BG49" i="18"/>
  <c r="BE50" i="18"/>
  <c r="BF50" i="18"/>
  <c r="BG50" i="18"/>
  <c r="BE51" i="18"/>
  <c r="BF51" i="18"/>
  <c r="BG51" i="18"/>
  <c r="BE52" i="18"/>
  <c r="BF52" i="18"/>
  <c r="BG52" i="18"/>
  <c r="BE53" i="18"/>
  <c r="BF53" i="18"/>
  <c r="BG53" i="18"/>
  <c r="BE54" i="18"/>
  <c r="BF54" i="18"/>
  <c r="BG54" i="18"/>
  <c r="BE55" i="18"/>
  <c r="BF55" i="18"/>
  <c r="BG55" i="18"/>
  <c r="BE56" i="18"/>
  <c r="BF56" i="18"/>
  <c r="BG56" i="18"/>
  <c r="BE57" i="18"/>
  <c r="BF57" i="18"/>
  <c r="BG57" i="18"/>
  <c r="BE58" i="18"/>
  <c r="BF58" i="18"/>
  <c r="BG58" i="18"/>
  <c r="BE59" i="18"/>
  <c r="BF59" i="18"/>
  <c r="BG59" i="18"/>
  <c r="BE60" i="18"/>
  <c r="BF60" i="18"/>
  <c r="BG60" i="18"/>
  <c r="BE61" i="18"/>
  <c r="BF61" i="18"/>
  <c r="BG61" i="18"/>
  <c r="BE62" i="18"/>
  <c r="BF62" i="18"/>
  <c r="BG62" i="18"/>
  <c r="BE63" i="18"/>
  <c r="BF63" i="18"/>
  <c r="BG63" i="18"/>
  <c r="BE64" i="18"/>
  <c r="BF64" i="18"/>
  <c r="BG64" i="18"/>
  <c r="BE65" i="18"/>
  <c r="BF65" i="18"/>
  <c r="BG65" i="18"/>
  <c r="BE66" i="18"/>
  <c r="BF66" i="18"/>
  <c r="BG66" i="18"/>
  <c r="BE67" i="18"/>
  <c r="BF67" i="18"/>
  <c r="BG67" i="18"/>
  <c r="BE68" i="18"/>
  <c r="BF68" i="18"/>
  <c r="BG68" i="18"/>
  <c r="BE69" i="18"/>
  <c r="BF69" i="18"/>
  <c r="BG69" i="18"/>
  <c r="BE70" i="18"/>
  <c r="BF70" i="18"/>
  <c r="BG70" i="18"/>
  <c r="BE71" i="18"/>
  <c r="BF71" i="18"/>
  <c r="BG71" i="18"/>
  <c r="BE72" i="18"/>
  <c r="BF72" i="18"/>
  <c r="BG72" i="18"/>
  <c r="BE73" i="18"/>
  <c r="BF73" i="18"/>
  <c r="BG73" i="18"/>
  <c r="BE74" i="18"/>
  <c r="BF74" i="18"/>
  <c r="BG74" i="18"/>
  <c r="BE75" i="18"/>
  <c r="BF75" i="18"/>
  <c r="BG75" i="18"/>
  <c r="BE76" i="18"/>
  <c r="BF76" i="18"/>
  <c r="BG76" i="18"/>
  <c r="BE77" i="18"/>
  <c r="BF77" i="18"/>
  <c r="BG77" i="18"/>
  <c r="BE78" i="18"/>
  <c r="BF78" i="18"/>
  <c r="BG78" i="18"/>
  <c r="BE79" i="18"/>
  <c r="BF79" i="18"/>
  <c r="BG79" i="18"/>
  <c r="BE80" i="18"/>
  <c r="BF80" i="18"/>
  <c r="BG80" i="18"/>
  <c r="BE81" i="18"/>
  <c r="BF81" i="18"/>
  <c r="BG81" i="18"/>
  <c r="BE82" i="18"/>
  <c r="BF82" i="18"/>
  <c r="BG82" i="18"/>
  <c r="BE83" i="18"/>
  <c r="BF83" i="18"/>
  <c r="BG83" i="18"/>
  <c r="BE84" i="18"/>
  <c r="BF84" i="18"/>
  <c r="BG84" i="18"/>
  <c r="BE85" i="18"/>
  <c r="BF85" i="18"/>
  <c r="BG85" i="18"/>
  <c r="BE86" i="18"/>
  <c r="BF86" i="18"/>
  <c r="BG86" i="18"/>
  <c r="BE87" i="18"/>
  <c r="BF87" i="18"/>
  <c r="BG87" i="18"/>
  <c r="BE88" i="18"/>
  <c r="BF88" i="18"/>
  <c r="BG88" i="18"/>
  <c r="BE89" i="18"/>
  <c r="BF89" i="18"/>
  <c r="BG89" i="18"/>
  <c r="BE90" i="18"/>
  <c r="BF90" i="18"/>
  <c r="BG90" i="18"/>
  <c r="BE91" i="18"/>
  <c r="BF91" i="18"/>
  <c r="BG91" i="18"/>
  <c r="BE92" i="18"/>
  <c r="BF92" i="18"/>
  <c r="BG92" i="18"/>
  <c r="BE93" i="18"/>
  <c r="BF93" i="18"/>
  <c r="BG93" i="18"/>
  <c r="BE94" i="18"/>
  <c r="BF94" i="18"/>
  <c r="BG94" i="18"/>
  <c r="BF2" i="18"/>
  <c r="BG2" i="18"/>
  <c r="BE2" i="18"/>
  <c r="AV3" i="18"/>
  <c r="AW3" i="18"/>
  <c r="AX3" i="18"/>
  <c r="AV4" i="18"/>
  <c r="AW4" i="18"/>
  <c r="AX4" i="18"/>
  <c r="AV5" i="18"/>
  <c r="AW5" i="18"/>
  <c r="AX5" i="18"/>
  <c r="AV6" i="18"/>
  <c r="AW6" i="18"/>
  <c r="AX6" i="18"/>
  <c r="AV7" i="18"/>
  <c r="AW7" i="18"/>
  <c r="AX7" i="18"/>
  <c r="AV8" i="18"/>
  <c r="AW8" i="18"/>
  <c r="AX8" i="18"/>
  <c r="AV9" i="18"/>
  <c r="AW9" i="18"/>
  <c r="AX9" i="18"/>
  <c r="AV10" i="18"/>
  <c r="AW10" i="18"/>
  <c r="AX10" i="18"/>
  <c r="AV11" i="18"/>
  <c r="AW11" i="18"/>
  <c r="AX11" i="18"/>
  <c r="AV12" i="18"/>
  <c r="AW12" i="18"/>
  <c r="AX12" i="18"/>
  <c r="AV13" i="18"/>
  <c r="AW13" i="18"/>
  <c r="AX13" i="18"/>
  <c r="AV14" i="18"/>
  <c r="AW14" i="18"/>
  <c r="AX14" i="18"/>
  <c r="AV15" i="18"/>
  <c r="AW15" i="18"/>
  <c r="AX15" i="18"/>
  <c r="AV16" i="18"/>
  <c r="AW16" i="18"/>
  <c r="AX16" i="18"/>
  <c r="AV17" i="18"/>
  <c r="AW17" i="18"/>
  <c r="AX17" i="18"/>
  <c r="AV18" i="18"/>
  <c r="AW18" i="18"/>
  <c r="AX18" i="18"/>
  <c r="AV19" i="18"/>
  <c r="AW19" i="18"/>
  <c r="AX19" i="18"/>
  <c r="AV20" i="18"/>
  <c r="AW20" i="18"/>
  <c r="AX20" i="18"/>
  <c r="AV21" i="18"/>
  <c r="AW21" i="18"/>
  <c r="AX21" i="18"/>
  <c r="AV22" i="18"/>
  <c r="AW22" i="18"/>
  <c r="AX22" i="18"/>
  <c r="AV23" i="18"/>
  <c r="AW23" i="18"/>
  <c r="AX23" i="18"/>
  <c r="AV24" i="18"/>
  <c r="AW24" i="18"/>
  <c r="AX24" i="18"/>
  <c r="AV25" i="18"/>
  <c r="AW25" i="18"/>
  <c r="AX25" i="18"/>
  <c r="AV26" i="18"/>
  <c r="AW26" i="18"/>
  <c r="AX26" i="18"/>
  <c r="AV27" i="18"/>
  <c r="AW27" i="18"/>
  <c r="AX27" i="18"/>
  <c r="AV28" i="18"/>
  <c r="AW28" i="18"/>
  <c r="AX28" i="18"/>
  <c r="AV29" i="18"/>
  <c r="AW29" i="18"/>
  <c r="AX29" i="18"/>
  <c r="AV30" i="18"/>
  <c r="AW30" i="18"/>
  <c r="AX30" i="18"/>
  <c r="AV31" i="18"/>
  <c r="AW31" i="18"/>
  <c r="AX31" i="18"/>
  <c r="AV32" i="18"/>
  <c r="AW32" i="18"/>
  <c r="AX32" i="18"/>
  <c r="AV33" i="18"/>
  <c r="AW33" i="18"/>
  <c r="AX33" i="18"/>
  <c r="AV34" i="18"/>
  <c r="AW34" i="18"/>
  <c r="AX34" i="18"/>
  <c r="AV35" i="18"/>
  <c r="AW35" i="18"/>
  <c r="AX35" i="18"/>
  <c r="AV36" i="18"/>
  <c r="AW36" i="18"/>
  <c r="AX36" i="18"/>
  <c r="AV37" i="18"/>
  <c r="AW37" i="18"/>
  <c r="AX37" i="18"/>
  <c r="AV38" i="18"/>
  <c r="AW38" i="18"/>
  <c r="AX38" i="18"/>
  <c r="AV39" i="18"/>
  <c r="AW39" i="18"/>
  <c r="AX39" i="18"/>
  <c r="AV40" i="18"/>
  <c r="AW40" i="18"/>
  <c r="AX40" i="18"/>
  <c r="AV41" i="18"/>
  <c r="AW41" i="18"/>
  <c r="AX41" i="18"/>
  <c r="AV42" i="18"/>
  <c r="AW42" i="18"/>
  <c r="AX42" i="18"/>
  <c r="AV43" i="18"/>
  <c r="AW43" i="18"/>
  <c r="AX43" i="18"/>
  <c r="AV44" i="18"/>
  <c r="AW44" i="18"/>
  <c r="AX44" i="18"/>
  <c r="AV45" i="18"/>
  <c r="AW45" i="18"/>
  <c r="AX45" i="18"/>
  <c r="AV46" i="18"/>
  <c r="AW46" i="18"/>
  <c r="AX46" i="18"/>
  <c r="AV47" i="18"/>
  <c r="AW47" i="18"/>
  <c r="AX47" i="18"/>
  <c r="AV48" i="18"/>
  <c r="AW48" i="18"/>
  <c r="AX48" i="18"/>
  <c r="AV49" i="18"/>
  <c r="AW49" i="18"/>
  <c r="AX49" i="18"/>
  <c r="AV50" i="18"/>
  <c r="AW50" i="18"/>
  <c r="AX50" i="18"/>
  <c r="AV51" i="18"/>
  <c r="AW51" i="18"/>
  <c r="AX51" i="18"/>
  <c r="AV52" i="18"/>
  <c r="AW52" i="18"/>
  <c r="AX52" i="18"/>
  <c r="AV53" i="18"/>
  <c r="AW53" i="18"/>
  <c r="AX53" i="18"/>
  <c r="AV54" i="18"/>
  <c r="AW54" i="18"/>
  <c r="AX54" i="18"/>
  <c r="AV55" i="18"/>
  <c r="AW55" i="18"/>
  <c r="AX55" i="18"/>
  <c r="AV56" i="18"/>
  <c r="AW56" i="18"/>
  <c r="AX56" i="18"/>
  <c r="AV57" i="18"/>
  <c r="AW57" i="18"/>
  <c r="AX57" i="18"/>
  <c r="AV58" i="18"/>
  <c r="AW58" i="18"/>
  <c r="AX58" i="18"/>
  <c r="AV59" i="18"/>
  <c r="AW59" i="18"/>
  <c r="AX59" i="18"/>
  <c r="AV60" i="18"/>
  <c r="AW60" i="18"/>
  <c r="AX60" i="18"/>
  <c r="AV61" i="18"/>
  <c r="AW61" i="18"/>
  <c r="AX61" i="18"/>
  <c r="AV62" i="18"/>
  <c r="AW62" i="18"/>
  <c r="AX62" i="18"/>
  <c r="AV63" i="18"/>
  <c r="AW63" i="18"/>
  <c r="AX63" i="18"/>
  <c r="AV64" i="18"/>
  <c r="AW64" i="18"/>
  <c r="AX64" i="18"/>
  <c r="AV65" i="18"/>
  <c r="AW65" i="18"/>
  <c r="AX65" i="18"/>
  <c r="AV66" i="18"/>
  <c r="AW66" i="18"/>
  <c r="AX66" i="18"/>
  <c r="AV67" i="18"/>
  <c r="AW67" i="18"/>
  <c r="AX67" i="18"/>
  <c r="AV68" i="18"/>
  <c r="AW68" i="18"/>
  <c r="AX68" i="18"/>
  <c r="AV69" i="18"/>
  <c r="AW69" i="18"/>
  <c r="AX69" i="18"/>
  <c r="AV70" i="18"/>
  <c r="AW70" i="18"/>
  <c r="AX70" i="18"/>
  <c r="AV71" i="18"/>
  <c r="AW71" i="18"/>
  <c r="AX71" i="18"/>
  <c r="AV72" i="18"/>
  <c r="AW72" i="18"/>
  <c r="AX72" i="18"/>
  <c r="AV73" i="18"/>
  <c r="AW73" i="18"/>
  <c r="AX73" i="18"/>
  <c r="AV74" i="18"/>
  <c r="AW74" i="18"/>
  <c r="AX74" i="18"/>
  <c r="AV75" i="18"/>
  <c r="AW75" i="18"/>
  <c r="AX75" i="18"/>
  <c r="AV76" i="18"/>
  <c r="AW76" i="18"/>
  <c r="AX76" i="18"/>
  <c r="AV77" i="18"/>
  <c r="AW77" i="18"/>
  <c r="AX77" i="18"/>
  <c r="AV78" i="18"/>
  <c r="AW78" i="18"/>
  <c r="AX78" i="18"/>
  <c r="AV79" i="18"/>
  <c r="AW79" i="18"/>
  <c r="AX79" i="18"/>
  <c r="AV80" i="18"/>
  <c r="AW80" i="18"/>
  <c r="AX80" i="18"/>
  <c r="AV81" i="18"/>
  <c r="AW81" i="18"/>
  <c r="AX81" i="18"/>
  <c r="AV82" i="18"/>
  <c r="AW82" i="18"/>
  <c r="AX82" i="18"/>
  <c r="AV83" i="18"/>
  <c r="AW83" i="18"/>
  <c r="AX83" i="18"/>
  <c r="AV84" i="18"/>
  <c r="AW84" i="18"/>
  <c r="AX84" i="18"/>
  <c r="AV85" i="18"/>
  <c r="AW85" i="18"/>
  <c r="AX85" i="18"/>
  <c r="AV86" i="18"/>
  <c r="AW86" i="18"/>
  <c r="AX86" i="18"/>
  <c r="AV87" i="18"/>
  <c r="AW87" i="18"/>
  <c r="AX87" i="18"/>
  <c r="AV88" i="18"/>
  <c r="AW88" i="18"/>
  <c r="AX88" i="18"/>
  <c r="AV89" i="18"/>
  <c r="AW89" i="18"/>
  <c r="AX89" i="18"/>
  <c r="AV90" i="18"/>
  <c r="AW90" i="18"/>
  <c r="AX90" i="18"/>
  <c r="AV91" i="18"/>
  <c r="AW91" i="18"/>
  <c r="AX91" i="18"/>
  <c r="AV92" i="18"/>
  <c r="AW92" i="18"/>
  <c r="AX92" i="18"/>
  <c r="AV93" i="18"/>
  <c r="AW93" i="18"/>
  <c r="AX93" i="18"/>
  <c r="AV94" i="18"/>
  <c r="AW94" i="18"/>
  <c r="AX94" i="18"/>
  <c r="AW2" i="18"/>
  <c r="AX2" i="18"/>
  <c r="AV2" i="18"/>
  <c r="AT2" i="18"/>
  <c r="AU2" i="18"/>
  <c r="AT3" i="18"/>
  <c r="AU3" i="18"/>
  <c r="AT4" i="18"/>
  <c r="AU4" i="18"/>
  <c r="BS4" i="18" s="1"/>
  <c r="BV4" i="18" s="1"/>
  <c r="AT5" i="18"/>
  <c r="AZ5" i="18" s="1"/>
  <c r="BC5" i="18" s="1"/>
  <c r="AU5" i="18"/>
  <c r="AT6" i="18"/>
  <c r="AU6" i="18"/>
  <c r="AT7" i="18"/>
  <c r="AU7" i="18"/>
  <c r="AT8" i="18"/>
  <c r="AU8" i="18"/>
  <c r="BS8" i="18" s="1"/>
  <c r="BV8" i="18" s="1"/>
  <c r="AT9" i="18"/>
  <c r="AU9" i="18"/>
  <c r="AT10" i="18"/>
  <c r="AU10" i="18"/>
  <c r="BA10" i="18" s="1"/>
  <c r="BD10" i="18" s="1"/>
  <c r="AT11" i="18"/>
  <c r="AU11" i="18"/>
  <c r="AT12" i="18"/>
  <c r="AU12" i="18"/>
  <c r="BS12" i="18" s="1"/>
  <c r="BV12" i="18" s="1"/>
  <c r="AT13" i="18"/>
  <c r="AZ13" i="18" s="1"/>
  <c r="BC13" i="18" s="1"/>
  <c r="AU13" i="18"/>
  <c r="AT14" i="18"/>
  <c r="AU14" i="18"/>
  <c r="AT15" i="18"/>
  <c r="AU15" i="18"/>
  <c r="AT16" i="18"/>
  <c r="AU16" i="18"/>
  <c r="BS16" i="18" s="1"/>
  <c r="BV16" i="18" s="1"/>
  <c r="AT17" i="18"/>
  <c r="AU17" i="18"/>
  <c r="AT18" i="18"/>
  <c r="AU18" i="18"/>
  <c r="AT19" i="18"/>
  <c r="AU19" i="18"/>
  <c r="BA19" i="18" s="1"/>
  <c r="BD19" i="18" s="1"/>
  <c r="AT20" i="18"/>
  <c r="AU20" i="18"/>
  <c r="BS20" i="18" s="1"/>
  <c r="BV20" i="18" s="1"/>
  <c r="AT21" i="18"/>
  <c r="AU21" i="18"/>
  <c r="AT22" i="18"/>
  <c r="AU22" i="18"/>
  <c r="AT23" i="18"/>
  <c r="AU23" i="18"/>
  <c r="BA23" i="18" s="1"/>
  <c r="BD23" i="18" s="1"/>
  <c r="AT24" i="18"/>
  <c r="AU24" i="18"/>
  <c r="BS24" i="18" s="1"/>
  <c r="BV24" i="18" s="1"/>
  <c r="AT25" i="18"/>
  <c r="AU25" i="18"/>
  <c r="AT26" i="18"/>
  <c r="AU26" i="18"/>
  <c r="AT27" i="18"/>
  <c r="AU27" i="18"/>
  <c r="BA27" i="18" s="1"/>
  <c r="BD27" i="18" s="1"/>
  <c r="AT28" i="18"/>
  <c r="AU28" i="18"/>
  <c r="BS28" i="18" s="1"/>
  <c r="BV28" i="18" s="1"/>
  <c r="AT29" i="18"/>
  <c r="AU29" i="18"/>
  <c r="AT30" i="18"/>
  <c r="AU30" i="18"/>
  <c r="AT31" i="18"/>
  <c r="AU31" i="18"/>
  <c r="BA31" i="18" s="1"/>
  <c r="BD31" i="18" s="1"/>
  <c r="AT32" i="18"/>
  <c r="AU32" i="18"/>
  <c r="BS32" i="18" s="1"/>
  <c r="BV32" i="18" s="1"/>
  <c r="AT33" i="18"/>
  <c r="AU33" i="18"/>
  <c r="AT34" i="18"/>
  <c r="AU34" i="18"/>
  <c r="AT35" i="18"/>
  <c r="AU35" i="18"/>
  <c r="BA35" i="18" s="1"/>
  <c r="BD35" i="18" s="1"/>
  <c r="AT36" i="18"/>
  <c r="AU36" i="18"/>
  <c r="BS36" i="18" s="1"/>
  <c r="BV36" i="18" s="1"/>
  <c r="AT37" i="18"/>
  <c r="AU37" i="18"/>
  <c r="AT38" i="18"/>
  <c r="AU38" i="18"/>
  <c r="AT39" i="18"/>
  <c r="AU39" i="18"/>
  <c r="BA39" i="18" s="1"/>
  <c r="BD39" i="18" s="1"/>
  <c r="AT40" i="18"/>
  <c r="AU40" i="18"/>
  <c r="BS40" i="18" s="1"/>
  <c r="BV40" i="18" s="1"/>
  <c r="AT41" i="18"/>
  <c r="AU41" i="18"/>
  <c r="AT42" i="18"/>
  <c r="AU42" i="18"/>
  <c r="AT43" i="18"/>
  <c r="AU43" i="18"/>
  <c r="BA43" i="18" s="1"/>
  <c r="BD43" i="18" s="1"/>
  <c r="AT44" i="18"/>
  <c r="AU44" i="18"/>
  <c r="AT45" i="18"/>
  <c r="AU45" i="18"/>
  <c r="AT46" i="18"/>
  <c r="AU46" i="18"/>
  <c r="AT47" i="18"/>
  <c r="AU47" i="18"/>
  <c r="BA47" i="18" s="1"/>
  <c r="BD47" i="18" s="1"/>
  <c r="AT48" i="18"/>
  <c r="AU48" i="18"/>
  <c r="AT49" i="18"/>
  <c r="AU49" i="18"/>
  <c r="AT50" i="18"/>
  <c r="AU50" i="18"/>
  <c r="AT51" i="18"/>
  <c r="AU51" i="18"/>
  <c r="BA51" i="18" s="1"/>
  <c r="BD51" i="18" s="1"/>
  <c r="AT52" i="18"/>
  <c r="AU52" i="18"/>
  <c r="AT53" i="18"/>
  <c r="AU53" i="18"/>
  <c r="AT54" i="18"/>
  <c r="AU54" i="18"/>
  <c r="AT55" i="18"/>
  <c r="AU55" i="18"/>
  <c r="BA55" i="18" s="1"/>
  <c r="BD55" i="18" s="1"/>
  <c r="AT56" i="18"/>
  <c r="AU56" i="18"/>
  <c r="AT57" i="18"/>
  <c r="AU57" i="18"/>
  <c r="AT58" i="18"/>
  <c r="AU58" i="18"/>
  <c r="AT59" i="18"/>
  <c r="AU59" i="18"/>
  <c r="BA59" i="18" s="1"/>
  <c r="BD59" i="18" s="1"/>
  <c r="AT60" i="18"/>
  <c r="AU60" i="18"/>
  <c r="AT61" i="18"/>
  <c r="AU61" i="18"/>
  <c r="AT62" i="18"/>
  <c r="AU62" i="18"/>
  <c r="AT63" i="18"/>
  <c r="AU63" i="18"/>
  <c r="BA63" i="18" s="1"/>
  <c r="BD63" i="18" s="1"/>
  <c r="AT64" i="18"/>
  <c r="AU64" i="18"/>
  <c r="AT65" i="18"/>
  <c r="AU65" i="18"/>
  <c r="AT66" i="18"/>
  <c r="AU66" i="18"/>
  <c r="AT67" i="18"/>
  <c r="AU67" i="18"/>
  <c r="BA67" i="18" s="1"/>
  <c r="BD67" i="18" s="1"/>
  <c r="AT68" i="18"/>
  <c r="AU68" i="18"/>
  <c r="AT69" i="18"/>
  <c r="AU69" i="18"/>
  <c r="AT70" i="18"/>
  <c r="AU70" i="18"/>
  <c r="AT71" i="18"/>
  <c r="AU71" i="18"/>
  <c r="BA71" i="18" s="1"/>
  <c r="BD71" i="18" s="1"/>
  <c r="AT72" i="18"/>
  <c r="AU72" i="18"/>
  <c r="AT73" i="18"/>
  <c r="AU73" i="18"/>
  <c r="AT74" i="18"/>
  <c r="AU74" i="18"/>
  <c r="AT75" i="18"/>
  <c r="AU75" i="18"/>
  <c r="BA75" i="18" s="1"/>
  <c r="BD75" i="18" s="1"/>
  <c r="AT76" i="18"/>
  <c r="AU76" i="18"/>
  <c r="AT77" i="18"/>
  <c r="AU77" i="18"/>
  <c r="AT78" i="18"/>
  <c r="AU78" i="18"/>
  <c r="AT79" i="18"/>
  <c r="AU79" i="18"/>
  <c r="BA79" i="18" s="1"/>
  <c r="BD79" i="18" s="1"/>
  <c r="AT80" i="18"/>
  <c r="AU80" i="18"/>
  <c r="AT81" i="18"/>
  <c r="AZ81" i="18" s="1"/>
  <c r="BC81" i="18" s="1"/>
  <c r="AU81" i="18"/>
  <c r="AT82" i="18"/>
  <c r="AU82" i="18"/>
  <c r="BA82" i="18" s="1"/>
  <c r="BD82" i="18" s="1"/>
  <c r="AT83" i="18"/>
  <c r="AU83" i="18"/>
  <c r="BA83" i="18" s="1"/>
  <c r="BD83" i="18" s="1"/>
  <c r="AT84" i="18"/>
  <c r="AU84" i="18"/>
  <c r="AT85" i="18"/>
  <c r="AZ85" i="18" s="1"/>
  <c r="BC85" i="18" s="1"/>
  <c r="AU85" i="18"/>
  <c r="AT86" i="18"/>
  <c r="AU86" i="18"/>
  <c r="BA86" i="18" s="1"/>
  <c r="BD86" i="18" s="1"/>
  <c r="AT87" i="18"/>
  <c r="AU87" i="18"/>
  <c r="BA87" i="18" s="1"/>
  <c r="BD87" i="18" s="1"/>
  <c r="AT88" i="18"/>
  <c r="AU88" i="18"/>
  <c r="BA88" i="18" s="1"/>
  <c r="BD88" i="18" s="1"/>
  <c r="AT89" i="18"/>
  <c r="AZ89" i="18" s="1"/>
  <c r="BC89" i="18" s="1"/>
  <c r="AU89" i="18"/>
  <c r="AT90" i="18"/>
  <c r="AU90" i="18"/>
  <c r="BA90" i="18" s="1"/>
  <c r="BD90" i="18" s="1"/>
  <c r="AT91" i="18"/>
  <c r="AZ91" i="18" s="1"/>
  <c r="BC91" i="18" s="1"/>
  <c r="AU91" i="18"/>
  <c r="BA91" i="18" s="1"/>
  <c r="BD91" i="18" s="1"/>
  <c r="AT92" i="18"/>
  <c r="AU92" i="18"/>
  <c r="BA92" i="18" s="1"/>
  <c r="BD92" i="18" s="1"/>
  <c r="AT93" i="18"/>
  <c r="AZ93" i="18" s="1"/>
  <c r="BC93" i="18" s="1"/>
  <c r="AU93" i="18"/>
  <c r="AT94" i="18"/>
  <c r="AU94" i="18"/>
  <c r="BA94" i="18" s="1"/>
  <c r="BD94" i="18" s="1"/>
  <c r="AS5" i="18"/>
  <c r="AS6" i="18"/>
  <c r="AS7" i="18"/>
  <c r="AS8" i="18"/>
  <c r="AY8" i="18" s="1"/>
  <c r="BB8" i="18" s="1"/>
  <c r="AS9" i="18"/>
  <c r="AS10" i="18"/>
  <c r="AS11" i="18"/>
  <c r="AS12" i="18"/>
  <c r="AS13" i="18"/>
  <c r="AS14" i="18"/>
  <c r="AS15" i="18"/>
  <c r="AS16" i="18"/>
  <c r="AY16" i="18" s="1"/>
  <c r="BB16" i="18" s="1"/>
  <c r="AS17" i="18"/>
  <c r="AS18" i="18"/>
  <c r="AY18" i="18" s="1"/>
  <c r="BB18" i="18" s="1"/>
  <c r="AS19" i="18"/>
  <c r="AS20" i="18"/>
  <c r="AS21" i="18"/>
  <c r="AS22" i="18"/>
  <c r="AS23" i="18"/>
  <c r="AS24" i="18"/>
  <c r="AS25" i="18"/>
  <c r="AS26" i="18"/>
  <c r="AS27" i="18"/>
  <c r="AS28" i="18"/>
  <c r="AS29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6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8" i="18"/>
  <c r="AS79" i="18"/>
  <c r="AS80" i="18"/>
  <c r="AS81" i="18"/>
  <c r="AS82" i="18"/>
  <c r="AS83" i="18"/>
  <c r="AS84" i="18"/>
  <c r="AY84" i="18" s="1"/>
  <c r="BB84" i="18" s="1"/>
  <c r="AS85" i="18"/>
  <c r="AS86" i="18"/>
  <c r="AS87" i="18"/>
  <c r="AS88" i="18"/>
  <c r="AY88" i="18" s="1"/>
  <c r="BB88" i="18" s="1"/>
  <c r="AS89" i="18"/>
  <c r="AS90" i="18"/>
  <c r="AY90" i="18" s="1"/>
  <c r="BB90" i="18" s="1"/>
  <c r="AS91" i="18"/>
  <c r="AS92" i="18"/>
  <c r="AY92" i="18" s="1"/>
  <c r="BB92" i="18" s="1"/>
  <c r="AS93" i="18"/>
  <c r="AS94" i="18"/>
  <c r="AY94" i="18" s="1"/>
  <c r="BB94" i="18" s="1"/>
  <c r="AS3" i="18"/>
  <c r="AS4" i="18"/>
  <c r="AS2" i="18"/>
  <c r="BU87" i="15"/>
  <c r="AI90" i="15"/>
  <c r="BG134" i="15"/>
  <c r="BN2" i="16"/>
  <c r="C151" i="18" l="1"/>
  <c r="BS11" i="18"/>
  <c r="BV11" i="18" s="1"/>
  <c r="AY93" i="18"/>
  <c r="BB93" i="18" s="1"/>
  <c r="AY89" i="18"/>
  <c r="BB89" i="18" s="1"/>
  <c r="AY85" i="18"/>
  <c r="BB85" i="18" s="1"/>
  <c r="AY81" i="18"/>
  <c r="BB81" i="18" s="1"/>
  <c r="AY77" i="18"/>
  <c r="BB77" i="18" s="1"/>
  <c r="AY73" i="18"/>
  <c r="BB73" i="18" s="1"/>
  <c r="AY69" i="18"/>
  <c r="BB69" i="18" s="1"/>
  <c r="AY65" i="18"/>
  <c r="BB65" i="18" s="1"/>
  <c r="AY61" i="18"/>
  <c r="BB61" i="18" s="1"/>
  <c r="AY57" i="18"/>
  <c r="BB57" i="18" s="1"/>
  <c r="AY53" i="18"/>
  <c r="BB53" i="18" s="1"/>
  <c r="AY49" i="18"/>
  <c r="BB49" i="18" s="1"/>
  <c r="AY45" i="18"/>
  <c r="BB45" i="18" s="1"/>
  <c r="AY41" i="18"/>
  <c r="BB41" i="18" s="1"/>
  <c r="AY37" i="18"/>
  <c r="BB37" i="18" s="1"/>
  <c r="AY33" i="18"/>
  <c r="BB33" i="18" s="1"/>
  <c r="AY29" i="18"/>
  <c r="BB29" i="18" s="1"/>
  <c r="AY25" i="18"/>
  <c r="BB25" i="18" s="1"/>
  <c r="AY21" i="18"/>
  <c r="BB21" i="18" s="1"/>
  <c r="BR94" i="18"/>
  <c r="BU94" i="18" s="1"/>
  <c r="BR90" i="18"/>
  <c r="BU90" i="18" s="1"/>
  <c r="BR82" i="18"/>
  <c r="BU82" i="18" s="1"/>
  <c r="BR78" i="18"/>
  <c r="BU78" i="18" s="1"/>
  <c r="BR62" i="18"/>
  <c r="BU62" i="18" s="1"/>
  <c r="BR46" i="18"/>
  <c r="BU46" i="18" s="1"/>
  <c r="BR30" i="18"/>
  <c r="BU30" i="18" s="1"/>
  <c r="BQ25" i="18"/>
  <c r="BT25" i="18" s="1"/>
  <c r="AY76" i="18"/>
  <c r="BB76" i="18" s="1"/>
  <c r="BQ76" i="18"/>
  <c r="BT76" i="18" s="1"/>
  <c r="AY60" i="18"/>
  <c r="BB60" i="18" s="1"/>
  <c r="BQ60" i="18"/>
  <c r="BT60" i="18" s="1"/>
  <c r="AY44" i="18"/>
  <c r="BB44" i="18" s="1"/>
  <c r="BQ44" i="18"/>
  <c r="BT44" i="18" s="1"/>
  <c r="AY28" i="18"/>
  <c r="BB28" i="18" s="1"/>
  <c r="BQ28" i="18"/>
  <c r="BT28" i="18" s="1"/>
  <c r="AY20" i="18"/>
  <c r="BB20" i="18" s="1"/>
  <c r="BQ20" i="18"/>
  <c r="BT20" i="18" s="1"/>
  <c r="AY12" i="18"/>
  <c r="BB12" i="18" s="1"/>
  <c r="BQ12" i="18"/>
  <c r="BT12" i="18" s="1"/>
  <c r="BA80" i="18"/>
  <c r="BD80" i="18" s="1"/>
  <c r="BS80" i="18"/>
  <c r="BV80" i="18" s="1"/>
  <c r="BA68" i="18"/>
  <c r="BD68" i="18" s="1"/>
  <c r="BS68" i="18"/>
  <c r="BV68" i="18" s="1"/>
  <c r="BA60" i="18"/>
  <c r="BD60" i="18" s="1"/>
  <c r="BS60" i="18"/>
  <c r="BV60" i="18" s="1"/>
  <c r="BA50" i="18"/>
  <c r="BD50" i="18" s="1"/>
  <c r="BS50" i="18"/>
  <c r="BV50" i="18" s="1"/>
  <c r="BJ42" i="18"/>
  <c r="BM42" i="18" s="1"/>
  <c r="BS42" i="18"/>
  <c r="BV42" i="18" s="1"/>
  <c r="AU95" i="18"/>
  <c r="BQ93" i="18"/>
  <c r="BT93" i="18" s="1"/>
  <c r="BS91" i="18"/>
  <c r="BV91" i="18" s="1"/>
  <c r="BQ89" i="18"/>
  <c r="BT89" i="18" s="1"/>
  <c r="BS87" i="18"/>
  <c r="BV87" i="18" s="1"/>
  <c r="BQ85" i="18"/>
  <c r="BT85" i="18" s="1"/>
  <c r="BQ73" i="18"/>
  <c r="BT73" i="18" s="1"/>
  <c r="BS67" i="18"/>
  <c r="BV67" i="18" s="1"/>
  <c r="BQ57" i="18"/>
  <c r="BT57" i="18" s="1"/>
  <c r="BS51" i="18"/>
  <c r="BV51" i="18" s="1"/>
  <c r="BQ41" i="18"/>
  <c r="BT41" i="18" s="1"/>
  <c r="BS35" i="18"/>
  <c r="BV35" i="18" s="1"/>
  <c r="BS19" i="18"/>
  <c r="BV19" i="18" s="1"/>
  <c r="BS10" i="18"/>
  <c r="BV10" i="18" s="1"/>
  <c r="AY68" i="18"/>
  <c r="BB68" i="18" s="1"/>
  <c r="BQ68" i="18"/>
  <c r="BT68" i="18" s="1"/>
  <c r="BH48" i="18"/>
  <c r="BK48" i="18" s="1"/>
  <c r="BQ48" i="18"/>
  <c r="BT48" i="18" s="1"/>
  <c r="BH32" i="18"/>
  <c r="BK32" i="18" s="1"/>
  <c r="BQ32" i="18"/>
  <c r="BT32" i="18" s="1"/>
  <c r="BA78" i="18"/>
  <c r="BD78" i="18" s="1"/>
  <c r="BS78" i="18"/>
  <c r="BV78" i="18" s="1"/>
  <c r="BA70" i="18"/>
  <c r="BD70" i="18" s="1"/>
  <c r="BS70" i="18"/>
  <c r="BV70" i="18" s="1"/>
  <c r="BA62" i="18"/>
  <c r="BD62" i="18" s="1"/>
  <c r="BS62" i="18"/>
  <c r="BV62" i="18" s="1"/>
  <c r="BA54" i="18"/>
  <c r="BD54" i="18" s="1"/>
  <c r="BS54" i="18"/>
  <c r="BV54" i="18" s="1"/>
  <c r="BA46" i="18"/>
  <c r="BD46" i="18" s="1"/>
  <c r="BS46" i="18"/>
  <c r="BV46" i="18" s="1"/>
  <c r="BA34" i="18"/>
  <c r="BD34" i="18" s="1"/>
  <c r="BS34" i="18"/>
  <c r="BV34" i="18" s="1"/>
  <c r="BA30" i="18"/>
  <c r="BD30" i="18" s="1"/>
  <c r="BS30" i="18"/>
  <c r="BV30" i="18" s="1"/>
  <c r="BJ26" i="18"/>
  <c r="BM26" i="18" s="1"/>
  <c r="BS26" i="18"/>
  <c r="BV26" i="18" s="1"/>
  <c r="AY3" i="18"/>
  <c r="BB3" i="18" s="1"/>
  <c r="BQ3" i="18"/>
  <c r="BT3" i="18" s="1"/>
  <c r="AY91" i="18"/>
  <c r="BB91" i="18" s="1"/>
  <c r="AY87" i="18"/>
  <c r="BB87" i="18" s="1"/>
  <c r="BQ87" i="18"/>
  <c r="BT87" i="18" s="1"/>
  <c r="AY83" i="18"/>
  <c r="BB83" i="18" s="1"/>
  <c r="BQ83" i="18"/>
  <c r="BT83" i="18" s="1"/>
  <c r="AY79" i="18"/>
  <c r="BB79" i="18" s="1"/>
  <c r="BQ79" i="18"/>
  <c r="BT79" i="18" s="1"/>
  <c r="AY75" i="18"/>
  <c r="BB75" i="18" s="1"/>
  <c r="BQ75" i="18"/>
  <c r="BT75" i="18" s="1"/>
  <c r="AY71" i="18"/>
  <c r="BB71" i="18" s="1"/>
  <c r="BQ71" i="18"/>
  <c r="BT71" i="18" s="1"/>
  <c r="AY67" i="18"/>
  <c r="BB67" i="18" s="1"/>
  <c r="BQ67" i="18"/>
  <c r="BT67" i="18" s="1"/>
  <c r="AY63" i="18"/>
  <c r="BB63" i="18" s="1"/>
  <c r="BQ63" i="18"/>
  <c r="BT63" i="18" s="1"/>
  <c r="AY59" i="18"/>
  <c r="BB59" i="18" s="1"/>
  <c r="BQ59" i="18"/>
  <c r="BT59" i="18" s="1"/>
  <c r="AY55" i="18"/>
  <c r="BB55" i="18" s="1"/>
  <c r="BQ55" i="18"/>
  <c r="BT55" i="18" s="1"/>
  <c r="AY51" i="18"/>
  <c r="BB51" i="18" s="1"/>
  <c r="BQ51" i="18"/>
  <c r="BT51" i="18" s="1"/>
  <c r="AY47" i="18"/>
  <c r="BB47" i="18" s="1"/>
  <c r="BQ47" i="18"/>
  <c r="BT47" i="18" s="1"/>
  <c r="AY43" i="18"/>
  <c r="BB43" i="18" s="1"/>
  <c r="BQ43" i="18"/>
  <c r="BT43" i="18" s="1"/>
  <c r="AY39" i="18"/>
  <c r="BB39" i="18" s="1"/>
  <c r="BQ39" i="18"/>
  <c r="BT39" i="18" s="1"/>
  <c r="AY35" i="18"/>
  <c r="BB35" i="18" s="1"/>
  <c r="BQ35" i="18"/>
  <c r="BT35" i="18" s="1"/>
  <c r="AY31" i="18"/>
  <c r="BB31" i="18" s="1"/>
  <c r="BQ31" i="18"/>
  <c r="BT31" i="18" s="1"/>
  <c r="AY27" i="18"/>
  <c r="BB27" i="18" s="1"/>
  <c r="BQ27" i="18"/>
  <c r="BT27" i="18" s="1"/>
  <c r="AY23" i="18"/>
  <c r="BB23" i="18" s="1"/>
  <c r="BQ23" i="18"/>
  <c r="BT23" i="18" s="1"/>
  <c r="AY19" i="18"/>
  <c r="BB19" i="18" s="1"/>
  <c r="BQ19" i="18"/>
  <c r="BT19" i="18" s="1"/>
  <c r="AY15" i="18"/>
  <c r="BB15" i="18" s="1"/>
  <c r="BQ15" i="18"/>
  <c r="BT15" i="18" s="1"/>
  <c r="AY11" i="18"/>
  <c r="BB11" i="18" s="1"/>
  <c r="BQ11" i="18"/>
  <c r="BT11" i="18" s="1"/>
  <c r="AY7" i="18"/>
  <c r="BB7" i="18" s="1"/>
  <c r="BQ7" i="18"/>
  <c r="BT7" i="18" s="1"/>
  <c r="AZ94" i="18"/>
  <c r="BC94" i="18" s="1"/>
  <c r="AZ92" i="18"/>
  <c r="BC92" i="18" s="1"/>
  <c r="AZ90" i="18"/>
  <c r="BC90" i="18" s="1"/>
  <c r="AZ88" i="18"/>
  <c r="BC88" i="18" s="1"/>
  <c r="AZ86" i="18"/>
  <c r="BC86" i="18" s="1"/>
  <c r="AZ84" i="18"/>
  <c r="BC84" i="18" s="1"/>
  <c r="BR84" i="18"/>
  <c r="BU84" i="18" s="1"/>
  <c r="AZ82" i="18"/>
  <c r="BC82" i="18" s="1"/>
  <c r="AZ80" i="18"/>
  <c r="BC80" i="18" s="1"/>
  <c r="BR80" i="18"/>
  <c r="BU80" i="18" s="1"/>
  <c r="AZ78" i="18"/>
  <c r="BC78" i="18" s="1"/>
  <c r="AZ76" i="18"/>
  <c r="BC76" i="18" s="1"/>
  <c r="BR76" i="18"/>
  <c r="BU76" i="18" s="1"/>
  <c r="AZ74" i="18"/>
  <c r="BC74" i="18" s="1"/>
  <c r="AZ72" i="18"/>
  <c r="BC72" i="18" s="1"/>
  <c r="BR72" i="18"/>
  <c r="BU72" i="18" s="1"/>
  <c r="AZ70" i="18"/>
  <c r="BC70" i="18" s="1"/>
  <c r="AZ68" i="18"/>
  <c r="BC68" i="18" s="1"/>
  <c r="BR68" i="18"/>
  <c r="BU68" i="18" s="1"/>
  <c r="AZ66" i="18"/>
  <c r="BC66" i="18" s="1"/>
  <c r="AZ64" i="18"/>
  <c r="BC64" i="18" s="1"/>
  <c r="BR64" i="18"/>
  <c r="BU64" i="18" s="1"/>
  <c r="AZ62" i="18"/>
  <c r="BC62" i="18" s="1"/>
  <c r="AZ60" i="18"/>
  <c r="BC60" i="18" s="1"/>
  <c r="BR60" i="18"/>
  <c r="BU60" i="18" s="1"/>
  <c r="AZ58" i="18"/>
  <c r="BC58" i="18" s="1"/>
  <c r="AZ56" i="18"/>
  <c r="BC56" i="18" s="1"/>
  <c r="BR56" i="18"/>
  <c r="BU56" i="18" s="1"/>
  <c r="AZ54" i="18"/>
  <c r="BC54" i="18" s="1"/>
  <c r="AZ52" i="18"/>
  <c r="BC52" i="18" s="1"/>
  <c r="BR52" i="18"/>
  <c r="BU52" i="18" s="1"/>
  <c r="AZ50" i="18"/>
  <c r="BC50" i="18" s="1"/>
  <c r="AZ48" i="18"/>
  <c r="BC48" i="18" s="1"/>
  <c r="BR48" i="18"/>
  <c r="BU48" i="18" s="1"/>
  <c r="AZ46" i="18"/>
  <c r="BC46" i="18" s="1"/>
  <c r="AZ44" i="18"/>
  <c r="BC44" i="18" s="1"/>
  <c r="BR44" i="18"/>
  <c r="BU44" i="18" s="1"/>
  <c r="AZ42" i="18"/>
  <c r="BC42" i="18" s="1"/>
  <c r="AZ40" i="18"/>
  <c r="BC40" i="18" s="1"/>
  <c r="BR40" i="18"/>
  <c r="BU40" i="18" s="1"/>
  <c r="AZ38" i="18"/>
  <c r="BC38" i="18" s="1"/>
  <c r="AZ36" i="18"/>
  <c r="BC36" i="18" s="1"/>
  <c r="BR36" i="18"/>
  <c r="BU36" i="18" s="1"/>
  <c r="AZ34" i="18"/>
  <c r="BC34" i="18" s="1"/>
  <c r="AZ32" i="18"/>
  <c r="BC32" i="18" s="1"/>
  <c r="BR32" i="18"/>
  <c r="BU32" i="18" s="1"/>
  <c r="AZ30" i="18"/>
  <c r="BC30" i="18" s="1"/>
  <c r="AZ28" i="18"/>
  <c r="BC28" i="18" s="1"/>
  <c r="BR28" i="18"/>
  <c r="BU28" i="18" s="1"/>
  <c r="AZ26" i="18"/>
  <c r="BC26" i="18" s="1"/>
  <c r="AZ24" i="18"/>
  <c r="BC24" i="18" s="1"/>
  <c r="BR24" i="18"/>
  <c r="BU24" i="18" s="1"/>
  <c r="AZ22" i="18"/>
  <c r="BC22" i="18" s="1"/>
  <c r="AZ20" i="18"/>
  <c r="BC20" i="18" s="1"/>
  <c r="BR20" i="18"/>
  <c r="BU20" i="18" s="1"/>
  <c r="AZ18" i="18"/>
  <c r="BC18" i="18" s="1"/>
  <c r="BR18" i="18"/>
  <c r="BU18" i="18" s="1"/>
  <c r="AZ16" i="18"/>
  <c r="BC16" i="18" s="1"/>
  <c r="BR16" i="18"/>
  <c r="BU16" i="18" s="1"/>
  <c r="AZ14" i="18"/>
  <c r="BC14" i="18" s="1"/>
  <c r="BR14" i="18"/>
  <c r="BU14" i="18" s="1"/>
  <c r="AZ12" i="18"/>
  <c r="BC12" i="18" s="1"/>
  <c r="BR12" i="18"/>
  <c r="BU12" i="18" s="1"/>
  <c r="AZ10" i="18"/>
  <c r="BC10" i="18" s="1"/>
  <c r="BR10" i="18"/>
  <c r="BU10" i="18" s="1"/>
  <c r="AZ8" i="18"/>
  <c r="BC8" i="18" s="1"/>
  <c r="BR8" i="18"/>
  <c r="BU8" i="18" s="1"/>
  <c r="BR6" i="18"/>
  <c r="BU6" i="18" s="1"/>
  <c r="AZ4" i="18"/>
  <c r="BC4" i="18" s="1"/>
  <c r="BR4" i="18"/>
  <c r="BU4" i="18" s="1"/>
  <c r="BR2" i="18"/>
  <c r="BU2" i="18" s="1"/>
  <c r="AT95" i="18"/>
  <c r="BQ94" i="18"/>
  <c r="BT94" i="18" s="1"/>
  <c r="BS92" i="18"/>
  <c r="BV92" i="18" s="1"/>
  <c r="BR91" i="18"/>
  <c r="BU91" i="18" s="1"/>
  <c r="BQ90" i="18"/>
  <c r="BT90" i="18" s="1"/>
  <c r="BS88" i="18"/>
  <c r="BV88" i="18" s="1"/>
  <c r="BS86" i="18"/>
  <c r="BV86" i="18" s="1"/>
  <c r="BQ84" i="18"/>
  <c r="BT84" i="18" s="1"/>
  <c r="BR81" i="18"/>
  <c r="BU81" i="18" s="1"/>
  <c r="BQ77" i="18"/>
  <c r="BT77" i="18" s="1"/>
  <c r="BS71" i="18"/>
  <c r="BV71" i="18" s="1"/>
  <c r="BR66" i="18"/>
  <c r="BU66" i="18" s="1"/>
  <c r="BQ61" i="18"/>
  <c r="BT61" i="18" s="1"/>
  <c r="BS55" i="18"/>
  <c r="BV55" i="18" s="1"/>
  <c r="BR50" i="18"/>
  <c r="BU50" i="18" s="1"/>
  <c r="BQ45" i="18"/>
  <c r="BT45" i="18" s="1"/>
  <c r="BS39" i="18"/>
  <c r="BV39" i="18" s="1"/>
  <c r="BR34" i="18"/>
  <c r="BU34" i="18" s="1"/>
  <c r="BQ29" i="18"/>
  <c r="BT29" i="18" s="1"/>
  <c r="BS23" i="18"/>
  <c r="BV23" i="18" s="1"/>
  <c r="BQ18" i="18"/>
  <c r="BT18" i="18" s="1"/>
  <c r="BQ8" i="18"/>
  <c r="BT8" i="18" s="1"/>
  <c r="AY72" i="18"/>
  <c r="BB72" i="18" s="1"/>
  <c r="BQ72" i="18"/>
  <c r="BT72" i="18" s="1"/>
  <c r="AY52" i="18"/>
  <c r="BB52" i="18" s="1"/>
  <c r="BQ52" i="18"/>
  <c r="BT52" i="18" s="1"/>
  <c r="AY36" i="18"/>
  <c r="BB36" i="18" s="1"/>
  <c r="BQ36" i="18"/>
  <c r="BT36" i="18" s="1"/>
  <c r="AY24" i="18"/>
  <c r="BB24" i="18" s="1"/>
  <c r="BQ24" i="18"/>
  <c r="BT24" i="18" s="1"/>
  <c r="BA84" i="18"/>
  <c r="BD84" i="18" s="1"/>
  <c r="BS84" i="18"/>
  <c r="BV84" i="18" s="1"/>
  <c r="BA76" i="18"/>
  <c r="BD76" i="18" s="1"/>
  <c r="BS76" i="18"/>
  <c r="BV76" i="18" s="1"/>
  <c r="BA72" i="18"/>
  <c r="BD72" i="18" s="1"/>
  <c r="BS72" i="18"/>
  <c r="BV72" i="18" s="1"/>
  <c r="BA64" i="18"/>
  <c r="BD64" i="18" s="1"/>
  <c r="BS64" i="18"/>
  <c r="BV64" i="18" s="1"/>
  <c r="BA56" i="18"/>
  <c r="BD56" i="18" s="1"/>
  <c r="BS56" i="18"/>
  <c r="BV56" i="18" s="1"/>
  <c r="BA48" i="18"/>
  <c r="BD48" i="18" s="1"/>
  <c r="BS48" i="18"/>
  <c r="BV48" i="18" s="1"/>
  <c r="BA44" i="18"/>
  <c r="BD44" i="18" s="1"/>
  <c r="BS44" i="18"/>
  <c r="BV44" i="18" s="1"/>
  <c r="BA38" i="18"/>
  <c r="BD38" i="18" s="1"/>
  <c r="BS38" i="18"/>
  <c r="BV38" i="18" s="1"/>
  <c r="AY86" i="18"/>
  <c r="BB86" i="18" s="1"/>
  <c r="BQ86" i="18"/>
  <c r="BT86" i="18" s="1"/>
  <c r="AY78" i="18"/>
  <c r="BB78" i="18" s="1"/>
  <c r="BQ78" i="18"/>
  <c r="BT78" i="18" s="1"/>
  <c r="AY70" i="18"/>
  <c r="BB70" i="18" s="1"/>
  <c r="BQ70" i="18"/>
  <c r="BT70" i="18" s="1"/>
  <c r="AY62" i="18"/>
  <c r="BB62" i="18" s="1"/>
  <c r="BQ62" i="18"/>
  <c r="BT62" i="18" s="1"/>
  <c r="AY54" i="18"/>
  <c r="BB54" i="18" s="1"/>
  <c r="BQ54" i="18"/>
  <c r="BT54" i="18" s="1"/>
  <c r="AY46" i="18"/>
  <c r="BB46" i="18" s="1"/>
  <c r="BQ46" i="18"/>
  <c r="BT46" i="18" s="1"/>
  <c r="AY38" i="18"/>
  <c r="BB38" i="18" s="1"/>
  <c r="BQ38" i="18"/>
  <c r="BT38" i="18" s="1"/>
  <c r="AY30" i="18"/>
  <c r="BB30" i="18" s="1"/>
  <c r="BQ30" i="18"/>
  <c r="BT30" i="18" s="1"/>
  <c r="AY26" i="18"/>
  <c r="BB26" i="18" s="1"/>
  <c r="BQ26" i="18"/>
  <c r="BT26" i="18" s="1"/>
  <c r="AY22" i="18"/>
  <c r="BB22" i="18" s="1"/>
  <c r="BQ22" i="18"/>
  <c r="BT22" i="18" s="1"/>
  <c r="AY14" i="18"/>
  <c r="BB14" i="18" s="1"/>
  <c r="BQ14" i="18"/>
  <c r="BT14" i="18" s="1"/>
  <c r="BA93" i="18"/>
  <c r="BD93" i="18" s="1"/>
  <c r="BA89" i="18"/>
  <c r="BD89" i="18" s="1"/>
  <c r="BA81" i="18"/>
  <c r="BD81" i="18" s="1"/>
  <c r="BS81" i="18"/>
  <c r="BV81" i="18" s="1"/>
  <c r="BA69" i="18"/>
  <c r="BD69" i="18" s="1"/>
  <c r="BS69" i="18"/>
  <c r="BV69" i="18" s="1"/>
  <c r="BA61" i="18"/>
  <c r="BD61" i="18" s="1"/>
  <c r="BS61" i="18"/>
  <c r="BV61" i="18" s="1"/>
  <c r="BA53" i="18"/>
  <c r="BD53" i="18" s="1"/>
  <c r="BS53" i="18"/>
  <c r="BV53" i="18" s="1"/>
  <c r="BA45" i="18"/>
  <c r="BD45" i="18" s="1"/>
  <c r="BS45" i="18"/>
  <c r="BV45" i="18" s="1"/>
  <c r="BA37" i="18"/>
  <c r="BD37" i="18" s="1"/>
  <c r="BS37" i="18"/>
  <c r="BV37" i="18" s="1"/>
  <c r="BA33" i="18"/>
  <c r="BD33" i="18" s="1"/>
  <c r="BS33" i="18"/>
  <c r="BV33" i="18" s="1"/>
  <c r="BA29" i="18"/>
  <c r="BD29" i="18" s="1"/>
  <c r="BS29" i="18"/>
  <c r="BV29" i="18" s="1"/>
  <c r="BA25" i="18"/>
  <c r="BD25" i="18" s="1"/>
  <c r="BS25" i="18"/>
  <c r="BV25" i="18" s="1"/>
  <c r="BA21" i="18"/>
  <c r="BD21" i="18" s="1"/>
  <c r="BS21" i="18"/>
  <c r="BV21" i="18" s="1"/>
  <c r="BA17" i="18"/>
  <c r="BD17" i="18" s="1"/>
  <c r="BS17" i="18"/>
  <c r="BV17" i="18" s="1"/>
  <c r="BA15" i="18"/>
  <c r="BD15" i="18" s="1"/>
  <c r="BS15" i="18"/>
  <c r="BV15" i="18" s="1"/>
  <c r="BA13" i="18"/>
  <c r="BD13" i="18" s="1"/>
  <c r="BS13" i="18"/>
  <c r="BV13" i="18" s="1"/>
  <c r="BA9" i="18"/>
  <c r="BD9" i="18" s="1"/>
  <c r="BS9" i="18"/>
  <c r="BV9" i="18" s="1"/>
  <c r="BA7" i="18"/>
  <c r="BD7" i="18" s="1"/>
  <c r="BS7" i="18"/>
  <c r="BV7" i="18" s="1"/>
  <c r="BA5" i="18"/>
  <c r="BD5" i="18" s="1"/>
  <c r="BS5" i="18"/>
  <c r="BV5" i="18" s="1"/>
  <c r="BA3" i="18"/>
  <c r="BD3" i="18" s="1"/>
  <c r="BS3" i="18"/>
  <c r="BV3" i="18" s="1"/>
  <c r="BS93" i="18"/>
  <c r="BV93" i="18" s="1"/>
  <c r="BR92" i="18"/>
  <c r="BU92" i="18" s="1"/>
  <c r="BQ91" i="18"/>
  <c r="BT91" i="18" s="1"/>
  <c r="BS89" i="18"/>
  <c r="BV89" i="18" s="1"/>
  <c r="BR88" i="18"/>
  <c r="BU88" i="18" s="1"/>
  <c r="BR86" i="18"/>
  <c r="BU86" i="18" s="1"/>
  <c r="BS83" i="18"/>
  <c r="BV83" i="18" s="1"/>
  <c r="BQ81" i="18"/>
  <c r="BT81" i="18" s="1"/>
  <c r="BS75" i="18"/>
  <c r="BV75" i="18" s="1"/>
  <c r="BR70" i="18"/>
  <c r="BU70" i="18" s="1"/>
  <c r="BQ65" i="18"/>
  <c r="BT65" i="18" s="1"/>
  <c r="BS59" i="18"/>
  <c r="BV59" i="18" s="1"/>
  <c r="BR54" i="18"/>
  <c r="BU54" i="18" s="1"/>
  <c r="BQ49" i="18"/>
  <c r="BT49" i="18" s="1"/>
  <c r="BS43" i="18"/>
  <c r="BV43" i="18" s="1"/>
  <c r="BR38" i="18"/>
  <c r="BU38" i="18" s="1"/>
  <c r="BQ33" i="18"/>
  <c r="BT33" i="18" s="1"/>
  <c r="BS27" i="18"/>
  <c r="BV27" i="18" s="1"/>
  <c r="BR22" i="18"/>
  <c r="BU22" i="18" s="1"/>
  <c r="BQ16" i="18"/>
  <c r="BT16" i="18" s="1"/>
  <c r="BR5" i="18"/>
  <c r="BU5" i="18" s="1"/>
  <c r="AY4" i="18"/>
  <c r="BB4" i="18" s="1"/>
  <c r="BQ4" i="18"/>
  <c r="BT4" i="18" s="1"/>
  <c r="AY80" i="18"/>
  <c r="BB80" i="18" s="1"/>
  <c r="BQ80" i="18"/>
  <c r="BT80" i="18" s="1"/>
  <c r="BH64" i="18"/>
  <c r="BK64" i="18" s="1"/>
  <c r="BQ64" i="18"/>
  <c r="BT64" i="18" s="1"/>
  <c r="AY56" i="18"/>
  <c r="BB56" i="18" s="1"/>
  <c r="BQ56" i="18"/>
  <c r="BT56" i="18" s="1"/>
  <c r="AY40" i="18"/>
  <c r="BB40" i="18" s="1"/>
  <c r="BQ40" i="18"/>
  <c r="BT40" i="18" s="1"/>
  <c r="BJ74" i="18"/>
  <c r="BM74" i="18" s="1"/>
  <c r="BS74" i="18"/>
  <c r="BV74" i="18" s="1"/>
  <c r="BA66" i="18"/>
  <c r="BD66" i="18" s="1"/>
  <c r="BS66" i="18"/>
  <c r="BV66" i="18" s="1"/>
  <c r="BA58" i="18"/>
  <c r="BD58" i="18" s="1"/>
  <c r="BS58" i="18"/>
  <c r="BV58" i="18" s="1"/>
  <c r="BA52" i="18"/>
  <c r="BD52" i="18" s="1"/>
  <c r="BS52" i="18"/>
  <c r="BV52" i="18" s="1"/>
  <c r="BA22" i="18"/>
  <c r="BD22" i="18" s="1"/>
  <c r="BS22" i="18"/>
  <c r="BV22" i="18" s="1"/>
  <c r="BA18" i="18"/>
  <c r="BD18" i="18" s="1"/>
  <c r="BS18" i="18"/>
  <c r="BV18" i="18" s="1"/>
  <c r="BA14" i="18"/>
  <c r="BD14" i="18" s="1"/>
  <c r="BS14" i="18"/>
  <c r="BV14" i="18" s="1"/>
  <c r="BA6" i="18"/>
  <c r="BD6" i="18" s="1"/>
  <c r="BS6" i="18"/>
  <c r="BV6" i="18" s="1"/>
  <c r="AY82" i="18"/>
  <c r="BB82" i="18" s="1"/>
  <c r="BQ82" i="18"/>
  <c r="BT82" i="18" s="1"/>
  <c r="AY74" i="18"/>
  <c r="BB74" i="18" s="1"/>
  <c r="BQ74" i="18"/>
  <c r="BT74" i="18" s="1"/>
  <c r="AY66" i="18"/>
  <c r="BB66" i="18" s="1"/>
  <c r="BQ66" i="18"/>
  <c r="BT66" i="18" s="1"/>
  <c r="AY58" i="18"/>
  <c r="BB58" i="18" s="1"/>
  <c r="BQ58" i="18"/>
  <c r="BT58" i="18" s="1"/>
  <c r="AY50" i="18"/>
  <c r="BB50" i="18" s="1"/>
  <c r="BQ50" i="18"/>
  <c r="BT50" i="18" s="1"/>
  <c r="AY42" i="18"/>
  <c r="BB42" i="18" s="1"/>
  <c r="BQ42" i="18"/>
  <c r="BT42" i="18" s="1"/>
  <c r="AY34" i="18"/>
  <c r="BB34" i="18" s="1"/>
  <c r="BQ34" i="18"/>
  <c r="BT34" i="18" s="1"/>
  <c r="AY10" i="18"/>
  <c r="BB10" i="18" s="1"/>
  <c r="BQ10" i="18"/>
  <c r="BT10" i="18" s="1"/>
  <c r="AY6" i="18"/>
  <c r="BB6" i="18" s="1"/>
  <c r="BQ6" i="18"/>
  <c r="BT6" i="18" s="1"/>
  <c r="BA85" i="18"/>
  <c r="BD85" i="18" s="1"/>
  <c r="BS85" i="18"/>
  <c r="BV85" i="18" s="1"/>
  <c r="BA77" i="18"/>
  <c r="BD77" i="18" s="1"/>
  <c r="BS77" i="18"/>
  <c r="BV77" i="18" s="1"/>
  <c r="BA73" i="18"/>
  <c r="BD73" i="18" s="1"/>
  <c r="BS73" i="18"/>
  <c r="BV73" i="18" s="1"/>
  <c r="BA65" i="18"/>
  <c r="BD65" i="18" s="1"/>
  <c r="BS65" i="18"/>
  <c r="BV65" i="18" s="1"/>
  <c r="BA57" i="18"/>
  <c r="BD57" i="18" s="1"/>
  <c r="BS57" i="18"/>
  <c r="BV57" i="18" s="1"/>
  <c r="BA49" i="18"/>
  <c r="BD49" i="18" s="1"/>
  <c r="BS49" i="18"/>
  <c r="BV49" i="18" s="1"/>
  <c r="BA41" i="18"/>
  <c r="BD41" i="18" s="1"/>
  <c r="BS41" i="18"/>
  <c r="BV41" i="18" s="1"/>
  <c r="BQ2" i="18"/>
  <c r="BT2" i="18" s="1"/>
  <c r="AS95" i="18"/>
  <c r="BQ17" i="18"/>
  <c r="BT17" i="18" s="1"/>
  <c r="AY13" i="18"/>
  <c r="BB13" i="18" s="1"/>
  <c r="BQ13" i="18"/>
  <c r="BT13" i="18" s="1"/>
  <c r="AY9" i="18"/>
  <c r="BB9" i="18" s="1"/>
  <c r="BQ9" i="18"/>
  <c r="BT9" i="18" s="1"/>
  <c r="AY5" i="18"/>
  <c r="BB5" i="18" s="1"/>
  <c r="BQ5" i="18"/>
  <c r="BT5" i="18" s="1"/>
  <c r="AZ87" i="18"/>
  <c r="BC87" i="18" s="1"/>
  <c r="BR87" i="18"/>
  <c r="BU87" i="18" s="1"/>
  <c r="AZ83" i="18"/>
  <c r="BC83" i="18" s="1"/>
  <c r="BR83" i="18"/>
  <c r="BU83" i="18" s="1"/>
  <c r="AZ79" i="18"/>
  <c r="BC79" i="18" s="1"/>
  <c r="BR79" i="18"/>
  <c r="BU79" i="18" s="1"/>
  <c r="AZ77" i="18"/>
  <c r="BC77" i="18" s="1"/>
  <c r="BR77" i="18"/>
  <c r="BU77" i="18" s="1"/>
  <c r="AZ75" i="18"/>
  <c r="BC75" i="18" s="1"/>
  <c r="BR75" i="18"/>
  <c r="BU75" i="18" s="1"/>
  <c r="AZ73" i="18"/>
  <c r="BC73" i="18" s="1"/>
  <c r="BR73" i="18"/>
  <c r="BU73" i="18" s="1"/>
  <c r="AZ71" i="18"/>
  <c r="BC71" i="18" s="1"/>
  <c r="BR71" i="18"/>
  <c r="BU71" i="18" s="1"/>
  <c r="BI69" i="18"/>
  <c r="BL69" i="18" s="1"/>
  <c r="BR69" i="18"/>
  <c r="BU69" i="18" s="1"/>
  <c r="AZ67" i="18"/>
  <c r="BC67" i="18" s="1"/>
  <c r="BR67" i="18"/>
  <c r="BU67" i="18" s="1"/>
  <c r="AZ65" i="18"/>
  <c r="BC65" i="18" s="1"/>
  <c r="BR65" i="18"/>
  <c r="BU65" i="18" s="1"/>
  <c r="AZ63" i="18"/>
  <c r="BC63" i="18" s="1"/>
  <c r="BR63" i="18"/>
  <c r="BU63" i="18" s="1"/>
  <c r="AZ61" i="18"/>
  <c r="BC61" i="18" s="1"/>
  <c r="BR61" i="18"/>
  <c r="BU61" i="18" s="1"/>
  <c r="AZ59" i="18"/>
  <c r="BC59" i="18" s="1"/>
  <c r="BR59" i="18"/>
  <c r="BU59" i="18" s="1"/>
  <c r="AZ57" i="18"/>
  <c r="BC57" i="18" s="1"/>
  <c r="BR57" i="18"/>
  <c r="BU57" i="18" s="1"/>
  <c r="AZ55" i="18"/>
  <c r="BC55" i="18" s="1"/>
  <c r="BR55" i="18"/>
  <c r="BU55" i="18" s="1"/>
  <c r="BI53" i="18"/>
  <c r="BL53" i="18" s="1"/>
  <c r="BR53" i="18"/>
  <c r="BU53" i="18" s="1"/>
  <c r="AZ51" i="18"/>
  <c r="BC51" i="18" s="1"/>
  <c r="BR51" i="18"/>
  <c r="BU51" i="18" s="1"/>
  <c r="AZ49" i="18"/>
  <c r="BC49" i="18" s="1"/>
  <c r="BR49" i="18"/>
  <c r="BU49" i="18" s="1"/>
  <c r="AZ47" i="18"/>
  <c r="BC47" i="18" s="1"/>
  <c r="BR47" i="18"/>
  <c r="BU47" i="18" s="1"/>
  <c r="AZ45" i="18"/>
  <c r="BC45" i="18" s="1"/>
  <c r="BR45" i="18"/>
  <c r="BU45" i="18" s="1"/>
  <c r="AZ43" i="18"/>
  <c r="BC43" i="18" s="1"/>
  <c r="BR43" i="18"/>
  <c r="BU43" i="18" s="1"/>
  <c r="AZ41" i="18"/>
  <c r="BC41" i="18" s="1"/>
  <c r="BR41" i="18"/>
  <c r="BU41" i="18" s="1"/>
  <c r="AZ39" i="18"/>
  <c r="BC39" i="18" s="1"/>
  <c r="BR39" i="18"/>
  <c r="BU39" i="18" s="1"/>
  <c r="BI37" i="18"/>
  <c r="BL37" i="18" s="1"/>
  <c r="BR37" i="18"/>
  <c r="BU37" i="18" s="1"/>
  <c r="AZ35" i="18"/>
  <c r="BC35" i="18" s="1"/>
  <c r="BR35" i="18"/>
  <c r="BU35" i="18" s="1"/>
  <c r="AZ33" i="18"/>
  <c r="BC33" i="18" s="1"/>
  <c r="BR33" i="18"/>
  <c r="BU33" i="18" s="1"/>
  <c r="AZ31" i="18"/>
  <c r="BC31" i="18" s="1"/>
  <c r="BR31" i="18"/>
  <c r="BU31" i="18" s="1"/>
  <c r="AZ29" i="18"/>
  <c r="BC29" i="18" s="1"/>
  <c r="BR29" i="18"/>
  <c r="BU29" i="18" s="1"/>
  <c r="AZ27" i="18"/>
  <c r="BC27" i="18" s="1"/>
  <c r="BR27" i="18"/>
  <c r="BU27" i="18" s="1"/>
  <c r="AZ25" i="18"/>
  <c r="BC25" i="18" s="1"/>
  <c r="BR25" i="18"/>
  <c r="BU25" i="18" s="1"/>
  <c r="AZ23" i="18"/>
  <c r="BC23" i="18" s="1"/>
  <c r="BR23" i="18"/>
  <c r="BU23" i="18" s="1"/>
  <c r="AZ21" i="18"/>
  <c r="BC21" i="18" s="1"/>
  <c r="BR21" i="18"/>
  <c r="BU21" i="18" s="1"/>
  <c r="AZ19" i="18"/>
  <c r="BC19" i="18" s="1"/>
  <c r="BR19" i="18"/>
  <c r="BU19" i="18" s="1"/>
  <c r="AZ17" i="18"/>
  <c r="BC17" i="18" s="1"/>
  <c r="BR17" i="18"/>
  <c r="BU17" i="18" s="1"/>
  <c r="AZ15" i="18"/>
  <c r="BC15" i="18" s="1"/>
  <c r="BR15" i="18"/>
  <c r="BU15" i="18" s="1"/>
  <c r="AZ11" i="18"/>
  <c r="BC11" i="18" s="1"/>
  <c r="BR11" i="18"/>
  <c r="BU11" i="18" s="1"/>
  <c r="AZ9" i="18"/>
  <c r="BC9" i="18" s="1"/>
  <c r="BR9" i="18"/>
  <c r="BU9" i="18" s="1"/>
  <c r="AZ7" i="18"/>
  <c r="BC7" i="18" s="1"/>
  <c r="BR7" i="18"/>
  <c r="BU7" i="18" s="1"/>
  <c r="AZ3" i="18"/>
  <c r="BC3" i="18" s="1"/>
  <c r="BR3" i="18"/>
  <c r="BU3" i="18" s="1"/>
  <c r="BS94" i="18"/>
  <c r="BV94" i="18" s="1"/>
  <c r="BR93" i="18"/>
  <c r="BU93" i="18" s="1"/>
  <c r="BQ92" i="18"/>
  <c r="BT92" i="18" s="1"/>
  <c r="BS90" i="18"/>
  <c r="BV90" i="18" s="1"/>
  <c r="BR89" i="18"/>
  <c r="BU89" i="18" s="1"/>
  <c r="BQ88" i="18"/>
  <c r="BT88" i="18" s="1"/>
  <c r="BR85" i="18"/>
  <c r="BU85" i="18" s="1"/>
  <c r="BS82" i="18"/>
  <c r="BV82" i="18" s="1"/>
  <c r="BS79" i="18"/>
  <c r="BV79" i="18" s="1"/>
  <c r="BR74" i="18"/>
  <c r="BU74" i="18" s="1"/>
  <c r="BQ69" i="18"/>
  <c r="BT69" i="18" s="1"/>
  <c r="BS63" i="18"/>
  <c r="BV63" i="18" s="1"/>
  <c r="BR58" i="18"/>
  <c r="BU58" i="18" s="1"/>
  <c r="BQ53" i="18"/>
  <c r="BT53" i="18" s="1"/>
  <c r="BS47" i="18"/>
  <c r="BV47" i="18" s="1"/>
  <c r="BR42" i="18"/>
  <c r="BU42" i="18" s="1"/>
  <c r="BQ37" i="18"/>
  <c r="BT37" i="18" s="1"/>
  <c r="BS31" i="18"/>
  <c r="BV31" i="18" s="1"/>
  <c r="BR26" i="18"/>
  <c r="BU26" i="18" s="1"/>
  <c r="BQ21" i="18"/>
  <c r="BT21" i="18" s="1"/>
  <c r="BR13" i="18"/>
  <c r="BU13" i="18" s="1"/>
  <c r="BH17" i="18"/>
  <c r="BK17" i="18" s="1"/>
  <c r="AY17" i="18"/>
  <c r="BB17" i="18" s="1"/>
  <c r="BJ90" i="18"/>
  <c r="BM90" i="18" s="1"/>
  <c r="BI85" i="18"/>
  <c r="BL85" i="18" s="1"/>
  <c r="BH80" i="18"/>
  <c r="BK80" i="18" s="1"/>
  <c r="BA40" i="18"/>
  <c r="BD40" i="18" s="1"/>
  <c r="BA36" i="18"/>
  <c r="BD36" i="18" s="1"/>
  <c r="BA32" i="18"/>
  <c r="BD32" i="18" s="1"/>
  <c r="BA28" i="18"/>
  <c r="BD28" i="18" s="1"/>
  <c r="BA24" i="18"/>
  <c r="BD24" i="18" s="1"/>
  <c r="BJ20" i="18"/>
  <c r="BM20" i="18" s="1"/>
  <c r="BA20" i="18"/>
  <c r="BD20" i="18" s="1"/>
  <c r="BA16" i="18"/>
  <c r="BD16" i="18" s="1"/>
  <c r="BA12" i="18"/>
  <c r="BD12" i="18" s="1"/>
  <c r="BA8" i="18"/>
  <c r="BD8" i="18" s="1"/>
  <c r="BA4" i="18"/>
  <c r="BD4" i="18" s="1"/>
  <c r="BS2" i="18"/>
  <c r="BV2" i="18" s="1"/>
  <c r="BA2" i="18"/>
  <c r="BD2" i="18" s="1"/>
  <c r="BA74" i="18"/>
  <c r="BD74" i="18" s="1"/>
  <c r="BJ58" i="18"/>
  <c r="BM58" i="18" s="1"/>
  <c r="BI6" i="18"/>
  <c r="BL6" i="18" s="1"/>
  <c r="AZ6" i="18"/>
  <c r="BC6" i="18" s="1"/>
  <c r="AY2" i="18"/>
  <c r="BB2" i="18" s="1"/>
  <c r="AZ69" i="18"/>
  <c r="BC69" i="18" s="1"/>
  <c r="AY64" i="18"/>
  <c r="BB64" i="18" s="1"/>
  <c r="AZ53" i="18"/>
  <c r="BC53" i="18" s="1"/>
  <c r="AY48" i="18"/>
  <c r="BB48" i="18" s="1"/>
  <c r="BA42" i="18"/>
  <c r="BD42" i="18" s="1"/>
  <c r="AZ37" i="18"/>
  <c r="BC37" i="18" s="1"/>
  <c r="AY32" i="18"/>
  <c r="BB32" i="18" s="1"/>
  <c r="BA26" i="18"/>
  <c r="BD26" i="18" s="1"/>
  <c r="BJ2" i="18"/>
  <c r="BM2" i="18" s="1"/>
  <c r="BH94" i="18"/>
  <c r="BK94" i="18" s="1"/>
  <c r="BJ92" i="18"/>
  <c r="BM92" i="18" s="1"/>
  <c r="BI91" i="18"/>
  <c r="BL91" i="18" s="1"/>
  <c r="BH90" i="18"/>
  <c r="BK90" i="18" s="1"/>
  <c r="BJ88" i="18"/>
  <c r="BM88" i="18" s="1"/>
  <c r="BI87" i="18"/>
  <c r="BL87" i="18" s="1"/>
  <c r="BH86" i="18"/>
  <c r="BK86" i="18" s="1"/>
  <c r="BJ84" i="18"/>
  <c r="BM84" i="18" s="1"/>
  <c r="BI83" i="18"/>
  <c r="BL83" i="18" s="1"/>
  <c r="BH82" i="18"/>
  <c r="BK82" i="18" s="1"/>
  <c r="BJ80" i="18"/>
  <c r="BM80" i="18" s="1"/>
  <c r="BI79" i="18"/>
  <c r="BL79" i="18" s="1"/>
  <c r="BH78" i="18"/>
  <c r="BK78" i="18" s="1"/>
  <c r="BJ76" i="18"/>
  <c r="BM76" i="18" s="1"/>
  <c r="BJ11" i="18"/>
  <c r="BM11" i="18" s="1"/>
  <c r="BA11" i="18"/>
  <c r="BD11" i="18" s="1"/>
  <c r="AZ2" i="18"/>
  <c r="BC2" i="18" s="1"/>
  <c r="BI2" i="18"/>
  <c r="BL2" i="18" s="1"/>
  <c r="BJ93" i="18"/>
  <c r="BM93" i="18" s="1"/>
  <c r="BI92" i="18"/>
  <c r="BL92" i="18" s="1"/>
  <c r="BH91" i="18"/>
  <c r="BK91" i="18" s="1"/>
  <c r="BJ89" i="18"/>
  <c r="BM89" i="18" s="1"/>
  <c r="BI88" i="18"/>
  <c r="BL88" i="18" s="1"/>
  <c r="BH87" i="18"/>
  <c r="BK87" i="18" s="1"/>
  <c r="BJ85" i="18"/>
  <c r="BM85" i="18" s="1"/>
  <c r="BI84" i="18"/>
  <c r="BL84" i="18" s="1"/>
  <c r="BH83" i="18"/>
  <c r="BK83" i="18" s="1"/>
  <c r="BJ81" i="18"/>
  <c r="BM81" i="18" s="1"/>
  <c r="BI80" i="18"/>
  <c r="BL80" i="18" s="1"/>
  <c r="BH79" i="18"/>
  <c r="BK79" i="18" s="1"/>
  <c r="BJ77" i="18"/>
  <c r="BM77" i="18" s="1"/>
  <c r="BI76" i="18"/>
  <c r="BL76" i="18" s="1"/>
  <c r="BH75" i="18"/>
  <c r="BK75" i="18" s="1"/>
  <c r="BJ73" i="18"/>
  <c r="BM73" i="18" s="1"/>
  <c r="BI72" i="18"/>
  <c r="BL72" i="18" s="1"/>
  <c r="BH71" i="18"/>
  <c r="BK71" i="18" s="1"/>
  <c r="BJ69" i="18"/>
  <c r="BM69" i="18" s="1"/>
  <c r="BI68" i="18"/>
  <c r="BL68" i="18" s="1"/>
  <c r="BH67" i="18"/>
  <c r="BK67" i="18" s="1"/>
  <c r="BJ65" i="18"/>
  <c r="BM65" i="18" s="1"/>
  <c r="BI64" i="18"/>
  <c r="BL64" i="18" s="1"/>
  <c r="BH63" i="18"/>
  <c r="BK63" i="18" s="1"/>
  <c r="BJ61" i="18"/>
  <c r="BM61" i="18" s="1"/>
  <c r="BI60" i="18"/>
  <c r="BL60" i="18" s="1"/>
  <c r="BH59" i="18"/>
  <c r="BK59" i="18" s="1"/>
  <c r="BJ57" i="18"/>
  <c r="BM57" i="18" s="1"/>
  <c r="BI56" i="18"/>
  <c r="BL56" i="18" s="1"/>
  <c r="BH55" i="18"/>
  <c r="BK55" i="18" s="1"/>
  <c r="BJ53" i="18"/>
  <c r="BM53" i="18" s="1"/>
  <c r="BI52" i="18"/>
  <c r="BL52" i="18" s="1"/>
  <c r="BH51" i="18"/>
  <c r="BK51" i="18" s="1"/>
  <c r="BJ49" i="18"/>
  <c r="BM49" i="18" s="1"/>
  <c r="BI48" i="18"/>
  <c r="BL48" i="18" s="1"/>
  <c r="BH47" i="18"/>
  <c r="BK47" i="18" s="1"/>
  <c r="BJ45" i="18"/>
  <c r="BM45" i="18" s="1"/>
  <c r="BI44" i="18"/>
  <c r="BL44" i="18" s="1"/>
  <c r="BH43" i="18"/>
  <c r="BK43" i="18" s="1"/>
  <c r="BJ41" i="18"/>
  <c r="BM41" i="18" s="1"/>
  <c r="BI40" i="18"/>
  <c r="BL40" i="18" s="1"/>
  <c r="BH39" i="18"/>
  <c r="BK39" i="18" s="1"/>
  <c r="BJ37" i="18"/>
  <c r="BM37" i="18" s="1"/>
  <c r="BI36" i="18"/>
  <c r="BL36" i="18" s="1"/>
  <c r="BH35" i="18"/>
  <c r="BK35" i="18" s="1"/>
  <c r="BJ33" i="18"/>
  <c r="BM33" i="18" s="1"/>
  <c r="BI32" i="18"/>
  <c r="BL32" i="18" s="1"/>
  <c r="BH31" i="18"/>
  <c r="BK31" i="18" s="1"/>
  <c r="BJ29" i="18"/>
  <c r="BM29" i="18" s="1"/>
  <c r="BI28" i="18"/>
  <c r="BL28" i="18" s="1"/>
  <c r="BH27" i="18"/>
  <c r="BK27" i="18" s="1"/>
  <c r="BJ25" i="18"/>
  <c r="BM25" i="18" s="1"/>
  <c r="BI24" i="18"/>
  <c r="BL24" i="18" s="1"/>
  <c r="BH23" i="18"/>
  <c r="BK23" i="18" s="1"/>
  <c r="BJ21" i="18"/>
  <c r="BM21" i="18" s="1"/>
  <c r="BI20" i="18"/>
  <c r="BL20" i="18" s="1"/>
  <c r="BH19" i="18"/>
  <c r="BK19" i="18" s="1"/>
  <c r="BJ17" i="18"/>
  <c r="BM17" i="18" s="1"/>
  <c r="BI16" i="18"/>
  <c r="BL16" i="18" s="1"/>
  <c r="BH15" i="18"/>
  <c r="BK15" i="18" s="1"/>
  <c r="BJ13" i="18"/>
  <c r="BM13" i="18" s="1"/>
  <c r="BI12" i="18"/>
  <c r="BL12" i="18" s="1"/>
  <c r="BH11" i="18"/>
  <c r="BK11" i="18" s="1"/>
  <c r="BJ9" i="18"/>
  <c r="BM9" i="18" s="1"/>
  <c r="BI8" i="18"/>
  <c r="BL8" i="18" s="1"/>
  <c r="BH7" i="18"/>
  <c r="BK7" i="18" s="1"/>
  <c r="BJ5" i="18"/>
  <c r="BM5" i="18" s="1"/>
  <c r="BI4" i="18"/>
  <c r="BL4" i="18" s="1"/>
  <c r="BH3" i="18"/>
  <c r="BK3" i="18" s="1"/>
  <c r="BJ94" i="18"/>
  <c r="BM94" i="18" s="1"/>
  <c r="BI93" i="18"/>
  <c r="BL93" i="18" s="1"/>
  <c r="BH92" i="18"/>
  <c r="BK92" i="18" s="1"/>
  <c r="BI89" i="18"/>
  <c r="BL89" i="18" s="1"/>
  <c r="BH88" i="18"/>
  <c r="BK88" i="18" s="1"/>
  <c r="BJ86" i="18"/>
  <c r="BM86" i="18" s="1"/>
  <c r="BH84" i="18"/>
  <c r="BK84" i="18" s="1"/>
  <c r="BJ82" i="18"/>
  <c r="BM82" i="18" s="1"/>
  <c r="BI81" i="18"/>
  <c r="BL81" i="18" s="1"/>
  <c r="BJ78" i="18"/>
  <c r="BM78" i="18" s="1"/>
  <c r="BI77" i="18"/>
  <c r="BL77" i="18" s="1"/>
  <c r="BH76" i="18"/>
  <c r="BK76" i="18" s="1"/>
  <c r="BI73" i="18"/>
  <c r="BL73" i="18" s="1"/>
  <c r="BH72" i="18"/>
  <c r="BK72" i="18" s="1"/>
  <c r="BJ70" i="18"/>
  <c r="BM70" i="18" s="1"/>
  <c r="BH68" i="18"/>
  <c r="BK68" i="18" s="1"/>
  <c r="BJ66" i="18"/>
  <c r="BM66" i="18" s="1"/>
  <c r="BI65" i="18"/>
  <c r="BL65" i="18" s="1"/>
  <c r="BJ62" i="18"/>
  <c r="BM62" i="18" s="1"/>
  <c r="BI61" i="18"/>
  <c r="BL61" i="18" s="1"/>
  <c r="BH60" i="18"/>
  <c r="BK60" i="18" s="1"/>
  <c r="BI57" i="18"/>
  <c r="BL57" i="18" s="1"/>
  <c r="BH56" i="18"/>
  <c r="BK56" i="18" s="1"/>
  <c r="BJ54" i="18"/>
  <c r="BM54" i="18" s="1"/>
  <c r="BH52" i="18"/>
  <c r="BK52" i="18" s="1"/>
  <c r="BJ50" i="18"/>
  <c r="BM50" i="18" s="1"/>
  <c r="BI49" i="18"/>
  <c r="BL49" i="18" s="1"/>
  <c r="BJ46" i="18"/>
  <c r="BM46" i="18" s="1"/>
  <c r="BI45" i="18"/>
  <c r="BL45" i="18" s="1"/>
  <c r="BH44" i="18"/>
  <c r="BK44" i="18" s="1"/>
  <c r="BI41" i="18"/>
  <c r="BL41" i="18" s="1"/>
  <c r="BH40" i="18"/>
  <c r="BK40" i="18" s="1"/>
  <c r="BJ38" i="18"/>
  <c r="BM38" i="18" s="1"/>
  <c r="BH36" i="18"/>
  <c r="BK36" i="18" s="1"/>
  <c r="BJ34" i="18"/>
  <c r="BM34" i="18" s="1"/>
  <c r="BI33" i="18"/>
  <c r="BL33" i="18" s="1"/>
  <c r="BJ30" i="18"/>
  <c r="BM30" i="18" s="1"/>
  <c r="BI29" i="18"/>
  <c r="BL29" i="18" s="1"/>
  <c r="BH28" i="18"/>
  <c r="BK28" i="18" s="1"/>
  <c r="BI25" i="18"/>
  <c r="BL25" i="18" s="1"/>
  <c r="BH24" i="18"/>
  <c r="BK24" i="18" s="1"/>
  <c r="BJ22" i="18"/>
  <c r="BM22" i="18" s="1"/>
  <c r="BH2" i="18"/>
  <c r="BK2" i="18" s="1"/>
  <c r="BI21" i="18"/>
  <c r="BL21" i="18" s="1"/>
  <c r="BH20" i="18"/>
  <c r="BK20" i="18" s="1"/>
  <c r="BJ18" i="18"/>
  <c r="BM18" i="18" s="1"/>
  <c r="BI17" i="18"/>
  <c r="BL17" i="18" s="1"/>
  <c r="BH16" i="18"/>
  <c r="BK16" i="18" s="1"/>
  <c r="BJ14" i="18"/>
  <c r="BM14" i="18" s="1"/>
  <c r="BI94" i="18"/>
  <c r="BL94" i="18" s="1"/>
  <c r="BH93" i="18"/>
  <c r="BK93" i="18" s="1"/>
  <c r="BJ91" i="18"/>
  <c r="BM91" i="18" s="1"/>
  <c r="BI90" i="18"/>
  <c r="BL90" i="18" s="1"/>
  <c r="BH89" i="18"/>
  <c r="BK89" i="18" s="1"/>
  <c r="BJ87" i="18"/>
  <c r="BM87" i="18" s="1"/>
  <c r="BI86" i="18"/>
  <c r="BL86" i="18" s="1"/>
  <c r="BH85" i="18"/>
  <c r="BK85" i="18" s="1"/>
  <c r="BJ83" i="18"/>
  <c r="BM83" i="18" s="1"/>
  <c r="BI82" i="18"/>
  <c r="BL82" i="18" s="1"/>
  <c r="BH81" i="18"/>
  <c r="BK81" i="18" s="1"/>
  <c r="BJ79" i="18"/>
  <c r="BM79" i="18" s="1"/>
  <c r="BI78" i="18"/>
  <c r="BL78" i="18" s="1"/>
  <c r="BH77" i="18"/>
  <c r="BK77" i="18" s="1"/>
  <c r="BJ75" i="18"/>
  <c r="BM75" i="18" s="1"/>
  <c r="BI74" i="18"/>
  <c r="BL74" i="18" s="1"/>
  <c r="BH73" i="18"/>
  <c r="BK73" i="18" s="1"/>
  <c r="BJ71" i="18"/>
  <c r="BM71" i="18" s="1"/>
  <c r="BI70" i="18"/>
  <c r="BL70" i="18" s="1"/>
  <c r="BH69" i="18"/>
  <c r="BK69" i="18" s="1"/>
  <c r="BJ67" i="18"/>
  <c r="BM67" i="18" s="1"/>
  <c r="BI66" i="18"/>
  <c r="BL66" i="18" s="1"/>
  <c r="BH65" i="18"/>
  <c r="BK65" i="18" s="1"/>
  <c r="BJ63" i="18"/>
  <c r="BM63" i="18" s="1"/>
  <c r="BI62" i="18"/>
  <c r="BL62" i="18" s="1"/>
  <c r="BH61" i="18"/>
  <c r="BK61" i="18" s="1"/>
  <c r="BJ59" i="18"/>
  <c r="BM59" i="18" s="1"/>
  <c r="BI58" i="18"/>
  <c r="BL58" i="18" s="1"/>
  <c r="BH57" i="18"/>
  <c r="BK57" i="18" s="1"/>
  <c r="BJ55" i="18"/>
  <c r="BM55" i="18" s="1"/>
  <c r="BI54" i="18"/>
  <c r="BL54" i="18" s="1"/>
  <c r="BH53" i="18"/>
  <c r="BK53" i="18" s="1"/>
  <c r="BJ51" i="18"/>
  <c r="BM51" i="18" s="1"/>
  <c r="BI50" i="18"/>
  <c r="BL50" i="18" s="1"/>
  <c r="BH49" i="18"/>
  <c r="BK49" i="18" s="1"/>
  <c r="BJ47" i="18"/>
  <c r="BM47" i="18" s="1"/>
  <c r="BI46" i="18"/>
  <c r="BL46" i="18" s="1"/>
  <c r="BH45" i="18"/>
  <c r="BK45" i="18" s="1"/>
  <c r="BJ43" i="18"/>
  <c r="BM43" i="18" s="1"/>
  <c r="BI42" i="18"/>
  <c r="BL42" i="18" s="1"/>
  <c r="BH41" i="18"/>
  <c r="BK41" i="18" s="1"/>
  <c r="BJ39" i="18"/>
  <c r="BM39" i="18" s="1"/>
  <c r="BI38" i="18"/>
  <c r="BL38" i="18" s="1"/>
  <c r="BH37" i="18"/>
  <c r="BK37" i="18" s="1"/>
  <c r="BJ35" i="18"/>
  <c r="BM35" i="18" s="1"/>
  <c r="BI34" i="18"/>
  <c r="BL34" i="18" s="1"/>
  <c r="BH33" i="18"/>
  <c r="BK33" i="18" s="1"/>
  <c r="BJ31" i="18"/>
  <c r="BM31" i="18" s="1"/>
  <c r="BI30" i="18"/>
  <c r="BL30" i="18" s="1"/>
  <c r="BH29" i="18"/>
  <c r="BK29" i="18" s="1"/>
  <c r="BJ27" i="18"/>
  <c r="BM27" i="18" s="1"/>
  <c r="BI26" i="18"/>
  <c r="BL26" i="18" s="1"/>
  <c r="BH25" i="18"/>
  <c r="BK25" i="18" s="1"/>
  <c r="BJ23" i="18"/>
  <c r="BM23" i="18" s="1"/>
  <c r="BI22" i="18"/>
  <c r="BL22" i="18" s="1"/>
  <c r="BH21" i="18"/>
  <c r="BK21" i="18" s="1"/>
  <c r="BJ19" i="18"/>
  <c r="BM19" i="18" s="1"/>
  <c r="BI18" i="18"/>
  <c r="BL18" i="18" s="1"/>
  <c r="BJ15" i="18"/>
  <c r="BM15" i="18" s="1"/>
  <c r="BI14" i="18"/>
  <c r="BL14" i="18" s="1"/>
  <c r="BH13" i="18"/>
  <c r="BK13" i="18" s="1"/>
  <c r="BI10" i="18"/>
  <c r="BL10" i="18" s="1"/>
  <c r="BH9" i="18"/>
  <c r="BK9" i="18" s="1"/>
  <c r="BJ7" i="18"/>
  <c r="BM7" i="18" s="1"/>
  <c r="BH5" i="18"/>
  <c r="BK5" i="18" s="1"/>
  <c r="BJ3" i="18"/>
  <c r="BM3" i="18" s="1"/>
  <c r="BI75" i="18"/>
  <c r="BL75" i="18" s="1"/>
  <c r="BH74" i="18"/>
  <c r="BK74" i="18" s="1"/>
  <c r="BJ72" i="18"/>
  <c r="BM72" i="18" s="1"/>
  <c r="BI71" i="18"/>
  <c r="BL71" i="18" s="1"/>
  <c r="BH70" i="18"/>
  <c r="BK70" i="18" s="1"/>
  <c r="BJ68" i="18"/>
  <c r="BM68" i="18" s="1"/>
  <c r="BI67" i="18"/>
  <c r="BL67" i="18" s="1"/>
  <c r="BH66" i="18"/>
  <c r="BK66" i="18" s="1"/>
  <c r="BJ64" i="18"/>
  <c r="BM64" i="18" s="1"/>
  <c r="BI63" i="18"/>
  <c r="BL63" i="18" s="1"/>
  <c r="BH62" i="18"/>
  <c r="BK62" i="18" s="1"/>
  <c r="BJ60" i="18"/>
  <c r="BM60" i="18" s="1"/>
  <c r="BI59" i="18"/>
  <c r="BL59" i="18" s="1"/>
  <c r="BH58" i="18"/>
  <c r="BK58" i="18" s="1"/>
  <c r="BJ56" i="18"/>
  <c r="BM56" i="18" s="1"/>
  <c r="BI55" i="18"/>
  <c r="BL55" i="18" s="1"/>
  <c r="BH54" i="18"/>
  <c r="BK54" i="18" s="1"/>
  <c r="BJ52" i="18"/>
  <c r="BM52" i="18" s="1"/>
  <c r="BI51" i="18"/>
  <c r="BL51" i="18" s="1"/>
  <c r="BH50" i="18"/>
  <c r="BK50" i="18" s="1"/>
  <c r="BJ48" i="18"/>
  <c r="BM48" i="18" s="1"/>
  <c r="BI47" i="18"/>
  <c r="BL47" i="18" s="1"/>
  <c r="BH46" i="18"/>
  <c r="BK46" i="18" s="1"/>
  <c r="BJ44" i="18"/>
  <c r="BM44" i="18" s="1"/>
  <c r="BI43" i="18"/>
  <c r="BL43" i="18" s="1"/>
  <c r="BH42" i="18"/>
  <c r="BK42" i="18" s="1"/>
  <c r="BJ40" i="18"/>
  <c r="BM40" i="18" s="1"/>
  <c r="BI39" i="18"/>
  <c r="BL39" i="18" s="1"/>
  <c r="BH38" i="18"/>
  <c r="BK38" i="18" s="1"/>
  <c r="BJ36" i="18"/>
  <c r="BM36" i="18" s="1"/>
  <c r="BI35" i="18"/>
  <c r="BL35" i="18" s="1"/>
  <c r="BH34" i="18"/>
  <c r="BK34" i="18" s="1"/>
  <c r="BJ32" i="18"/>
  <c r="BM32" i="18" s="1"/>
  <c r="BI31" i="18"/>
  <c r="BL31" i="18" s="1"/>
  <c r="BH30" i="18"/>
  <c r="BK30" i="18" s="1"/>
  <c r="BJ28" i="18"/>
  <c r="BM28" i="18" s="1"/>
  <c r="BI27" i="18"/>
  <c r="BL27" i="18" s="1"/>
  <c r="BH26" i="18"/>
  <c r="BK26" i="18" s="1"/>
  <c r="BJ24" i="18"/>
  <c r="BM24" i="18" s="1"/>
  <c r="BI23" i="18"/>
  <c r="BL23" i="18" s="1"/>
  <c r="BH22" i="18"/>
  <c r="BK22" i="18" s="1"/>
  <c r="BI19" i="18"/>
  <c r="BL19" i="18" s="1"/>
  <c r="BH18" i="18"/>
  <c r="BK18" i="18" s="1"/>
  <c r="BJ16" i="18"/>
  <c r="BM16" i="18" s="1"/>
  <c r="BI15" i="18"/>
  <c r="BL15" i="18" s="1"/>
  <c r="BH14" i="18"/>
  <c r="BK14" i="18" s="1"/>
  <c r="BI13" i="18"/>
  <c r="BL13" i="18" s="1"/>
  <c r="BH12" i="18"/>
  <c r="BK12" i="18" s="1"/>
  <c r="BJ10" i="18"/>
  <c r="BM10" i="18" s="1"/>
  <c r="BI9" i="18"/>
  <c r="BL9" i="18" s="1"/>
  <c r="BH8" i="18"/>
  <c r="BK8" i="18" s="1"/>
  <c r="BJ6" i="18"/>
  <c r="BM6" i="18" s="1"/>
  <c r="BI5" i="18"/>
  <c r="BL5" i="18" s="1"/>
  <c r="BH4" i="18"/>
  <c r="BK4" i="18" s="1"/>
  <c r="BJ12" i="18"/>
  <c r="BM12" i="18" s="1"/>
  <c r="BI11" i="18"/>
  <c r="BL11" i="18" s="1"/>
  <c r="BH10" i="18"/>
  <c r="BK10" i="18" s="1"/>
  <c r="BJ8" i="18"/>
  <c r="BM8" i="18" s="1"/>
  <c r="BI7" i="18"/>
  <c r="BL7" i="18" s="1"/>
  <c r="BH6" i="18"/>
  <c r="BK6" i="18" s="1"/>
  <c r="BJ4" i="18"/>
  <c r="BM4" i="18" s="1"/>
  <c r="BI3" i="18"/>
  <c r="BL3" i="18" s="1"/>
  <c r="BA10" i="17"/>
  <c r="AZ10" i="17"/>
  <c r="AZ8" i="17"/>
  <c r="AZ9" i="17"/>
  <c r="AZ7" i="17"/>
  <c r="AY7" i="17" a="1"/>
  <c r="AY7" i="17" s="1"/>
  <c r="AX7" i="17" a="1"/>
  <c r="AX7" i="17" s="1"/>
  <c r="AW7" i="17" a="1"/>
  <c r="AW7" i="17" s="1"/>
  <c r="AN2" i="17"/>
  <c r="BB95" i="18" l="1"/>
  <c r="BK95" i="18"/>
  <c r="BL95" i="18"/>
  <c r="BD95" i="18"/>
  <c r="BC95" i="18"/>
  <c r="BV95" i="18"/>
  <c r="BT95" i="18"/>
  <c r="BU95" i="18"/>
  <c r="BM95" i="18"/>
  <c r="AY9" i="17"/>
  <c r="AY8" i="17"/>
  <c r="AX9" i="17"/>
  <c r="AX8" i="17"/>
  <c r="AW9" i="17"/>
  <c r="AW8" i="17"/>
  <c r="AN3" i="17"/>
  <c r="AO3" i="17"/>
  <c r="AP3" i="17"/>
  <c r="AN4" i="17"/>
  <c r="AO4" i="17"/>
  <c r="AP4" i="17"/>
  <c r="AN5" i="17"/>
  <c r="AO5" i="17"/>
  <c r="AP5" i="17"/>
  <c r="AN6" i="17"/>
  <c r="AO6" i="17"/>
  <c r="AP6" i="17"/>
  <c r="AN7" i="17"/>
  <c r="AO7" i="17"/>
  <c r="AP7" i="17"/>
  <c r="AN8" i="17"/>
  <c r="AO8" i="17"/>
  <c r="AP8" i="17"/>
  <c r="AN10" i="17"/>
  <c r="AO10" i="17"/>
  <c r="AP10" i="17"/>
  <c r="AN11" i="17"/>
  <c r="AO11" i="17"/>
  <c r="AP11" i="17"/>
  <c r="AN12" i="17"/>
  <c r="AO12" i="17"/>
  <c r="AP12" i="17"/>
  <c r="AN14" i="17"/>
  <c r="AO14" i="17"/>
  <c r="AP14" i="17"/>
  <c r="AN15" i="17"/>
  <c r="AO15" i="17"/>
  <c r="AP15" i="17"/>
  <c r="AN16" i="17"/>
  <c r="AO16" i="17"/>
  <c r="AP16" i="17"/>
  <c r="AN17" i="17"/>
  <c r="AO17" i="17"/>
  <c r="AP17" i="17"/>
  <c r="AN18" i="17"/>
  <c r="AO18" i="17"/>
  <c r="AP18" i="17"/>
  <c r="AN20" i="17"/>
  <c r="AO20" i="17"/>
  <c r="AP20" i="17"/>
  <c r="AN21" i="17"/>
  <c r="AO21" i="17"/>
  <c r="AP21" i="17"/>
  <c r="AN22" i="17"/>
  <c r="AO22" i="17"/>
  <c r="AP22" i="17"/>
  <c r="AN24" i="17"/>
  <c r="AO24" i="17"/>
  <c r="AP24" i="17"/>
  <c r="AN25" i="17"/>
  <c r="AO25" i="17"/>
  <c r="AP25" i="17"/>
  <c r="AN26" i="17"/>
  <c r="AO26" i="17"/>
  <c r="AP26" i="17"/>
  <c r="AN27" i="17"/>
  <c r="AO27" i="17"/>
  <c r="AP27" i="17"/>
  <c r="AN28" i="17"/>
  <c r="AO28" i="17"/>
  <c r="AP28" i="17"/>
  <c r="AN29" i="17"/>
  <c r="AO29" i="17"/>
  <c r="AP29" i="17"/>
  <c r="AN30" i="17"/>
  <c r="AO30" i="17"/>
  <c r="AP30" i="17"/>
  <c r="AN31" i="17"/>
  <c r="AO31" i="17"/>
  <c r="AP31" i="17"/>
  <c r="AN32" i="17"/>
  <c r="AO32" i="17"/>
  <c r="AP32" i="17"/>
  <c r="AN33" i="17"/>
  <c r="AO33" i="17"/>
  <c r="AP33" i="17"/>
  <c r="AN34" i="17"/>
  <c r="AO34" i="17"/>
  <c r="AP34" i="17"/>
  <c r="AN35" i="17"/>
  <c r="AO35" i="17"/>
  <c r="AP35" i="17"/>
  <c r="AN36" i="17"/>
  <c r="AO36" i="17"/>
  <c r="AP36" i="17"/>
  <c r="AN37" i="17"/>
  <c r="AO37" i="17"/>
  <c r="AP37" i="17"/>
  <c r="AN38" i="17"/>
  <c r="AO38" i="17"/>
  <c r="AP38" i="17"/>
  <c r="AN39" i="17"/>
  <c r="AO39" i="17"/>
  <c r="AP39" i="17"/>
  <c r="AN40" i="17"/>
  <c r="AO40" i="17"/>
  <c r="AP40" i="17"/>
  <c r="AN41" i="17"/>
  <c r="AO41" i="17"/>
  <c r="AP41" i="17"/>
  <c r="AN43" i="17"/>
  <c r="AO43" i="17"/>
  <c r="AP43" i="17"/>
  <c r="AN44" i="17"/>
  <c r="AO44" i="17"/>
  <c r="AP44" i="17"/>
  <c r="AN45" i="17"/>
  <c r="AO45" i="17"/>
  <c r="AP45" i="17"/>
  <c r="AN46" i="17"/>
  <c r="AO46" i="17"/>
  <c r="AP46" i="17"/>
  <c r="AN47" i="17"/>
  <c r="AO47" i="17"/>
  <c r="AP47" i="17"/>
  <c r="AN48" i="17"/>
  <c r="AO48" i="17"/>
  <c r="AP48" i="17"/>
  <c r="AN49" i="17"/>
  <c r="AO49" i="17"/>
  <c r="AP49" i="17"/>
  <c r="AN50" i="17"/>
  <c r="AO50" i="17"/>
  <c r="AP50" i="17"/>
  <c r="AN51" i="17"/>
  <c r="AO51" i="17"/>
  <c r="AP51" i="17"/>
  <c r="AN53" i="17"/>
  <c r="AO53" i="17"/>
  <c r="AP53" i="17"/>
  <c r="AN54" i="17"/>
  <c r="AO54" i="17"/>
  <c r="AP54" i="17"/>
  <c r="AN55" i="17"/>
  <c r="AO55" i="17"/>
  <c r="AP55" i="17"/>
  <c r="AN56" i="17"/>
  <c r="AO56" i="17"/>
  <c r="AP56" i="17"/>
  <c r="AN57" i="17"/>
  <c r="AO57" i="17"/>
  <c r="AP57" i="17"/>
  <c r="AN58" i="17"/>
  <c r="AO58" i="17"/>
  <c r="AP58" i="17"/>
  <c r="AN59" i="17"/>
  <c r="AO59" i="17"/>
  <c r="AP59" i="17"/>
  <c r="AN60" i="17"/>
  <c r="AO60" i="17"/>
  <c r="AP60" i="17"/>
  <c r="AN61" i="17"/>
  <c r="AO61" i="17"/>
  <c r="AP61" i="17"/>
  <c r="AN62" i="17"/>
  <c r="AO62" i="17"/>
  <c r="AP62" i="17"/>
  <c r="AN63" i="17"/>
  <c r="AO63" i="17"/>
  <c r="AP63" i="17"/>
  <c r="AN64" i="17"/>
  <c r="AO64" i="17"/>
  <c r="AP64" i="17"/>
  <c r="AN65" i="17"/>
  <c r="AO65" i="17"/>
  <c r="AP65" i="17"/>
  <c r="AN66" i="17"/>
  <c r="AO66" i="17"/>
  <c r="AP66" i="17"/>
  <c r="AN67" i="17"/>
  <c r="AO67" i="17"/>
  <c r="AP67" i="17"/>
  <c r="AN68" i="17"/>
  <c r="AO68" i="17"/>
  <c r="AP68" i="17"/>
  <c r="AN69" i="17"/>
  <c r="AO69" i="17"/>
  <c r="AP69" i="17"/>
  <c r="AN70" i="17"/>
  <c r="AO70" i="17"/>
  <c r="AP70" i="17"/>
  <c r="AN71" i="17"/>
  <c r="AO71" i="17"/>
  <c r="AP71" i="17"/>
  <c r="AN72" i="17"/>
  <c r="AO72" i="17"/>
  <c r="AP72" i="17"/>
  <c r="AN73" i="17"/>
  <c r="AO73" i="17"/>
  <c r="AP73" i="17"/>
  <c r="AN74" i="17"/>
  <c r="AO74" i="17"/>
  <c r="AP74" i="17"/>
  <c r="AN75" i="17"/>
  <c r="AO75" i="17"/>
  <c r="AP75" i="17"/>
  <c r="AN76" i="17"/>
  <c r="AO76" i="17"/>
  <c r="AP76" i="17"/>
  <c r="AN78" i="17"/>
  <c r="AO78" i="17"/>
  <c r="AP78" i="17"/>
  <c r="AN79" i="17"/>
  <c r="AO79" i="17"/>
  <c r="AP79" i="17"/>
  <c r="AN80" i="17"/>
  <c r="AO80" i="17"/>
  <c r="AP80" i="17"/>
  <c r="AN82" i="17"/>
  <c r="AO82" i="17"/>
  <c r="AP82" i="17"/>
  <c r="AN83" i="17"/>
  <c r="AO83" i="17"/>
  <c r="AP83" i="17"/>
  <c r="AN84" i="17"/>
  <c r="AO84" i="17"/>
  <c r="AP84" i="17"/>
  <c r="AN85" i="17"/>
  <c r="AO85" i="17"/>
  <c r="AP85" i="17"/>
  <c r="AN86" i="17"/>
  <c r="AO86" i="17"/>
  <c r="AP86" i="17"/>
  <c r="AN87" i="17"/>
  <c r="AO87" i="17"/>
  <c r="AP87" i="17"/>
  <c r="AN88" i="17"/>
  <c r="AO88" i="17"/>
  <c r="AP88" i="17"/>
  <c r="AN89" i="17"/>
  <c r="AO89" i="17"/>
  <c r="AP89" i="17"/>
  <c r="AN92" i="17"/>
  <c r="AO92" i="17"/>
  <c r="AP92" i="17"/>
  <c r="AN93" i="17"/>
  <c r="AO93" i="17"/>
  <c r="AP93" i="17"/>
  <c r="AO2" i="17"/>
  <c r="AP2" i="17"/>
  <c r="AF3" i="17"/>
  <c r="AG3" i="17"/>
  <c r="AF4" i="17"/>
  <c r="AG4" i="17"/>
  <c r="AF5" i="17"/>
  <c r="AG5" i="17"/>
  <c r="AF6" i="17"/>
  <c r="AG6" i="17"/>
  <c r="AF7" i="17"/>
  <c r="AG7" i="17"/>
  <c r="AF8" i="17"/>
  <c r="AG8" i="17"/>
  <c r="AF10" i="17"/>
  <c r="AG10" i="17"/>
  <c r="AF11" i="17"/>
  <c r="AG11" i="17"/>
  <c r="AF12" i="17"/>
  <c r="AG12" i="17"/>
  <c r="AF14" i="17"/>
  <c r="AG14" i="17"/>
  <c r="AF15" i="17"/>
  <c r="AG15" i="17"/>
  <c r="AF16" i="17"/>
  <c r="AG16" i="17"/>
  <c r="AF17" i="17"/>
  <c r="AG17" i="17"/>
  <c r="AF18" i="17"/>
  <c r="AG18" i="17"/>
  <c r="AF20" i="17"/>
  <c r="AG20" i="17"/>
  <c r="AF21" i="17"/>
  <c r="AG21" i="17"/>
  <c r="AF22" i="17"/>
  <c r="AG22" i="17"/>
  <c r="AF24" i="17"/>
  <c r="AG24" i="17"/>
  <c r="AF25" i="17"/>
  <c r="AG25" i="17"/>
  <c r="AF26" i="17"/>
  <c r="AG26" i="17"/>
  <c r="AF27" i="17"/>
  <c r="AG27" i="17"/>
  <c r="AF28" i="17"/>
  <c r="AG28" i="17"/>
  <c r="AF29" i="17"/>
  <c r="AG29" i="17"/>
  <c r="AF30" i="17"/>
  <c r="AG30" i="17"/>
  <c r="AF31" i="17"/>
  <c r="AG31" i="17"/>
  <c r="AF32" i="17"/>
  <c r="AG32" i="17"/>
  <c r="AF33" i="17"/>
  <c r="AG33" i="17"/>
  <c r="AF34" i="17"/>
  <c r="AG34" i="17"/>
  <c r="AF35" i="17"/>
  <c r="AG35" i="17"/>
  <c r="AF36" i="17"/>
  <c r="AG36" i="17"/>
  <c r="AF37" i="17"/>
  <c r="AG37" i="17"/>
  <c r="AF38" i="17"/>
  <c r="AG38" i="17"/>
  <c r="AF39" i="17"/>
  <c r="AG39" i="17"/>
  <c r="AF40" i="17"/>
  <c r="AG40" i="17"/>
  <c r="AF41" i="17"/>
  <c r="AG41" i="17"/>
  <c r="AF43" i="17"/>
  <c r="AG43" i="17"/>
  <c r="AF44" i="17"/>
  <c r="AG44" i="17"/>
  <c r="AF45" i="17"/>
  <c r="AG45" i="17"/>
  <c r="AF46" i="17"/>
  <c r="AG46" i="17"/>
  <c r="AF47" i="17"/>
  <c r="AG47" i="17"/>
  <c r="AF48" i="17"/>
  <c r="AG48" i="17"/>
  <c r="AF49" i="17"/>
  <c r="AG49" i="17"/>
  <c r="AF50" i="17"/>
  <c r="AG50" i="17"/>
  <c r="AF51" i="17"/>
  <c r="AG51" i="17"/>
  <c r="AF53" i="17"/>
  <c r="AG53" i="17"/>
  <c r="AF54" i="17"/>
  <c r="AG54" i="17"/>
  <c r="AF55" i="17"/>
  <c r="AG55" i="17"/>
  <c r="AF56" i="17"/>
  <c r="AG56" i="17"/>
  <c r="AF57" i="17"/>
  <c r="AG57" i="17"/>
  <c r="AF58" i="17"/>
  <c r="AG58" i="17"/>
  <c r="AF59" i="17"/>
  <c r="AG59" i="17"/>
  <c r="AF60" i="17"/>
  <c r="AG60" i="17"/>
  <c r="AF61" i="17"/>
  <c r="AG61" i="17"/>
  <c r="AF62" i="17"/>
  <c r="AG62" i="17"/>
  <c r="AF63" i="17"/>
  <c r="AG63" i="17"/>
  <c r="AF64" i="17"/>
  <c r="AG64" i="17"/>
  <c r="AF65" i="17"/>
  <c r="AG65" i="17"/>
  <c r="AF66" i="17"/>
  <c r="AG66" i="17"/>
  <c r="AF67" i="17"/>
  <c r="AG67" i="17"/>
  <c r="AF68" i="17"/>
  <c r="AG68" i="17"/>
  <c r="AF69" i="17"/>
  <c r="AG69" i="17"/>
  <c r="AF70" i="17"/>
  <c r="AG70" i="17"/>
  <c r="AF71" i="17"/>
  <c r="AG71" i="17"/>
  <c r="AF72" i="17"/>
  <c r="AG72" i="17"/>
  <c r="AF73" i="17"/>
  <c r="AG73" i="17"/>
  <c r="AF74" i="17"/>
  <c r="AG74" i="17"/>
  <c r="AF75" i="17"/>
  <c r="AG75" i="17"/>
  <c r="AF76" i="17"/>
  <c r="AG76" i="17"/>
  <c r="AF78" i="17"/>
  <c r="AG78" i="17"/>
  <c r="AF79" i="17"/>
  <c r="AG79" i="17"/>
  <c r="AF80" i="17"/>
  <c r="AG80" i="17"/>
  <c r="AF82" i="17"/>
  <c r="AG82" i="17"/>
  <c r="AF83" i="17"/>
  <c r="AG83" i="17"/>
  <c r="AF84" i="17"/>
  <c r="AG84" i="17"/>
  <c r="AF85" i="17"/>
  <c r="AG85" i="17"/>
  <c r="AF86" i="17"/>
  <c r="AG86" i="17"/>
  <c r="AF87" i="17"/>
  <c r="AG87" i="17"/>
  <c r="AF88" i="17"/>
  <c r="AG88" i="17"/>
  <c r="AF89" i="17"/>
  <c r="AG89" i="17"/>
  <c r="AF92" i="17"/>
  <c r="AG92" i="17"/>
  <c r="AF93" i="17"/>
  <c r="AG93" i="17"/>
  <c r="AF2" i="17"/>
  <c r="AG2" i="17"/>
  <c r="AE3" i="17"/>
  <c r="AE4" i="17"/>
  <c r="AE5" i="17"/>
  <c r="AE6" i="17"/>
  <c r="AE7" i="17"/>
  <c r="AE8" i="17"/>
  <c r="AE10" i="17"/>
  <c r="AE11" i="17"/>
  <c r="AE12" i="17"/>
  <c r="AE14" i="17"/>
  <c r="AE15" i="17"/>
  <c r="AE16" i="17"/>
  <c r="AE17" i="17"/>
  <c r="AE18" i="17"/>
  <c r="AE20" i="17"/>
  <c r="AE21" i="17"/>
  <c r="AE22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3" i="17"/>
  <c r="AE44" i="17"/>
  <c r="AE45" i="17"/>
  <c r="AE46" i="17"/>
  <c r="AE47" i="17"/>
  <c r="AE48" i="17"/>
  <c r="AE49" i="17"/>
  <c r="AE50" i="17"/>
  <c r="AE51" i="17"/>
  <c r="AE53" i="17"/>
  <c r="AE54" i="17"/>
  <c r="AE55" i="17"/>
  <c r="AE56" i="17"/>
  <c r="AE57" i="17"/>
  <c r="AE58" i="17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8" i="17"/>
  <c r="AE79" i="17"/>
  <c r="AE80" i="17"/>
  <c r="AE82" i="17"/>
  <c r="AE83" i="17"/>
  <c r="AE84" i="17"/>
  <c r="AE85" i="17"/>
  <c r="AE86" i="17"/>
  <c r="AE87" i="17"/>
  <c r="AE88" i="17"/>
  <c r="AE89" i="17"/>
  <c r="AE92" i="17"/>
  <c r="AE93" i="17"/>
  <c r="AE2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B94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B91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B90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B81" i="17"/>
  <c r="B81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B77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B5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B42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B19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B2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B13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B9" i="17"/>
  <c r="AS3" i="16"/>
  <c r="AO9" i="17" l="1"/>
  <c r="AN13" i="17"/>
  <c r="AG13" i="17"/>
  <c r="AF23" i="17"/>
  <c r="AP19" i="17"/>
  <c r="AO42" i="17"/>
  <c r="AN52" i="17"/>
  <c r="AG52" i="17"/>
  <c r="AF77" i="17"/>
  <c r="AP81" i="17"/>
  <c r="AO90" i="17"/>
  <c r="AN91" i="17"/>
  <c r="AF94" i="17"/>
  <c r="AO23" i="17"/>
  <c r="AF42" i="17"/>
  <c r="AP52" i="17"/>
  <c r="AO77" i="17"/>
  <c r="AN81" i="17"/>
  <c r="AG81" i="17"/>
  <c r="AF90" i="17"/>
  <c r="AP91" i="17"/>
  <c r="AO94" i="17"/>
  <c r="AF9" i="17"/>
  <c r="AP13" i="17"/>
  <c r="AN19" i="17"/>
  <c r="AG19" i="17"/>
  <c r="AE9" i="17"/>
  <c r="AE13" i="17"/>
  <c r="AE91" i="17"/>
  <c r="AP9" i="17"/>
  <c r="AO13" i="17"/>
  <c r="AN77" i="17"/>
  <c r="AG77" i="17"/>
  <c r="AN94" i="17"/>
  <c r="AG94" i="17"/>
  <c r="AN9" i="17"/>
  <c r="AG9" i="17"/>
  <c r="AF13" i="17"/>
  <c r="AN42" i="17"/>
  <c r="AF52" i="17"/>
  <c r="AG90" i="17"/>
  <c r="AP94" i="17"/>
  <c r="AE52" i="17"/>
  <c r="AN23" i="17"/>
  <c r="AG23" i="17"/>
  <c r="AF19" i="17"/>
  <c r="AP42" i="17"/>
  <c r="AE42" i="17"/>
  <c r="AO52" i="17"/>
  <c r="AF81" i="17"/>
  <c r="AP90" i="17"/>
  <c r="AE90" i="17"/>
  <c r="AO91" i="17"/>
  <c r="AG91" i="17"/>
  <c r="AF91" i="17"/>
  <c r="AE19" i="17"/>
  <c r="AE81" i="17"/>
  <c r="AP23" i="17"/>
  <c r="AE23" i="17"/>
  <c r="AO19" i="17"/>
  <c r="AG42" i="17"/>
  <c r="AP77" i="17"/>
  <c r="AE77" i="17"/>
  <c r="AO81" i="17"/>
  <c r="AN90" i="17"/>
  <c r="AE94" i="17"/>
  <c r="C299" i="16"/>
  <c r="CM3" i="16"/>
  <c r="CM4" i="16"/>
  <c r="CM5" i="16"/>
  <c r="CM6" i="16"/>
  <c r="CM7" i="16"/>
  <c r="CM8" i="16"/>
  <c r="CM9" i="16"/>
  <c r="CM10" i="16"/>
  <c r="CM11" i="16"/>
  <c r="CM12" i="16"/>
  <c r="CM13" i="16"/>
  <c r="CM14" i="16"/>
  <c r="CM15" i="16"/>
  <c r="CM16" i="16"/>
  <c r="CM17" i="16"/>
  <c r="CM18" i="16"/>
  <c r="CM19" i="16"/>
  <c r="CM20" i="16"/>
  <c r="CM21" i="16"/>
  <c r="CM22" i="16"/>
  <c r="CM23" i="16"/>
  <c r="CM24" i="16"/>
  <c r="CM25" i="16"/>
  <c r="CM26" i="16"/>
  <c r="CM27" i="16"/>
  <c r="CM28" i="16"/>
  <c r="CM29" i="16"/>
  <c r="CM30" i="16"/>
  <c r="CM31" i="16"/>
  <c r="CM32" i="16"/>
  <c r="CM33" i="16"/>
  <c r="CM34" i="16"/>
  <c r="CM35" i="16"/>
  <c r="CM36" i="16"/>
  <c r="CM37" i="16"/>
  <c r="CM38" i="16"/>
  <c r="CM39" i="16"/>
  <c r="CM40" i="16"/>
  <c r="CM41" i="16"/>
  <c r="CM42" i="16"/>
  <c r="CM43" i="16"/>
  <c r="CM44" i="16"/>
  <c r="CM45" i="16"/>
  <c r="CM46" i="16"/>
  <c r="CM47" i="16"/>
  <c r="CM48" i="16"/>
  <c r="CM49" i="16"/>
  <c r="CM50" i="16"/>
  <c r="CM51" i="16"/>
  <c r="CM52" i="16"/>
  <c r="CM53" i="16"/>
  <c r="CM54" i="16"/>
  <c r="CM55" i="16"/>
  <c r="CM56" i="16"/>
  <c r="CM57" i="16"/>
  <c r="CM58" i="16"/>
  <c r="CM59" i="16"/>
  <c r="CM60" i="16"/>
  <c r="CM61" i="16"/>
  <c r="CM62" i="16"/>
  <c r="CM63" i="16"/>
  <c r="CM64" i="16"/>
  <c r="CM65" i="16"/>
  <c r="CM66" i="16"/>
  <c r="CM67" i="16"/>
  <c r="CM68" i="16"/>
  <c r="CM69" i="16"/>
  <c r="CM70" i="16"/>
  <c r="CM71" i="16"/>
  <c r="CM72" i="16"/>
  <c r="CM73" i="16"/>
  <c r="CM74" i="16"/>
  <c r="CM75" i="16"/>
  <c r="CM76" i="16"/>
  <c r="CM77" i="16"/>
  <c r="CM78" i="16"/>
  <c r="CM79" i="16"/>
  <c r="CM80" i="16"/>
  <c r="CM81" i="16"/>
  <c r="CM82" i="16"/>
  <c r="CM83" i="16"/>
  <c r="CM84" i="16"/>
  <c r="CM85" i="16"/>
  <c r="CM86" i="16"/>
  <c r="CM87" i="16"/>
  <c r="CM88" i="16"/>
  <c r="CM89" i="16"/>
  <c r="CM90" i="16"/>
  <c r="CM91" i="16"/>
  <c r="CM92" i="16"/>
  <c r="CM93" i="16"/>
  <c r="CM94" i="16"/>
  <c r="CM95" i="16"/>
  <c r="CM96" i="16"/>
  <c r="CM97" i="16"/>
  <c r="CM98" i="16"/>
  <c r="CM99" i="16"/>
  <c r="CM100" i="16"/>
  <c r="CM101" i="16"/>
  <c r="CM102" i="16"/>
  <c r="CM103" i="16"/>
  <c r="CM104" i="16"/>
  <c r="CM105" i="16"/>
  <c r="CM106" i="16"/>
  <c r="CM107" i="16"/>
  <c r="CM108" i="16"/>
  <c r="CM109" i="16"/>
  <c r="CM110" i="16"/>
  <c r="CM111" i="16"/>
  <c r="CM112" i="16"/>
  <c r="CM113" i="16"/>
  <c r="CM114" i="16"/>
  <c r="CM115" i="16"/>
  <c r="CM116" i="16"/>
  <c r="CM117" i="16"/>
  <c r="CM118" i="16"/>
  <c r="CM119" i="16"/>
  <c r="CM120" i="16"/>
  <c r="CM121" i="16"/>
  <c r="CM122" i="16"/>
  <c r="CM123" i="16"/>
  <c r="CM124" i="16"/>
  <c r="CM125" i="16"/>
  <c r="CM126" i="16"/>
  <c r="CM127" i="16"/>
  <c r="CM128" i="16"/>
  <c r="CM129" i="16"/>
  <c r="CM2" i="16"/>
  <c r="BD17" i="16"/>
  <c r="BE17" i="16"/>
  <c r="BD16" i="16"/>
  <c r="BE16" i="16"/>
  <c r="BF16" i="16"/>
  <c r="BD15" i="16"/>
  <c r="BE15" i="16"/>
  <c r="BD3" i="16"/>
  <c r="BE3" i="16"/>
  <c r="BF3" i="16"/>
  <c r="BD4" i="16"/>
  <c r="BE4" i="16"/>
  <c r="BF4" i="16"/>
  <c r="BD5" i="16"/>
  <c r="BE5" i="16"/>
  <c r="BF5" i="16"/>
  <c r="BD6" i="16"/>
  <c r="BE6" i="16"/>
  <c r="BF6" i="16"/>
  <c r="BD7" i="16"/>
  <c r="BE7" i="16"/>
  <c r="BF7" i="16"/>
  <c r="BD8" i="16"/>
  <c r="BE8" i="16"/>
  <c r="BF8" i="16"/>
  <c r="BD10" i="16"/>
  <c r="BE10" i="16"/>
  <c r="BF10" i="16"/>
  <c r="BD11" i="16"/>
  <c r="BE11" i="16"/>
  <c r="BF11" i="16"/>
  <c r="BD12" i="16"/>
  <c r="BE12" i="16"/>
  <c r="BF12" i="16"/>
  <c r="BD14" i="16"/>
  <c r="BE14" i="16"/>
  <c r="BF14" i="16"/>
  <c r="BD2" i="16"/>
  <c r="BE2" i="16"/>
  <c r="BX2" i="16"/>
  <c r="BX15" i="16"/>
  <c r="BY15" i="16"/>
  <c r="BZ15" i="16"/>
  <c r="BX16" i="16"/>
  <c r="BY16" i="16"/>
  <c r="BZ16" i="16"/>
  <c r="BX17" i="16"/>
  <c r="BY17" i="16"/>
  <c r="BZ17" i="16"/>
  <c r="BX18" i="16"/>
  <c r="BY18" i="16"/>
  <c r="BZ18" i="16"/>
  <c r="BX20" i="16"/>
  <c r="BY20" i="16"/>
  <c r="BZ20" i="16"/>
  <c r="BX21" i="16"/>
  <c r="BY21" i="16"/>
  <c r="BZ21" i="16"/>
  <c r="BX22" i="16"/>
  <c r="BY22" i="16"/>
  <c r="BZ22" i="16"/>
  <c r="BX24" i="16"/>
  <c r="BY24" i="16"/>
  <c r="BZ24" i="16"/>
  <c r="BX25" i="16"/>
  <c r="BY25" i="16"/>
  <c r="BZ25" i="16"/>
  <c r="BX26" i="16"/>
  <c r="BY26" i="16"/>
  <c r="BZ26" i="16"/>
  <c r="BX27" i="16"/>
  <c r="BY27" i="16"/>
  <c r="BZ27" i="16"/>
  <c r="BX28" i="16"/>
  <c r="BY28" i="16"/>
  <c r="BZ28" i="16"/>
  <c r="BX29" i="16"/>
  <c r="BY29" i="16"/>
  <c r="BZ29" i="16"/>
  <c r="BX30" i="16"/>
  <c r="BY30" i="16"/>
  <c r="BZ30" i="16"/>
  <c r="BX31" i="16"/>
  <c r="BY31" i="16"/>
  <c r="BZ31" i="16"/>
  <c r="BX32" i="16"/>
  <c r="BY32" i="16"/>
  <c r="BZ32" i="16"/>
  <c r="BX33" i="16"/>
  <c r="BY33" i="16"/>
  <c r="BZ33" i="16"/>
  <c r="BX34" i="16"/>
  <c r="BY34" i="16"/>
  <c r="BZ34" i="16"/>
  <c r="BX35" i="16"/>
  <c r="BY35" i="16"/>
  <c r="BZ35" i="16"/>
  <c r="BX36" i="16"/>
  <c r="BY36" i="16"/>
  <c r="BZ36" i="16"/>
  <c r="BX37" i="16"/>
  <c r="BY37" i="16"/>
  <c r="BZ37" i="16"/>
  <c r="BX38" i="16"/>
  <c r="BY38" i="16"/>
  <c r="BZ38" i="16"/>
  <c r="BX39" i="16"/>
  <c r="BY39" i="16"/>
  <c r="BZ39" i="16"/>
  <c r="BX40" i="16"/>
  <c r="BY40" i="16"/>
  <c r="BZ40" i="16"/>
  <c r="BX41" i="16"/>
  <c r="BY41" i="16"/>
  <c r="BZ41" i="16"/>
  <c r="BX43" i="16"/>
  <c r="BY43" i="16"/>
  <c r="BZ43" i="16"/>
  <c r="BX44" i="16"/>
  <c r="BY44" i="16"/>
  <c r="BZ44" i="16"/>
  <c r="BX45" i="16"/>
  <c r="BY45" i="16"/>
  <c r="BZ45" i="16"/>
  <c r="BX46" i="16"/>
  <c r="BY46" i="16"/>
  <c r="BZ46" i="16"/>
  <c r="BX47" i="16"/>
  <c r="BY47" i="16"/>
  <c r="BZ47" i="16"/>
  <c r="BX48" i="16"/>
  <c r="BY48" i="16"/>
  <c r="BZ48" i="16"/>
  <c r="BX49" i="16"/>
  <c r="BY49" i="16"/>
  <c r="BZ49" i="16"/>
  <c r="BX50" i="16"/>
  <c r="BY50" i="16"/>
  <c r="BZ50" i="16"/>
  <c r="BX51" i="16"/>
  <c r="BY51" i="16"/>
  <c r="BZ51" i="16"/>
  <c r="BX53" i="16"/>
  <c r="BY53" i="16"/>
  <c r="BZ53" i="16"/>
  <c r="BX54" i="16"/>
  <c r="BY54" i="16"/>
  <c r="BZ54" i="16"/>
  <c r="BX55" i="16"/>
  <c r="BY55" i="16"/>
  <c r="BZ55" i="16"/>
  <c r="BX56" i="16"/>
  <c r="BY56" i="16"/>
  <c r="BZ56" i="16"/>
  <c r="BX57" i="16"/>
  <c r="BY57" i="16"/>
  <c r="BZ57" i="16"/>
  <c r="BX58" i="16"/>
  <c r="BY58" i="16"/>
  <c r="BZ58" i="16"/>
  <c r="BX59" i="16"/>
  <c r="BY59" i="16"/>
  <c r="BZ59" i="16"/>
  <c r="BX60" i="16"/>
  <c r="BY60" i="16"/>
  <c r="BZ60" i="16"/>
  <c r="BX61" i="16"/>
  <c r="BY61" i="16"/>
  <c r="BZ61" i="16"/>
  <c r="BX62" i="16"/>
  <c r="BY62" i="16"/>
  <c r="BZ62" i="16"/>
  <c r="BX63" i="16"/>
  <c r="BY63" i="16"/>
  <c r="BZ63" i="16"/>
  <c r="BX64" i="16"/>
  <c r="BY64" i="16"/>
  <c r="BZ64" i="16"/>
  <c r="BX65" i="16"/>
  <c r="BY65" i="16"/>
  <c r="BZ65" i="16"/>
  <c r="BX66" i="16"/>
  <c r="BY66" i="16"/>
  <c r="BZ66" i="16"/>
  <c r="BX67" i="16"/>
  <c r="BY67" i="16"/>
  <c r="BZ67" i="16"/>
  <c r="BX68" i="16"/>
  <c r="BY68" i="16"/>
  <c r="BZ68" i="16"/>
  <c r="BX69" i="16"/>
  <c r="BY69" i="16"/>
  <c r="BZ69" i="16"/>
  <c r="BX70" i="16"/>
  <c r="BY70" i="16"/>
  <c r="BZ70" i="16"/>
  <c r="BX71" i="16"/>
  <c r="BY71" i="16"/>
  <c r="BZ71" i="16"/>
  <c r="BX72" i="16"/>
  <c r="BY72" i="16"/>
  <c r="BZ72" i="16"/>
  <c r="BX73" i="16"/>
  <c r="BY73" i="16"/>
  <c r="BZ73" i="16"/>
  <c r="BX74" i="16"/>
  <c r="BY74" i="16"/>
  <c r="BZ74" i="16"/>
  <c r="BX75" i="16"/>
  <c r="BY75" i="16"/>
  <c r="BZ75" i="16"/>
  <c r="BX76" i="16"/>
  <c r="BY76" i="16"/>
  <c r="BZ76" i="16"/>
  <c r="BX78" i="16"/>
  <c r="BY78" i="16"/>
  <c r="BZ78" i="16"/>
  <c r="BX79" i="16"/>
  <c r="BY79" i="16"/>
  <c r="BZ79" i="16"/>
  <c r="BX80" i="16"/>
  <c r="BY80" i="16"/>
  <c r="BZ80" i="16"/>
  <c r="BX82" i="16"/>
  <c r="BY82" i="16"/>
  <c r="BZ82" i="16"/>
  <c r="BX83" i="16"/>
  <c r="BY83" i="16"/>
  <c r="BZ83" i="16"/>
  <c r="BX84" i="16"/>
  <c r="BY84" i="16"/>
  <c r="BZ84" i="16"/>
  <c r="BX85" i="16"/>
  <c r="BY85" i="16"/>
  <c r="BZ85" i="16"/>
  <c r="BX86" i="16"/>
  <c r="BY86" i="16"/>
  <c r="BZ86" i="16"/>
  <c r="BX87" i="16"/>
  <c r="BY87" i="16"/>
  <c r="BZ87" i="16"/>
  <c r="BX88" i="16"/>
  <c r="BY88" i="16"/>
  <c r="BZ88" i="16"/>
  <c r="BX89" i="16"/>
  <c r="BY89" i="16"/>
  <c r="BZ89" i="16"/>
  <c r="BX92" i="16"/>
  <c r="BY92" i="16"/>
  <c r="BZ92" i="16"/>
  <c r="BX93" i="16"/>
  <c r="BY93" i="16"/>
  <c r="BZ93" i="16"/>
  <c r="BX3" i="16"/>
  <c r="BY3" i="16"/>
  <c r="BZ3" i="16"/>
  <c r="BX4" i="16"/>
  <c r="BY4" i="16"/>
  <c r="BZ4" i="16"/>
  <c r="BX5" i="16"/>
  <c r="BY5" i="16"/>
  <c r="BZ5" i="16"/>
  <c r="BX6" i="16"/>
  <c r="BY6" i="16"/>
  <c r="BZ6" i="16"/>
  <c r="BX7" i="16"/>
  <c r="BY7" i="16"/>
  <c r="BZ7" i="16"/>
  <c r="BX8" i="16"/>
  <c r="BY8" i="16"/>
  <c r="BZ8" i="16"/>
  <c r="BX10" i="16"/>
  <c r="BY10" i="16"/>
  <c r="BZ10" i="16"/>
  <c r="BX11" i="16"/>
  <c r="BY11" i="16"/>
  <c r="BZ11" i="16"/>
  <c r="BX12" i="16"/>
  <c r="BY12" i="16"/>
  <c r="BZ12" i="16"/>
  <c r="BX14" i="16"/>
  <c r="BY14" i="16"/>
  <c r="BZ14" i="16"/>
  <c r="BY2" i="16"/>
  <c r="BZ2" i="16"/>
  <c r="CG4" i="16"/>
  <c r="AZ2" i="16"/>
  <c r="AU33" i="16"/>
  <c r="AS27" i="16"/>
  <c r="AV19" i="16" s="1"/>
  <c r="BN3" i="16"/>
  <c r="BO3" i="16"/>
  <c r="BP3" i="16"/>
  <c r="BN4" i="16"/>
  <c r="BO4" i="16"/>
  <c r="BP4" i="16"/>
  <c r="BN5" i="16"/>
  <c r="BO5" i="16"/>
  <c r="BP5" i="16"/>
  <c r="BN6" i="16"/>
  <c r="BO6" i="16"/>
  <c r="BP6" i="16"/>
  <c r="BN7" i="16"/>
  <c r="BO7" i="16"/>
  <c r="BP7" i="16"/>
  <c r="BN8" i="16"/>
  <c r="BO8" i="16"/>
  <c r="BP8" i="16"/>
  <c r="BN10" i="16"/>
  <c r="BO10" i="16"/>
  <c r="BP10" i="16"/>
  <c r="BN11" i="16"/>
  <c r="BO11" i="16"/>
  <c r="BP11" i="16"/>
  <c r="BN12" i="16"/>
  <c r="BO12" i="16"/>
  <c r="BP12" i="16"/>
  <c r="BN14" i="16"/>
  <c r="BO14" i="16"/>
  <c r="BP14" i="16"/>
  <c r="BN15" i="16"/>
  <c r="BO15" i="16"/>
  <c r="BP15" i="16"/>
  <c r="BN16" i="16"/>
  <c r="BO16" i="16"/>
  <c r="BP16" i="16"/>
  <c r="BN17" i="16"/>
  <c r="BO17" i="16"/>
  <c r="BP17" i="16"/>
  <c r="BN18" i="16"/>
  <c r="BO18" i="16"/>
  <c r="BP18" i="16"/>
  <c r="BN20" i="16"/>
  <c r="BO20" i="16"/>
  <c r="BP20" i="16"/>
  <c r="BN21" i="16"/>
  <c r="BO21" i="16"/>
  <c r="BP21" i="16"/>
  <c r="BN22" i="16"/>
  <c r="BO22" i="16"/>
  <c r="BP22" i="16"/>
  <c r="BN24" i="16"/>
  <c r="BO24" i="16"/>
  <c r="BP24" i="16"/>
  <c r="BN25" i="16"/>
  <c r="BO25" i="16"/>
  <c r="BP25" i="16"/>
  <c r="BN26" i="16"/>
  <c r="BO26" i="16"/>
  <c r="BP26" i="16"/>
  <c r="BN27" i="16"/>
  <c r="BO27" i="16"/>
  <c r="BP27" i="16"/>
  <c r="BN28" i="16"/>
  <c r="BO28" i="16"/>
  <c r="BP28" i="16"/>
  <c r="BN29" i="16"/>
  <c r="BO29" i="16"/>
  <c r="BP29" i="16"/>
  <c r="BN30" i="16"/>
  <c r="BO30" i="16"/>
  <c r="BP30" i="16"/>
  <c r="BN31" i="16"/>
  <c r="BO31" i="16"/>
  <c r="BP31" i="16"/>
  <c r="BN32" i="16"/>
  <c r="BO32" i="16"/>
  <c r="BP32" i="16"/>
  <c r="BN33" i="16"/>
  <c r="BO33" i="16"/>
  <c r="BP33" i="16"/>
  <c r="BN34" i="16"/>
  <c r="BO34" i="16"/>
  <c r="BP34" i="16"/>
  <c r="BN35" i="16"/>
  <c r="BO35" i="16"/>
  <c r="BP35" i="16"/>
  <c r="BN36" i="16"/>
  <c r="BO36" i="16"/>
  <c r="BP36" i="16"/>
  <c r="BN37" i="16"/>
  <c r="BO37" i="16"/>
  <c r="BP37" i="16"/>
  <c r="BN38" i="16"/>
  <c r="BO38" i="16"/>
  <c r="BP38" i="16"/>
  <c r="BN39" i="16"/>
  <c r="BO39" i="16"/>
  <c r="BP39" i="16"/>
  <c r="BN40" i="16"/>
  <c r="BO40" i="16"/>
  <c r="BP40" i="16"/>
  <c r="BN41" i="16"/>
  <c r="BO41" i="16"/>
  <c r="BP41" i="16"/>
  <c r="BN43" i="16"/>
  <c r="BO43" i="16"/>
  <c r="BP43" i="16"/>
  <c r="BN44" i="16"/>
  <c r="BO44" i="16"/>
  <c r="BP44" i="16"/>
  <c r="BN45" i="16"/>
  <c r="BO45" i="16"/>
  <c r="BP45" i="16"/>
  <c r="BN46" i="16"/>
  <c r="BO46" i="16"/>
  <c r="BP46" i="16"/>
  <c r="BN47" i="16"/>
  <c r="BO47" i="16"/>
  <c r="BP47" i="16"/>
  <c r="BN48" i="16"/>
  <c r="BO48" i="16"/>
  <c r="BP48" i="16"/>
  <c r="BN49" i="16"/>
  <c r="BO49" i="16"/>
  <c r="BP49" i="16"/>
  <c r="BN50" i="16"/>
  <c r="BO50" i="16"/>
  <c r="BP50" i="16"/>
  <c r="BN51" i="16"/>
  <c r="BO51" i="16"/>
  <c r="BP51" i="16"/>
  <c r="BN53" i="16"/>
  <c r="BO53" i="16"/>
  <c r="BP53" i="16"/>
  <c r="BN54" i="16"/>
  <c r="BO54" i="16"/>
  <c r="BP54" i="16"/>
  <c r="BN55" i="16"/>
  <c r="BO55" i="16"/>
  <c r="BP55" i="16"/>
  <c r="BN56" i="16"/>
  <c r="BO56" i="16"/>
  <c r="BP56" i="16"/>
  <c r="BN57" i="16"/>
  <c r="BO57" i="16"/>
  <c r="BP57" i="16"/>
  <c r="BN58" i="16"/>
  <c r="BO58" i="16"/>
  <c r="BP58" i="16"/>
  <c r="BN59" i="16"/>
  <c r="BO59" i="16"/>
  <c r="BP59" i="16"/>
  <c r="BN60" i="16"/>
  <c r="BO60" i="16"/>
  <c r="BP60" i="16"/>
  <c r="BN61" i="16"/>
  <c r="BO61" i="16"/>
  <c r="BP61" i="16"/>
  <c r="BN62" i="16"/>
  <c r="BO62" i="16"/>
  <c r="BP62" i="16"/>
  <c r="BN63" i="16"/>
  <c r="BO63" i="16"/>
  <c r="BP63" i="16"/>
  <c r="BN64" i="16"/>
  <c r="BO64" i="16"/>
  <c r="BP64" i="16"/>
  <c r="BN65" i="16"/>
  <c r="BO65" i="16"/>
  <c r="BP65" i="16"/>
  <c r="BN66" i="16"/>
  <c r="BO66" i="16"/>
  <c r="BP66" i="16"/>
  <c r="BN67" i="16"/>
  <c r="BO67" i="16"/>
  <c r="BP67" i="16"/>
  <c r="BN68" i="16"/>
  <c r="BO68" i="16"/>
  <c r="BP68" i="16"/>
  <c r="BN69" i="16"/>
  <c r="BO69" i="16"/>
  <c r="BP69" i="16"/>
  <c r="BN70" i="16"/>
  <c r="BO70" i="16"/>
  <c r="BP70" i="16"/>
  <c r="BN71" i="16"/>
  <c r="BO71" i="16"/>
  <c r="BP71" i="16"/>
  <c r="BN72" i="16"/>
  <c r="BO72" i="16"/>
  <c r="BP72" i="16"/>
  <c r="BN73" i="16"/>
  <c r="BO73" i="16"/>
  <c r="BP73" i="16"/>
  <c r="BN74" i="16"/>
  <c r="BO74" i="16"/>
  <c r="BP74" i="16"/>
  <c r="BN75" i="16"/>
  <c r="BO75" i="16"/>
  <c r="BP75" i="16"/>
  <c r="BN76" i="16"/>
  <c r="BO76" i="16"/>
  <c r="BP76" i="16"/>
  <c r="BN78" i="16"/>
  <c r="BO78" i="16"/>
  <c r="BP78" i="16"/>
  <c r="BN79" i="16"/>
  <c r="BO79" i="16"/>
  <c r="BP79" i="16"/>
  <c r="BN80" i="16"/>
  <c r="BO80" i="16"/>
  <c r="BP80" i="16"/>
  <c r="BN82" i="16"/>
  <c r="BO82" i="16"/>
  <c r="BP82" i="16"/>
  <c r="BN83" i="16"/>
  <c r="BO83" i="16"/>
  <c r="BP83" i="16"/>
  <c r="BN84" i="16"/>
  <c r="BO84" i="16"/>
  <c r="BP84" i="16"/>
  <c r="BN85" i="16"/>
  <c r="BO85" i="16"/>
  <c r="BP85" i="16"/>
  <c r="BN86" i="16"/>
  <c r="BO86" i="16"/>
  <c r="BP86" i="16"/>
  <c r="BN87" i="16"/>
  <c r="BO87" i="16"/>
  <c r="BP87" i="16"/>
  <c r="BN88" i="16"/>
  <c r="BO88" i="16"/>
  <c r="BP88" i="16"/>
  <c r="BN89" i="16"/>
  <c r="BO89" i="16"/>
  <c r="BP89" i="16"/>
  <c r="BN92" i="16"/>
  <c r="BO92" i="16"/>
  <c r="BP92" i="16"/>
  <c r="BN93" i="16"/>
  <c r="BO93" i="16"/>
  <c r="BP93" i="16"/>
  <c r="BO2" i="16"/>
  <c r="BP2" i="16"/>
  <c r="AV2" i="16"/>
  <c r="AT3" i="16"/>
  <c r="AW2" i="16" s="1"/>
  <c r="AU3" i="16"/>
  <c r="AX2" i="16" s="1"/>
  <c r="AT4" i="16"/>
  <c r="AU4" i="16"/>
  <c r="AT5" i="16"/>
  <c r="AU5" i="16"/>
  <c r="AX3" i="16" s="1"/>
  <c r="AS6" i="16"/>
  <c r="AV3" i="16" s="1"/>
  <c r="AT6" i="16"/>
  <c r="AW3" i="16" s="1"/>
  <c r="AU6" i="16"/>
  <c r="AX4" i="16" s="1"/>
  <c r="AT7" i="16"/>
  <c r="AU7" i="16"/>
  <c r="AS8" i="16"/>
  <c r="AV4" i="16" s="1"/>
  <c r="AT8" i="16"/>
  <c r="AW4" i="16" s="1"/>
  <c r="AU8" i="16"/>
  <c r="AX5" i="16" s="1"/>
  <c r="AS10" i="16"/>
  <c r="AV6" i="16" s="1"/>
  <c r="AT10" i="16"/>
  <c r="AW6" i="16" s="1"/>
  <c r="AU10" i="16"/>
  <c r="AX7" i="16" s="1"/>
  <c r="AT11" i="16"/>
  <c r="AU11" i="16"/>
  <c r="AT12" i="16"/>
  <c r="AU12" i="16"/>
  <c r="AS15" i="16"/>
  <c r="AT15" i="16"/>
  <c r="AU15" i="16"/>
  <c r="AS16" i="16"/>
  <c r="AT16" i="16"/>
  <c r="AU16" i="16"/>
  <c r="AS17" i="16"/>
  <c r="AT17" i="16"/>
  <c r="AU17" i="16"/>
  <c r="AS18" i="16"/>
  <c r="AT18" i="16"/>
  <c r="AW18" i="16" s="1"/>
  <c r="AU18" i="16"/>
  <c r="AX18" i="16" s="1"/>
  <c r="AS20" i="16"/>
  <c r="AV18" i="16" s="1"/>
  <c r="AT20" i="16"/>
  <c r="AW20" i="16" s="1"/>
  <c r="AU20" i="16"/>
  <c r="AX20" i="16" s="1"/>
  <c r="AS21" i="16"/>
  <c r="AT21" i="16"/>
  <c r="AU21" i="16"/>
  <c r="AS22" i="16"/>
  <c r="AT22" i="16"/>
  <c r="AU22" i="16"/>
  <c r="AS24" i="16"/>
  <c r="AT24" i="16"/>
  <c r="AU24" i="16"/>
  <c r="AS25" i="16"/>
  <c r="AT25" i="16"/>
  <c r="AU25" i="16"/>
  <c r="AS26" i="16"/>
  <c r="AT26" i="16"/>
  <c r="AU26" i="16"/>
  <c r="AT27" i="16"/>
  <c r="AW21" i="16" s="1"/>
  <c r="AU27" i="16"/>
  <c r="AS28" i="16"/>
  <c r="AT28" i="16"/>
  <c r="AU28" i="16"/>
  <c r="AS29" i="16"/>
  <c r="AT29" i="16"/>
  <c r="AU29" i="16"/>
  <c r="AS30" i="16"/>
  <c r="AT30" i="16"/>
  <c r="AU30" i="16"/>
  <c r="AS31" i="16"/>
  <c r="AT31" i="16"/>
  <c r="AU31" i="16"/>
  <c r="AS32" i="16"/>
  <c r="AT32" i="16"/>
  <c r="AU32" i="16"/>
  <c r="AS33" i="16"/>
  <c r="AT33" i="16"/>
  <c r="AS34" i="16"/>
  <c r="AT34" i="16"/>
  <c r="AU34" i="16"/>
  <c r="AS35" i="16"/>
  <c r="AT35" i="16"/>
  <c r="AU35" i="16"/>
  <c r="AS36" i="16"/>
  <c r="AT36" i="16"/>
  <c r="AU36" i="16"/>
  <c r="AS37" i="16"/>
  <c r="AT37" i="16"/>
  <c r="AU37" i="16"/>
  <c r="AS38" i="16"/>
  <c r="AT38" i="16"/>
  <c r="AU38" i="16"/>
  <c r="AS39" i="16"/>
  <c r="AT39" i="16"/>
  <c r="AU39" i="16"/>
  <c r="AS40" i="16"/>
  <c r="AT40" i="16"/>
  <c r="AU40" i="16"/>
  <c r="AS41" i="16"/>
  <c r="AT41" i="16"/>
  <c r="AU41" i="16"/>
  <c r="AS43" i="16"/>
  <c r="AT43" i="16"/>
  <c r="AU43" i="16"/>
  <c r="AS44" i="16"/>
  <c r="AT44" i="16"/>
  <c r="AU44" i="16"/>
  <c r="AS45" i="16"/>
  <c r="AT45" i="16"/>
  <c r="AU45" i="16"/>
  <c r="AS46" i="16"/>
  <c r="AT46" i="16"/>
  <c r="AU46" i="16"/>
  <c r="AS47" i="16"/>
  <c r="AT47" i="16"/>
  <c r="AU47" i="16"/>
  <c r="AS48" i="16"/>
  <c r="AT48" i="16"/>
  <c r="AU48" i="16"/>
  <c r="AS49" i="16"/>
  <c r="AT49" i="16"/>
  <c r="AU49" i="16"/>
  <c r="AS50" i="16"/>
  <c r="AT50" i="16"/>
  <c r="AU50" i="16"/>
  <c r="AS51" i="16"/>
  <c r="AT51" i="16"/>
  <c r="AU51" i="16"/>
  <c r="AS53" i="16"/>
  <c r="AT53" i="16"/>
  <c r="AU53" i="16"/>
  <c r="AS54" i="16"/>
  <c r="AT54" i="16"/>
  <c r="AU54" i="16"/>
  <c r="AS55" i="16"/>
  <c r="AT55" i="16"/>
  <c r="AU55" i="16"/>
  <c r="AS56" i="16"/>
  <c r="AT56" i="16"/>
  <c r="AU56" i="16"/>
  <c r="AS57" i="16"/>
  <c r="AT57" i="16"/>
  <c r="AU57" i="16"/>
  <c r="AS58" i="16"/>
  <c r="AT58" i="16"/>
  <c r="AU58" i="16"/>
  <c r="AS59" i="16"/>
  <c r="AT59" i="16"/>
  <c r="AU59" i="16"/>
  <c r="AS60" i="16"/>
  <c r="AT60" i="16"/>
  <c r="AU60" i="16"/>
  <c r="AS61" i="16"/>
  <c r="AT61" i="16"/>
  <c r="AU61" i="16"/>
  <c r="AS62" i="16"/>
  <c r="AT62" i="16"/>
  <c r="AU62" i="16"/>
  <c r="AS63" i="16"/>
  <c r="AT63" i="16"/>
  <c r="AU63" i="16"/>
  <c r="AS64" i="16"/>
  <c r="AT64" i="16"/>
  <c r="AU64" i="16"/>
  <c r="AS65" i="16"/>
  <c r="AT65" i="16"/>
  <c r="AU65" i="16"/>
  <c r="AS66" i="16"/>
  <c r="AT66" i="16"/>
  <c r="AU66" i="16"/>
  <c r="AS67" i="16"/>
  <c r="AT67" i="16"/>
  <c r="AU67" i="16"/>
  <c r="AS68" i="16"/>
  <c r="AT68" i="16"/>
  <c r="AU68" i="16"/>
  <c r="AS69" i="16"/>
  <c r="AT69" i="16"/>
  <c r="AU69" i="16"/>
  <c r="AS70" i="16"/>
  <c r="AT70" i="16"/>
  <c r="AU70" i="16"/>
  <c r="AS71" i="16"/>
  <c r="AT71" i="16"/>
  <c r="AU71" i="16"/>
  <c r="AS72" i="16"/>
  <c r="AT72" i="16"/>
  <c r="AU72" i="16"/>
  <c r="AS73" i="16"/>
  <c r="AT73" i="16"/>
  <c r="AU73" i="16"/>
  <c r="AS74" i="16"/>
  <c r="AT74" i="16"/>
  <c r="AU74" i="16"/>
  <c r="AS75" i="16"/>
  <c r="AT75" i="16"/>
  <c r="AU75" i="16"/>
  <c r="AS76" i="16"/>
  <c r="AT76" i="16"/>
  <c r="AU76" i="16"/>
  <c r="AS78" i="16"/>
  <c r="AT78" i="16"/>
  <c r="AU78" i="16"/>
  <c r="AS79" i="16"/>
  <c r="AT79" i="16"/>
  <c r="AW78" i="16" s="1"/>
  <c r="AU79" i="16"/>
  <c r="AS80" i="16"/>
  <c r="AT80" i="16"/>
  <c r="AU80" i="16"/>
  <c r="AS82" i="16"/>
  <c r="AT82" i="16"/>
  <c r="AU82" i="16"/>
  <c r="AS83" i="16"/>
  <c r="AT83" i="16"/>
  <c r="AU83" i="16"/>
  <c r="AS84" i="16"/>
  <c r="AT84" i="16"/>
  <c r="AU84" i="16"/>
  <c r="AS85" i="16"/>
  <c r="AT85" i="16"/>
  <c r="AU85" i="16"/>
  <c r="AS86" i="16"/>
  <c r="AT86" i="16"/>
  <c r="AU86" i="16"/>
  <c r="AS87" i="16"/>
  <c r="AT87" i="16"/>
  <c r="AU87" i="16"/>
  <c r="AS88" i="16"/>
  <c r="AT88" i="16"/>
  <c r="AW87" i="16" s="1"/>
  <c r="AU88" i="16"/>
  <c r="AS89" i="16"/>
  <c r="AT89" i="16"/>
  <c r="AW88" i="16" s="1"/>
  <c r="AU89" i="16"/>
  <c r="AS92" i="16"/>
  <c r="AT92" i="16"/>
  <c r="AU92" i="16"/>
  <c r="AS93" i="16"/>
  <c r="AT93" i="16"/>
  <c r="AU93" i="16"/>
  <c r="AT2" i="16"/>
  <c r="AU2" i="16"/>
  <c r="AZ5" i="16"/>
  <c r="H19" i="16"/>
  <c r="I19" i="16"/>
  <c r="J19" i="16"/>
  <c r="K19" i="16"/>
  <c r="L19" i="16"/>
  <c r="M19" i="16"/>
  <c r="N19" i="16"/>
  <c r="O19" i="16"/>
  <c r="P19" i="16"/>
  <c r="BX19" i="16" s="1"/>
  <c r="Q19" i="16"/>
  <c r="BY19" i="16" s="1"/>
  <c r="R19" i="16"/>
  <c r="BZ19" i="16" s="1"/>
  <c r="S19" i="16"/>
  <c r="T19" i="16"/>
  <c r="U19" i="16"/>
  <c r="V19" i="16"/>
  <c r="W19" i="16"/>
  <c r="X19" i="16"/>
  <c r="Y19" i="16"/>
  <c r="Z19" i="16"/>
  <c r="AA19" i="16"/>
  <c r="AU19" i="16" s="1"/>
  <c r="AB19" i="16"/>
  <c r="AC19" i="16"/>
  <c r="AD19" i="16"/>
  <c r="AE19" i="16"/>
  <c r="AF19" i="16"/>
  <c r="AG19" i="16"/>
  <c r="AH19" i="16"/>
  <c r="AI19" i="16"/>
  <c r="AJ19" i="16"/>
  <c r="AK19" i="16"/>
  <c r="AL19" i="16"/>
  <c r="AM19" i="16"/>
  <c r="AN19" i="16"/>
  <c r="AO19" i="16"/>
  <c r="AP19" i="16"/>
  <c r="G19" i="16"/>
  <c r="AY219" i="15"/>
  <c r="AY218" i="15"/>
  <c r="AY201" i="15"/>
  <c r="AY200" i="15"/>
  <c r="N204" i="15"/>
  <c r="O204" i="15"/>
  <c r="N207" i="15"/>
  <c r="O207" i="15"/>
  <c r="N208" i="15"/>
  <c r="O208" i="15"/>
  <c r="N211" i="15"/>
  <c r="O211" i="15"/>
  <c r="N212" i="15"/>
  <c r="O212" i="15"/>
  <c r="M204" i="15"/>
  <c r="M207" i="15"/>
  <c r="M208" i="15"/>
  <c r="M211" i="15"/>
  <c r="M212" i="15"/>
  <c r="K203" i="15"/>
  <c r="N203" i="15" s="1"/>
  <c r="L203" i="15"/>
  <c r="O203" i="15" s="1"/>
  <c r="E203" i="15"/>
  <c r="F203" i="15"/>
  <c r="E204" i="15"/>
  <c r="F204" i="15"/>
  <c r="E207" i="15"/>
  <c r="F207" i="15"/>
  <c r="E208" i="15"/>
  <c r="F208" i="15"/>
  <c r="E211" i="15"/>
  <c r="F211" i="15"/>
  <c r="E212" i="15"/>
  <c r="F212" i="15"/>
  <c r="AY185" i="15"/>
  <c r="AY184" i="15"/>
  <c r="Z186" i="15"/>
  <c r="AA186" i="15"/>
  <c r="Z187" i="15"/>
  <c r="AA187" i="15"/>
  <c r="Z190" i="15"/>
  <c r="AA190" i="15"/>
  <c r="Z191" i="15"/>
  <c r="AA191" i="15"/>
  <c r="Z194" i="15"/>
  <c r="AA194" i="15"/>
  <c r="Z195" i="15"/>
  <c r="AA195" i="15"/>
  <c r="W186" i="15"/>
  <c r="X186" i="15"/>
  <c r="W187" i="15"/>
  <c r="X187" i="15"/>
  <c r="W190" i="15"/>
  <c r="X190" i="15"/>
  <c r="W191" i="15"/>
  <c r="X191" i="15"/>
  <c r="W194" i="15"/>
  <c r="X194" i="15"/>
  <c r="W195" i="15"/>
  <c r="X195" i="15"/>
  <c r="Q186" i="15"/>
  <c r="R186" i="15"/>
  <c r="Q187" i="15"/>
  <c r="R187" i="15"/>
  <c r="Q190" i="15"/>
  <c r="R190" i="15"/>
  <c r="Q191" i="15"/>
  <c r="R191" i="15"/>
  <c r="Q194" i="15"/>
  <c r="R194" i="15"/>
  <c r="Q195" i="15"/>
  <c r="R195" i="15"/>
  <c r="L195" i="15"/>
  <c r="K195" i="15"/>
  <c r="L194" i="15"/>
  <c r="K194" i="15"/>
  <c r="L191" i="15"/>
  <c r="K191" i="15"/>
  <c r="L190" i="15"/>
  <c r="O190" i="15" s="1"/>
  <c r="K190" i="15"/>
  <c r="N190" i="15" s="1"/>
  <c r="L187" i="15"/>
  <c r="K187" i="15"/>
  <c r="L186" i="15"/>
  <c r="O186" i="15" s="1"/>
  <c r="K186" i="15"/>
  <c r="N186" i="15" s="1"/>
  <c r="H186" i="15"/>
  <c r="I186" i="15"/>
  <c r="H187" i="15"/>
  <c r="I187" i="15"/>
  <c r="O187" i="15" s="1"/>
  <c r="H190" i="15"/>
  <c r="I190" i="15"/>
  <c r="H191" i="15"/>
  <c r="I191" i="15"/>
  <c r="O191" i="15" s="1"/>
  <c r="H194" i="15"/>
  <c r="I194" i="15"/>
  <c r="H195" i="15"/>
  <c r="I195" i="15"/>
  <c r="O195" i="15" s="1"/>
  <c r="E186" i="15"/>
  <c r="F186" i="15"/>
  <c r="E187" i="15"/>
  <c r="F187" i="15"/>
  <c r="E190" i="15"/>
  <c r="F190" i="15"/>
  <c r="E191" i="15"/>
  <c r="F191" i="15"/>
  <c r="E194" i="15"/>
  <c r="F194" i="15"/>
  <c r="E195" i="15"/>
  <c r="F195" i="15"/>
  <c r="AY168" i="15"/>
  <c r="AY167" i="15"/>
  <c r="AV167" i="15"/>
  <c r="Z169" i="15"/>
  <c r="AA169" i="15"/>
  <c r="Z170" i="15"/>
  <c r="AA170" i="15"/>
  <c r="Z173" i="15"/>
  <c r="AA173" i="15"/>
  <c r="Z174" i="15"/>
  <c r="AA174" i="15"/>
  <c r="Z177" i="15"/>
  <c r="AA177" i="15"/>
  <c r="Z178" i="15"/>
  <c r="AA178" i="15"/>
  <c r="W169" i="15"/>
  <c r="X169" i="15"/>
  <c r="W170" i="15"/>
  <c r="X170" i="15"/>
  <c r="W173" i="15"/>
  <c r="X173" i="15"/>
  <c r="W174" i="15"/>
  <c r="X174" i="15"/>
  <c r="W177" i="15"/>
  <c r="X177" i="15"/>
  <c r="W178" i="15"/>
  <c r="X178" i="15"/>
  <c r="Q169" i="15"/>
  <c r="R169" i="15"/>
  <c r="Q170" i="15"/>
  <c r="R170" i="15"/>
  <c r="Q173" i="15"/>
  <c r="R173" i="15"/>
  <c r="Q174" i="15"/>
  <c r="R174" i="15"/>
  <c r="Q177" i="15"/>
  <c r="R177" i="15"/>
  <c r="Q178" i="15"/>
  <c r="R178" i="15"/>
  <c r="K169" i="15"/>
  <c r="L169" i="15"/>
  <c r="K170" i="15"/>
  <c r="L170" i="15"/>
  <c r="K173" i="15"/>
  <c r="L173" i="15"/>
  <c r="K174" i="15"/>
  <c r="L174" i="15"/>
  <c r="K177" i="15"/>
  <c r="L177" i="15"/>
  <c r="K178" i="15"/>
  <c r="L178" i="15"/>
  <c r="H169" i="15"/>
  <c r="I169" i="15"/>
  <c r="H170" i="15"/>
  <c r="I170" i="15"/>
  <c r="H173" i="15"/>
  <c r="I173" i="15"/>
  <c r="H174" i="15"/>
  <c r="I174" i="15"/>
  <c r="H177" i="15"/>
  <c r="I177" i="15"/>
  <c r="H178" i="15"/>
  <c r="I178" i="15"/>
  <c r="E169" i="15"/>
  <c r="F169" i="15"/>
  <c r="E170" i="15"/>
  <c r="F170" i="15"/>
  <c r="E173" i="15"/>
  <c r="F173" i="15"/>
  <c r="E174" i="15"/>
  <c r="F174" i="15"/>
  <c r="E177" i="15"/>
  <c r="F177" i="15"/>
  <c r="E178" i="15"/>
  <c r="F178" i="15"/>
  <c r="AY150" i="15"/>
  <c r="AY149" i="15"/>
  <c r="N177" i="15" l="1"/>
  <c r="N173" i="15"/>
  <c r="N194" i="15"/>
  <c r="O178" i="15"/>
  <c r="O174" i="15"/>
  <c r="O170" i="15"/>
  <c r="O194" i="15"/>
  <c r="N178" i="15"/>
  <c r="N174" i="15"/>
  <c r="N170" i="15"/>
  <c r="O177" i="15"/>
  <c r="O173" i="15"/>
  <c r="O169" i="15"/>
  <c r="N169" i="15"/>
  <c r="N187" i="15"/>
  <c r="N191" i="15"/>
  <c r="N195" i="15"/>
  <c r="AS19" i="16"/>
  <c r="AT19" i="16"/>
  <c r="AW19" i="16" s="1"/>
  <c r="BN19" i="16"/>
  <c r="BP19" i="16"/>
  <c r="CC19" i="16" s="1"/>
  <c r="BO19" i="16"/>
  <c r="CE19" i="16" s="1"/>
  <c r="AX19" i="16"/>
  <c r="Z152" i="15"/>
  <c r="AA152" i="15"/>
  <c r="Z153" i="15"/>
  <c r="AA153" i="15"/>
  <c r="Z156" i="15"/>
  <c r="AA156" i="15"/>
  <c r="Z157" i="15"/>
  <c r="AA157" i="15"/>
  <c r="Z160" i="15"/>
  <c r="AA160" i="15"/>
  <c r="Z161" i="15"/>
  <c r="AA161" i="15"/>
  <c r="W152" i="15"/>
  <c r="X152" i="15"/>
  <c r="W153" i="15"/>
  <c r="X153" i="15"/>
  <c r="W156" i="15"/>
  <c r="X156" i="15"/>
  <c r="W157" i="15"/>
  <c r="X157" i="15"/>
  <c r="W160" i="15"/>
  <c r="X160" i="15"/>
  <c r="W161" i="15"/>
  <c r="X161" i="15"/>
  <c r="Q152" i="15"/>
  <c r="R152" i="15"/>
  <c r="Q153" i="15"/>
  <c r="R153" i="15"/>
  <c r="Q156" i="15"/>
  <c r="R156" i="15"/>
  <c r="Q157" i="15"/>
  <c r="R157" i="15"/>
  <c r="Q160" i="15"/>
  <c r="R160" i="15"/>
  <c r="Q161" i="15"/>
  <c r="R161" i="15"/>
  <c r="K152" i="15"/>
  <c r="L152" i="15"/>
  <c r="K153" i="15"/>
  <c r="L153" i="15"/>
  <c r="K156" i="15"/>
  <c r="L156" i="15"/>
  <c r="K157" i="15"/>
  <c r="L157" i="15"/>
  <c r="K160" i="15"/>
  <c r="L160" i="15"/>
  <c r="K161" i="15"/>
  <c r="L161" i="15"/>
  <c r="H152" i="15"/>
  <c r="I152" i="15"/>
  <c r="O152" i="15" s="1"/>
  <c r="H153" i="15"/>
  <c r="I153" i="15"/>
  <c r="H156" i="15"/>
  <c r="I156" i="15"/>
  <c r="H157" i="15"/>
  <c r="I157" i="15"/>
  <c r="H160" i="15"/>
  <c r="I160" i="15"/>
  <c r="H161" i="15"/>
  <c r="I161" i="15"/>
  <c r="E152" i="15"/>
  <c r="BE152" i="15" s="1"/>
  <c r="F152" i="15"/>
  <c r="E153" i="15"/>
  <c r="F153" i="15"/>
  <c r="E156" i="15"/>
  <c r="BE156" i="15" s="1"/>
  <c r="F156" i="15"/>
  <c r="E157" i="15"/>
  <c r="F157" i="15"/>
  <c r="E160" i="15"/>
  <c r="BE160" i="15" s="1"/>
  <c r="F160" i="15"/>
  <c r="E161" i="15"/>
  <c r="F161" i="15"/>
  <c r="AY134" i="15"/>
  <c r="AY133" i="15"/>
  <c r="Q77" i="15"/>
  <c r="Y141" i="15" s="1"/>
  <c r="R251" i="15"/>
  <c r="Q251" i="15"/>
  <c r="BA105" i="15"/>
  <c r="E140" i="15"/>
  <c r="H135" i="15"/>
  <c r="I135" i="15"/>
  <c r="H136" i="15"/>
  <c r="I136" i="15"/>
  <c r="H139" i="15"/>
  <c r="I139" i="15"/>
  <c r="H140" i="15"/>
  <c r="I140" i="15"/>
  <c r="H143" i="15"/>
  <c r="I143" i="15"/>
  <c r="H144" i="15"/>
  <c r="I144" i="15"/>
  <c r="G140" i="15"/>
  <c r="G139" i="15"/>
  <c r="G136" i="15"/>
  <c r="G135" i="15"/>
  <c r="EI116" i="15"/>
  <c r="EJ116" i="15"/>
  <c r="EH110" i="15"/>
  <c r="EH111" i="15"/>
  <c r="EG110" i="15"/>
  <c r="EG111" i="15"/>
  <c r="ED110" i="15"/>
  <c r="ED111" i="15"/>
  <c r="EH109" i="15"/>
  <c r="EG109" i="15"/>
  <c r="ED109" i="15"/>
  <c r="EE104" i="15"/>
  <c r="EF104" i="15"/>
  <c r="EG104" i="15"/>
  <c r="EH104" i="15"/>
  <c r="EI104" i="15"/>
  <c r="EJ104" i="15"/>
  <c r="ED104" i="15"/>
  <c r="BA96" i="15"/>
  <c r="BC97" i="15" s="1"/>
  <c r="F19" i="15"/>
  <c r="G19" i="15"/>
  <c r="H19" i="15"/>
  <c r="I19" i="15"/>
  <c r="J19" i="15"/>
  <c r="K19" i="15"/>
  <c r="L19" i="15"/>
  <c r="M19" i="15"/>
  <c r="N19" i="15"/>
  <c r="O19" i="15"/>
  <c r="K120" i="15" s="1"/>
  <c r="P19" i="15"/>
  <c r="Q19" i="15"/>
  <c r="R19" i="15"/>
  <c r="S19" i="15"/>
  <c r="U137" i="15" s="1"/>
  <c r="T19" i="15"/>
  <c r="U19" i="15"/>
  <c r="DG19" i="15" s="1"/>
  <c r="V19" i="15"/>
  <c r="W19" i="15"/>
  <c r="J171" i="15" s="1"/>
  <c r="X19" i="15"/>
  <c r="Y19" i="15"/>
  <c r="Z19" i="15"/>
  <c r="AA19" i="15"/>
  <c r="CW19" i="15" s="1"/>
  <c r="AB19" i="15"/>
  <c r="CX19" i="15" s="1"/>
  <c r="AC19" i="15"/>
  <c r="AD19" i="15"/>
  <c r="AE19" i="15"/>
  <c r="AF19" i="15"/>
  <c r="AG19" i="15"/>
  <c r="AH19" i="15"/>
  <c r="AI19" i="15"/>
  <c r="V205" i="15" s="1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BI19" i="15" s="1"/>
  <c r="AV19" i="15"/>
  <c r="AW19" i="15"/>
  <c r="AX19" i="15"/>
  <c r="AY19" i="15"/>
  <c r="AZ19" i="15"/>
  <c r="BA19" i="15"/>
  <c r="BB19" i="15"/>
  <c r="BC19" i="15"/>
  <c r="E19" i="15"/>
  <c r="X43" i="14"/>
  <c r="Y43" i="14"/>
  <c r="Z43" i="14"/>
  <c r="AA43" i="14"/>
  <c r="AB43" i="14"/>
  <c r="AC43" i="14"/>
  <c r="AD43" i="14"/>
  <c r="AJ43" i="14" s="1"/>
  <c r="AE43" i="14"/>
  <c r="AQ43" i="14" s="1"/>
  <c r="AF43" i="14"/>
  <c r="AG43" i="14"/>
  <c r="AH43" i="14"/>
  <c r="W43" i="14"/>
  <c r="H42" i="16"/>
  <c r="I42" i="16"/>
  <c r="J42" i="16"/>
  <c r="K42" i="16"/>
  <c r="L42" i="16"/>
  <c r="M42" i="16"/>
  <c r="N42" i="16"/>
  <c r="O42" i="16"/>
  <c r="P42" i="16"/>
  <c r="BX42" i="16" s="1"/>
  <c r="Q42" i="16"/>
  <c r="R42" i="16"/>
  <c r="BZ42" i="16" s="1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AH42" i="16"/>
  <c r="AI42" i="16"/>
  <c r="AJ42" i="16"/>
  <c r="AK42" i="16"/>
  <c r="AL42" i="16"/>
  <c r="AM42" i="16"/>
  <c r="AN42" i="16"/>
  <c r="AO42" i="16"/>
  <c r="AP42" i="16"/>
  <c r="G42" i="16"/>
  <c r="F42" i="15"/>
  <c r="G42" i="15"/>
  <c r="H42" i="15"/>
  <c r="DL42" i="15" s="1"/>
  <c r="I42" i="15"/>
  <c r="J42" i="15"/>
  <c r="K42" i="15"/>
  <c r="L42" i="15"/>
  <c r="M42" i="15"/>
  <c r="N42" i="15"/>
  <c r="O42" i="15"/>
  <c r="P42" i="15"/>
  <c r="Q42" i="15"/>
  <c r="R42" i="15"/>
  <c r="S42" i="15"/>
  <c r="T42" i="15"/>
  <c r="S155" i="15" s="1"/>
  <c r="U42" i="15"/>
  <c r="DG42" i="15" s="1"/>
  <c r="V42" i="15"/>
  <c r="W42" i="15"/>
  <c r="X42" i="15"/>
  <c r="Y42" i="15"/>
  <c r="Z42" i="15"/>
  <c r="AA42" i="15"/>
  <c r="AB42" i="15"/>
  <c r="DB42" i="15" s="1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BJ42" i="15" s="1"/>
  <c r="AW42" i="15"/>
  <c r="AX42" i="15"/>
  <c r="AY42" i="15"/>
  <c r="AZ42" i="15"/>
  <c r="BA42" i="15"/>
  <c r="BB42" i="15"/>
  <c r="BC42" i="15"/>
  <c r="E42" i="15"/>
  <c r="CX3" i="15"/>
  <c r="CX4" i="15"/>
  <c r="CX5" i="15"/>
  <c r="CX6" i="15"/>
  <c r="CX7" i="15"/>
  <c r="CX8" i="15"/>
  <c r="CX10" i="15"/>
  <c r="CX11" i="15"/>
  <c r="CX12" i="15"/>
  <c r="CX14" i="15"/>
  <c r="CX15" i="15"/>
  <c r="CX16" i="15"/>
  <c r="CX17" i="15"/>
  <c r="D360" i="15" s="1"/>
  <c r="CX18" i="15"/>
  <c r="CX20" i="15"/>
  <c r="CX21" i="15"/>
  <c r="CX22" i="15"/>
  <c r="CX24" i="15"/>
  <c r="CX25" i="15"/>
  <c r="CX26" i="15"/>
  <c r="CX27" i="15"/>
  <c r="CX28" i="15"/>
  <c r="CX29" i="15"/>
  <c r="CX30" i="15"/>
  <c r="CX31" i="15"/>
  <c r="CX32" i="15"/>
  <c r="CX33" i="15"/>
  <c r="CX34" i="15"/>
  <c r="CX35" i="15"/>
  <c r="CX36" i="15"/>
  <c r="CX37" i="15"/>
  <c r="CX38" i="15"/>
  <c r="CX39" i="15"/>
  <c r="CX40" i="15"/>
  <c r="CX41" i="15"/>
  <c r="CX43" i="15"/>
  <c r="CX44" i="15"/>
  <c r="CX45" i="15"/>
  <c r="CX46" i="15"/>
  <c r="CX47" i="15"/>
  <c r="CX48" i="15"/>
  <c r="CX49" i="15"/>
  <c r="CX50" i="15"/>
  <c r="CX51" i="15"/>
  <c r="CX53" i="15"/>
  <c r="CX54" i="15"/>
  <c r="CX55" i="15"/>
  <c r="CX56" i="15"/>
  <c r="CX57" i="15"/>
  <c r="CX58" i="15"/>
  <c r="CX59" i="15"/>
  <c r="CX60" i="15"/>
  <c r="CX61" i="15"/>
  <c r="CX62" i="15"/>
  <c r="CX63" i="15"/>
  <c r="CX64" i="15"/>
  <c r="CX65" i="15"/>
  <c r="CX66" i="15"/>
  <c r="CX67" i="15"/>
  <c r="CX68" i="15"/>
  <c r="CX69" i="15"/>
  <c r="CX70" i="15"/>
  <c r="CX71" i="15"/>
  <c r="CX72" i="15"/>
  <c r="CX73" i="15"/>
  <c r="CX74" i="15"/>
  <c r="CX75" i="15"/>
  <c r="D363" i="15" s="1"/>
  <c r="CX76" i="15"/>
  <c r="D364" i="15" s="1"/>
  <c r="CX78" i="15"/>
  <c r="CX79" i="15"/>
  <c r="CX80" i="15"/>
  <c r="CX82" i="15"/>
  <c r="CX83" i="15"/>
  <c r="CX84" i="15"/>
  <c r="CX85" i="15"/>
  <c r="D367" i="15" s="1"/>
  <c r="CX86" i="15"/>
  <c r="D368" i="15" s="1"/>
  <c r="CX87" i="15"/>
  <c r="CX88" i="15"/>
  <c r="CX89" i="15"/>
  <c r="CX92" i="15"/>
  <c r="CX93" i="15"/>
  <c r="CW3" i="15"/>
  <c r="CW4" i="15"/>
  <c r="CW5" i="15"/>
  <c r="CW6" i="15"/>
  <c r="CW7" i="15"/>
  <c r="CW8" i="15"/>
  <c r="CW10" i="15"/>
  <c r="CW11" i="15"/>
  <c r="CW12" i="15"/>
  <c r="CW14" i="15"/>
  <c r="CW15" i="15"/>
  <c r="C359" i="15" s="1"/>
  <c r="CW16" i="15"/>
  <c r="CW17" i="15"/>
  <c r="C360" i="15" s="1"/>
  <c r="CW18" i="15"/>
  <c r="CW20" i="15"/>
  <c r="CW21" i="15"/>
  <c r="CW22" i="15"/>
  <c r="CW24" i="15"/>
  <c r="CW25" i="15"/>
  <c r="CW26" i="15"/>
  <c r="CW27" i="15"/>
  <c r="CW28" i="15"/>
  <c r="CW29" i="15"/>
  <c r="CW30" i="15"/>
  <c r="CW31" i="15"/>
  <c r="CW32" i="15"/>
  <c r="CW33" i="15"/>
  <c r="CW34" i="15"/>
  <c r="CW35" i="15"/>
  <c r="CW36" i="15"/>
  <c r="CW37" i="15"/>
  <c r="CW38" i="15"/>
  <c r="CW39" i="15"/>
  <c r="CW40" i="15"/>
  <c r="CW41" i="15"/>
  <c r="CW42" i="15"/>
  <c r="CW43" i="15"/>
  <c r="CW44" i="15"/>
  <c r="CW45" i="15"/>
  <c r="CW46" i="15"/>
  <c r="CW47" i="15"/>
  <c r="CW48" i="15"/>
  <c r="CW49" i="15"/>
  <c r="CW50" i="15"/>
  <c r="CW51" i="15"/>
  <c r="CW53" i="15"/>
  <c r="CW54" i="15"/>
  <c r="CW55" i="15"/>
  <c r="CW56" i="15"/>
  <c r="CW57" i="15"/>
  <c r="CW58" i="15"/>
  <c r="CW59" i="15"/>
  <c r="CW60" i="15"/>
  <c r="CW61" i="15"/>
  <c r="CW62" i="15"/>
  <c r="CW63" i="15"/>
  <c r="CW64" i="15"/>
  <c r="CW65" i="15"/>
  <c r="CW66" i="15"/>
  <c r="CW67" i="15"/>
  <c r="CW68" i="15"/>
  <c r="CW69" i="15"/>
  <c r="CW70" i="15"/>
  <c r="CW71" i="15"/>
  <c r="CW72" i="15"/>
  <c r="CW73" i="15"/>
  <c r="CW74" i="15"/>
  <c r="CW75" i="15"/>
  <c r="C363" i="15" s="1"/>
  <c r="CW76" i="15"/>
  <c r="C364" i="15" s="1"/>
  <c r="CW78" i="15"/>
  <c r="CW79" i="15"/>
  <c r="CW80" i="15"/>
  <c r="CW82" i="15"/>
  <c r="CW83" i="15"/>
  <c r="CW84" i="15"/>
  <c r="CW85" i="15"/>
  <c r="C367" i="15" s="1"/>
  <c r="CW86" i="15"/>
  <c r="C368" i="15" s="1"/>
  <c r="CW87" i="15"/>
  <c r="CW88" i="15"/>
  <c r="CW89" i="15"/>
  <c r="CW92" i="15"/>
  <c r="CW93" i="15"/>
  <c r="CX2" i="15"/>
  <c r="CW2" i="15"/>
  <c r="CV4" i="15"/>
  <c r="CV5" i="15"/>
  <c r="CV6" i="15"/>
  <c r="CV7" i="15"/>
  <c r="CV8" i="15"/>
  <c r="CV10" i="15"/>
  <c r="CV11" i="15"/>
  <c r="CV12" i="15"/>
  <c r="CV14" i="15"/>
  <c r="CV15" i="15"/>
  <c r="CV16" i="15"/>
  <c r="CV17" i="15"/>
  <c r="B360" i="15" s="1"/>
  <c r="F360" i="15" s="1"/>
  <c r="CV18" i="15"/>
  <c r="CV20" i="15"/>
  <c r="CV21" i="15"/>
  <c r="CV22" i="15"/>
  <c r="CV24" i="15"/>
  <c r="CV25" i="15"/>
  <c r="CV26" i="15"/>
  <c r="CV27" i="15"/>
  <c r="CV28" i="15"/>
  <c r="CV29" i="15"/>
  <c r="CV30" i="15"/>
  <c r="CV31" i="15"/>
  <c r="CV32" i="15"/>
  <c r="CV33" i="15"/>
  <c r="CV34" i="15"/>
  <c r="CV35" i="15"/>
  <c r="CV36" i="15"/>
  <c r="CV37" i="15"/>
  <c r="CV38" i="15"/>
  <c r="CV39" i="15"/>
  <c r="CV40" i="15"/>
  <c r="CV41" i="15"/>
  <c r="CV42" i="15"/>
  <c r="CV43" i="15"/>
  <c r="CV44" i="15"/>
  <c r="CV45" i="15"/>
  <c r="CV46" i="15"/>
  <c r="CV47" i="15"/>
  <c r="CV48" i="15"/>
  <c r="CV49" i="15"/>
  <c r="CV50" i="15"/>
  <c r="CV51" i="15"/>
  <c r="CV53" i="15"/>
  <c r="CV54" i="15"/>
  <c r="CV55" i="15"/>
  <c r="CV56" i="15"/>
  <c r="CV57" i="15"/>
  <c r="CV58" i="15"/>
  <c r="CV59" i="15"/>
  <c r="CV60" i="15"/>
  <c r="CV61" i="15"/>
  <c r="CV62" i="15"/>
  <c r="CV63" i="15"/>
  <c r="CV64" i="15"/>
  <c r="CV65" i="15"/>
  <c r="CV66" i="15"/>
  <c r="CV67" i="15"/>
  <c r="CV68" i="15"/>
  <c r="CV69" i="15"/>
  <c r="CV70" i="15"/>
  <c r="CV71" i="15"/>
  <c r="CV72" i="15"/>
  <c r="CV73" i="15"/>
  <c r="CV74" i="15"/>
  <c r="CV75" i="15"/>
  <c r="B363" i="15" s="1"/>
  <c r="F363" i="15" s="1"/>
  <c r="G363" i="15" s="1"/>
  <c r="CV76" i="15"/>
  <c r="B364" i="15" s="1"/>
  <c r="F364" i="15" s="1"/>
  <c r="CV78" i="15"/>
  <c r="CV79" i="15"/>
  <c r="CV80" i="15"/>
  <c r="CV82" i="15"/>
  <c r="CV83" i="15"/>
  <c r="CV84" i="15"/>
  <c r="CV85" i="15"/>
  <c r="B367" i="15" s="1"/>
  <c r="F367" i="15" s="1"/>
  <c r="CV86" i="15"/>
  <c r="B368" i="15" s="1"/>
  <c r="F368" i="15" s="1"/>
  <c r="CV87" i="15"/>
  <c r="CV88" i="15"/>
  <c r="CV89" i="15"/>
  <c r="CV92" i="15"/>
  <c r="CV93" i="15"/>
  <c r="CV3" i="15"/>
  <c r="CV2" i="15"/>
  <c r="AO94" i="16"/>
  <c r="AP94" i="16"/>
  <c r="H94" i="16"/>
  <c r="I94" i="16"/>
  <c r="J94" i="16"/>
  <c r="K94" i="16"/>
  <c r="L94" i="16"/>
  <c r="M94" i="16"/>
  <c r="N94" i="16"/>
  <c r="O94" i="16"/>
  <c r="P94" i="16"/>
  <c r="Q94" i="16"/>
  <c r="BY94" i="16" s="1"/>
  <c r="R94" i="16"/>
  <c r="BZ94" i="16" s="1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AH94" i="16"/>
  <c r="AI94" i="16"/>
  <c r="AJ94" i="16"/>
  <c r="AK94" i="16"/>
  <c r="AL94" i="16"/>
  <c r="AM94" i="16"/>
  <c r="AN94" i="16"/>
  <c r="G94" i="16"/>
  <c r="H91" i="16"/>
  <c r="I91" i="16"/>
  <c r="J91" i="16"/>
  <c r="K91" i="16"/>
  <c r="L91" i="16"/>
  <c r="M91" i="16"/>
  <c r="N91" i="16"/>
  <c r="O91" i="16"/>
  <c r="P91" i="16"/>
  <c r="Q91" i="16"/>
  <c r="BY91" i="16" s="1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AH91" i="16"/>
  <c r="AI91" i="16"/>
  <c r="AJ91" i="16"/>
  <c r="AK91" i="16"/>
  <c r="AL91" i="16"/>
  <c r="AM91" i="16"/>
  <c r="AN91" i="16"/>
  <c r="AO91" i="16"/>
  <c r="AP91" i="16"/>
  <c r="G91" i="16"/>
  <c r="H90" i="16"/>
  <c r="I90" i="16"/>
  <c r="J90" i="16"/>
  <c r="K90" i="16"/>
  <c r="L90" i="16"/>
  <c r="M90" i="16"/>
  <c r="N90" i="16"/>
  <c r="O90" i="16"/>
  <c r="P90" i="16"/>
  <c r="Q90" i="16"/>
  <c r="BY90" i="16" s="1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AH90" i="16"/>
  <c r="AI90" i="16"/>
  <c r="AJ90" i="16"/>
  <c r="AK90" i="16"/>
  <c r="AL90" i="16"/>
  <c r="AM90" i="16"/>
  <c r="AN90" i="16"/>
  <c r="AO90" i="16"/>
  <c r="AP90" i="16"/>
  <c r="G90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BO81" i="16" s="1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G81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G77" i="16"/>
  <c r="H52" i="16"/>
  <c r="I52" i="16"/>
  <c r="J52" i="16"/>
  <c r="K52" i="16"/>
  <c r="L52" i="16"/>
  <c r="M52" i="16"/>
  <c r="N52" i="16"/>
  <c r="O52" i="16"/>
  <c r="P52" i="16"/>
  <c r="Q52" i="16"/>
  <c r="BY52" i="16" s="1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G52" i="16"/>
  <c r="H23" i="16"/>
  <c r="I23" i="16"/>
  <c r="J23" i="16"/>
  <c r="K23" i="16"/>
  <c r="L23" i="16"/>
  <c r="M23" i="16"/>
  <c r="N23" i="16"/>
  <c r="O23" i="16"/>
  <c r="P23" i="16"/>
  <c r="Q23" i="16"/>
  <c r="BY23" i="16" s="1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G2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AO13" i="16"/>
  <c r="AP13" i="16"/>
  <c r="G13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AH9" i="16"/>
  <c r="AI9" i="16"/>
  <c r="AJ9" i="16"/>
  <c r="AK9" i="16"/>
  <c r="AL9" i="16"/>
  <c r="AM9" i="16"/>
  <c r="AN9" i="16"/>
  <c r="AO9" i="16"/>
  <c r="AP9" i="16"/>
  <c r="G9" i="16"/>
  <c r="AJ144" i="15"/>
  <c r="AJ143" i="15"/>
  <c r="AJ140" i="15"/>
  <c r="AJ139" i="15"/>
  <c r="AJ136" i="15"/>
  <c r="AJ135" i="15"/>
  <c r="Z143" i="15"/>
  <c r="AA143" i="15"/>
  <c r="Z144" i="15"/>
  <c r="AA144" i="15"/>
  <c r="Z135" i="15"/>
  <c r="AA135" i="15"/>
  <c r="Z136" i="15"/>
  <c r="AA136" i="15"/>
  <c r="Z139" i="15"/>
  <c r="AA139" i="15"/>
  <c r="Z140" i="15"/>
  <c r="AA140" i="15"/>
  <c r="Y143" i="15"/>
  <c r="Y139" i="15"/>
  <c r="Y136" i="15"/>
  <c r="Y135" i="15"/>
  <c r="Z118" i="15"/>
  <c r="AA118" i="15"/>
  <c r="Z119" i="15"/>
  <c r="AA119" i="15"/>
  <c r="Z122" i="15"/>
  <c r="AA122" i="15"/>
  <c r="Z123" i="15"/>
  <c r="AA123" i="15"/>
  <c r="Z126" i="15"/>
  <c r="AA126" i="15"/>
  <c r="Z127" i="15"/>
  <c r="AA127" i="15"/>
  <c r="Y126" i="15"/>
  <c r="Y118" i="15"/>
  <c r="Z101" i="15"/>
  <c r="AA101" i="15"/>
  <c r="Z102" i="15"/>
  <c r="AA102" i="15"/>
  <c r="Z105" i="15"/>
  <c r="AA105" i="15"/>
  <c r="Z106" i="15"/>
  <c r="AA106" i="15"/>
  <c r="Z109" i="15"/>
  <c r="AA109" i="15"/>
  <c r="Z110" i="15"/>
  <c r="AA110" i="15"/>
  <c r="F94" i="15"/>
  <c r="G94" i="15"/>
  <c r="H94" i="15"/>
  <c r="Y197" i="15" s="1"/>
  <c r="I94" i="15"/>
  <c r="J94" i="15"/>
  <c r="K94" i="15"/>
  <c r="L94" i="15"/>
  <c r="M94" i="15"/>
  <c r="N94" i="15"/>
  <c r="Y129" i="15" s="1"/>
  <c r="O94" i="15"/>
  <c r="Z129" i="15" s="1"/>
  <c r="P94" i="15"/>
  <c r="R129" i="15" s="1"/>
  <c r="Q94" i="15"/>
  <c r="DC94" i="15" s="1"/>
  <c r="B266" i="15" s="1"/>
  <c r="R94" i="15"/>
  <c r="H146" i="15" s="1"/>
  <c r="S94" i="15"/>
  <c r="AA146" i="15" s="1"/>
  <c r="T94" i="15"/>
  <c r="J163" i="15" s="1"/>
  <c r="U94" i="15"/>
  <c r="Z163" i="15" s="1"/>
  <c r="V94" i="15"/>
  <c r="X163" i="15" s="1"/>
  <c r="W94" i="15"/>
  <c r="DI94" i="15" s="1"/>
  <c r="B300" i="15" s="1"/>
  <c r="X94" i="15"/>
  <c r="Y94" i="15"/>
  <c r="Z94" i="15"/>
  <c r="CV94" i="15" s="1"/>
  <c r="B370" i="15" s="1"/>
  <c r="F370" i="15" s="1"/>
  <c r="AA94" i="15"/>
  <c r="Z112" i="15" s="1"/>
  <c r="AB94" i="15"/>
  <c r="L112" i="15" s="1"/>
  <c r="AC94" i="15"/>
  <c r="AD94" i="15"/>
  <c r="AE94" i="15"/>
  <c r="AF94" i="15"/>
  <c r="AG94" i="15"/>
  <c r="AH94" i="15"/>
  <c r="AI94" i="15"/>
  <c r="Y214" i="15" s="1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BA112" i="15" s="1"/>
  <c r="AV94" i="15"/>
  <c r="BB112" i="15" s="1"/>
  <c r="AW94" i="15"/>
  <c r="BC112" i="15" s="1"/>
  <c r="AX94" i="15"/>
  <c r="AY94" i="15"/>
  <c r="AZ94" i="15"/>
  <c r="BA94" i="15"/>
  <c r="BB94" i="15"/>
  <c r="BC94" i="15"/>
  <c r="E94" i="15"/>
  <c r="X95" i="14"/>
  <c r="Y95" i="14"/>
  <c r="Z95" i="14"/>
  <c r="AA95" i="14"/>
  <c r="AB95" i="14"/>
  <c r="AC95" i="14"/>
  <c r="AD95" i="14"/>
  <c r="AP95" i="14" s="1"/>
  <c r="I147" i="14" s="1"/>
  <c r="AE95" i="14"/>
  <c r="AN95" i="14" s="1"/>
  <c r="G147" i="14" s="1"/>
  <c r="G162" i="14" s="1"/>
  <c r="AF95" i="14"/>
  <c r="AG95" i="14"/>
  <c r="AH95" i="14"/>
  <c r="W95" i="14"/>
  <c r="F91" i="15"/>
  <c r="G91" i="15"/>
  <c r="H91" i="15"/>
  <c r="Y196" i="15" s="1"/>
  <c r="I91" i="15"/>
  <c r="DM91" i="15" s="1"/>
  <c r="J91" i="15"/>
  <c r="DN91" i="15" s="1"/>
  <c r="K91" i="15"/>
  <c r="L91" i="15"/>
  <c r="M91" i="15"/>
  <c r="N91" i="15"/>
  <c r="O91" i="15"/>
  <c r="P91" i="15"/>
  <c r="Q91" i="15"/>
  <c r="R91" i="15"/>
  <c r="S91" i="15"/>
  <c r="DE91" i="15" s="1"/>
  <c r="T91" i="15"/>
  <c r="DF91" i="15" s="1"/>
  <c r="U91" i="15"/>
  <c r="DG91" i="15" s="1"/>
  <c r="V91" i="15"/>
  <c r="DH91" i="15" s="1"/>
  <c r="W91" i="15"/>
  <c r="X91" i="15"/>
  <c r="DJ91" i="15" s="1"/>
  <c r="Y91" i="15"/>
  <c r="Z91" i="15"/>
  <c r="CV91" i="15" s="1"/>
  <c r="AA91" i="15"/>
  <c r="DA91" i="15" s="1"/>
  <c r="AB91" i="15"/>
  <c r="DB91" i="15" s="1"/>
  <c r="AC91" i="15"/>
  <c r="AD91" i="15"/>
  <c r="AE91" i="15"/>
  <c r="AF91" i="15"/>
  <c r="AG91" i="15"/>
  <c r="AH91" i="15"/>
  <c r="AI91" i="15"/>
  <c r="DO91" i="15" s="1"/>
  <c r="AJ91" i="15"/>
  <c r="T213" i="15" s="1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BR91" i="15" s="1"/>
  <c r="AW91" i="15"/>
  <c r="AX91" i="15"/>
  <c r="AY91" i="15"/>
  <c r="AZ91" i="15"/>
  <c r="BA91" i="15"/>
  <c r="BB91" i="15"/>
  <c r="BC91" i="15"/>
  <c r="E91" i="15"/>
  <c r="F90" i="15"/>
  <c r="G90" i="15"/>
  <c r="H90" i="15"/>
  <c r="DL90" i="15" s="1"/>
  <c r="I90" i="15"/>
  <c r="DM90" i="15" s="1"/>
  <c r="J90" i="15"/>
  <c r="K90" i="15"/>
  <c r="L90" i="15"/>
  <c r="M90" i="15"/>
  <c r="N90" i="15"/>
  <c r="O90" i="15"/>
  <c r="P90" i="15"/>
  <c r="Q90" i="15"/>
  <c r="DC90" i="15" s="1"/>
  <c r="R90" i="15"/>
  <c r="Z145" i="15" s="1"/>
  <c r="S90" i="15"/>
  <c r="I145" i="15" s="1"/>
  <c r="T90" i="15"/>
  <c r="DF90" i="15" s="1"/>
  <c r="U90" i="15"/>
  <c r="DG90" i="15" s="1"/>
  <c r="V90" i="15"/>
  <c r="X162" i="15" s="1"/>
  <c r="W90" i="15"/>
  <c r="DI90" i="15" s="1"/>
  <c r="X90" i="15"/>
  <c r="Y90" i="15"/>
  <c r="AH179" i="15" s="1"/>
  <c r="Z90" i="15"/>
  <c r="AA90" i="15"/>
  <c r="CW90" i="15" s="1"/>
  <c r="AB90" i="15"/>
  <c r="AC90" i="15"/>
  <c r="AD90" i="15"/>
  <c r="AE90" i="15"/>
  <c r="AF90" i="15"/>
  <c r="AG90" i="15"/>
  <c r="AH90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BA111" i="15" s="1"/>
  <c r="AV90" i="15"/>
  <c r="AW90" i="15"/>
  <c r="AX90" i="15"/>
  <c r="AY90" i="15"/>
  <c r="AZ90" i="15"/>
  <c r="BA90" i="15"/>
  <c r="BB90" i="15"/>
  <c r="BC90" i="15"/>
  <c r="E90" i="15"/>
  <c r="F81" i="15"/>
  <c r="G81" i="15"/>
  <c r="H81" i="15"/>
  <c r="DL81" i="15" s="1"/>
  <c r="I81" i="15"/>
  <c r="J81" i="15"/>
  <c r="K81" i="15"/>
  <c r="L81" i="15"/>
  <c r="M81" i="15"/>
  <c r="N81" i="15"/>
  <c r="Y125" i="15" s="1"/>
  <c r="O81" i="15"/>
  <c r="AI125" i="15" s="1"/>
  <c r="P81" i="15"/>
  <c r="AA125" i="15" s="1"/>
  <c r="Q81" i="15"/>
  <c r="DC81" i="15" s="1"/>
  <c r="R81" i="15"/>
  <c r="T142" i="15" s="1"/>
  <c r="S81" i="15"/>
  <c r="I142" i="15" s="1"/>
  <c r="T81" i="15"/>
  <c r="P159" i="15" s="1"/>
  <c r="U81" i="15"/>
  <c r="DG81" i="15" s="1"/>
  <c r="V81" i="15"/>
  <c r="DH81" i="15" s="1"/>
  <c r="W81" i="15"/>
  <c r="DI81" i="15" s="1"/>
  <c r="X81" i="15"/>
  <c r="Y81" i="15"/>
  <c r="Z81" i="15"/>
  <c r="Y108" i="15" s="1"/>
  <c r="AA81" i="15"/>
  <c r="H108" i="15" s="1"/>
  <c r="AB81" i="15"/>
  <c r="AA108" i="15" s="1"/>
  <c r="AC81" i="15"/>
  <c r="AD81" i="15"/>
  <c r="AE81" i="15"/>
  <c r="AF81" i="15"/>
  <c r="AG81" i="15"/>
  <c r="AH81" i="15"/>
  <c r="AI81" i="15"/>
  <c r="S210" i="15" s="1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BA108" i="15" s="1"/>
  <c r="AV81" i="15"/>
  <c r="BB108" i="15" s="1"/>
  <c r="AW81" i="15"/>
  <c r="AX81" i="15"/>
  <c r="AY81" i="15"/>
  <c r="AZ81" i="15"/>
  <c r="BA81" i="15"/>
  <c r="BB81" i="15"/>
  <c r="BC81" i="15"/>
  <c r="E81" i="15"/>
  <c r="F77" i="15"/>
  <c r="G77" i="15"/>
  <c r="H77" i="15"/>
  <c r="AI192" i="15" s="1"/>
  <c r="I77" i="15"/>
  <c r="J77" i="15"/>
  <c r="K77" i="15"/>
  <c r="L77" i="15"/>
  <c r="M77" i="15"/>
  <c r="N77" i="15"/>
  <c r="Y124" i="15" s="1"/>
  <c r="O77" i="15"/>
  <c r="Z124" i="15" s="1"/>
  <c r="P77" i="15"/>
  <c r="AA124" i="15" s="1"/>
  <c r="R77" i="15"/>
  <c r="Z141" i="15" s="1"/>
  <c r="S77" i="15"/>
  <c r="AA141" i="15" s="1"/>
  <c r="T77" i="15"/>
  <c r="U77" i="15"/>
  <c r="W158" i="15" s="1"/>
  <c r="V77" i="15"/>
  <c r="X158" i="15" s="1"/>
  <c r="W77" i="15"/>
  <c r="Y175" i="15" s="1"/>
  <c r="X77" i="15"/>
  <c r="Y77" i="15"/>
  <c r="AJ175" i="15" s="1"/>
  <c r="Z77" i="15"/>
  <c r="Y107" i="15" s="1"/>
  <c r="AA77" i="15"/>
  <c r="CW77" i="15" s="1"/>
  <c r="AB77" i="15"/>
  <c r="AC77" i="15"/>
  <c r="AD77" i="15"/>
  <c r="AE77" i="15"/>
  <c r="AF77" i="15"/>
  <c r="AG77" i="15"/>
  <c r="AH77" i="15"/>
  <c r="AI77" i="15"/>
  <c r="AJ77" i="15"/>
  <c r="AK77" i="15"/>
  <c r="CE77" i="15" s="1"/>
  <c r="AL77" i="15"/>
  <c r="AM77" i="15"/>
  <c r="AN77" i="15"/>
  <c r="AO77" i="15"/>
  <c r="AP77" i="15"/>
  <c r="AQ77" i="15"/>
  <c r="AR77" i="15"/>
  <c r="AS77" i="15"/>
  <c r="AT77" i="15"/>
  <c r="AU77" i="15"/>
  <c r="AV77" i="15"/>
  <c r="BB107" i="15" s="1"/>
  <c r="AW77" i="15"/>
  <c r="BC107" i="15" s="1"/>
  <c r="AX77" i="15"/>
  <c r="AY77" i="15"/>
  <c r="AZ77" i="15"/>
  <c r="BA77" i="15"/>
  <c r="BB77" i="15"/>
  <c r="BC77" i="15"/>
  <c r="E77" i="15"/>
  <c r="F52" i="15"/>
  <c r="G52" i="15"/>
  <c r="H52" i="15"/>
  <c r="I52" i="15"/>
  <c r="J52" i="15"/>
  <c r="DN52" i="15" s="1"/>
  <c r="K52" i="15"/>
  <c r="L52" i="15"/>
  <c r="M52" i="15"/>
  <c r="N52" i="15"/>
  <c r="Y121" i="15" s="1"/>
  <c r="O52" i="15"/>
  <c r="Z121" i="15" s="1"/>
  <c r="P52" i="15"/>
  <c r="Q52" i="15"/>
  <c r="R52" i="15"/>
  <c r="Z138" i="15" s="1"/>
  <c r="S52" i="15"/>
  <c r="AA138" i="15" s="1"/>
  <c r="T52" i="15"/>
  <c r="U52" i="15"/>
  <c r="V52" i="15"/>
  <c r="DH52" i="15" s="1"/>
  <c r="W52" i="15"/>
  <c r="X52" i="15"/>
  <c r="Y52" i="15"/>
  <c r="Z52" i="15"/>
  <c r="CV52" i="15" s="1"/>
  <c r="AA52" i="15"/>
  <c r="Z104" i="15" s="1"/>
  <c r="AB52" i="15"/>
  <c r="CX52" i="15" s="1"/>
  <c r="AC52" i="15"/>
  <c r="AD52" i="15"/>
  <c r="AE52" i="15"/>
  <c r="AF52" i="15"/>
  <c r="AG52" i="15"/>
  <c r="AH52" i="15"/>
  <c r="AI52" i="15"/>
  <c r="DO52" i="15" s="1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BA104" i="15" s="1"/>
  <c r="AV52" i="15"/>
  <c r="AW52" i="15"/>
  <c r="AX52" i="15"/>
  <c r="AY52" i="15"/>
  <c r="AZ52" i="15"/>
  <c r="BA52" i="15"/>
  <c r="BB52" i="15"/>
  <c r="BC52" i="15"/>
  <c r="E52" i="15"/>
  <c r="F23" i="15"/>
  <c r="G23" i="15"/>
  <c r="H23" i="15"/>
  <c r="I23" i="15"/>
  <c r="DM23" i="15" s="1"/>
  <c r="J23" i="15"/>
  <c r="K23" i="15"/>
  <c r="L23" i="15"/>
  <c r="M23" i="15"/>
  <c r="N23" i="15"/>
  <c r="O23" i="15"/>
  <c r="BJ23" i="15" s="1"/>
  <c r="P23" i="15"/>
  <c r="Q23" i="15"/>
  <c r="R23" i="15"/>
  <c r="S23" i="15"/>
  <c r="DE23" i="15" s="1"/>
  <c r="T23" i="15"/>
  <c r="U23" i="15"/>
  <c r="V23" i="15"/>
  <c r="DH23" i="15" s="1"/>
  <c r="W23" i="15"/>
  <c r="DI23" i="15" s="1"/>
  <c r="X23" i="15"/>
  <c r="DJ23" i="15" s="1"/>
  <c r="Y23" i="15"/>
  <c r="Z23" i="15"/>
  <c r="AA23" i="15"/>
  <c r="CW23" i="15" s="1"/>
  <c r="AB23" i="15"/>
  <c r="AC23" i="15"/>
  <c r="AD23" i="15"/>
  <c r="AE23" i="15"/>
  <c r="AF23" i="15"/>
  <c r="AG23" i="15"/>
  <c r="AH23" i="15"/>
  <c r="AI23" i="15"/>
  <c r="CC23" i="15" s="1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BI23" i="15" s="1"/>
  <c r="AV23" i="15"/>
  <c r="AW23" i="15"/>
  <c r="AX23" i="15"/>
  <c r="AY23" i="15"/>
  <c r="AZ23" i="15"/>
  <c r="BA23" i="15"/>
  <c r="BB23" i="15"/>
  <c r="BC23" i="15"/>
  <c r="E23" i="15"/>
  <c r="F13" i="15"/>
  <c r="G13" i="15"/>
  <c r="H13" i="15"/>
  <c r="I13" i="15"/>
  <c r="DM13" i="15" s="1"/>
  <c r="J13" i="15"/>
  <c r="DN13" i="15" s="1"/>
  <c r="K13" i="15"/>
  <c r="L13" i="15"/>
  <c r="M13" i="15"/>
  <c r="N13" i="15"/>
  <c r="O13" i="15"/>
  <c r="P13" i="15"/>
  <c r="Q13" i="15"/>
  <c r="R13" i="15"/>
  <c r="DD13" i="15" s="1"/>
  <c r="S13" i="15"/>
  <c r="DE13" i="15" s="1"/>
  <c r="T13" i="15"/>
  <c r="U13" i="15"/>
  <c r="DG13" i="15" s="1"/>
  <c r="V13" i="15"/>
  <c r="DH13" i="15" s="1"/>
  <c r="W13" i="15"/>
  <c r="DI13" i="15" s="1"/>
  <c r="X13" i="15"/>
  <c r="BV13" i="15" s="1"/>
  <c r="Y13" i="15"/>
  <c r="DK13" i="15" s="1"/>
  <c r="Z13" i="15"/>
  <c r="CZ13" i="15" s="1"/>
  <c r="AA13" i="15"/>
  <c r="AB13" i="15"/>
  <c r="CX13" i="15" s="1"/>
  <c r="AC13" i="15"/>
  <c r="AD13" i="15"/>
  <c r="AE13" i="15"/>
  <c r="AF13" i="15"/>
  <c r="AG13" i="15"/>
  <c r="AH13" i="15"/>
  <c r="AI13" i="15"/>
  <c r="AJ13" i="15"/>
  <c r="DP13" i="15" s="1"/>
  <c r="AK13" i="15"/>
  <c r="DQ13" i="15" s="1"/>
  <c r="AL13" i="15"/>
  <c r="AM13" i="15"/>
  <c r="AN13" i="15"/>
  <c r="AO13" i="15"/>
  <c r="AP13" i="15"/>
  <c r="AQ13" i="15"/>
  <c r="AR13" i="15"/>
  <c r="AS13" i="15"/>
  <c r="AT13" i="15"/>
  <c r="AU13" i="15"/>
  <c r="AV13" i="15"/>
  <c r="BF13" i="15" s="1"/>
  <c r="AW13" i="15"/>
  <c r="AX13" i="15"/>
  <c r="AY13" i="15"/>
  <c r="AZ13" i="15"/>
  <c r="BA13" i="15"/>
  <c r="BB13" i="15"/>
  <c r="BC13" i="15"/>
  <c r="E13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DO9" i="15" s="1"/>
  <c r="AH9" i="15"/>
  <c r="AG9" i="15"/>
  <c r="AF9" i="15"/>
  <c r="AE9" i="15"/>
  <c r="AD9" i="15"/>
  <c r="AC9" i="15"/>
  <c r="AB9" i="15"/>
  <c r="F100" i="15" s="1"/>
  <c r="AA9" i="15"/>
  <c r="CW9" i="15" s="1"/>
  <c r="Z9" i="15"/>
  <c r="CV9" i="15" s="1"/>
  <c r="Y9" i="15"/>
  <c r="X9" i="15"/>
  <c r="W9" i="15"/>
  <c r="Z151" i="15" s="1"/>
  <c r="V9" i="15"/>
  <c r="U151" i="15" s="1"/>
  <c r="U9" i="15"/>
  <c r="T9" i="15"/>
  <c r="P151" i="15" s="1"/>
  <c r="S9" i="15"/>
  <c r="DE9" i="15" s="1"/>
  <c r="R9" i="15"/>
  <c r="T134" i="15" s="1"/>
  <c r="Q9" i="15"/>
  <c r="P9" i="15"/>
  <c r="L117" i="15" s="1"/>
  <c r="O9" i="15"/>
  <c r="N9" i="15"/>
  <c r="Y117" i="15" s="1"/>
  <c r="M9" i="15"/>
  <c r="L9" i="15"/>
  <c r="K9" i="15"/>
  <c r="J9" i="15"/>
  <c r="I9" i="15"/>
  <c r="H9" i="15"/>
  <c r="G185" i="15" s="1"/>
  <c r="G9" i="15"/>
  <c r="F9" i="15"/>
  <c r="E9" i="15"/>
  <c r="AE92" i="14"/>
  <c r="AD92" i="14"/>
  <c r="AQ92" i="14"/>
  <c r="AC92" i="14"/>
  <c r="X92" i="14"/>
  <c r="Y92" i="14"/>
  <c r="AA92" i="14"/>
  <c r="AB92" i="14"/>
  <c r="AM92" i="14"/>
  <c r="AG92" i="14"/>
  <c r="AH92" i="14"/>
  <c r="W92" i="14"/>
  <c r="X91" i="14"/>
  <c r="Y91" i="14"/>
  <c r="Z91" i="14"/>
  <c r="AA91" i="14"/>
  <c r="AB91" i="14"/>
  <c r="AC91" i="14"/>
  <c r="AD91" i="14"/>
  <c r="AM91" i="14" s="1"/>
  <c r="AE91" i="14"/>
  <c r="AK91" i="14" s="1"/>
  <c r="AF91" i="14"/>
  <c r="AG91" i="14"/>
  <c r="AH91" i="14"/>
  <c r="W91" i="14"/>
  <c r="X82" i="14"/>
  <c r="Y82" i="14"/>
  <c r="Z82" i="14"/>
  <c r="AA82" i="14"/>
  <c r="AB82" i="14"/>
  <c r="AC82" i="14"/>
  <c r="AD82" i="14"/>
  <c r="AE82" i="14"/>
  <c r="AQ82" i="14" s="1"/>
  <c r="J143" i="14" s="1"/>
  <c r="AF82" i="14"/>
  <c r="AG82" i="14"/>
  <c r="AH82" i="14"/>
  <c r="W82" i="14"/>
  <c r="X78" i="14"/>
  <c r="Y78" i="14"/>
  <c r="Z78" i="14"/>
  <c r="AA78" i="14"/>
  <c r="AB78" i="14"/>
  <c r="AC78" i="14"/>
  <c r="AD78" i="14"/>
  <c r="AE78" i="14"/>
  <c r="AF78" i="14"/>
  <c r="AG78" i="14"/>
  <c r="AH78" i="14"/>
  <c r="W78" i="14"/>
  <c r="X53" i="14"/>
  <c r="Y53" i="14"/>
  <c r="Z53" i="14"/>
  <c r="AA53" i="14"/>
  <c r="AB53" i="14"/>
  <c r="AC53" i="14"/>
  <c r="AD53" i="14"/>
  <c r="AJ53" i="14" s="1"/>
  <c r="AE53" i="14"/>
  <c r="AN53" i="14" s="1"/>
  <c r="AF53" i="14"/>
  <c r="AG53" i="14"/>
  <c r="AH53" i="14"/>
  <c r="W53" i="14"/>
  <c r="X24" i="14"/>
  <c r="Y24" i="14"/>
  <c r="Z24" i="14"/>
  <c r="AA24" i="14"/>
  <c r="AB24" i="14"/>
  <c r="AC24" i="14"/>
  <c r="AD24" i="14"/>
  <c r="AP24" i="14" s="1"/>
  <c r="AE24" i="14"/>
  <c r="AQ24" i="14" s="1"/>
  <c r="AF24" i="14"/>
  <c r="AG24" i="14"/>
  <c r="AH24" i="14"/>
  <c r="W24" i="14"/>
  <c r="X14" i="14"/>
  <c r="Y14" i="14"/>
  <c r="Z14" i="14"/>
  <c r="AA14" i="14"/>
  <c r="AB14" i="14"/>
  <c r="AC14" i="14"/>
  <c r="AD14" i="14"/>
  <c r="AP14" i="14" s="1"/>
  <c r="AE14" i="14"/>
  <c r="AN14" i="14" s="1"/>
  <c r="AF14" i="14"/>
  <c r="AG14" i="14"/>
  <c r="AH14" i="14"/>
  <c r="W14" i="14"/>
  <c r="X10" i="14"/>
  <c r="Y10" i="14"/>
  <c r="Z10" i="14"/>
  <c r="AA10" i="14"/>
  <c r="AB10" i="14"/>
  <c r="AC10" i="14"/>
  <c r="AD10" i="14"/>
  <c r="AP10" i="14" s="1"/>
  <c r="AE10" i="14"/>
  <c r="AQ10" i="14" s="1"/>
  <c r="AF10" i="14"/>
  <c r="AG10" i="14"/>
  <c r="AH10" i="14"/>
  <c r="W10" i="14"/>
  <c r="Y101" i="15"/>
  <c r="CC196" i="15"/>
  <c r="CG6" i="16"/>
  <c r="CH6" i="16"/>
  <c r="CI6" i="16"/>
  <c r="CG7" i="16"/>
  <c r="CH7" i="16"/>
  <c r="CI7" i="16"/>
  <c r="CG8" i="16"/>
  <c r="CH8" i="16"/>
  <c r="CI8" i="16"/>
  <c r="CG10" i="16"/>
  <c r="CH10" i="16"/>
  <c r="CI10" i="16"/>
  <c r="CG11" i="16"/>
  <c r="CH11" i="16"/>
  <c r="CI11" i="16"/>
  <c r="CG12" i="16"/>
  <c r="CH12" i="16"/>
  <c r="CI12" i="16"/>
  <c r="CG14" i="16"/>
  <c r="CH14" i="16"/>
  <c r="CI14" i="16"/>
  <c r="CG15" i="16"/>
  <c r="CH15" i="16"/>
  <c r="CI15" i="16"/>
  <c r="CG16" i="16"/>
  <c r="CH16" i="16"/>
  <c r="CI16" i="16"/>
  <c r="CG17" i="16"/>
  <c r="CH17" i="16"/>
  <c r="CI17" i="16"/>
  <c r="CG18" i="16"/>
  <c r="CH18" i="16"/>
  <c r="CI18" i="16"/>
  <c r="CG19" i="16"/>
  <c r="CH19" i="16"/>
  <c r="CI19" i="16"/>
  <c r="CG20" i="16"/>
  <c r="CH20" i="16"/>
  <c r="CI20" i="16"/>
  <c r="CG21" i="16"/>
  <c r="CH21" i="16"/>
  <c r="CI21" i="16"/>
  <c r="CG22" i="16"/>
  <c r="CH22" i="16"/>
  <c r="CI22" i="16"/>
  <c r="CH23" i="16"/>
  <c r="CI23" i="16"/>
  <c r="CG24" i="16"/>
  <c r="CH24" i="16"/>
  <c r="CI24" i="16"/>
  <c r="CG25" i="16"/>
  <c r="CH25" i="16"/>
  <c r="CI25" i="16"/>
  <c r="CG26" i="16"/>
  <c r="CH26" i="16"/>
  <c r="CI26" i="16"/>
  <c r="CG27" i="16"/>
  <c r="CH27" i="16"/>
  <c r="CI27" i="16"/>
  <c r="CG28" i="16"/>
  <c r="CH28" i="16"/>
  <c r="CI28" i="16"/>
  <c r="CG29" i="16"/>
  <c r="CH29" i="16"/>
  <c r="CI29" i="16"/>
  <c r="CG30" i="16"/>
  <c r="CH30" i="16"/>
  <c r="CI30" i="16"/>
  <c r="CG31" i="16"/>
  <c r="CH31" i="16"/>
  <c r="CI31" i="16"/>
  <c r="CG32" i="16"/>
  <c r="CH32" i="16"/>
  <c r="CI32" i="16"/>
  <c r="CG33" i="16"/>
  <c r="CH33" i="16"/>
  <c r="CI33" i="16"/>
  <c r="CG34" i="16"/>
  <c r="CH34" i="16"/>
  <c r="CI34" i="16"/>
  <c r="CG35" i="16"/>
  <c r="CH35" i="16"/>
  <c r="CI35" i="16"/>
  <c r="CG36" i="16"/>
  <c r="CH36" i="16"/>
  <c r="CI36" i="16"/>
  <c r="CG37" i="16"/>
  <c r="CH37" i="16"/>
  <c r="CI37" i="16"/>
  <c r="CG38" i="16"/>
  <c r="CH38" i="16"/>
  <c r="CI38" i="16"/>
  <c r="CG39" i="16"/>
  <c r="CH39" i="16"/>
  <c r="CI39" i="16"/>
  <c r="CG40" i="16"/>
  <c r="CH40" i="16"/>
  <c r="CI40" i="16"/>
  <c r="CG41" i="16"/>
  <c r="CH41" i="16"/>
  <c r="CI41" i="16"/>
  <c r="CI42" i="16"/>
  <c r="CG43" i="16"/>
  <c r="CH43" i="16"/>
  <c r="CI43" i="16"/>
  <c r="CG44" i="16"/>
  <c r="CH44" i="16"/>
  <c r="CI44" i="16"/>
  <c r="CG45" i="16"/>
  <c r="CH45" i="16"/>
  <c r="CI45" i="16"/>
  <c r="CG46" i="16"/>
  <c r="CH46" i="16"/>
  <c r="CI46" i="16"/>
  <c r="CG47" i="16"/>
  <c r="CH47" i="16"/>
  <c r="CI47" i="16"/>
  <c r="CG48" i="16"/>
  <c r="CH48" i="16"/>
  <c r="CI48" i="16"/>
  <c r="CG49" i="16"/>
  <c r="CH49" i="16"/>
  <c r="CI49" i="16"/>
  <c r="CG50" i="16"/>
  <c r="CH50" i="16"/>
  <c r="CI50" i="16"/>
  <c r="CG51" i="16"/>
  <c r="CH51" i="16"/>
  <c r="CI51" i="16"/>
  <c r="CH52" i="16"/>
  <c r="CI52" i="16"/>
  <c r="CG53" i="16"/>
  <c r="CH53" i="16"/>
  <c r="CI53" i="16"/>
  <c r="CG54" i="16"/>
  <c r="CH54" i="16"/>
  <c r="CI54" i="16"/>
  <c r="CG55" i="16"/>
  <c r="CH55" i="16"/>
  <c r="CI55" i="16"/>
  <c r="CG56" i="16"/>
  <c r="CH56" i="16"/>
  <c r="CI56" i="16"/>
  <c r="CG57" i="16"/>
  <c r="CH57" i="16"/>
  <c r="CI57" i="16"/>
  <c r="CG58" i="16"/>
  <c r="CH58" i="16"/>
  <c r="CI58" i="16"/>
  <c r="CG59" i="16"/>
  <c r="CH59" i="16"/>
  <c r="CI59" i="16"/>
  <c r="CG60" i="16"/>
  <c r="CH60" i="16"/>
  <c r="CI60" i="16"/>
  <c r="CG61" i="16"/>
  <c r="CH61" i="16"/>
  <c r="CI61" i="16"/>
  <c r="CG62" i="16"/>
  <c r="CH62" i="16"/>
  <c r="CI62" i="16"/>
  <c r="CG63" i="16"/>
  <c r="CH63" i="16"/>
  <c r="CI63" i="16"/>
  <c r="CG64" i="16"/>
  <c r="CH64" i="16"/>
  <c r="CI64" i="16"/>
  <c r="CG65" i="16"/>
  <c r="CH65" i="16"/>
  <c r="CI65" i="16"/>
  <c r="CG66" i="16"/>
  <c r="CH66" i="16"/>
  <c r="CI66" i="16"/>
  <c r="CG67" i="16"/>
  <c r="CH67" i="16"/>
  <c r="CI67" i="16"/>
  <c r="CG68" i="16"/>
  <c r="CH68" i="16"/>
  <c r="CI68" i="16"/>
  <c r="CG69" i="16"/>
  <c r="CH69" i="16"/>
  <c r="CI69" i="16"/>
  <c r="CG70" i="16"/>
  <c r="CH70" i="16"/>
  <c r="CI70" i="16"/>
  <c r="CG71" i="16"/>
  <c r="CH71" i="16"/>
  <c r="CI71" i="16"/>
  <c r="CG72" i="16"/>
  <c r="CH72" i="16"/>
  <c r="CI72" i="16"/>
  <c r="CG73" i="16"/>
  <c r="CH73" i="16"/>
  <c r="CI73" i="16"/>
  <c r="CG74" i="16"/>
  <c r="CH74" i="16"/>
  <c r="CI74" i="16"/>
  <c r="CG75" i="16"/>
  <c r="CH75" i="16"/>
  <c r="CI75" i="16"/>
  <c r="CG76" i="16"/>
  <c r="CH76" i="16"/>
  <c r="CI76" i="16"/>
  <c r="CG78" i="16"/>
  <c r="CH78" i="16"/>
  <c r="CI78" i="16"/>
  <c r="CG79" i="16"/>
  <c r="CH79" i="16"/>
  <c r="CI79" i="16"/>
  <c r="CG80" i="16"/>
  <c r="CH80" i="16"/>
  <c r="CI80" i="16"/>
  <c r="CG82" i="16"/>
  <c r="CH82" i="16"/>
  <c r="CI82" i="16"/>
  <c r="CG83" i="16"/>
  <c r="CH83" i="16"/>
  <c r="CI83" i="16"/>
  <c r="CG84" i="16"/>
  <c r="CH84" i="16"/>
  <c r="CI84" i="16"/>
  <c r="CG85" i="16"/>
  <c r="CH85" i="16"/>
  <c r="CI85" i="16"/>
  <c r="CG86" i="16"/>
  <c r="CH86" i="16"/>
  <c r="CI86" i="16"/>
  <c r="CG87" i="16"/>
  <c r="CH87" i="16"/>
  <c r="CI87" i="16"/>
  <c r="CG88" i="16"/>
  <c r="CH88" i="16"/>
  <c r="CI88" i="16"/>
  <c r="CG89" i="16"/>
  <c r="CH89" i="16"/>
  <c r="CI89" i="16"/>
  <c r="CH90" i="16"/>
  <c r="CH91" i="16"/>
  <c r="CG92" i="16"/>
  <c r="CH92" i="16"/>
  <c r="CI92" i="16"/>
  <c r="CG93" i="16"/>
  <c r="CH93" i="16"/>
  <c r="CI93" i="16"/>
  <c r="CI94" i="16"/>
  <c r="CH2" i="16"/>
  <c r="CI2" i="16"/>
  <c r="CH3" i="16"/>
  <c r="CI3" i="16"/>
  <c r="CH4" i="16"/>
  <c r="CI4" i="16"/>
  <c r="CH5" i="16"/>
  <c r="CI5" i="16"/>
  <c r="CG3" i="16"/>
  <c r="CG5" i="16"/>
  <c r="CG2" i="16"/>
  <c r="CE3" i="16"/>
  <c r="CE4" i="16"/>
  <c r="CF4" i="16"/>
  <c r="CF5" i="16"/>
  <c r="CD6" i="16"/>
  <c r="CD7" i="16"/>
  <c r="CE7" i="16"/>
  <c r="CE8" i="16"/>
  <c r="CF8" i="16"/>
  <c r="CE10" i="16"/>
  <c r="CF10" i="16"/>
  <c r="CE11" i="16"/>
  <c r="CF11" i="16"/>
  <c r="CD12" i="16"/>
  <c r="CF12" i="16"/>
  <c r="CE14" i="16"/>
  <c r="CD17" i="16"/>
  <c r="CE17" i="16"/>
  <c r="CE20" i="16"/>
  <c r="CF21" i="16"/>
  <c r="CD24" i="16"/>
  <c r="CD25" i="16"/>
  <c r="CE25" i="16"/>
  <c r="CE26" i="16"/>
  <c r="CF26" i="16"/>
  <c r="CF27" i="16"/>
  <c r="CD29" i="16"/>
  <c r="CF32" i="16"/>
  <c r="CE34" i="16"/>
  <c r="CD38" i="16"/>
  <c r="CF39" i="16"/>
  <c r="CE43" i="16"/>
  <c r="CD45" i="16"/>
  <c r="CF48" i="16"/>
  <c r="CD55" i="16"/>
  <c r="CE69" i="16"/>
  <c r="CD75" i="16"/>
  <c r="CD83" i="16"/>
  <c r="CE84" i="16"/>
  <c r="CF85" i="16"/>
  <c r="CE86" i="16"/>
  <c r="CD87" i="16"/>
  <c r="CE88" i="16"/>
  <c r="CF89" i="16"/>
  <c r="CD93" i="16"/>
  <c r="CE2" i="16"/>
  <c r="CB3" i="16"/>
  <c r="CB4" i="16"/>
  <c r="CC4" i="16"/>
  <c r="CC5" i="16"/>
  <c r="CA6" i="16"/>
  <c r="CA7" i="16"/>
  <c r="CB7" i="16"/>
  <c r="CB8" i="16"/>
  <c r="CC8" i="16"/>
  <c r="CB10" i="16"/>
  <c r="CC10" i="16"/>
  <c r="CB11" i="16"/>
  <c r="CC11" i="16"/>
  <c r="CA12" i="16"/>
  <c r="CC12" i="16"/>
  <c r="CB14" i="16"/>
  <c r="CC14" i="16"/>
  <c r="CC15" i="16"/>
  <c r="CA16" i="16"/>
  <c r="CA18" i="16"/>
  <c r="CB20" i="16"/>
  <c r="CC20" i="16"/>
  <c r="CC21" i="16"/>
  <c r="CA22" i="16"/>
  <c r="CA24" i="16"/>
  <c r="CB24" i="16"/>
  <c r="CA25" i="16"/>
  <c r="CB25" i="16"/>
  <c r="CC25" i="16"/>
  <c r="CB26" i="16"/>
  <c r="CC26" i="16"/>
  <c r="CA27" i="16"/>
  <c r="CC27" i="16"/>
  <c r="CC28" i="16"/>
  <c r="CB30" i="16"/>
  <c r="CA34" i="16"/>
  <c r="CC35" i="16"/>
  <c r="CB39" i="16"/>
  <c r="CA41" i="16"/>
  <c r="CC44" i="16"/>
  <c r="CB46" i="16"/>
  <c r="CA50" i="16"/>
  <c r="CC54" i="16"/>
  <c r="CC61" i="16"/>
  <c r="CA78" i="16"/>
  <c r="CB79" i="16"/>
  <c r="CC80" i="16"/>
  <c r="CC82" i="16"/>
  <c r="CA84" i="16"/>
  <c r="CC85" i="16"/>
  <c r="CB86" i="16"/>
  <c r="CB87" i="16"/>
  <c r="CC88" i="16"/>
  <c r="CA93" i="16"/>
  <c r="CB2" i="16"/>
  <c r="CD3" i="16"/>
  <c r="CD2" i="16"/>
  <c r="BF15" i="16"/>
  <c r="BF17" i="16"/>
  <c r="BD18" i="16"/>
  <c r="BE18" i="16"/>
  <c r="BF18" i="16"/>
  <c r="BD19" i="16"/>
  <c r="BE19" i="16"/>
  <c r="BF19" i="16"/>
  <c r="BD20" i="16"/>
  <c r="BE20" i="16"/>
  <c r="BF20" i="16"/>
  <c r="BD21" i="16"/>
  <c r="BE21" i="16"/>
  <c r="BF21" i="16"/>
  <c r="BD22" i="16"/>
  <c r="BE22" i="16"/>
  <c r="BF22" i="16"/>
  <c r="BD24" i="16"/>
  <c r="BE24" i="16"/>
  <c r="BF24" i="16"/>
  <c r="BD25" i="16"/>
  <c r="BE25" i="16"/>
  <c r="BF25" i="16"/>
  <c r="BD26" i="16"/>
  <c r="BE26" i="16"/>
  <c r="BF26" i="16"/>
  <c r="BD27" i="16"/>
  <c r="BE27" i="16"/>
  <c r="BF27" i="16"/>
  <c r="BD28" i="16"/>
  <c r="BE28" i="16"/>
  <c r="BF28" i="16"/>
  <c r="BD29" i="16"/>
  <c r="BE29" i="16"/>
  <c r="BF29" i="16"/>
  <c r="BD30" i="16"/>
  <c r="BE30" i="16"/>
  <c r="BF30" i="16"/>
  <c r="BD31" i="16"/>
  <c r="BE31" i="16"/>
  <c r="BF31" i="16"/>
  <c r="BD32" i="16"/>
  <c r="BE32" i="16"/>
  <c r="BF32" i="16"/>
  <c r="BD33" i="16"/>
  <c r="BE33" i="16"/>
  <c r="BF33" i="16"/>
  <c r="BD34" i="16"/>
  <c r="BE34" i="16"/>
  <c r="BF34" i="16"/>
  <c r="BD35" i="16"/>
  <c r="BE35" i="16"/>
  <c r="BF35" i="16"/>
  <c r="BD36" i="16"/>
  <c r="BE36" i="16"/>
  <c r="BF36" i="16"/>
  <c r="BD37" i="16"/>
  <c r="BE37" i="16"/>
  <c r="BF37" i="16"/>
  <c r="BD38" i="16"/>
  <c r="BE38" i="16"/>
  <c r="BF38" i="16"/>
  <c r="BD39" i="16"/>
  <c r="BE39" i="16"/>
  <c r="BF39" i="16"/>
  <c r="BD40" i="16"/>
  <c r="BE40" i="16"/>
  <c r="BF40" i="16"/>
  <c r="BD41" i="16"/>
  <c r="BE41" i="16"/>
  <c r="BF41" i="16"/>
  <c r="BD43" i="16"/>
  <c r="BE43" i="16"/>
  <c r="BF43" i="16"/>
  <c r="BD44" i="16"/>
  <c r="BE44" i="16"/>
  <c r="BF44" i="16"/>
  <c r="BD45" i="16"/>
  <c r="BE45" i="16"/>
  <c r="BF45" i="16"/>
  <c r="BD46" i="16"/>
  <c r="BE46" i="16"/>
  <c r="BF46" i="16"/>
  <c r="BD47" i="16"/>
  <c r="BE47" i="16"/>
  <c r="BF47" i="16"/>
  <c r="BD48" i="16"/>
  <c r="BE48" i="16"/>
  <c r="BF48" i="16"/>
  <c r="BD49" i="16"/>
  <c r="BE49" i="16"/>
  <c r="BF49" i="16"/>
  <c r="BD50" i="16"/>
  <c r="BE50" i="16"/>
  <c r="BF50" i="16"/>
  <c r="BD51" i="16"/>
  <c r="BE51" i="16"/>
  <c r="BF51" i="16"/>
  <c r="BD53" i="16"/>
  <c r="BE53" i="16"/>
  <c r="BF53" i="16"/>
  <c r="BD54" i="16"/>
  <c r="BE54" i="16"/>
  <c r="BF54" i="16"/>
  <c r="BD55" i="16"/>
  <c r="BE55" i="16"/>
  <c r="BF55" i="16"/>
  <c r="BD56" i="16"/>
  <c r="BE56" i="16"/>
  <c r="BF56" i="16"/>
  <c r="BD57" i="16"/>
  <c r="BE57" i="16"/>
  <c r="BF57" i="16"/>
  <c r="BD58" i="16"/>
  <c r="BE58" i="16"/>
  <c r="BF58" i="16"/>
  <c r="BD59" i="16"/>
  <c r="BE59" i="16"/>
  <c r="BF59" i="16"/>
  <c r="BD60" i="16"/>
  <c r="BE60" i="16"/>
  <c r="BF60" i="16"/>
  <c r="BD61" i="16"/>
  <c r="BE61" i="16"/>
  <c r="BF61" i="16"/>
  <c r="BD62" i="16"/>
  <c r="BE62" i="16"/>
  <c r="BF62" i="16"/>
  <c r="BD63" i="16"/>
  <c r="BE63" i="16"/>
  <c r="BF63" i="16"/>
  <c r="BD64" i="16"/>
  <c r="BE64" i="16"/>
  <c r="BF64" i="16"/>
  <c r="BD65" i="16"/>
  <c r="BE65" i="16"/>
  <c r="BF65" i="16"/>
  <c r="BD66" i="16"/>
  <c r="BE66" i="16"/>
  <c r="BF66" i="16"/>
  <c r="BD67" i="16"/>
  <c r="BE67" i="16"/>
  <c r="BF67" i="16"/>
  <c r="BD68" i="16"/>
  <c r="BE68" i="16"/>
  <c r="BF68" i="16"/>
  <c r="BD69" i="16"/>
  <c r="BE69" i="16"/>
  <c r="BF69" i="16"/>
  <c r="BD70" i="16"/>
  <c r="BE70" i="16"/>
  <c r="BF70" i="16"/>
  <c r="BD71" i="16"/>
  <c r="BE71" i="16"/>
  <c r="BF71" i="16"/>
  <c r="BD72" i="16"/>
  <c r="BE72" i="16"/>
  <c r="BF72" i="16"/>
  <c r="BD73" i="16"/>
  <c r="BE73" i="16"/>
  <c r="BF73" i="16"/>
  <c r="BD74" i="16"/>
  <c r="BE74" i="16"/>
  <c r="BF74" i="16"/>
  <c r="BD75" i="16"/>
  <c r="BE75" i="16"/>
  <c r="BF75" i="16"/>
  <c r="BD76" i="16"/>
  <c r="BE76" i="16"/>
  <c r="BF76" i="16"/>
  <c r="BD78" i="16"/>
  <c r="BE78" i="16"/>
  <c r="BF78" i="16"/>
  <c r="BD79" i="16"/>
  <c r="BE79" i="16"/>
  <c r="BF79" i="16"/>
  <c r="BD80" i="16"/>
  <c r="BE80" i="16"/>
  <c r="BF80" i="16"/>
  <c r="BD82" i="16"/>
  <c r="BE82" i="16"/>
  <c r="BF82" i="16"/>
  <c r="BD83" i="16"/>
  <c r="BE83" i="16"/>
  <c r="BF83" i="16"/>
  <c r="BD84" i="16"/>
  <c r="BE84" i="16"/>
  <c r="BF84" i="16"/>
  <c r="BD85" i="16"/>
  <c r="BE85" i="16"/>
  <c r="BF85" i="16"/>
  <c r="BD86" i="16"/>
  <c r="BE86" i="16"/>
  <c r="BF86" i="16"/>
  <c r="BD87" i="16"/>
  <c r="BE87" i="16"/>
  <c r="BF87" i="16"/>
  <c r="BD88" i="16"/>
  <c r="BE88" i="16"/>
  <c r="BF88" i="16"/>
  <c r="BD89" i="16"/>
  <c r="BE89" i="16"/>
  <c r="BF89" i="16"/>
  <c r="BE91" i="16"/>
  <c r="BD92" i="16"/>
  <c r="BE92" i="16"/>
  <c r="BF92" i="16"/>
  <c r="BD93" i="16"/>
  <c r="BE93" i="16"/>
  <c r="BF93" i="16"/>
  <c r="BF2" i="16"/>
  <c r="AZ3" i="16"/>
  <c r="BA3" i="16"/>
  <c r="BB3" i="16"/>
  <c r="AZ4" i="16"/>
  <c r="BA4" i="16"/>
  <c r="BB4" i="16"/>
  <c r="BA5" i="16"/>
  <c r="BB5" i="16"/>
  <c r="AZ6" i="16"/>
  <c r="BA6" i="16"/>
  <c r="BB6" i="16"/>
  <c r="AZ7" i="16"/>
  <c r="BA7" i="16"/>
  <c r="BB7" i="16"/>
  <c r="AZ8" i="16"/>
  <c r="BA8" i="16"/>
  <c r="BB8" i="16"/>
  <c r="AZ10" i="16"/>
  <c r="BA10" i="16"/>
  <c r="BB10" i="16"/>
  <c r="AZ11" i="16"/>
  <c r="BA11" i="16"/>
  <c r="BB11" i="16"/>
  <c r="AZ12" i="16"/>
  <c r="BA12" i="16"/>
  <c r="BB12" i="16"/>
  <c r="BB13" i="16"/>
  <c r="AZ14" i="16"/>
  <c r="BA14" i="16"/>
  <c r="BB14" i="16"/>
  <c r="AZ15" i="16"/>
  <c r="BA15" i="16"/>
  <c r="BB15" i="16"/>
  <c r="AZ16" i="16"/>
  <c r="BA16" i="16"/>
  <c r="BB16" i="16"/>
  <c r="AZ17" i="16"/>
  <c r="BA17" i="16"/>
  <c r="BB17" i="16"/>
  <c r="AZ18" i="16"/>
  <c r="BA18" i="16"/>
  <c r="BB18" i="16"/>
  <c r="AZ19" i="16"/>
  <c r="BA19" i="16"/>
  <c r="BB19" i="16"/>
  <c r="AZ20" i="16"/>
  <c r="BA20" i="16"/>
  <c r="BB20" i="16"/>
  <c r="AZ21" i="16"/>
  <c r="BA21" i="16"/>
  <c r="BB21" i="16"/>
  <c r="AZ22" i="16"/>
  <c r="BA22" i="16"/>
  <c r="BB22" i="16"/>
  <c r="AZ24" i="16"/>
  <c r="BA24" i="16"/>
  <c r="BB24" i="16"/>
  <c r="AZ25" i="16"/>
  <c r="BA25" i="16"/>
  <c r="BB25" i="16"/>
  <c r="AZ26" i="16"/>
  <c r="BA26" i="16"/>
  <c r="BB26" i="16"/>
  <c r="AZ27" i="16"/>
  <c r="BA27" i="16"/>
  <c r="BB27" i="16"/>
  <c r="AZ28" i="16"/>
  <c r="BA28" i="16"/>
  <c r="BB28" i="16"/>
  <c r="AZ29" i="16"/>
  <c r="BA29" i="16"/>
  <c r="BB29" i="16"/>
  <c r="AZ30" i="16"/>
  <c r="BA30" i="16"/>
  <c r="BB30" i="16"/>
  <c r="AZ31" i="16"/>
  <c r="BA31" i="16"/>
  <c r="BB31" i="16"/>
  <c r="AZ32" i="16"/>
  <c r="BA32" i="16"/>
  <c r="BB32" i="16"/>
  <c r="AZ33" i="16"/>
  <c r="BA33" i="16"/>
  <c r="BB33" i="16"/>
  <c r="AZ34" i="16"/>
  <c r="BA34" i="16"/>
  <c r="BB34" i="16"/>
  <c r="AZ35" i="16"/>
  <c r="BA35" i="16"/>
  <c r="BB35" i="16"/>
  <c r="AZ36" i="16"/>
  <c r="BA36" i="16"/>
  <c r="BB36" i="16"/>
  <c r="AZ37" i="16"/>
  <c r="BA37" i="16"/>
  <c r="BB37" i="16"/>
  <c r="AZ38" i="16"/>
  <c r="BA38" i="16"/>
  <c r="BB38" i="16"/>
  <c r="AZ39" i="16"/>
  <c r="BA39" i="16"/>
  <c r="BB39" i="16"/>
  <c r="AZ40" i="16"/>
  <c r="BA40" i="16"/>
  <c r="BB40" i="16"/>
  <c r="AZ41" i="16"/>
  <c r="BA41" i="16"/>
  <c r="BB41" i="16"/>
  <c r="AZ43" i="16"/>
  <c r="BA43" i="16"/>
  <c r="BB43" i="16"/>
  <c r="AZ44" i="16"/>
  <c r="BA44" i="16"/>
  <c r="BB44" i="16"/>
  <c r="AZ45" i="16"/>
  <c r="BA45" i="16"/>
  <c r="BB45" i="16"/>
  <c r="AZ46" i="16"/>
  <c r="BA46" i="16"/>
  <c r="BB46" i="16"/>
  <c r="AZ47" i="16"/>
  <c r="BA47" i="16"/>
  <c r="BB47" i="16"/>
  <c r="AZ48" i="16"/>
  <c r="BA48" i="16"/>
  <c r="BB48" i="16"/>
  <c r="AZ49" i="16"/>
  <c r="BA49" i="16"/>
  <c r="BB49" i="16"/>
  <c r="AZ50" i="16"/>
  <c r="BA50" i="16"/>
  <c r="BB50" i="16"/>
  <c r="AZ51" i="16"/>
  <c r="BA51" i="16"/>
  <c r="BB51" i="16"/>
  <c r="AZ53" i="16"/>
  <c r="BA53" i="16"/>
  <c r="BB53" i="16"/>
  <c r="AZ54" i="16"/>
  <c r="BA54" i="16"/>
  <c r="BB54" i="16"/>
  <c r="AZ55" i="16"/>
  <c r="BA55" i="16"/>
  <c r="BB55" i="16"/>
  <c r="AZ56" i="16"/>
  <c r="BA56" i="16"/>
  <c r="BB56" i="16"/>
  <c r="AZ57" i="16"/>
  <c r="BA57" i="16"/>
  <c r="BB57" i="16"/>
  <c r="AZ58" i="16"/>
  <c r="BA58" i="16"/>
  <c r="BB58" i="16"/>
  <c r="AZ59" i="16"/>
  <c r="BA59" i="16"/>
  <c r="BB59" i="16"/>
  <c r="AZ60" i="16"/>
  <c r="BA60" i="16"/>
  <c r="BB60" i="16"/>
  <c r="AZ61" i="16"/>
  <c r="BA61" i="16"/>
  <c r="BB61" i="16"/>
  <c r="AZ62" i="16"/>
  <c r="BA62" i="16"/>
  <c r="BB62" i="16"/>
  <c r="AZ63" i="16"/>
  <c r="BA63" i="16"/>
  <c r="BB63" i="16"/>
  <c r="AZ64" i="16"/>
  <c r="BA64" i="16"/>
  <c r="BB64" i="16"/>
  <c r="AZ65" i="16"/>
  <c r="BA65" i="16"/>
  <c r="BB65" i="16"/>
  <c r="AZ66" i="16"/>
  <c r="BA66" i="16"/>
  <c r="BB66" i="16"/>
  <c r="AZ67" i="16"/>
  <c r="BA67" i="16"/>
  <c r="BB67" i="16"/>
  <c r="AZ68" i="16"/>
  <c r="BA68" i="16"/>
  <c r="BB68" i="16"/>
  <c r="AZ69" i="16"/>
  <c r="BA69" i="16"/>
  <c r="BB69" i="16"/>
  <c r="AZ70" i="16"/>
  <c r="BA70" i="16"/>
  <c r="BB70" i="16"/>
  <c r="AZ71" i="16"/>
  <c r="BA71" i="16"/>
  <c r="BB71" i="16"/>
  <c r="AZ72" i="16"/>
  <c r="BA72" i="16"/>
  <c r="BB72" i="16"/>
  <c r="AZ73" i="16"/>
  <c r="BA73" i="16"/>
  <c r="BB73" i="16"/>
  <c r="AZ74" i="16"/>
  <c r="BA74" i="16"/>
  <c r="BB74" i="16"/>
  <c r="AZ75" i="16"/>
  <c r="BA75" i="16"/>
  <c r="BB75" i="16"/>
  <c r="AZ76" i="16"/>
  <c r="BA76" i="16"/>
  <c r="BB76" i="16"/>
  <c r="AZ78" i="16"/>
  <c r="BA78" i="16"/>
  <c r="BB78" i="16"/>
  <c r="AZ79" i="16"/>
  <c r="BA79" i="16"/>
  <c r="BB79" i="16"/>
  <c r="AZ80" i="16"/>
  <c r="BA80" i="16"/>
  <c r="BB80" i="16"/>
  <c r="AZ82" i="16"/>
  <c r="BA82" i="16"/>
  <c r="BB82" i="16"/>
  <c r="AZ83" i="16"/>
  <c r="BA83" i="16"/>
  <c r="BB83" i="16"/>
  <c r="AZ84" i="16"/>
  <c r="BA84" i="16"/>
  <c r="BB84" i="16"/>
  <c r="AZ85" i="16"/>
  <c r="BA85" i="16"/>
  <c r="BB85" i="16"/>
  <c r="AZ86" i="16"/>
  <c r="BA86" i="16"/>
  <c r="BB86" i="16"/>
  <c r="AZ87" i="16"/>
  <c r="BA87" i="16"/>
  <c r="BB87" i="16"/>
  <c r="AZ88" i="16"/>
  <c r="BA88" i="16"/>
  <c r="BB88" i="16"/>
  <c r="AZ89" i="16"/>
  <c r="BA89" i="16"/>
  <c r="BB89" i="16"/>
  <c r="AZ92" i="16"/>
  <c r="BA92" i="16"/>
  <c r="BB92" i="16"/>
  <c r="AZ93" i="16"/>
  <c r="BA93" i="16"/>
  <c r="BB93" i="16"/>
  <c r="BA2" i="16"/>
  <c r="BB2" i="16"/>
  <c r="CF3" i="16"/>
  <c r="CD4" i="16"/>
  <c r="CD5" i="16"/>
  <c r="CE5" i="16"/>
  <c r="CE6" i="16"/>
  <c r="CF6" i="16"/>
  <c r="CF7" i="16"/>
  <c r="CD8" i="16"/>
  <c r="CD11" i="16"/>
  <c r="CE12" i="16"/>
  <c r="CA14" i="16"/>
  <c r="CF14" i="16"/>
  <c r="CA15" i="16"/>
  <c r="CB15" i="16"/>
  <c r="CF15" i="16"/>
  <c r="CB16" i="16"/>
  <c r="CC16" i="16"/>
  <c r="CA17" i="16"/>
  <c r="CB17" i="16"/>
  <c r="CF17" i="16"/>
  <c r="CD18" i="16"/>
  <c r="CB18" i="16"/>
  <c r="CC18" i="16"/>
  <c r="CA20" i="16"/>
  <c r="CF20" i="16"/>
  <c r="CA21" i="16"/>
  <c r="CB21" i="16"/>
  <c r="CD22" i="16"/>
  <c r="CB22" i="16"/>
  <c r="CC22" i="16"/>
  <c r="CE24" i="16"/>
  <c r="CC24" i="16"/>
  <c r="CF25" i="16"/>
  <c r="CA26" i="16"/>
  <c r="CD27" i="16"/>
  <c r="CB27" i="16"/>
  <c r="CF28" i="16"/>
  <c r="CD30" i="16"/>
  <c r="CA31" i="16"/>
  <c r="CE31" i="16"/>
  <c r="CC32" i="16"/>
  <c r="CD34" i="16"/>
  <c r="CE35" i="16"/>
  <c r="CB36" i="16"/>
  <c r="CF36" i="16"/>
  <c r="CA38" i="16"/>
  <c r="CE39" i="16"/>
  <c r="CF40" i="16"/>
  <c r="CC41" i="16"/>
  <c r="CB43" i="16"/>
  <c r="CF44" i="16"/>
  <c r="CD46" i="16"/>
  <c r="CA47" i="16"/>
  <c r="CE47" i="16"/>
  <c r="CE48" i="16"/>
  <c r="CC48" i="16"/>
  <c r="CC51" i="16"/>
  <c r="CB53" i="16"/>
  <c r="CF54" i="16"/>
  <c r="CC58" i="16"/>
  <c r="CD60" i="16"/>
  <c r="CA64" i="16"/>
  <c r="CE65" i="16"/>
  <c r="CB69" i="16"/>
  <c r="CF70" i="16"/>
  <c r="CC74" i="16"/>
  <c r="CA75" i="16"/>
  <c r="CE75" i="16"/>
  <c r="CD76" i="16"/>
  <c r="CC76" i="16"/>
  <c r="CD78" i="16"/>
  <c r="CB78" i="16"/>
  <c r="CE79" i="16"/>
  <c r="CC79" i="16"/>
  <c r="CF80" i="16"/>
  <c r="CE82" i="16"/>
  <c r="CF82" i="16"/>
  <c r="CA83" i="16"/>
  <c r="CF83" i="16"/>
  <c r="CD84" i="16"/>
  <c r="CB84" i="16"/>
  <c r="CD85" i="16"/>
  <c r="CB85" i="16"/>
  <c r="CF86" i="16"/>
  <c r="CA87" i="16"/>
  <c r="CE87" i="16"/>
  <c r="CF87" i="16"/>
  <c r="CA88" i="16"/>
  <c r="CB88" i="16"/>
  <c r="CF88" i="16"/>
  <c r="CD89" i="16"/>
  <c r="CB89" i="16"/>
  <c r="CC89" i="16"/>
  <c r="CA92" i="16"/>
  <c r="CE92" i="16"/>
  <c r="CF92" i="16"/>
  <c r="CB93" i="16"/>
  <c r="CF93" i="16"/>
  <c r="CF2" i="16"/>
  <c r="BG168" i="15"/>
  <c r="BG169" i="15"/>
  <c r="BG170" i="15"/>
  <c r="BG171" i="15"/>
  <c r="BG172" i="15"/>
  <c r="BG173" i="15"/>
  <c r="BG174" i="15"/>
  <c r="BG175" i="15"/>
  <c r="BG176" i="15"/>
  <c r="BG177" i="15"/>
  <c r="BG178" i="15"/>
  <c r="BG179" i="15"/>
  <c r="BG180" i="15"/>
  <c r="BG117" i="15"/>
  <c r="BG118" i="15"/>
  <c r="BG119" i="15"/>
  <c r="BG120" i="15"/>
  <c r="BG121" i="15"/>
  <c r="BG122" i="15"/>
  <c r="BG123" i="15"/>
  <c r="BG124" i="15"/>
  <c r="BG125" i="15"/>
  <c r="BG126" i="15"/>
  <c r="BG127" i="15"/>
  <c r="BG128" i="15"/>
  <c r="BG129" i="15"/>
  <c r="BG135" i="15"/>
  <c r="BG136" i="15"/>
  <c r="BG137" i="15"/>
  <c r="BG138" i="15"/>
  <c r="BG139" i="15"/>
  <c r="BG140" i="15"/>
  <c r="BG141" i="15"/>
  <c r="BG142" i="15"/>
  <c r="BG143" i="15"/>
  <c r="BG144" i="15"/>
  <c r="BG145" i="15"/>
  <c r="BG146" i="15"/>
  <c r="BG151" i="15"/>
  <c r="BG152" i="15"/>
  <c r="BG153" i="15"/>
  <c r="BG154" i="15"/>
  <c r="BG155" i="15"/>
  <c r="BG156" i="15"/>
  <c r="BG157" i="15"/>
  <c r="BG158" i="15"/>
  <c r="BG159" i="15"/>
  <c r="BG160" i="15"/>
  <c r="BG161" i="15"/>
  <c r="BG162" i="15"/>
  <c r="BG163" i="15"/>
  <c r="BG185" i="15"/>
  <c r="BG186" i="15"/>
  <c r="BG187" i="15"/>
  <c r="BG188" i="15"/>
  <c r="BG189" i="15"/>
  <c r="BG190" i="15"/>
  <c r="BG191" i="15"/>
  <c r="BG192" i="15"/>
  <c r="BG193" i="15"/>
  <c r="BG194" i="15"/>
  <c r="BG195" i="15"/>
  <c r="BG196" i="15"/>
  <c r="BG197" i="15"/>
  <c r="BG202" i="15"/>
  <c r="BG203" i="15"/>
  <c r="BG204" i="15"/>
  <c r="BG205" i="15"/>
  <c r="BG206" i="15"/>
  <c r="BG207" i="15"/>
  <c r="BG208" i="15"/>
  <c r="BG209" i="15"/>
  <c r="BG210" i="15"/>
  <c r="BG211" i="15"/>
  <c r="BG212" i="15"/>
  <c r="BG213" i="15"/>
  <c r="BG214" i="15"/>
  <c r="BG219" i="15"/>
  <c r="BG220" i="15"/>
  <c r="BG221" i="15"/>
  <c r="BG222" i="15"/>
  <c r="BG223" i="15"/>
  <c r="BG224" i="15"/>
  <c r="BG225" i="15"/>
  <c r="BG226" i="15"/>
  <c r="BG227" i="15"/>
  <c r="BG228" i="15"/>
  <c r="BG229" i="15"/>
  <c r="BG230" i="15"/>
  <c r="BG231" i="15"/>
  <c r="BB101" i="15"/>
  <c r="BC101" i="15"/>
  <c r="BB102" i="15"/>
  <c r="BC102" i="15"/>
  <c r="BB105" i="15"/>
  <c r="BC105" i="15"/>
  <c r="BB106" i="15"/>
  <c r="BC106" i="15"/>
  <c r="BB109" i="15"/>
  <c r="BC109" i="15"/>
  <c r="BB110" i="15"/>
  <c r="BC110" i="15"/>
  <c r="BA110" i="15"/>
  <c r="BA109" i="15"/>
  <c r="BA106" i="15"/>
  <c r="BA103" i="15"/>
  <c r="BA102" i="15"/>
  <c r="BA101" i="15"/>
  <c r="H352" i="15"/>
  <c r="H335" i="15"/>
  <c r="H318" i="15"/>
  <c r="H301" i="15"/>
  <c r="H284" i="15"/>
  <c r="H267" i="15"/>
  <c r="E267" i="15" s="1"/>
  <c r="H250" i="15"/>
  <c r="DR11" i="15"/>
  <c r="DS11" i="15"/>
  <c r="DR38" i="15"/>
  <c r="DT38" i="15"/>
  <c r="DR40" i="15"/>
  <c r="DT42" i="15"/>
  <c r="DS83" i="15"/>
  <c r="DR90" i="15"/>
  <c r="DO3" i="15"/>
  <c r="DP3" i="15"/>
  <c r="DQ3" i="15"/>
  <c r="DO4" i="15"/>
  <c r="DP4" i="15"/>
  <c r="DQ4" i="15"/>
  <c r="DO5" i="15"/>
  <c r="DP5" i="15"/>
  <c r="DQ5" i="15"/>
  <c r="DO6" i="15"/>
  <c r="DP6" i="15"/>
  <c r="DQ6" i="15"/>
  <c r="DO7" i="15"/>
  <c r="DP7" i="15"/>
  <c r="DQ7" i="15"/>
  <c r="DO8" i="15"/>
  <c r="DP8" i="15"/>
  <c r="DQ8" i="15"/>
  <c r="DO10" i="15"/>
  <c r="DP10" i="15"/>
  <c r="DQ10" i="15"/>
  <c r="DO11" i="15"/>
  <c r="DP11" i="15"/>
  <c r="DQ11" i="15"/>
  <c r="DO12" i="15"/>
  <c r="DP12" i="15"/>
  <c r="DQ12" i="15"/>
  <c r="DO14" i="15"/>
  <c r="DP14" i="15"/>
  <c r="DQ14" i="15"/>
  <c r="DO15" i="15"/>
  <c r="DP15" i="15"/>
  <c r="DQ15" i="15"/>
  <c r="DO16" i="15"/>
  <c r="DP16" i="15"/>
  <c r="DQ16" i="15"/>
  <c r="DO17" i="15"/>
  <c r="B324" i="15" s="1"/>
  <c r="E324" i="15" s="1"/>
  <c r="DP17" i="15"/>
  <c r="C324" i="15" s="1"/>
  <c r="DQ17" i="15"/>
  <c r="D324" i="15" s="1"/>
  <c r="G324" i="15" s="1"/>
  <c r="DO18" i="15"/>
  <c r="DP18" i="15"/>
  <c r="DQ18" i="15"/>
  <c r="DO19" i="15"/>
  <c r="DQ19" i="15"/>
  <c r="DO20" i="15"/>
  <c r="DP20" i="15"/>
  <c r="DQ20" i="15"/>
  <c r="DO21" i="15"/>
  <c r="DP21" i="15"/>
  <c r="DQ21" i="15"/>
  <c r="DO22" i="15"/>
  <c r="DP22" i="15"/>
  <c r="DQ22" i="15"/>
  <c r="DO24" i="15"/>
  <c r="DP24" i="15"/>
  <c r="DQ24" i="15"/>
  <c r="DO25" i="15"/>
  <c r="DP25" i="15"/>
  <c r="DQ25" i="15"/>
  <c r="DO26" i="15"/>
  <c r="DP26" i="15"/>
  <c r="DQ26" i="15"/>
  <c r="DO27" i="15"/>
  <c r="DP27" i="15"/>
  <c r="DQ27" i="15"/>
  <c r="DO28" i="15"/>
  <c r="DP28" i="15"/>
  <c r="DQ28" i="15"/>
  <c r="DO29" i="15"/>
  <c r="DP29" i="15"/>
  <c r="DQ29" i="15"/>
  <c r="DO30" i="15"/>
  <c r="DP30" i="15"/>
  <c r="DQ30" i="15"/>
  <c r="DO31" i="15"/>
  <c r="DP31" i="15"/>
  <c r="DQ31" i="15"/>
  <c r="DO32" i="15"/>
  <c r="DP32" i="15"/>
  <c r="DQ32" i="15"/>
  <c r="DO33" i="15"/>
  <c r="DP33" i="15"/>
  <c r="DQ33" i="15"/>
  <c r="DO34" i="15"/>
  <c r="DP34" i="15"/>
  <c r="DQ34" i="15"/>
  <c r="DO35" i="15"/>
  <c r="DP35" i="15"/>
  <c r="DQ35" i="15"/>
  <c r="DO36" i="15"/>
  <c r="DP36" i="15"/>
  <c r="DQ36" i="15"/>
  <c r="DO37" i="15"/>
  <c r="DP37" i="15"/>
  <c r="DQ37" i="15"/>
  <c r="DO38" i="15"/>
  <c r="DP38" i="15"/>
  <c r="DQ38" i="15"/>
  <c r="DO39" i="15"/>
  <c r="DP39" i="15"/>
  <c r="DQ39" i="15"/>
  <c r="DO40" i="15"/>
  <c r="DP40" i="15"/>
  <c r="DQ40" i="15"/>
  <c r="DO41" i="15"/>
  <c r="DP41" i="15"/>
  <c r="DQ41" i="15"/>
  <c r="DO42" i="15"/>
  <c r="DO43" i="15"/>
  <c r="DP43" i="15"/>
  <c r="DQ43" i="15"/>
  <c r="DO44" i="15"/>
  <c r="DP44" i="15"/>
  <c r="DQ44" i="15"/>
  <c r="DO45" i="15"/>
  <c r="DP45" i="15"/>
  <c r="DQ45" i="15"/>
  <c r="DO46" i="15"/>
  <c r="DP46" i="15"/>
  <c r="DQ46" i="15"/>
  <c r="DO47" i="15"/>
  <c r="DP47" i="15"/>
  <c r="DQ47" i="15"/>
  <c r="DO48" i="15"/>
  <c r="DP48" i="15"/>
  <c r="DQ48" i="15"/>
  <c r="DO49" i="15"/>
  <c r="DP49" i="15"/>
  <c r="DQ49" i="15"/>
  <c r="DO50" i="15"/>
  <c r="DP50" i="15"/>
  <c r="DQ50" i="15"/>
  <c r="DO51" i="15"/>
  <c r="DP51" i="15"/>
  <c r="DQ51" i="15"/>
  <c r="DO53" i="15"/>
  <c r="DP53" i="15"/>
  <c r="DQ53" i="15"/>
  <c r="DO54" i="15"/>
  <c r="DP54" i="15"/>
  <c r="DQ54" i="15"/>
  <c r="DO55" i="15"/>
  <c r="DP55" i="15"/>
  <c r="DQ55" i="15"/>
  <c r="DO56" i="15"/>
  <c r="DP56" i="15"/>
  <c r="DQ56" i="15"/>
  <c r="DO57" i="15"/>
  <c r="DP57" i="15"/>
  <c r="DQ57" i="15"/>
  <c r="DO58" i="15"/>
  <c r="DP58" i="15"/>
  <c r="DQ58" i="15"/>
  <c r="DO59" i="15"/>
  <c r="DP59" i="15"/>
  <c r="DQ59" i="15"/>
  <c r="DO60" i="15"/>
  <c r="DP60" i="15"/>
  <c r="DQ60" i="15"/>
  <c r="DO61" i="15"/>
  <c r="DP61" i="15"/>
  <c r="DQ61" i="15"/>
  <c r="DO62" i="15"/>
  <c r="DP62" i="15"/>
  <c r="DQ62" i="15"/>
  <c r="DO63" i="15"/>
  <c r="DP63" i="15"/>
  <c r="DQ63" i="15"/>
  <c r="DO64" i="15"/>
  <c r="DP64" i="15"/>
  <c r="DQ64" i="15"/>
  <c r="DO65" i="15"/>
  <c r="DP65" i="15"/>
  <c r="DQ65" i="15"/>
  <c r="DO66" i="15"/>
  <c r="DP66" i="15"/>
  <c r="DQ66" i="15"/>
  <c r="DO67" i="15"/>
  <c r="DP67" i="15"/>
  <c r="DQ67" i="15"/>
  <c r="DO68" i="15"/>
  <c r="DP68" i="15"/>
  <c r="DQ68" i="15"/>
  <c r="DO69" i="15"/>
  <c r="DP69" i="15"/>
  <c r="DQ69" i="15"/>
  <c r="DO70" i="15"/>
  <c r="DP70" i="15"/>
  <c r="DQ70" i="15"/>
  <c r="DO71" i="15"/>
  <c r="DP71" i="15"/>
  <c r="DQ71" i="15"/>
  <c r="DO72" i="15"/>
  <c r="DP72" i="15"/>
  <c r="DQ72" i="15"/>
  <c r="DO73" i="15"/>
  <c r="DP73" i="15"/>
  <c r="DQ73" i="15"/>
  <c r="DO74" i="15"/>
  <c r="DP74" i="15"/>
  <c r="DQ74" i="15"/>
  <c r="DO75" i="15"/>
  <c r="B327" i="15" s="1"/>
  <c r="E327" i="15" s="1"/>
  <c r="DP75" i="15"/>
  <c r="C327" i="15" s="1"/>
  <c r="F327" i="15" s="1"/>
  <c r="DQ75" i="15"/>
  <c r="D327" i="15" s="1"/>
  <c r="G327" i="15" s="1"/>
  <c r="DO76" i="15"/>
  <c r="B328" i="15" s="1"/>
  <c r="DP76" i="15"/>
  <c r="C328" i="15" s="1"/>
  <c r="F328" i="15" s="1"/>
  <c r="DQ76" i="15"/>
  <c r="D328" i="15" s="1"/>
  <c r="G328" i="15" s="1"/>
  <c r="DO78" i="15"/>
  <c r="DP78" i="15"/>
  <c r="DQ78" i="15"/>
  <c r="DO79" i="15"/>
  <c r="DP79" i="15"/>
  <c r="DQ79" i="15"/>
  <c r="DO80" i="15"/>
  <c r="DP80" i="15"/>
  <c r="DQ80" i="15"/>
  <c r="DO82" i="15"/>
  <c r="DP82" i="15"/>
  <c r="DQ82" i="15"/>
  <c r="DO83" i="15"/>
  <c r="DP83" i="15"/>
  <c r="DQ83" i="15"/>
  <c r="DO84" i="15"/>
  <c r="DP84" i="15"/>
  <c r="DQ84" i="15"/>
  <c r="DO85" i="15"/>
  <c r="B331" i="15" s="1"/>
  <c r="E331" i="15" s="1"/>
  <c r="DP85" i="15"/>
  <c r="C331" i="15" s="1"/>
  <c r="F331" i="15" s="1"/>
  <c r="DQ85" i="15"/>
  <c r="D331" i="15" s="1"/>
  <c r="G331" i="15" s="1"/>
  <c r="DO86" i="15"/>
  <c r="B332" i="15" s="1"/>
  <c r="E332" i="15" s="1"/>
  <c r="DP86" i="15"/>
  <c r="C332" i="15" s="1"/>
  <c r="F332" i="15" s="1"/>
  <c r="DQ86" i="15"/>
  <c r="D332" i="15" s="1"/>
  <c r="DO87" i="15"/>
  <c r="DP87" i="15"/>
  <c r="DQ87" i="15"/>
  <c r="DO88" i="15"/>
  <c r="DP88" i="15"/>
  <c r="DQ88" i="15"/>
  <c r="DO89" i="15"/>
  <c r="DP89" i="15"/>
  <c r="DQ89" i="15"/>
  <c r="DO90" i="15"/>
  <c r="DO92" i="15"/>
  <c r="DP92" i="15"/>
  <c r="DQ92" i="15"/>
  <c r="DO93" i="15"/>
  <c r="DP93" i="15"/>
  <c r="DQ93" i="15"/>
  <c r="DP2" i="15"/>
  <c r="DQ2" i="15"/>
  <c r="DO2" i="15"/>
  <c r="DL3" i="15"/>
  <c r="DM3" i="15"/>
  <c r="DN3" i="15"/>
  <c r="DL4" i="15"/>
  <c r="DM4" i="15"/>
  <c r="DN4" i="15"/>
  <c r="DL5" i="15"/>
  <c r="DM5" i="15"/>
  <c r="DN5" i="15"/>
  <c r="DL6" i="15"/>
  <c r="DM6" i="15"/>
  <c r="DN6" i="15"/>
  <c r="DL7" i="15"/>
  <c r="DM7" i="15"/>
  <c r="DN7" i="15"/>
  <c r="DL8" i="15"/>
  <c r="DM8" i="15"/>
  <c r="DN8" i="15"/>
  <c r="DN9" i="15"/>
  <c r="DL10" i="15"/>
  <c r="DM10" i="15"/>
  <c r="DN10" i="15"/>
  <c r="DL11" i="15"/>
  <c r="DM11" i="15"/>
  <c r="DN11" i="15"/>
  <c r="DL12" i="15"/>
  <c r="DM12" i="15"/>
  <c r="DN12" i="15"/>
  <c r="DL14" i="15"/>
  <c r="DM14" i="15"/>
  <c r="DN14" i="15"/>
  <c r="DL15" i="15"/>
  <c r="DM15" i="15"/>
  <c r="DN15" i="15"/>
  <c r="DL16" i="15"/>
  <c r="DM16" i="15"/>
  <c r="DN16" i="15"/>
  <c r="DL17" i="15"/>
  <c r="B307" i="15" s="1"/>
  <c r="E307" i="15" s="1"/>
  <c r="DM17" i="15"/>
  <c r="C307" i="15" s="1"/>
  <c r="F307" i="15" s="1"/>
  <c r="DN17" i="15"/>
  <c r="D307" i="15" s="1"/>
  <c r="DL18" i="15"/>
  <c r="DM18" i="15"/>
  <c r="DN18" i="15"/>
  <c r="DL19" i="15"/>
  <c r="DM19" i="15"/>
  <c r="DN19" i="15"/>
  <c r="DL20" i="15"/>
  <c r="DM20" i="15"/>
  <c r="DN20" i="15"/>
  <c r="DL21" i="15"/>
  <c r="DM21" i="15"/>
  <c r="DN21" i="15"/>
  <c r="DL22" i="15"/>
  <c r="DM22" i="15"/>
  <c r="DN22" i="15"/>
  <c r="DL24" i="15"/>
  <c r="DM24" i="15"/>
  <c r="DN24" i="15"/>
  <c r="DL25" i="15"/>
  <c r="DM25" i="15"/>
  <c r="DN25" i="15"/>
  <c r="DL26" i="15"/>
  <c r="DM26" i="15"/>
  <c r="DN26" i="15"/>
  <c r="DL27" i="15"/>
  <c r="DM27" i="15"/>
  <c r="DN27" i="15"/>
  <c r="DL28" i="15"/>
  <c r="DM28" i="15"/>
  <c r="DN28" i="15"/>
  <c r="DL29" i="15"/>
  <c r="DM29" i="15"/>
  <c r="DN29" i="15"/>
  <c r="DL30" i="15"/>
  <c r="DM30" i="15"/>
  <c r="DN30" i="15"/>
  <c r="DL31" i="15"/>
  <c r="DM31" i="15"/>
  <c r="DN31" i="15"/>
  <c r="DL32" i="15"/>
  <c r="DM32" i="15"/>
  <c r="DN32" i="15"/>
  <c r="DL33" i="15"/>
  <c r="DM33" i="15"/>
  <c r="DN33" i="15"/>
  <c r="DL34" i="15"/>
  <c r="DM34" i="15"/>
  <c r="DN34" i="15"/>
  <c r="DL35" i="15"/>
  <c r="DM35" i="15"/>
  <c r="DN35" i="15"/>
  <c r="DL36" i="15"/>
  <c r="DM36" i="15"/>
  <c r="DN36" i="15"/>
  <c r="DL37" i="15"/>
  <c r="DM37" i="15"/>
  <c r="DN37" i="15"/>
  <c r="DL38" i="15"/>
  <c r="DM38" i="15"/>
  <c r="DN38" i="15"/>
  <c r="DL39" i="15"/>
  <c r="DM39" i="15"/>
  <c r="DN39" i="15"/>
  <c r="DL40" i="15"/>
  <c r="DM40" i="15"/>
  <c r="DN40" i="15"/>
  <c r="DL41" i="15"/>
  <c r="DM41" i="15"/>
  <c r="DN41" i="15"/>
  <c r="DN42" i="15"/>
  <c r="DL43" i="15"/>
  <c r="DM43" i="15"/>
  <c r="DN43" i="15"/>
  <c r="DL44" i="15"/>
  <c r="DM44" i="15"/>
  <c r="DN44" i="15"/>
  <c r="DL45" i="15"/>
  <c r="DM45" i="15"/>
  <c r="DN45" i="15"/>
  <c r="DL46" i="15"/>
  <c r="DM46" i="15"/>
  <c r="DN46" i="15"/>
  <c r="DL47" i="15"/>
  <c r="DM47" i="15"/>
  <c r="DN47" i="15"/>
  <c r="DL48" i="15"/>
  <c r="DM48" i="15"/>
  <c r="DN48" i="15"/>
  <c r="DL49" i="15"/>
  <c r="DM49" i="15"/>
  <c r="DN49" i="15"/>
  <c r="DL50" i="15"/>
  <c r="DM50" i="15"/>
  <c r="DN50" i="15"/>
  <c r="DL51" i="15"/>
  <c r="DM51" i="15"/>
  <c r="DN51" i="15"/>
  <c r="DL53" i="15"/>
  <c r="DM53" i="15"/>
  <c r="DN53" i="15"/>
  <c r="DL54" i="15"/>
  <c r="DM54" i="15"/>
  <c r="DN54" i="15"/>
  <c r="DL55" i="15"/>
  <c r="DM55" i="15"/>
  <c r="DN55" i="15"/>
  <c r="DL56" i="15"/>
  <c r="DM56" i="15"/>
  <c r="DN56" i="15"/>
  <c r="DL57" i="15"/>
  <c r="DM57" i="15"/>
  <c r="DN57" i="15"/>
  <c r="DL58" i="15"/>
  <c r="DM58" i="15"/>
  <c r="DN58" i="15"/>
  <c r="DL59" i="15"/>
  <c r="DM59" i="15"/>
  <c r="DN59" i="15"/>
  <c r="DL60" i="15"/>
  <c r="DM60" i="15"/>
  <c r="DN60" i="15"/>
  <c r="DL61" i="15"/>
  <c r="DM61" i="15"/>
  <c r="DN61" i="15"/>
  <c r="DL62" i="15"/>
  <c r="DM62" i="15"/>
  <c r="DN62" i="15"/>
  <c r="DL63" i="15"/>
  <c r="DM63" i="15"/>
  <c r="DN63" i="15"/>
  <c r="DL64" i="15"/>
  <c r="DM64" i="15"/>
  <c r="DN64" i="15"/>
  <c r="DL65" i="15"/>
  <c r="DM65" i="15"/>
  <c r="DN65" i="15"/>
  <c r="DL66" i="15"/>
  <c r="DM66" i="15"/>
  <c r="DN66" i="15"/>
  <c r="DL67" i="15"/>
  <c r="DM67" i="15"/>
  <c r="DN67" i="15"/>
  <c r="DL68" i="15"/>
  <c r="DM68" i="15"/>
  <c r="DN68" i="15"/>
  <c r="DL69" i="15"/>
  <c r="DM69" i="15"/>
  <c r="DN69" i="15"/>
  <c r="DL70" i="15"/>
  <c r="DM70" i="15"/>
  <c r="DN70" i="15"/>
  <c r="DL71" i="15"/>
  <c r="DM71" i="15"/>
  <c r="DN71" i="15"/>
  <c r="DL72" i="15"/>
  <c r="DM72" i="15"/>
  <c r="DN72" i="15"/>
  <c r="DL73" i="15"/>
  <c r="DM73" i="15"/>
  <c r="DN73" i="15"/>
  <c r="DL74" i="15"/>
  <c r="DM74" i="15"/>
  <c r="DN74" i="15"/>
  <c r="DL75" i="15"/>
  <c r="B310" i="15" s="1"/>
  <c r="DM75" i="15"/>
  <c r="C310" i="15" s="1"/>
  <c r="F310" i="15" s="1"/>
  <c r="DN75" i="15"/>
  <c r="D310" i="15" s="1"/>
  <c r="G310" i="15" s="1"/>
  <c r="DL76" i="15"/>
  <c r="B311" i="15" s="1"/>
  <c r="E311" i="15" s="1"/>
  <c r="DM76" i="15"/>
  <c r="C311" i="15" s="1"/>
  <c r="DN76" i="15"/>
  <c r="D311" i="15" s="1"/>
  <c r="G311" i="15" s="1"/>
  <c r="DL78" i="15"/>
  <c r="DM78" i="15"/>
  <c r="DN78" i="15"/>
  <c r="DL79" i="15"/>
  <c r="DM79" i="15"/>
  <c r="DN79" i="15"/>
  <c r="DL80" i="15"/>
  <c r="DM80" i="15"/>
  <c r="DN80" i="15"/>
  <c r="DM81" i="15"/>
  <c r="DL82" i="15"/>
  <c r="DM82" i="15"/>
  <c r="DN82" i="15"/>
  <c r="DL83" i="15"/>
  <c r="DM83" i="15"/>
  <c r="DN83" i="15"/>
  <c r="DL84" i="15"/>
  <c r="DM84" i="15"/>
  <c r="DN84" i="15"/>
  <c r="DL85" i="15"/>
  <c r="DM85" i="15"/>
  <c r="DN85" i="15"/>
  <c r="DL86" i="15"/>
  <c r="DM86" i="15"/>
  <c r="DN86" i="15"/>
  <c r="DL87" i="15"/>
  <c r="DM87" i="15"/>
  <c r="DN87" i="15"/>
  <c r="DL88" i="15"/>
  <c r="DM88" i="15"/>
  <c r="DN88" i="15"/>
  <c r="DL89" i="15"/>
  <c r="DM89" i="15"/>
  <c r="DN89" i="15"/>
  <c r="DL92" i="15"/>
  <c r="DM92" i="15"/>
  <c r="DN92" i="15"/>
  <c r="DL93" i="15"/>
  <c r="DM93" i="15"/>
  <c r="DN93" i="15"/>
  <c r="DM2" i="15"/>
  <c r="DN2" i="15"/>
  <c r="DL2" i="15"/>
  <c r="DI3" i="15"/>
  <c r="DJ3" i="15"/>
  <c r="DK3" i="15"/>
  <c r="DI4" i="15"/>
  <c r="DJ4" i="15"/>
  <c r="DK4" i="15"/>
  <c r="DI5" i="15"/>
  <c r="DJ5" i="15"/>
  <c r="DK5" i="15"/>
  <c r="DI6" i="15"/>
  <c r="DJ6" i="15"/>
  <c r="DK6" i="15"/>
  <c r="DI7" i="15"/>
  <c r="DJ7" i="15"/>
  <c r="DK7" i="15"/>
  <c r="DI8" i="15"/>
  <c r="DJ8" i="15"/>
  <c r="DK8" i="15"/>
  <c r="DI9" i="15"/>
  <c r="DI10" i="15"/>
  <c r="DJ10" i="15"/>
  <c r="DK10" i="15"/>
  <c r="DI11" i="15"/>
  <c r="DJ11" i="15"/>
  <c r="DK11" i="15"/>
  <c r="DI12" i="15"/>
  <c r="DJ12" i="15"/>
  <c r="DK12" i="15"/>
  <c r="DI14" i="15"/>
  <c r="DJ14" i="15"/>
  <c r="DK14" i="15"/>
  <c r="DI15" i="15"/>
  <c r="DJ15" i="15"/>
  <c r="DK15" i="15"/>
  <c r="DI16" i="15"/>
  <c r="DJ16" i="15"/>
  <c r="DK16" i="15"/>
  <c r="DI17" i="15"/>
  <c r="B290" i="15" s="1"/>
  <c r="E290" i="15" s="1"/>
  <c r="DJ17" i="15"/>
  <c r="C290" i="15" s="1"/>
  <c r="F290" i="15" s="1"/>
  <c r="DK17" i="15"/>
  <c r="D290" i="15" s="1"/>
  <c r="G290" i="15" s="1"/>
  <c r="DI18" i="15"/>
  <c r="DJ18" i="15"/>
  <c r="DK18" i="15"/>
  <c r="DI20" i="15"/>
  <c r="DJ20" i="15"/>
  <c r="DK20" i="15"/>
  <c r="DI21" i="15"/>
  <c r="DJ21" i="15"/>
  <c r="DK21" i="15"/>
  <c r="DI22" i="15"/>
  <c r="DJ22" i="15"/>
  <c r="DK22" i="15"/>
  <c r="DI24" i="15"/>
  <c r="DJ24" i="15"/>
  <c r="DK24" i="15"/>
  <c r="DI25" i="15"/>
  <c r="DJ25" i="15"/>
  <c r="DK25" i="15"/>
  <c r="DI26" i="15"/>
  <c r="DJ26" i="15"/>
  <c r="DK26" i="15"/>
  <c r="DI27" i="15"/>
  <c r="DJ27" i="15"/>
  <c r="DK27" i="15"/>
  <c r="DI28" i="15"/>
  <c r="DJ28" i="15"/>
  <c r="DK28" i="15"/>
  <c r="DI29" i="15"/>
  <c r="DJ29" i="15"/>
  <c r="DK29" i="15"/>
  <c r="DI30" i="15"/>
  <c r="DJ30" i="15"/>
  <c r="DK30" i="15"/>
  <c r="DI31" i="15"/>
  <c r="DJ31" i="15"/>
  <c r="DK31" i="15"/>
  <c r="DI32" i="15"/>
  <c r="DJ32" i="15"/>
  <c r="DK32" i="15"/>
  <c r="DI33" i="15"/>
  <c r="DJ33" i="15"/>
  <c r="DK33" i="15"/>
  <c r="DI34" i="15"/>
  <c r="DJ34" i="15"/>
  <c r="DK34" i="15"/>
  <c r="DI35" i="15"/>
  <c r="DJ35" i="15"/>
  <c r="DK35" i="15"/>
  <c r="DI36" i="15"/>
  <c r="DJ36" i="15"/>
  <c r="DK36" i="15"/>
  <c r="DI37" i="15"/>
  <c r="DJ37" i="15"/>
  <c r="DK37" i="15"/>
  <c r="DI38" i="15"/>
  <c r="DJ38" i="15"/>
  <c r="DK38" i="15"/>
  <c r="DI39" i="15"/>
  <c r="DJ39" i="15"/>
  <c r="DK39" i="15"/>
  <c r="DI40" i="15"/>
  <c r="DJ40" i="15"/>
  <c r="DK40" i="15"/>
  <c r="DI41" i="15"/>
  <c r="DJ41" i="15"/>
  <c r="DK41" i="15"/>
  <c r="DI42" i="15"/>
  <c r="DI43" i="15"/>
  <c r="DJ43" i="15"/>
  <c r="DK43" i="15"/>
  <c r="DI44" i="15"/>
  <c r="DJ44" i="15"/>
  <c r="DK44" i="15"/>
  <c r="DI45" i="15"/>
  <c r="DJ45" i="15"/>
  <c r="DK45" i="15"/>
  <c r="DI46" i="15"/>
  <c r="DJ46" i="15"/>
  <c r="DK46" i="15"/>
  <c r="DI47" i="15"/>
  <c r="DJ47" i="15"/>
  <c r="DK47" i="15"/>
  <c r="DI48" i="15"/>
  <c r="DJ48" i="15"/>
  <c r="DK48" i="15"/>
  <c r="DI49" i="15"/>
  <c r="DJ49" i="15"/>
  <c r="DK49" i="15"/>
  <c r="DI50" i="15"/>
  <c r="DJ50" i="15"/>
  <c r="DK50" i="15"/>
  <c r="DI51" i="15"/>
  <c r="DJ51" i="15"/>
  <c r="DK51" i="15"/>
  <c r="DI52" i="15"/>
  <c r="DI53" i="15"/>
  <c r="DJ53" i="15"/>
  <c r="DK53" i="15"/>
  <c r="DI54" i="15"/>
  <c r="DJ54" i="15"/>
  <c r="DK54" i="15"/>
  <c r="DI55" i="15"/>
  <c r="DJ55" i="15"/>
  <c r="DK55" i="15"/>
  <c r="DI56" i="15"/>
  <c r="DJ56" i="15"/>
  <c r="DK56" i="15"/>
  <c r="DI57" i="15"/>
  <c r="DJ57" i="15"/>
  <c r="DK57" i="15"/>
  <c r="DI58" i="15"/>
  <c r="DJ58" i="15"/>
  <c r="DK58" i="15"/>
  <c r="DI59" i="15"/>
  <c r="DJ59" i="15"/>
  <c r="DK59" i="15"/>
  <c r="DI60" i="15"/>
  <c r="DJ60" i="15"/>
  <c r="DK60" i="15"/>
  <c r="DI61" i="15"/>
  <c r="DJ61" i="15"/>
  <c r="DK61" i="15"/>
  <c r="DI62" i="15"/>
  <c r="DJ62" i="15"/>
  <c r="DK62" i="15"/>
  <c r="DI63" i="15"/>
  <c r="DJ63" i="15"/>
  <c r="DK63" i="15"/>
  <c r="DI64" i="15"/>
  <c r="DJ64" i="15"/>
  <c r="DK64" i="15"/>
  <c r="DI65" i="15"/>
  <c r="DJ65" i="15"/>
  <c r="DK65" i="15"/>
  <c r="DI66" i="15"/>
  <c r="DJ66" i="15"/>
  <c r="DK66" i="15"/>
  <c r="DI67" i="15"/>
  <c r="DJ67" i="15"/>
  <c r="DK67" i="15"/>
  <c r="DI68" i="15"/>
  <c r="DJ68" i="15"/>
  <c r="DK68" i="15"/>
  <c r="DI69" i="15"/>
  <c r="DJ69" i="15"/>
  <c r="DK69" i="15"/>
  <c r="DI70" i="15"/>
  <c r="DJ70" i="15"/>
  <c r="DK70" i="15"/>
  <c r="DI71" i="15"/>
  <c r="DJ71" i="15"/>
  <c r="DK71" i="15"/>
  <c r="DI72" i="15"/>
  <c r="DJ72" i="15"/>
  <c r="DK72" i="15"/>
  <c r="DI73" i="15"/>
  <c r="DJ73" i="15"/>
  <c r="DK73" i="15"/>
  <c r="DI74" i="15"/>
  <c r="DJ74" i="15"/>
  <c r="DK74" i="15"/>
  <c r="DI75" i="15"/>
  <c r="B293" i="15" s="1"/>
  <c r="E293" i="15" s="1"/>
  <c r="DJ75" i="15"/>
  <c r="C293" i="15" s="1"/>
  <c r="F293" i="15" s="1"/>
  <c r="DK75" i="15"/>
  <c r="D293" i="15" s="1"/>
  <c r="G293" i="15" s="1"/>
  <c r="DI76" i="15"/>
  <c r="B294" i="15" s="1"/>
  <c r="E294" i="15" s="1"/>
  <c r="DJ76" i="15"/>
  <c r="C294" i="15" s="1"/>
  <c r="F294" i="15" s="1"/>
  <c r="DK76" i="15"/>
  <c r="D294" i="15" s="1"/>
  <c r="G294" i="15" s="1"/>
  <c r="DI78" i="15"/>
  <c r="DJ78" i="15"/>
  <c r="DK78" i="15"/>
  <c r="DI79" i="15"/>
  <c r="DJ79" i="15"/>
  <c r="DK79" i="15"/>
  <c r="DI80" i="15"/>
  <c r="DJ80" i="15"/>
  <c r="DK80" i="15"/>
  <c r="DI82" i="15"/>
  <c r="DJ82" i="15"/>
  <c r="DK82" i="15"/>
  <c r="DI83" i="15"/>
  <c r="DJ83" i="15"/>
  <c r="DK83" i="15"/>
  <c r="DI84" i="15"/>
  <c r="DJ84" i="15"/>
  <c r="DK84" i="15"/>
  <c r="DI85" i="15"/>
  <c r="DJ85" i="15"/>
  <c r="DK85" i="15"/>
  <c r="DI86" i="15"/>
  <c r="DJ86" i="15"/>
  <c r="DK86" i="15"/>
  <c r="DI87" i="15"/>
  <c r="DJ87" i="15"/>
  <c r="DK87" i="15"/>
  <c r="DI88" i="15"/>
  <c r="DJ88" i="15"/>
  <c r="DK88" i="15"/>
  <c r="DI89" i="15"/>
  <c r="DJ89" i="15"/>
  <c r="DK89" i="15"/>
  <c r="DJ90" i="15"/>
  <c r="DI92" i="15"/>
  <c r="DJ92" i="15"/>
  <c r="DK92" i="15"/>
  <c r="DI93" i="15"/>
  <c r="DJ93" i="15"/>
  <c r="DK93" i="15"/>
  <c r="DJ2" i="15"/>
  <c r="DK2" i="15"/>
  <c r="DI2" i="15"/>
  <c r="DF3" i="15"/>
  <c r="DG3" i="15"/>
  <c r="DH3" i="15"/>
  <c r="DF4" i="15"/>
  <c r="DG4" i="15"/>
  <c r="DH4" i="15"/>
  <c r="DF5" i="15"/>
  <c r="DG5" i="15"/>
  <c r="DH5" i="15"/>
  <c r="DF6" i="15"/>
  <c r="DG6" i="15"/>
  <c r="DH6" i="15"/>
  <c r="DF7" i="15"/>
  <c r="DG7" i="15"/>
  <c r="DH7" i="15"/>
  <c r="DF8" i="15"/>
  <c r="DG8" i="15"/>
  <c r="DH8" i="15"/>
  <c r="DH9" i="15"/>
  <c r="DF10" i="15"/>
  <c r="DG10" i="15"/>
  <c r="DH10" i="15"/>
  <c r="DF11" i="15"/>
  <c r="DG11" i="15"/>
  <c r="DH11" i="15"/>
  <c r="DF12" i="15"/>
  <c r="DG12" i="15"/>
  <c r="DH12" i="15"/>
  <c r="DF13" i="15"/>
  <c r="DF14" i="15"/>
  <c r="DG14" i="15"/>
  <c r="DH14" i="15"/>
  <c r="DF15" i="15"/>
  <c r="DG15" i="15"/>
  <c r="DH15" i="15"/>
  <c r="DF16" i="15"/>
  <c r="DG16" i="15"/>
  <c r="DH16" i="15"/>
  <c r="DF17" i="15"/>
  <c r="B273" i="15" s="1"/>
  <c r="DG17" i="15"/>
  <c r="C273" i="15" s="1"/>
  <c r="F273" i="15" s="1"/>
  <c r="DH17" i="15"/>
  <c r="D273" i="15" s="1"/>
  <c r="G273" i="15" s="1"/>
  <c r="DF18" i="15"/>
  <c r="DG18" i="15"/>
  <c r="DH18" i="15"/>
  <c r="DF19" i="15"/>
  <c r="DF20" i="15"/>
  <c r="DG20" i="15"/>
  <c r="DH20" i="15"/>
  <c r="DF21" i="15"/>
  <c r="DG21" i="15"/>
  <c r="DH21" i="15"/>
  <c r="DF22" i="15"/>
  <c r="DG22" i="15"/>
  <c r="DH22" i="15"/>
  <c r="DF23" i="15"/>
  <c r="DF24" i="15"/>
  <c r="DG24" i="15"/>
  <c r="DH24" i="15"/>
  <c r="DF25" i="15"/>
  <c r="DG25" i="15"/>
  <c r="DH25" i="15"/>
  <c r="DF26" i="15"/>
  <c r="DG26" i="15"/>
  <c r="DH26" i="15"/>
  <c r="DF27" i="15"/>
  <c r="DG27" i="15"/>
  <c r="DH27" i="15"/>
  <c r="DF28" i="15"/>
  <c r="DG28" i="15"/>
  <c r="DH28" i="15"/>
  <c r="DF29" i="15"/>
  <c r="DG29" i="15"/>
  <c r="DH29" i="15"/>
  <c r="DF30" i="15"/>
  <c r="DG30" i="15"/>
  <c r="DH30" i="15"/>
  <c r="DF31" i="15"/>
  <c r="DG31" i="15"/>
  <c r="DH31" i="15"/>
  <c r="DF32" i="15"/>
  <c r="DG32" i="15"/>
  <c r="DH32" i="15"/>
  <c r="DF33" i="15"/>
  <c r="DG33" i="15"/>
  <c r="DH33" i="15"/>
  <c r="DF34" i="15"/>
  <c r="DG34" i="15"/>
  <c r="DH34" i="15"/>
  <c r="DF35" i="15"/>
  <c r="DG35" i="15"/>
  <c r="DH35" i="15"/>
  <c r="DF36" i="15"/>
  <c r="DG36" i="15"/>
  <c r="DH36" i="15"/>
  <c r="DF37" i="15"/>
  <c r="DG37" i="15"/>
  <c r="DH37" i="15"/>
  <c r="DF38" i="15"/>
  <c r="DG38" i="15"/>
  <c r="DH38" i="15"/>
  <c r="DF39" i="15"/>
  <c r="DG39" i="15"/>
  <c r="DH39" i="15"/>
  <c r="DF40" i="15"/>
  <c r="DG40" i="15"/>
  <c r="DH40" i="15"/>
  <c r="DF41" i="15"/>
  <c r="DG41" i="15"/>
  <c r="DH41" i="15"/>
  <c r="DH42" i="15"/>
  <c r="DF43" i="15"/>
  <c r="DG43" i="15"/>
  <c r="DH43" i="15"/>
  <c r="DF44" i="15"/>
  <c r="DG44" i="15"/>
  <c r="DH44" i="15"/>
  <c r="DF45" i="15"/>
  <c r="DG45" i="15"/>
  <c r="DH45" i="15"/>
  <c r="DF46" i="15"/>
  <c r="DG46" i="15"/>
  <c r="DH46" i="15"/>
  <c r="DF47" i="15"/>
  <c r="DG47" i="15"/>
  <c r="DH47" i="15"/>
  <c r="DF48" i="15"/>
  <c r="DG48" i="15"/>
  <c r="DH48" i="15"/>
  <c r="DF49" i="15"/>
  <c r="DG49" i="15"/>
  <c r="DH49" i="15"/>
  <c r="DF50" i="15"/>
  <c r="DG50" i="15"/>
  <c r="DH50" i="15"/>
  <c r="DF51" i="15"/>
  <c r="DG51" i="15"/>
  <c r="DH51" i="15"/>
  <c r="DF53" i="15"/>
  <c r="DG53" i="15"/>
  <c r="DH53" i="15"/>
  <c r="DF54" i="15"/>
  <c r="DG54" i="15"/>
  <c r="DH54" i="15"/>
  <c r="DF55" i="15"/>
  <c r="DG55" i="15"/>
  <c r="DH55" i="15"/>
  <c r="DF56" i="15"/>
  <c r="DG56" i="15"/>
  <c r="DH56" i="15"/>
  <c r="DF57" i="15"/>
  <c r="DG57" i="15"/>
  <c r="DH57" i="15"/>
  <c r="DF58" i="15"/>
  <c r="DG58" i="15"/>
  <c r="DH58" i="15"/>
  <c r="DF59" i="15"/>
  <c r="DG59" i="15"/>
  <c r="DH59" i="15"/>
  <c r="DF60" i="15"/>
  <c r="DG60" i="15"/>
  <c r="DH60" i="15"/>
  <c r="DF61" i="15"/>
  <c r="DG61" i="15"/>
  <c r="DH61" i="15"/>
  <c r="DF62" i="15"/>
  <c r="DG62" i="15"/>
  <c r="DH62" i="15"/>
  <c r="DF63" i="15"/>
  <c r="DG63" i="15"/>
  <c r="DH63" i="15"/>
  <c r="DF64" i="15"/>
  <c r="DG64" i="15"/>
  <c r="DH64" i="15"/>
  <c r="DF65" i="15"/>
  <c r="DG65" i="15"/>
  <c r="DH65" i="15"/>
  <c r="DF66" i="15"/>
  <c r="DG66" i="15"/>
  <c r="DH66" i="15"/>
  <c r="DF67" i="15"/>
  <c r="DG67" i="15"/>
  <c r="DH67" i="15"/>
  <c r="DF68" i="15"/>
  <c r="DG68" i="15"/>
  <c r="DH68" i="15"/>
  <c r="DF69" i="15"/>
  <c r="DG69" i="15"/>
  <c r="DH69" i="15"/>
  <c r="DF70" i="15"/>
  <c r="DG70" i="15"/>
  <c r="DH70" i="15"/>
  <c r="DF71" i="15"/>
  <c r="DG71" i="15"/>
  <c r="DH71" i="15"/>
  <c r="DF72" i="15"/>
  <c r="DG72" i="15"/>
  <c r="DH72" i="15"/>
  <c r="DF73" i="15"/>
  <c r="DG73" i="15"/>
  <c r="DH73" i="15"/>
  <c r="DF74" i="15"/>
  <c r="DG74" i="15"/>
  <c r="DH74" i="15"/>
  <c r="DF75" i="15"/>
  <c r="B276" i="15" s="1"/>
  <c r="E276" i="15" s="1"/>
  <c r="DG75" i="15"/>
  <c r="C276" i="15" s="1"/>
  <c r="F276" i="15" s="1"/>
  <c r="DH75" i="15"/>
  <c r="D276" i="15" s="1"/>
  <c r="G276" i="15" s="1"/>
  <c r="DF76" i="15"/>
  <c r="B277" i="15" s="1"/>
  <c r="E277" i="15" s="1"/>
  <c r="DG76" i="15"/>
  <c r="C277" i="15" s="1"/>
  <c r="F277" i="15" s="1"/>
  <c r="DH76" i="15"/>
  <c r="D277" i="15" s="1"/>
  <c r="G277" i="15" s="1"/>
  <c r="DF78" i="15"/>
  <c r="DG78" i="15"/>
  <c r="DH78" i="15"/>
  <c r="DF79" i="15"/>
  <c r="DG79" i="15"/>
  <c r="DH79" i="15"/>
  <c r="DF80" i="15"/>
  <c r="DG80" i="15"/>
  <c r="DH80" i="15"/>
  <c r="DF81" i="15"/>
  <c r="DF82" i="15"/>
  <c r="DG82" i="15"/>
  <c r="DH82" i="15"/>
  <c r="DF83" i="15"/>
  <c r="DG83" i="15"/>
  <c r="DH83" i="15"/>
  <c r="DF84" i="15"/>
  <c r="DG84" i="15"/>
  <c r="DH84" i="15"/>
  <c r="DF85" i="15"/>
  <c r="B280" i="15" s="1"/>
  <c r="DG85" i="15"/>
  <c r="C280" i="15" s="1"/>
  <c r="F280" i="15" s="1"/>
  <c r="DH85" i="15"/>
  <c r="D280" i="15" s="1"/>
  <c r="G280" i="15" s="1"/>
  <c r="DF86" i="15"/>
  <c r="B281" i="15" s="1"/>
  <c r="E281" i="15" s="1"/>
  <c r="DG86" i="15"/>
  <c r="C281" i="15" s="1"/>
  <c r="F281" i="15" s="1"/>
  <c r="DH86" i="15"/>
  <c r="D281" i="15" s="1"/>
  <c r="G281" i="15" s="1"/>
  <c r="DF87" i="15"/>
  <c r="DG87" i="15"/>
  <c r="DH87" i="15"/>
  <c r="DF88" i="15"/>
  <c r="DG88" i="15"/>
  <c r="DH88" i="15"/>
  <c r="DF89" i="15"/>
  <c r="DG89" i="15"/>
  <c r="DH89" i="15"/>
  <c r="DF92" i="15"/>
  <c r="DG92" i="15"/>
  <c r="DH92" i="15"/>
  <c r="DF93" i="15"/>
  <c r="DG93" i="15"/>
  <c r="DH93" i="15"/>
  <c r="DG94" i="15"/>
  <c r="C283" i="15" s="1"/>
  <c r="F283" i="15" s="1"/>
  <c r="DH94" i="15"/>
  <c r="D283" i="15" s="1"/>
  <c r="G283" i="15" s="1"/>
  <c r="DG2" i="15"/>
  <c r="DH2" i="15"/>
  <c r="DF2" i="15"/>
  <c r="DC3" i="15"/>
  <c r="DD3" i="15"/>
  <c r="DE3" i="15"/>
  <c r="DC4" i="15"/>
  <c r="DD4" i="15"/>
  <c r="DE4" i="15"/>
  <c r="DC5" i="15"/>
  <c r="DD5" i="15"/>
  <c r="DE5" i="15"/>
  <c r="DC6" i="15"/>
  <c r="DD6" i="15"/>
  <c r="DE6" i="15"/>
  <c r="DC7" i="15"/>
  <c r="DD7" i="15"/>
  <c r="DE7" i="15"/>
  <c r="DC8" i="15"/>
  <c r="DD8" i="15"/>
  <c r="DE8" i="15"/>
  <c r="DC10" i="15"/>
  <c r="DD10" i="15"/>
  <c r="DE10" i="15"/>
  <c r="DC11" i="15"/>
  <c r="DD11" i="15"/>
  <c r="DE11" i="15"/>
  <c r="DC12" i="15"/>
  <c r="DD12" i="15"/>
  <c r="DE12" i="15"/>
  <c r="DC14" i="15"/>
  <c r="DD14" i="15"/>
  <c r="DE14" i="15"/>
  <c r="DC15" i="15"/>
  <c r="DD15" i="15"/>
  <c r="DE15" i="15"/>
  <c r="DC16" i="15"/>
  <c r="DD16" i="15"/>
  <c r="DE16" i="15"/>
  <c r="DC17" i="15"/>
  <c r="B256" i="15" s="1"/>
  <c r="E256" i="15" s="1"/>
  <c r="DD17" i="15"/>
  <c r="C256" i="15" s="1"/>
  <c r="F256" i="15" s="1"/>
  <c r="DE17" i="15"/>
  <c r="D256" i="15" s="1"/>
  <c r="G256" i="15" s="1"/>
  <c r="DC18" i="15"/>
  <c r="DD18" i="15"/>
  <c r="DE18" i="15"/>
  <c r="DC19" i="15"/>
  <c r="DD19" i="15"/>
  <c r="DC20" i="15"/>
  <c r="DD20" i="15"/>
  <c r="DE20" i="15"/>
  <c r="DC21" i="15"/>
  <c r="DD21" i="15"/>
  <c r="DE21" i="15"/>
  <c r="DC22" i="15"/>
  <c r="DD22" i="15"/>
  <c r="DE22" i="15"/>
  <c r="DC24" i="15"/>
  <c r="DD24" i="15"/>
  <c r="DE24" i="15"/>
  <c r="DC25" i="15"/>
  <c r="DD25" i="15"/>
  <c r="DE25" i="15"/>
  <c r="DC26" i="15"/>
  <c r="DD26" i="15"/>
  <c r="DE26" i="15"/>
  <c r="DC27" i="15"/>
  <c r="DD27" i="15"/>
  <c r="DE27" i="15"/>
  <c r="DC28" i="15"/>
  <c r="DD28" i="15"/>
  <c r="DE28" i="15"/>
  <c r="DC29" i="15"/>
  <c r="DD29" i="15"/>
  <c r="DE29" i="15"/>
  <c r="DC30" i="15"/>
  <c r="DD30" i="15"/>
  <c r="DE30" i="15"/>
  <c r="DC31" i="15"/>
  <c r="DD31" i="15"/>
  <c r="DE31" i="15"/>
  <c r="DC32" i="15"/>
  <c r="DD32" i="15"/>
  <c r="DE32" i="15"/>
  <c r="DC33" i="15"/>
  <c r="DD33" i="15"/>
  <c r="DE33" i="15"/>
  <c r="DC34" i="15"/>
  <c r="DD34" i="15"/>
  <c r="DE34" i="15"/>
  <c r="DC35" i="15"/>
  <c r="DD35" i="15"/>
  <c r="DE35" i="15"/>
  <c r="DC36" i="15"/>
  <c r="DD36" i="15"/>
  <c r="DE36" i="15"/>
  <c r="DC37" i="15"/>
  <c r="DD37" i="15"/>
  <c r="DE37" i="15"/>
  <c r="DC38" i="15"/>
  <c r="DD38" i="15"/>
  <c r="DE38" i="15"/>
  <c r="DC39" i="15"/>
  <c r="DD39" i="15"/>
  <c r="DE39" i="15"/>
  <c r="DC40" i="15"/>
  <c r="DD40" i="15"/>
  <c r="DE40" i="15"/>
  <c r="DC41" i="15"/>
  <c r="DD41" i="15"/>
  <c r="DE41" i="15"/>
  <c r="DD42" i="15"/>
  <c r="DE42" i="15"/>
  <c r="DC43" i="15"/>
  <c r="DD43" i="15"/>
  <c r="DE43" i="15"/>
  <c r="DC44" i="15"/>
  <c r="DD44" i="15"/>
  <c r="DE44" i="15"/>
  <c r="DC45" i="15"/>
  <c r="DD45" i="15"/>
  <c r="DE45" i="15"/>
  <c r="DC46" i="15"/>
  <c r="DD46" i="15"/>
  <c r="DE46" i="15"/>
  <c r="DC47" i="15"/>
  <c r="DD47" i="15"/>
  <c r="DE47" i="15"/>
  <c r="DC48" i="15"/>
  <c r="DD48" i="15"/>
  <c r="DE48" i="15"/>
  <c r="DC49" i="15"/>
  <c r="DD49" i="15"/>
  <c r="DE49" i="15"/>
  <c r="DC50" i="15"/>
  <c r="DD50" i="15"/>
  <c r="DE50" i="15"/>
  <c r="DC51" i="15"/>
  <c r="DD51" i="15"/>
  <c r="DE51" i="15"/>
  <c r="DE52" i="15"/>
  <c r="DC53" i="15"/>
  <c r="DD53" i="15"/>
  <c r="DE53" i="15"/>
  <c r="DC54" i="15"/>
  <c r="DD54" i="15"/>
  <c r="DE54" i="15"/>
  <c r="DC55" i="15"/>
  <c r="DD55" i="15"/>
  <c r="DE55" i="15"/>
  <c r="DC56" i="15"/>
  <c r="DD56" i="15"/>
  <c r="DE56" i="15"/>
  <c r="DC57" i="15"/>
  <c r="DD57" i="15"/>
  <c r="DE57" i="15"/>
  <c r="DC58" i="15"/>
  <c r="DD58" i="15"/>
  <c r="DE58" i="15"/>
  <c r="DC59" i="15"/>
  <c r="DD59" i="15"/>
  <c r="DE59" i="15"/>
  <c r="DC60" i="15"/>
  <c r="DD60" i="15"/>
  <c r="DE60" i="15"/>
  <c r="DC61" i="15"/>
  <c r="DD61" i="15"/>
  <c r="DE61" i="15"/>
  <c r="DC62" i="15"/>
  <c r="DD62" i="15"/>
  <c r="DE62" i="15"/>
  <c r="DC63" i="15"/>
  <c r="DD63" i="15"/>
  <c r="DE63" i="15"/>
  <c r="DC64" i="15"/>
  <c r="DD64" i="15"/>
  <c r="DE64" i="15"/>
  <c r="DC65" i="15"/>
  <c r="DD65" i="15"/>
  <c r="DE65" i="15"/>
  <c r="DC66" i="15"/>
  <c r="DD66" i="15"/>
  <c r="DE66" i="15"/>
  <c r="DC67" i="15"/>
  <c r="DD67" i="15"/>
  <c r="DE67" i="15"/>
  <c r="DC68" i="15"/>
  <c r="DD68" i="15"/>
  <c r="DE68" i="15"/>
  <c r="DC69" i="15"/>
  <c r="DD69" i="15"/>
  <c r="DE69" i="15"/>
  <c r="DC70" i="15"/>
  <c r="DD70" i="15"/>
  <c r="DE70" i="15"/>
  <c r="DC71" i="15"/>
  <c r="DD71" i="15"/>
  <c r="DE71" i="15"/>
  <c r="DC72" i="15"/>
  <c r="DD72" i="15"/>
  <c r="DE72" i="15"/>
  <c r="DC73" i="15"/>
  <c r="DD73" i="15"/>
  <c r="DE73" i="15"/>
  <c r="DC74" i="15"/>
  <c r="DD74" i="15"/>
  <c r="DE74" i="15"/>
  <c r="DC75" i="15"/>
  <c r="B259" i="15" s="1"/>
  <c r="DD75" i="15"/>
  <c r="C259" i="15" s="1"/>
  <c r="F259" i="15" s="1"/>
  <c r="DE75" i="15"/>
  <c r="D259" i="15" s="1"/>
  <c r="G259" i="15" s="1"/>
  <c r="DC76" i="15"/>
  <c r="B260" i="15" s="1"/>
  <c r="DD76" i="15"/>
  <c r="C260" i="15" s="1"/>
  <c r="F260" i="15" s="1"/>
  <c r="DE76" i="15"/>
  <c r="D260" i="15" s="1"/>
  <c r="G260" i="15" s="1"/>
  <c r="DD77" i="15"/>
  <c r="DD78" i="15"/>
  <c r="DE78" i="15"/>
  <c r="DC79" i="15"/>
  <c r="DD79" i="15"/>
  <c r="DE79" i="15"/>
  <c r="DC80" i="15"/>
  <c r="DD80" i="15"/>
  <c r="DE80" i="15"/>
  <c r="DD81" i="15"/>
  <c r="DC82" i="15"/>
  <c r="DD82" i="15"/>
  <c r="DE82" i="15"/>
  <c r="DC83" i="15"/>
  <c r="DD83" i="15"/>
  <c r="DE83" i="15"/>
  <c r="DC84" i="15"/>
  <c r="DD84" i="15"/>
  <c r="DE84" i="15"/>
  <c r="DC85" i="15"/>
  <c r="B263" i="15" s="1"/>
  <c r="DD85" i="15"/>
  <c r="C263" i="15" s="1"/>
  <c r="F263" i="15" s="1"/>
  <c r="DE85" i="15"/>
  <c r="D263" i="15" s="1"/>
  <c r="G263" i="15" s="1"/>
  <c r="DC86" i="15"/>
  <c r="B264" i="15" s="1"/>
  <c r="DD86" i="15"/>
  <c r="C264" i="15" s="1"/>
  <c r="F264" i="15" s="1"/>
  <c r="DE86" i="15"/>
  <c r="D264" i="15" s="1"/>
  <c r="G264" i="15" s="1"/>
  <c r="DC87" i="15"/>
  <c r="DD87" i="15"/>
  <c r="DE87" i="15"/>
  <c r="DC88" i="15"/>
  <c r="DD88" i="15"/>
  <c r="DE88" i="15"/>
  <c r="DC89" i="15"/>
  <c r="DD89" i="15"/>
  <c r="DE89" i="15"/>
  <c r="DE90" i="15"/>
  <c r="DD91" i="15"/>
  <c r="DC92" i="15"/>
  <c r="DD92" i="15"/>
  <c r="DE92" i="15"/>
  <c r="DC93" i="15"/>
  <c r="DD93" i="15"/>
  <c r="DE93" i="15"/>
  <c r="DD94" i="15"/>
  <c r="C266" i="15" s="1"/>
  <c r="F266" i="15" s="1"/>
  <c r="DD2" i="15"/>
  <c r="DE2" i="15"/>
  <c r="DC2" i="15"/>
  <c r="CZ3" i="15"/>
  <c r="DA3" i="15"/>
  <c r="DB3" i="15"/>
  <c r="CZ4" i="15"/>
  <c r="DA4" i="15"/>
  <c r="DB4" i="15"/>
  <c r="CZ5" i="15"/>
  <c r="DA5" i="15"/>
  <c r="DB5" i="15"/>
  <c r="CZ6" i="15"/>
  <c r="DA6" i="15"/>
  <c r="DB6" i="15"/>
  <c r="CZ7" i="15"/>
  <c r="DA7" i="15"/>
  <c r="DB7" i="15"/>
  <c r="CZ8" i="15"/>
  <c r="DA8" i="15"/>
  <c r="DB8" i="15"/>
  <c r="DA9" i="15"/>
  <c r="CZ10" i="15"/>
  <c r="DA10" i="15"/>
  <c r="DB10" i="15"/>
  <c r="CZ11" i="15"/>
  <c r="DA11" i="15"/>
  <c r="DB11" i="15"/>
  <c r="CZ12" i="15"/>
  <c r="DA12" i="15"/>
  <c r="DB12" i="15"/>
  <c r="CZ14" i="15"/>
  <c r="DA14" i="15"/>
  <c r="DB14" i="15"/>
  <c r="CZ15" i="15"/>
  <c r="DA15" i="15"/>
  <c r="DB15" i="15"/>
  <c r="CZ16" i="15"/>
  <c r="DA16" i="15"/>
  <c r="DB16" i="15"/>
  <c r="CZ17" i="15"/>
  <c r="DA17" i="15"/>
  <c r="DB17" i="15"/>
  <c r="CZ18" i="15"/>
  <c r="DA18" i="15"/>
  <c r="DB18" i="15"/>
  <c r="DB19" i="15"/>
  <c r="CZ20" i="15"/>
  <c r="DA20" i="15"/>
  <c r="DB20" i="15"/>
  <c r="CZ21" i="15"/>
  <c r="DA21" i="15"/>
  <c r="DB21" i="15"/>
  <c r="CZ22" i="15"/>
  <c r="DA22" i="15"/>
  <c r="DB22" i="15"/>
  <c r="CZ24" i="15"/>
  <c r="DA24" i="15"/>
  <c r="DB24" i="15"/>
  <c r="CZ25" i="15"/>
  <c r="DA25" i="15"/>
  <c r="DB25" i="15"/>
  <c r="CZ26" i="15"/>
  <c r="DA26" i="15"/>
  <c r="DB26" i="15"/>
  <c r="CZ27" i="15"/>
  <c r="DA27" i="15"/>
  <c r="DB27" i="15"/>
  <c r="CZ28" i="15"/>
  <c r="DA28" i="15"/>
  <c r="DB28" i="15"/>
  <c r="CZ29" i="15"/>
  <c r="DA29" i="15"/>
  <c r="DB29" i="15"/>
  <c r="CZ30" i="15"/>
  <c r="DA30" i="15"/>
  <c r="DB30" i="15"/>
  <c r="CZ31" i="15"/>
  <c r="DA31" i="15"/>
  <c r="DB31" i="15"/>
  <c r="CZ32" i="15"/>
  <c r="DA32" i="15"/>
  <c r="DB32" i="15"/>
  <c r="CZ33" i="15"/>
  <c r="DA33" i="15"/>
  <c r="DB33" i="15"/>
  <c r="CZ34" i="15"/>
  <c r="DA34" i="15"/>
  <c r="DB34" i="15"/>
  <c r="CZ35" i="15"/>
  <c r="DA35" i="15"/>
  <c r="DB35" i="15"/>
  <c r="CZ36" i="15"/>
  <c r="DA36" i="15"/>
  <c r="DB36" i="15"/>
  <c r="CZ37" i="15"/>
  <c r="DA37" i="15"/>
  <c r="DB37" i="15"/>
  <c r="CZ38" i="15"/>
  <c r="DA38" i="15"/>
  <c r="DB38" i="15"/>
  <c r="CZ39" i="15"/>
  <c r="DA39" i="15"/>
  <c r="DB39" i="15"/>
  <c r="CZ40" i="15"/>
  <c r="DA40" i="15"/>
  <c r="DB40" i="15"/>
  <c r="CZ41" i="15"/>
  <c r="DA41" i="15"/>
  <c r="DB41" i="15"/>
  <c r="CZ42" i="15"/>
  <c r="DA42" i="15"/>
  <c r="CZ43" i="15"/>
  <c r="DA43" i="15"/>
  <c r="DB43" i="15"/>
  <c r="CZ44" i="15"/>
  <c r="DA44" i="15"/>
  <c r="DB44" i="15"/>
  <c r="CZ45" i="15"/>
  <c r="DA45" i="15"/>
  <c r="DB45" i="15"/>
  <c r="CZ46" i="15"/>
  <c r="DA46" i="15"/>
  <c r="DB46" i="15"/>
  <c r="CZ47" i="15"/>
  <c r="DA47" i="15"/>
  <c r="DB47" i="15"/>
  <c r="CZ48" i="15"/>
  <c r="DA48" i="15"/>
  <c r="DB48" i="15"/>
  <c r="CZ49" i="15"/>
  <c r="DA49" i="15"/>
  <c r="DB49" i="15"/>
  <c r="CZ50" i="15"/>
  <c r="DA50" i="15"/>
  <c r="DB50" i="15"/>
  <c r="CZ51" i="15"/>
  <c r="DA51" i="15"/>
  <c r="DB51" i="15"/>
  <c r="DA52" i="15"/>
  <c r="CZ53" i="15"/>
  <c r="DA53" i="15"/>
  <c r="DB53" i="15"/>
  <c r="CZ54" i="15"/>
  <c r="DA54" i="15"/>
  <c r="DB54" i="15"/>
  <c r="CZ55" i="15"/>
  <c r="DA55" i="15"/>
  <c r="DB55" i="15"/>
  <c r="CZ56" i="15"/>
  <c r="DA56" i="15"/>
  <c r="DB56" i="15"/>
  <c r="CZ57" i="15"/>
  <c r="DA57" i="15"/>
  <c r="DB57" i="15"/>
  <c r="CZ58" i="15"/>
  <c r="DA58" i="15"/>
  <c r="DB58" i="15"/>
  <c r="CZ59" i="15"/>
  <c r="DA59" i="15"/>
  <c r="DB59" i="15"/>
  <c r="CZ60" i="15"/>
  <c r="DA60" i="15"/>
  <c r="DB60" i="15"/>
  <c r="CZ61" i="15"/>
  <c r="DA61" i="15"/>
  <c r="DB61" i="15"/>
  <c r="CZ62" i="15"/>
  <c r="DA62" i="15"/>
  <c r="DB62" i="15"/>
  <c r="CZ63" i="15"/>
  <c r="DA63" i="15"/>
  <c r="DB63" i="15"/>
  <c r="CZ64" i="15"/>
  <c r="DA64" i="15"/>
  <c r="DB64" i="15"/>
  <c r="CZ65" i="15"/>
  <c r="DA65" i="15"/>
  <c r="DB65" i="15"/>
  <c r="CZ66" i="15"/>
  <c r="DA66" i="15"/>
  <c r="DB66" i="15"/>
  <c r="CZ67" i="15"/>
  <c r="DA67" i="15"/>
  <c r="DB67" i="15"/>
  <c r="CZ68" i="15"/>
  <c r="DA68" i="15"/>
  <c r="DB68" i="15"/>
  <c r="CZ69" i="15"/>
  <c r="DA69" i="15"/>
  <c r="DB69" i="15"/>
  <c r="CZ70" i="15"/>
  <c r="DA70" i="15"/>
  <c r="DB70" i="15"/>
  <c r="CZ71" i="15"/>
  <c r="DA71" i="15"/>
  <c r="DB71" i="15"/>
  <c r="CZ72" i="15"/>
  <c r="DA72" i="15"/>
  <c r="DB72" i="15"/>
  <c r="CZ73" i="15"/>
  <c r="DA73" i="15"/>
  <c r="DB73" i="15"/>
  <c r="CZ74" i="15"/>
  <c r="DA74" i="15"/>
  <c r="DB74" i="15"/>
  <c r="CZ75" i="15"/>
  <c r="DA75" i="15"/>
  <c r="DB75" i="15"/>
  <c r="CZ76" i="15"/>
  <c r="DA76" i="15"/>
  <c r="DB76" i="15"/>
  <c r="CZ77" i="15"/>
  <c r="CZ78" i="15"/>
  <c r="DA78" i="15"/>
  <c r="DB78" i="15"/>
  <c r="CZ79" i="15"/>
  <c r="DA79" i="15"/>
  <c r="DB79" i="15"/>
  <c r="CZ80" i="15"/>
  <c r="DA80" i="15"/>
  <c r="DB80" i="15"/>
  <c r="CZ81" i="15"/>
  <c r="DA81" i="15"/>
  <c r="DB81" i="15"/>
  <c r="CZ82" i="15"/>
  <c r="DA82" i="15"/>
  <c r="DB82" i="15"/>
  <c r="CZ83" i="15"/>
  <c r="DA83" i="15"/>
  <c r="DB83" i="15"/>
  <c r="CZ84" i="15"/>
  <c r="DA84" i="15"/>
  <c r="DB84" i="15"/>
  <c r="CZ85" i="15"/>
  <c r="DA85" i="15"/>
  <c r="DB85" i="15"/>
  <c r="CZ86" i="15"/>
  <c r="DA86" i="15"/>
  <c r="DB86" i="15"/>
  <c r="CZ87" i="15"/>
  <c r="DA87" i="15"/>
  <c r="DB87" i="15"/>
  <c r="CZ88" i="15"/>
  <c r="DA88" i="15"/>
  <c r="DB88" i="15"/>
  <c r="CZ89" i="15"/>
  <c r="DA89" i="15"/>
  <c r="DB89" i="15"/>
  <c r="DA90" i="15"/>
  <c r="DB90" i="15"/>
  <c r="CZ92" i="15"/>
  <c r="DA92" i="15"/>
  <c r="DB92" i="15"/>
  <c r="CZ93" i="15"/>
  <c r="DA93" i="15"/>
  <c r="DB93" i="15"/>
  <c r="CZ94" i="15"/>
  <c r="DA2" i="15"/>
  <c r="DB2" i="15"/>
  <c r="CZ2" i="15"/>
  <c r="C69" i="9"/>
  <c r="AJ212" i="15"/>
  <c r="AJ211" i="15"/>
  <c r="AJ208" i="15"/>
  <c r="AJ207" i="15"/>
  <c r="AJ204" i="15"/>
  <c r="AJ203" i="15"/>
  <c r="AI212" i="15"/>
  <c r="AI211" i="15"/>
  <c r="AI208" i="15"/>
  <c r="AI207" i="15"/>
  <c r="AI204" i="15"/>
  <c r="AI203" i="15"/>
  <c r="AH212" i="15"/>
  <c r="AH211" i="15"/>
  <c r="AH208" i="15"/>
  <c r="AH207" i="15"/>
  <c r="AH203" i="15"/>
  <c r="AG212" i="15"/>
  <c r="AG211" i="15"/>
  <c r="AG208" i="15"/>
  <c r="AG207" i="15"/>
  <c r="AG204" i="15"/>
  <c r="AG203" i="15"/>
  <c r="AE212" i="15"/>
  <c r="AE211" i="15"/>
  <c r="AE208" i="15"/>
  <c r="AE207" i="15"/>
  <c r="AE204" i="15"/>
  <c r="AE203" i="15"/>
  <c r="AD212" i="15"/>
  <c r="AD211" i="15"/>
  <c r="AD208" i="15"/>
  <c r="AD207" i="15"/>
  <c r="AD204" i="15"/>
  <c r="AD203" i="15"/>
  <c r="AC212" i="15"/>
  <c r="AC211" i="15"/>
  <c r="AC208" i="15"/>
  <c r="AC207" i="15"/>
  <c r="AC204" i="15"/>
  <c r="AC203" i="15"/>
  <c r="AJ195" i="15"/>
  <c r="AJ194" i="15"/>
  <c r="AJ191" i="15"/>
  <c r="AJ190" i="15"/>
  <c r="AJ187" i="15"/>
  <c r="AJ186" i="15"/>
  <c r="AI195" i="15"/>
  <c r="AI194" i="15"/>
  <c r="AI191" i="15"/>
  <c r="AI190" i="15"/>
  <c r="AI187" i="15"/>
  <c r="AI186" i="15"/>
  <c r="AH190" i="15"/>
  <c r="AH186" i="15"/>
  <c r="AG195" i="15"/>
  <c r="AG194" i="15"/>
  <c r="AG191" i="15"/>
  <c r="AG190" i="15"/>
  <c r="AG187" i="15"/>
  <c r="AG186" i="15"/>
  <c r="AE195" i="15"/>
  <c r="AE194" i="15"/>
  <c r="AE191" i="15"/>
  <c r="AE190" i="15"/>
  <c r="AE187" i="15"/>
  <c r="AE186" i="15"/>
  <c r="AD195" i="15"/>
  <c r="AD194" i="15"/>
  <c r="AD191" i="15"/>
  <c r="AD190" i="15"/>
  <c r="AD187" i="15"/>
  <c r="AD186" i="15"/>
  <c r="AC195" i="15"/>
  <c r="AC194" i="15"/>
  <c r="AC191" i="15"/>
  <c r="AC190" i="15"/>
  <c r="AC187" i="15"/>
  <c r="AC186" i="15"/>
  <c r="AJ178" i="15"/>
  <c r="AJ177" i="15"/>
  <c r="AJ174" i="15"/>
  <c r="AJ173" i="15"/>
  <c r="AJ170" i="15"/>
  <c r="AJ169" i="15"/>
  <c r="AI178" i="15"/>
  <c r="AI177" i="15"/>
  <c r="AI174" i="15"/>
  <c r="AI173" i="15"/>
  <c r="AI170" i="15"/>
  <c r="AI169" i="15"/>
  <c r="AH173" i="15"/>
  <c r="AH169" i="15"/>
  <c r="AG178" i="15"/>
  <c r="AG177" i="15"/>
  <c r="AG174" i="15"/>
  <c r="AG173" i="15"/>
  <c r="AG170" i="15"/>
  <c r="AG169" i="15"/>
  <c r="AE178" i="15"/>
  <c r="AE177" i="15"/>
  <c r="AE174" i="15"/>
  <c r="AE173" i="15"/>
  <c r="AF173" i="15" s="1"/>
  <c r="AE170" i="15"/>
  <c r="AE169" i="15"/>
  <c r="AD178" i="15"/>
  <c r="AD177" i="15"/>
  <c r="AD174" i="15"/>
  <c r="AD173" i="15"/>
  <c r="AD170" i="15"/>
  <c r="AD169" i="15"/>
  <c r="AC178" i="15"/>
  <c r="AC177" i="15"/>
  <c r="AC174" i="15"/>
  <c r="AC173" i="15"/>
  <c r="AC170" i="15"/>
  <c r="AC169" i="15"/>
  <c r="AJ161" i="15"/>
  <c r="AJ160" i="15"/>
  <c r="AJ157" i="15"/>
  <c r="AJ156" i="15"/>
  <c r="AJ153" i="15"/>
  <c r="AJ152" i="15"/>
  <c r="AI161" i="15"/>
  <c r="AI160" i="15"/>
  <c r="AI157" i="15"/>
  <c r="AI156" i="15"/>
  <c r="AI153" i="15"/>
  <c r="AI152" i="15"/>
  <c r="AH156" i="15"/>
  <c r="AH152" i="15"/>
  <c r="AG161" i="15"/>
  <c r="AG160" i="15"/>
  <c r="AG159" i="15"/>
  <c r="AG157" i="15"/>
  <c r="AG156" i="15"/>
  <c r="AG153" i="15"/>
  <c r="AG152" i="15"/>
  <c r="AE161" i="15"/>
  <c r="AE160" i="15"/>
  <c r="AE158" i="15"/>
  <c r="AE157" i="15"/>
  <c r="AE156" i="15"/>
  <c r="AE153" i="15"/>
  <c r="AE152" i="15"/>
  <c r="AD161" i="15"/>
  <c r="AD160" i="15"/>
  <c r="AD157" i="15"/>
  <c r="AD156" i="15"/>
  <c r="AD153" i="15"/>
  <c r="AD152" i="15"/>
  <c r="AC161" i="15"/>
  <c r="AC160" i="15"/>
  <c r="AC159" i="15"/>
  <c r="AC157" i="15"/>
  <c r="AC156" i="15"/>
  <c r="AC153" i="15"/>
  <c r="AC152" i="15"/>
  <c r="AI144" i="15"/>
  <c r="AI143" i="15"/>
  <c r="AI140" i="15"/>
  <c r="AI139" i="15"/>
  <c r="AI136" i="15"/>
  <c r="AI135" i="15"/>
  <c r="AH144" i="15"/>
  <c r="AH143" i="15"/>
  <c r="AH139" i="15"/>
  <c r="AH136" i="15"/>
  <c r="AH135" i="15"/>
  <c r="AG144" i="15"/>
  <c r="AG143" i="15"/>
  <c r="AG140" i="15"/>
  <c r="AG139" i="15"/>
  <c r="AG136" i="15"/>
  <c r="AG135" i="15"/>
  <c r="AE144" i="15"/>
  <c r="AE143" i="15"/>
  <c r="AE140" i="15"/>
  <c r="AE139" i="15"/>
  <c r="AE136" i="15"/>
  <c r="AE135" i="15"/>
  <c r="AD144" i="15"/>
  <c r="AD143" i="15"/>
  <c r="AD140" i="15"/>
  <c r="AD139" i="15"/>
  <c r="AD136" i="15"/>
  <c r="AD135" i="15"/>
  <c r="AC144" i="15"/>
  <c r="AC143" i="15"/>
  <c r="AC140" i="15"/>
  <c r="AC139" i="15"/>
  <c r="AC136" i="15"/>
  <c r="AC135" i="15"/>
  <c r="AJ127" i="15"/>
  <c r="AJ126" i="15"/>
  <c r="AJ123" i="15"/>
  <c r="AJ122" i="15"/>
  <c r="AJ119" i="15"/>
  <c r="AJ118" i="15"/>
  <c r="AI127" i="15"/>
  <c r="AI126" i="15"/>
  <c r="AI123" i="15"/>
  <c r="AI122" i="15"/>
  <c r="AI119" i="15"/>
  <c r="AI118" i="15"/>
  <c r="AH123" i="15"/>
  <c r="AH122" i="15"/>
  <c r="AG127" i="15"/>
  <c r="AG126" i="15"/>
  <c r="AG123" i="15"/>
  <c r="AG122" i="15"/>
  <c r="AG119" i="15"/>
  <c r="AG118" i="15"/>
  <c r="AE127" i="15"/>
  <c r="AE126" i="15"/>
  <c r="AE123" i="15"/>
  <c r="AE122" i="15"/>
  <c r="AE119" i="15"/>
  <c r="AE118" i="15"/>
  <c r="AD127" i="15"/>
  <c r="AD126" i="15"/>
  <c r="AD123" i="15"/>
  <c r="AD122" i="15"/>
  <c r="AD119" i="15"/>
  <c r="AD118" i="15"/>
  <c r="AC127" i="15"/>
  <c r="AC126" i="15"/>
  <c r="AC123" i="15"/>
  <c r="AC122" i="15"/>
  <c r="AC119" i="15"/>
  <c r="AC118" i="15"/>
  <c r="AJ110" i="15"/>
  <c r="AJ109" i="15"/>
  <c r="AJ106" i="15"/>
  <c r="AJ105" i="15"/>
  <c r="AJ102" i="15"/>
  <c r="AJ101" i="15"/>
  <c r="K139" i="10"/>
  <c r="K134" i="10"/>
  <c r="K133" i="10"/>
  <c r="K131" i="10"/>
  <c r="K129" i="10"/>
  <c r="K127" i="10"/>
  <c r="K126" i="10"/>
  <c r="K137" i="10"/>
  <c r="K128" i="10"/>
  <c r="AI110" i="15"/>
  <c r="AI109" i="15"/>
  <c r="AI106" i="15"/>
  <c r="AI105" i="15"/>
  <c r="AI102" i="15"/>
  <c r="AI101" i="15"/>
  <c r="AH106" i="15"/>
  <c r="AH102" i="15"/>
  <c r="AH101" i="15"/>
  <c r="AG110" i="15"/>
  <c r="AG109" i="15"/>
  <c r="AG106" i="15"/>
  <c r="AG105" i="15"/>
  <c r="AG102" i="15"/>
  <c r="AG101" i="15"/>
  <c r="AE110" i="15"/>
  <c r="AE109" i="15"/>
  <c r="AE106" i="15"/>
  <c r="AE105" i="15"/>
  <c r="AE102" i="15"/>
  <c r="AE101" i="15"/>
  <c r="AD110" i="15"/>
  <c r="AD109" i="15"/>
  <c r="AD106" i="15"/>
  <c r="AD105" i="15"/>
  <c r="AD102" i="15"/>
  <c r="AD101" i="15"/>
  <c r="AC112" i="15"/>
  <c r="AC110" i="15"/>
  <c r="AC109" i="15"/>
  <c r="AC106" i="15"/>
  <c r="AC105" i="15"/>
  <c r="AC102" i="15"/>
  <c r="AC101" i="15"/>
  <c r="Y206" i="15"/>
  <c r="Y205" i="15"/>
  <c r="Y202" i="15"/>
  <c r="Y159" i="15"/>
  <c r="Y186" i="15"/>
  <c r="Y176" i="15"/>
  <c r="Y172" i="15"/>
  <c r="Y169" i="15"/>
  <c r="Y153" i="15"/>
  <c r="Y152" i="15"/>
  <c r="Y151" i="15"/>
  <c r="Y119" i="15"/>
  <c r="Y112" i="15"/>
  <c r="Y106" i="15"/>
  <c r="Y102" i="15"/>
  <c r="ED94" i="1"/>
  <c r="DR94" i="1"/>
  <c r="V206" i="15"/>
  <c r="V202" i="15"/>
  <c r="S213" i="15"/>
  <c r="S206" i="15"/>
  <c r="P213" i="15"/>
  <c r="P206" i="15"/>
  <c r="P202" i="15"/>
  <c r="J213" i="15"/>
  <c r="J206" i="15"/>
  <c r="M206" i="15" s="1"/>
  <c r="J203" i="15"/>
  <c r="M203" i="15" s="1"/>
  <c r="J202" i="15"/>
  <c r="H210" i="15"/>
  <c r="H209" i="15"/>
  <c r="G214" i="15"/>
  <c r="G213" i="15"/>
  <c r="G206" i="15"/>
  <c r="G202" i="15"/>
  <c r="BE212" i="15"/>
  <c r="BF212" i="15"/>
  <c r="BE211" i="15"/>
  <c r="BF211" i="15"/>
  <c r="BE208" i="15"/>
  <c r="BF208" i="15"/>
  <c r="BE207" i="15"/>
  <c r="BF207" i="15"/>
  <c r="BE204" i="15"/>
  <c r="BF204" i="15"/>
  <c r="BE203" i="15"/>
  <c r="BF203" i="15"/>
  <c r="D213" i="15"/>
  <c r="BD213" i="15" s="1"/>
  <c r="D212" i="15"/>
  <c r="BD212" i="15" s="1"/>
  <c r="D211" i="15"/>
  <c r="BD211" i="15" s="1"/>
  <c r="D208" i="15"/>
  <c r="BD208" i="15" s="1"/>
  <c r="D207" i="15"/>
  <c r="BD207" i="15" s="1"/>
  <c r="D206" i="15"/>
  <c r="BD206" i="15" s="1"/>
  <c r="D204" i="15"/>
  <c r="BD204" i="15" s="1"/>
  <c r="D203" i="15"/>
  <c r="BD203" i="15" s="1"/>
  <c r="D202" i="15"/>
  <c r="BD202" i="15" s="1"/>
  <c r="Y195" i="15"/>
  <c r="Y194" i="15"/>
  <c r="Y193" i="15"/>
  <c r="Y191" i="15"/>
  <c r="Y190" i="15"/>
  <c r="Y187" i="15"/>
  <c r="V195" i="15"/>
  <c r="V194" i="15"/>
  <c r="V193" i="15"/>
  <c r="V191" i="15"/>
  <c r="V190" i="15"/>
  <c r="V187" i="15"/>
  <c r="V186" i="15"/>
  <c r="U196" i="15"/>
  <c r="U189" i="15"/>
  <c r="T186" i="15"/>
  <c r="P195" i="15"/>
  <c r="P194" i="15"/>
  <c r="P192" i="15"/>
  <c r="P191" i="15"/>
  <c r="P190" i="15"/>
  <c r="P187" i="15"/>
  <c r="P186" i="15"/>
  <c r="J197" i="15"/>
  <c r="J195" i="15"/>
  <c r="J194" i="15"/>
  <c r="J191" i="15"/>
  <c r="M191" i="15" s="1"/>
  <c r="J190" i="15"/>
  <c r="J187" i="15"/>
  <c r="J186" i="15"/>
  <c r="G196" i="15"/>
  <c r="G195" i="15"/>
  <c r="G194" i="15"/>
  <c r="G193" i="15"/>
  <c r="G192" i="15"/>
  <c r="G191" i="15"/>
  <c r="G190" i="15"/>
  <c r="G187" i="15"/>
  <c r="G186" i="15"/>
  <c r="BE195" i="15"/>
  <c r="BF195" i="15"/>
  <c r="BE194" i="15"/>
  <c r="BF194" i="15"/>
  <c r="BE191" i="15"/>
  <c r="BF191" i="15"/>
  <c r="BE190" i="15"/>
  <c r="BF190" i="15"/>
  <c r="BE187" i="15"/>
  <c r="BF187" i="15"/>
  <c r="BE186" i="15"/>
  <c r="BF186" i="15"/>
  <c r="D195" i="15"/>
  <c r="BD195" i="15" s="1"/>
  <c r="D194" i="15"/>
  <c r="BD194" i="15" s="1"/>
  <c r="D193" i="15"/>
  <c r="BD193" i="15" s="1"/>
  <c r="D191" i="15"/>
  <c r="BD191" i="15" s="1"/>
  <c r="D190" i="15"/>
  <c r="BD190" i="15" s="1"/>
  <c r="D187" i="15"/>
  <c r="BD187" i="15" s="1"/>
  <c r="D186" i="15"/>
  <c r="BD186" i="15" s="1"/>
  <c r="Y180" i="15"/>
  <c r="Y178" i="15"/>
  <c r="Y177" i="15"/>
  <c r="Y174" i="15"/>
  <c r="Y173" i="15"/>
  <c r="Y170" i="15"/>
  <c r="V178" i="15"/>
  <c r="V177" i="15"/>
  <c r="V176" i="15"/>
  <c r="V174" i="15"/>
  <c r="V173" i="15"/>
  <c r="V172" i="15"/>
  <c r="V171" i="15"/>
  <c r="V170" i="15"/>
  <c r="V169" i="15"/>
  <c r="V168" i="15"/>
  <c r="S172" i="15"/>
  <c r="P178" i="15"/>
  <c r="P177" i="15"/>
  <c r="P174" i="15"/>
  <c r="P173" i="15"/>
  <c r="P172" i="15"/>
  <c r="P170" i="15"/>
  <c r="P169" i="15"/>
  <c r="P168" i="15"/>
  <c r="J179" i="15"/>
  <c r="J178" i="15"/>
  <c r="J177" i="15"/>
  <c r="M177" i="15" s="1"/>
  <c r="J174" i="15"/>
  <c r="J173" i="15"/>
  <c r="J172" i="15"/>
  <c r="M172" i="15" s="1"/>
  <c r="J170" i="15"/>
  <c r="J169" i="15"/>
  <c r="G180" i="15"/>
  <c r="G178" i="15"/>
  <c r="G177" i="15"/>
  <c r="G174" i="15"/>
  <c r="G173" i="15"/>
  <c r="G172" i="15"/>
  <c r="G170" i="15"/>
  <c r="G169" i="15"/>
  <c r="G168" i="15"/>
  <c r="BF178" i="15"/>
  <c r="BE178" i="15"/>
  <c r="BE177" i="15"/>
  <c r="BF177" i="15"/>
  <c r="BE174" i="15"/>
  <c r="BF174" i="15"/>
  <c r="BE173" i="15"/>
  <c r="BF173" i="15"/>
  <c r="BE170" i="15"/>
  <c r="BF170" i="15"/>
  <c r="BE169" i="15"/>
  <c r="BF169" i="15"/>
  <c r="D178" i="15"/>
  <c r="BD178" i="15" s="1"/>
  <c r="D177" i="15"/>
  <c r="BD177" i="15" s="1"/>
  <c r="D174" i="15"/>
  <c r="BD174" i="15" s="1"/>
  <c r="D173" i="15"/>
  <c r="BD173" i="15" s="1"/>
  <c r="D172" i="15"/>
  <c r="BD172" i="15" s="1"/>
  <c r="D170" i="15"/>
  <c r="BD170" i="15" s="1"/>
  <c r="D169" i="15"/>
  <c r="BD169" i="15" s="1"/>
  <c r="D168" i="15"/>
  <c r="Y161" i="15"/>
  <c r="Y160" i="15"/>
  <c r="Y157" i="15"/>
  <c r="Y156" i="15"/>
  <c r="V161" i="15"/>
  <c r="V160" i="15"/>
  <c r="V159" i="15"/>
  <c r="V158" i="15"/>
  <c r="V157" i="15"/>
  <c r="V156" i="15"/>
  <c r="V153" i="15"/>
  <c r="V152" i="15"/>
  <c r="T158" i="15"/>
  <c r="U158" i="15"/>
  <c r="P161" i="15"/>
  <c r="P160" i="15"/>
  <c r="P157" i="15"/>
  <c r="P156" i="15"/>
  <c r="P153" i="15"/>
  <c r="P152" i="15"/>
  <c r="J161" i="15"/>
  <c r="J160" i="15"/>
  <c r="J159" i="15"/>
  <c r="J158" i="15"/>
  <c r="M158" i="15" s="1"/>
  <c r="J157" i="15"/>
  <c r="J156" i="15"/>
  <c r="M156" i="15" s="1"/>
  <c r="J153" i="15"/>
  <c r="J152" i="15"/>
  <c r="M152" i="15" s="1"/>
  <c r="G161" i="15"/>
  <c r="G160" i="15"/>
  <c r="G158" i="15"/>
  <c r="G157" i="15"/>
  <c r="G156" i="15"/>
  <c r="G153" i="15"/>
  <c r="G152" i="15"/>
  <c r="BE161" i="15"/>
  <c r="BF161" i="15"/>
  <c r="BF160" i="15"/>
  <c r="BE157" i="15"/>
  <c r="BF157" i="15"/>
  <c r="BF156" i="15"/>
  <c r="BE153" i="15"/>
  <c r="BF153" i="15"/>
  <c r="D161" i="15"/>
  <c r="BD161" i="15" s="1"/>
  <c r="D160" i="15"/>
  <c r="BD160" i="15" s="1"/>
  <c r="D159" i="15"/>
  <c r="BD159" i="15" s="1"/>
  <c r="D157" i="15"/>
  <c r="BD157" i="15" s="1"/>
  <c r="D156" i="15"/>
  <c r="BD156" i="15" s="1"/>
  <c r="D153" i="15"/>
  <c r="BD153" i="15" s="1"/>
  <c r="D152" i="15"/>
  <c r="BD152" i="15" s="1"/>
  <c r="Y144" i="15"/>
  <c r="Y140" i="15"/>
  <c r="W146" i="15"/>
  <c r="X146" i="15"/>
  <c r="W145" i="15"/>
  <c r="W144" i="15"/>
  <c r="X144" i="15"/>
  <c r="W143" i="15"/>
  <c r="X143" i="15"/>
  <c r="W142" i="15"/>
  <c r="W141" i="15"/>
  <c r="V144" i="15"/>
  <c r="V143" i="15"/>
  <c r="V142" i="15"/>
  <c r="W140" i="15"/>
  <c r="X140" i="15"/>
  <c r="W139" i="15"/>
  <c r="X139" i="15"/>
  <c r="V140" i="15"/>
  <c r="V139" i="15"/>
  <c r="X138" i="15"/>
  <c r="W137" i="15"/>
  <c r="W136" i="15"/>
  <c r="X136" i="15"/>
  <c r="V136" i="15"/>
  <c r="W135" i="15"/>
  <c r="X135" i="15"/>
  <c r="V135" i="15"/>
  <c r="X134" i="15"/>
  <c r="U142" i="15"/>
  <c r="U138" i="15"/>
  <c r="R134" i="15"/>
  <c r="S135" i="15"/>
  <c r="U134" i="15"/>
  <c r="Q146" i="15"/>
  <c r="Q145" i="15"/>
  <c r="R145" i="15"/>
  <c r="Q144" i="15"/>
  <c r="R144" i="15"/>
  <c r="P144" i="15"/>
  <c r="Q143" i="15"/>
  <c r="R143" i="15"/>
  <c r="P143" i="15"/>
  <c r="R142" i="15"/>
  <c r="Q140" i="15"/>
  <c r="R140" i="15"/>
  <c r="P140" i="15"/>
  <c r="Q139" i="15"/>
  <c r="R139" i="15"/>
  <c r="P139" i="15"/>
  <c r="R138" i="15"/>
  <c r="R136" i="15"/>
  <c r="Q136" i="15"/>
  <c r="P136" i="15"/>
  <c r="Q135" i="15"/>
  <c r="R135" i="15"/>
  <c r="P135" i="15"/>
  <c r="K146" i="15"/>
  <c r="L146" i="15"/>
  <c r="K145" i="15"/>
  <c r="K144" i="15"/>
  <c r="L144" i="15"/>
  <c r="K143" i="15"/>
  <c r="L143" i="15"/>
  <c r="J144" i="15"/>
  <c r="J143" i="15"/>
  <c r="K142" i="15"/>
  <c r="K140" i="15"/>
  <c r="L140" i="15"/>
  <c r="K139" i="15"/>
  <c r="L139" i="15"/>
  <c r="J140" i="15"/>
  <c r="J139" i="15"/>
  <c r="M139" i="15" s="1"/>
  <c r="K138" i="15"/>
  <c r="L138" i="15"/>
  <c r="K137" i="15"/>
  <c r="K136" i="15"/>
  <c r="L136" i="15"/>
  <c r="J136" i="15"/>
  <c r="M136" i="15" s="1"/>
  <c r="K135" i="15"/>
  <c r="L135" i="15"/>
  <c r="J135" i="15"/>
  <c r="M135" i="15" s="1"/>
  <c r="L134" i="15"/>
  <c r="G146" i="15"/>
  <c r="G144" i="15"/>
  <c r="G143" i="15"/>
  <c r="E146" i="15"/>
  <c r="BE146" i="15" s="1"/>
  <c r="E145" i="15"/>
  <c r="BE145" i="15" s="1"/>
  <c r="F145" i="15"/>
  <c r="BF145" i="15" s="1"/>
  <c r="E144" i="15"/>
  <c r="BE144" i="15" s="1"/>
  <c r="F144" i="15"/>
  <c r="BF144" i="15" s="1"/>
  <c r="E143" i="15"/>
  <c r="BE143" i="15" s="1"/>
  <c r="F143" i="15"/>
  <c r="BF143" i="15" s="1"/>
  <c r="E142" i="15"/>
  <c r="BE142" i="15" s="1"/>
  <c r="BE140" i="15"/>
  <c r="F140" i="15"/>
  <c r="BF140" i="15" s="1"/>
  <c r="E139" i="15"/>
  <c r="BE139" i="15" s="1"/>
  <c r="F139" i="15"/>
  <c r="BF139" i="15" s="1"/>
  <c r="E138" i="15"/>
  <c r="BE138" i="15" s="1"/>
  <c r="F138" i="15"/>
  <c r="BF138" i="15" s="1"/>
  <c r="E136" i="15"/>
  <c r="BE136" i="15" s="1"/>
  <c r="F136" i="15"/>
  <c r="BF136" i="15" s="1"/>
  <c r="E135" i="15"/>
  <c r="BE135" i="15" s="1"/>
  <c r="F135" i="15"/>
  <c r="BF135" i="15" s="1"/>
  <c r="D144" i="15"/>
  <c r="BD144" i="15" s="1"/>
  <c r="D143" i="15"/>
  <c r="BD143" i="15" s="1"/>
  <c r="D140" i="15"/>
  <c r="BD140" i="15" s="1"/>
  <c r="D139" i="15"/>
  <c r="BD139" i="15" s="1"/>
  <c r="D136" i="15"/>
  <c r="BD136" i="15" s="1"/>
  <c r="D135" i="15"/>
  <c r="BD135" i="15" s="1"/>
  <c r="Y127" i="15"/>
  <c r="Y123" i="15"/>
  <c r="Y122" i="15"/>
  <c r="V129" i="15"/>
  <c r="V128" i="15"/>
  <c r="W127" i="15"/>
  <c r="X127" i="15"/>
  <c r="V127" i="15"/>
  <c r="W126" i="15"/>
  <c r="X126" i="15"/>
  <c r="V126" i="15"/>
  <c r="W125" i="15"/>
  <c r="X125" i="15"/>
  <c r="V123" i="15"/>
  <c r="W123" i="15"/>
  <c r="X123" i="15"/>
  <c r="W122" i="15"/>
  <c r="X122" i="15"/>
  <c r="V122" i="15"/>
  <c r="W121" i="15"/>
  <c r="X120" i="15"/>
  <c r="V120" i="15"/>
  <c r="W119" i="15"/>
  <c r="X119" i="15"/>
  <c r="V119" i="15"/>
  <c r="W118" i="15"/>
  <c r="X118" i="15"/>
  <c r="V118" i="15"/>
  <c r="W117" i="15"/>
  <c r="T121" i="15"/>
  <c r="T117" i="15"/>
  <c r="Q128" i="15"/>
  <c r="P129" i="15"/>
  <c r="P128" i="15"/>
  <c r="Q127" i="15"/>
  <c r="R127" i="15"/>
  <c r="Q126" i="15"/>
  <c r="R126" i="15"/>
  <c r="P127" i="15"/>
  <c r="P126" i="15"/>
  <c r="P125" i="15"/>
  <c r="Q123" i="15"/>
  <c r="R123" i="15"/>
  <c r="P123" i="15"/>
  <c r="Q122" i="15"/>
  <c r="R122" i="15"/>
  <c r="P122" i="15"/>
  <c r="Q121" i="15"/>
  <c r="Q119" i="15"/>
  <c r="R119" i="15"/>
  <c r="Q118" i="15"/>
  <c r="R118" i="15"/>
  <c r="P120" i="15"/>
  <c r="P119" i="15"/>
  <c r="P118" i="15"/>
  <c r="P117" i="15"/>
  <c r="G129" i="15"/>
  <c r="L129" i="15"/>
  <c r="K128" i="15"/>
  <c r="J129" i="15"/>
  <c r="J128" i="15"/>
  <c r="K126" i="15"/>
  <c r="L126" i="15"/>
  <c r="K125" i="15"/>
  <c r="K123" i="15"/>
  <c r="L123" i="15"/>
  <c r="K122" i="15"/>
  <c r="L122" i="15"/>
  <c r="K121" i="15"/>
  <c r="K127" i="15"/>
  <c r="L127" i="15"/>
  <c r="J127" i="15"/>
  <c r="J126" i="15"/>
  <c r="J123" i="15"/>
  <c r="J122" i="15"/>
  <c r="J120" i="15"/>
  <c r="K119" i="15"/>
  <c r="L119" i="15"/>
  <c r="K118" i="15"/>
  <c r="L118" i="15"/>
  <c r="J119" i="15"/>
  <c r="J118" i="15"/>
  <c r="K117" i="15"/>
  <c r="H128" i="15"/>
  <c r="G128" i="15"/>
  <c r="H127" i="15"/>
  <c r="I127" i="15"/>
  <c r="G127" i="15"/>
  <c r="H126" i="15"/>
  <c r="I126" i="15"/>
  <c r="G126" i="15"/>
  <c r="G125" i="15"/>
  <c r="I124" i="15"/>
  <c r="G124" i="15"/>
  <c r="H123" i="15"/>
  <c r="I123" i="15"/>
  <c r="H122" i="15"/>
  <c r="I122" i="15"/>
  <c r="G123" i="15"/>
  <c r="G122" i="15"/>
  <c r="H121" i="15"/>
  <c r="H119" i="15"/>
  <c r="I119" i="15"/>
  <c r="G120" i="15"/>
  <c r="G119" i="15"/>
  <c r="H118" i="15"/>
  <c r="I118" i="15"/>
  <c r="G118" i="15"/>
  <c r="H117" i="15"/>
  <c r="E128" i="15"/>
  <c r="BE128" i="15" s="1"/>
  <c r="F128" i="15"/>
  <c r="BF128" i="15" s="1"/>
  <c r="E127" i="15"/>
  <c r="BE127" i="15" s="1"/>
  <c r="F127" i="15"/>
  <c r="BF127" i="15" s="1"/>
  <c r="E126" i="15"/>
  <c r="BE126" i="15" s="1"/>
  <c r="F126" i="15"/>
  <c r="BF126" i="15" s="1"/>
  <c r="E123" i="15"/>
  <c r="BE123" i="15" s="1"/>
  <c r="F123" i="15"/>
  <c r="BF123" i="15" s="1"/>
  <c r="E122" i="15"/>
  <c r="BE122" i="15" s="1"/>
  <c r="F122" i="15"/>
  <c r="BF122" i="15" s="1"/>
  <c r="E121" i="15"/>
  <c r="BE121" i="15" s="1"/>
  <c r="E119" i="15"/>
  <c r="BE119" i="15" s="1"/>
  <c r="F119" i="15"/>
  <c r="BF119" i="15" s="1"/>
  <c r="E118" i="15"/>
  <c r="BE118" i="15" s="1"/>
  <c r="F118" i="15"/>
  <c r="BF118" i="15" s="1"/>
  <c r="B113" i="15"/>
  <c r="D129" i="15"/>
  <c r="BD129" i="15" s="1"/>
  <c r="D128" i="15"/>
  <c r="BD128" i="15" s="1"/>
  <c r="D127" i="15"/>
  <c r="BD127" i="15" s="1"/>
  <c r="D126" i="15"/>
  <c r="BD126" i="15" s="1"/>
  <c r="D123" i="15"/>
  <c r="BD123" i="15" s="1"/>
  <c r="D122" i="15"/>
  <c r="BD122" i="15" s="1"/>
  <c r="D119" i="15"/>
  <c r="BD119" i="15" s="1"/>
  <c r="D118" i="15"/>
  <c r="BD118" i="15" s="1"/>
  <c r="E117" i="15"/>
  <c r="BE117" i="15" s="1"/>
  <c r="Y110" i="15"/>
  <c r="Y109" i="15"/>
  <c r="Y105" i="15"/>
  <c r="V112" i="15"/>
  <c r="V111" i="15"/>
  <c r="W109" i="15"/>
  <c r="X109" i="15"/>
  <c r="W110" i="15"/>
  <c r="X110" i="15"/>
  <c r="V110" i="15"/>
  <c r="V109" i="15"/>
  <c r="X108" i="15"/>
  <c r="V107" i="15"/>
  <c r="W105" i="15"/>
  <c r="X105" i="15"/>
  <c r="W106" i="15"/>
  <c r="X106" i="15"/>
  <c r="V106" i="15"/>
  <c r="V105" i="15"/>
  <c r="W104" i="15"/>
  <c r="X103" i="15"/>
  <c r="W102" i="15"/>
  <c r="X102" i="15"/>
  <c r="W101" i="15"/>
  <c r="X101" i="15"/>
  <c r="V102" i="15"/>
  <c r="V101" i="15"/>
  <c r="T104" i="15"/>
  <c r="S111" i="15"/>
  <c r="S104" i="15"/>
  <c r="P112" i="15"/>
  <c r="Q111" i="15"/>
  <c r="P111" i="15"/>
  <c r="P110" i="15"/>
  <c r="Q110" i="15"/>
  <c r="R110" i="15"/>
  <c r="Q109" i="15"/>
  <c r="R109" i="15"/>
  <c r="P109" i="15"/>
  <c r="R108" i="15"/>
  <c r="P108" i="15"/>
  <c r="R107" i="15"/>
  <c r="P106" i="15"/>
  <c r="Q106" i="15"/>
  <c r="R106" i="15"/>
  <c r="Q105" i="15"/>
  <c r="R105" i="15"/>
  <c r="P105" i="15"/>
  <c r="Q104" i="15"/>
  <c r="R103" i="15"/>
  <c r="P103" i="15"/>
  <c r="Q102" i="15"/>
  <c r="R102" i="15"/>
  <c r="Q101" i="15"/>
  <c r="R101" i="15"/>
  <c r="P102" i="15"/>
  <c r="P101" i="15"/>
  <c r="J112" i="15"/>
  <c r="J111" i="15"/>
  <c r="K110" i="15"/>
  <c r="L110" i="15"/>
  <c r="J110" i="15"/>
  <c r="K109" i="15"/>
  <c r="L109" i="15"/>
  <c r="J109" i="15"/>
  <c r="K108" i="15"/>
  <c r="L108" i="15"/>
  <c r="J108" i="15"/>
  <c r="L107" i="15"/>
  <c r="J107" i="15"/>
  <c r="J106" i="15"/>
  <c r="K106" i="15"/>
  <c r="L106" i="15"/>
  <c r="K105" i="15"/>
  <c r="L105" i="15"/>
  <c r="J105" i="15"/>
  <c r="K104" i="15"/>
  <c r="J104" i="15"/>
  <c r="K102" i="15"/>
  <c r="L102" i="15"/>
  <c r="J102" i="15"/>
  <c r="K101" i="15"/>
  <c r="L101" i="15"/>
  <c r="J101" i="15"/>
  <c r="H112" i="15"/>
  <c r="I112" i="15"/>
  <c r="G112" i="15"/>
  <c r="G111" i="15"/>
  <c r="H110" i="15"/>
  <c r="I110" i="15"/>
  <c r="G110" i="15"/>
  <c r="H109" i="15"/>
  <c r="I109" i="15"/>
  <c r="G109" i="15"/>
  <c r="I108" i="15"/>
  <c r="G108" i="15"/>
  <c r="I107" i="15"/>
  <c r="H106" i="15"/>
  <c r="I106" i="15"/>
  <c r="G106" i="15"/>
  <c r="H105" i="15"/>
  <c r="I105" i="15"/>
  <c r="G105" i="15"/>
  <c r="H104" i="15"/>
  <c r="G103" i="15"/>
  <c r="H102" i="15"/>
  <c r="I102" i="15"/>
  <c r="H101" i="15"/>
  <c r="I101" i="15"/>
  <c r="G102" i="15"/>
  <c r="G101" i="15"/>
  <c r="D112" i="15"/>
  <c r="E110" i="15"/>
  <c r="BE110" i="15" s="1"/>
  <c r="F110" i="15"/>
  <c r="E109" i="15"/>
  <c r="F109" i="15"/>
  <c r="BF109" i="15" s="1"/>
  <c r="E111" i="15"/>
  <c r="D111" i="15"/>
  <c r="D110" i="15"/>
  <c r="BD110" i="15" s="1"/>
  <c r="D109" i="15"/>
  <c r="BD109" i="15" s="1"/>
  <c r="E108" i="15"/>
  <c r="F108" i="15"/>
  <c r="E107" i="15"/>
  <c r="F107" i="15"/>
  <c r="E106" i="15"/>
  <c r="BE106" i="15" s="1"/>
  <c r="F106" i="15"/>
  <c r="E105" i="15"/>
  <c r="BE105" i="15" s="1"/>
  <c r="F105" i="15"/>
  <c r="BF105" i="15" s="1"/>
  <c r="E104" i="15"/>
  <c r="D106" i="15"/>
  <c r="BD106" i="15" s="1"/>
  <c r="D105" i="15"/>
  <c r="D104" i="15"/>
  <c r="D103" i="15"/>
  <c r="E102" i="15"/>
  <c r="BE102" i="15" s="1"/>
  <c r="F102" i="15"/>
  <c r="BF102" i="15" s="1"/>
  <c r="D102" i="15"/>
  <c r="BD102" i="15" s="1"/>
  <c r="E101" i="15"/>
  <c r="F101" i="15"/>
  <c r="D101" i="15"/>
  <c r="BD101" i="15" s="1"/>
  <c r="E100" i="15"/>
  <c r="D100" i="15"/>
  <c r="W100" i="15"/>
  <c r="T100" i="15"/>
  <c r="S100" i="15"/>
  <c r="K100" i="15"/>
  <c r="H100" i="15"/>
  <c r="G100" i="15"/>
  <c r="BI87" i="15"/>
  <c r="CC3" i="15"/>
  <c r="CD3" i="15"/>
  <c r="CE3" i="15"/>
  <c r="CC4" i="15"/>
  <c r="CD4" i="15"/>
  <c r="CE4" i="15"/>
  <c r="CC5" i="15"/>
  <c r="CD5" i="15"/>
  <c r="CE5" i="15"/>
  <c r="CC6" i="15"/>
  <c r="CD6" i="15"/>
  <c r="CE6" i="15"/>
  <c r="CC7" i="15"/>
  <c r="CD7" i="15"/>
  <c r="CE7" i="15"/>
  <c r="CC8" i="15"/>
  <c r="CD8" i="15"/>
  <c r="CE8" i="15"/>
  <c r="CC10" i="15"/>
  <c r="CD10" i="15"/>
  <c r="CE10" i="15"/>
  <c r="CC11" i="15"/>
  <c r="CD11" i="15"/>
  <c r="CE11" i="15"/>
  <c r="CC12" i="15"/>
  <c r="CD12" i="15"/>
  <c r="CE12" i="15"/>
  <c r="CC13" i="15"/>
  <c r="CC14" i="15"/>
  <c r="CD14" i="15"/>
  <c r="CE14" i="15"/>
  <c r="CC15" i="15"/>
  <c r="CD15" i="15"/>
  <c r="CE15" i="15"/>
  <c r="CC16" i="15"/>
  <c r="CD16" i="15"/>
  <c r="CE16" i="15"/>
  <c r="CC17" i="15"/>
  <c r="CD17" i="15"/>
  <c r="CE17" i="15"/>
  <c r="CC18" i="15"/>
  <c r="CD18" i="15"/>
  <c r="CE18" i="15"/>
  <c r="CD19" i="15"/>
  <c r="CE19" i="15"/>
  <c r="CC20" i="15"/>
  <c r="CD20" i="15"/>
  <c r="CE20" i="15"/>
  <c r="CC21" i="15"/>
  <c r="CD21" i="15"/>
  <c r="CE21" i="15"/>
  <c r="CC22" i="15"/>
  <c r="CD22" i="15"/>
  <c r="CE22" i="15"/>
  <c r="CC24" i="15"/>
  <c r="CD24" i="15"/>
  <c r="CE24" i="15"/>
  <c r="CC25" i="15"/>
  <c r="CD25" i="15"/>
  <c r="CE25" i="15"/>
  <c r="CC26" i="15"/>
  <c r="CD26" i="15"/>
  <c r="CE26" i="15"/>
  <c r="CC27" i="15"/>
  <c r="CD27" i="15"/>
  <c r="CE27" i="15"/>
  <c r="CC28" i="15"/>
  <c r="CD28" i="15"/>
  <c r="CE28" i="15"/>
  <c r="CC29" i="15"/>
  <c r="CD29" i="15"/>
  <c r="CE29" i="15"/>
  <c r="CC30" i="15"/>
  <c r="CD30" i="15"/>
  <c r="CE30" i="15"/>
  <c r="CC31" i="15"/>
  <c r="CD31" i="15"/>
  <c r="CE31" i="15"/>
  <c r="CC32" i="15"/>
  <c r="CD32" i="15"/>
  <c r="CE32" i="15"/>
  <c r="CC33" i="15"/>
  <c r="CD33" i="15"/>
  <c r="CE33" i="15"/>
  <c r="CC34" i="15"/>
  <c r="CD34" i="15"/>
  <c r="CE34" i="15"/>
  <c r="CC35" i="15"/>
  <c r="CD35" i="15"/>
  <c r="CE35" i="15"/>
  <c r="CC36" i="15"/>
  <c r="CD36" i="15"/>
  <c r="CE36" i="15"/>
  <c r="CC37" i="15"/>
  <c r="CD37" i="15"/>
  <c r="CE37" i="15"/>
  <c r="CC38" i="15"/>
  <c r="CD38" i="15"/>
  <c r="CE38" i="15"/>
  <c r="CC39" i="15"/>
  <c r="CD39" i="15"/>
  <c r="CE39" i="15"/>
  <c r="CC40" i="15"/>
  <c r="CD40" i="15"/>
  <c r="CE40" i="15"/>
  <c r="CC41" i="15"/>
  <c r="CD41" i="15"/>
  <c r="CE41" i="15"/>
  <c r="CC42" i="15"/>
  <c r="CC43" i="15"/>
  <c r="CD43" i="15"/>
  <c r="CE43" i="15"/>
  <c r="CC44" i="15"/>
  <c r="CD44" i="15"/>
  <c r="CE44" i="15"/>
  <c r="CC45" i="15"/>
  <c r="CD45" i="15"/>
  <c r="CE45" i="15"/>
  <c r="CC46" i="15"/>
  <c r="CD46" i="15"/>
  <c r="CE46" i="15"/>
  <c r="CC47" i="15"/>
  <c r="CD47" i="15"/>
  <c r="CE47" i="15"/>
  <c r="CC48" i="15"/>
  <c r="CD48" i="15"/>
  <c r="CE48" i="15"/>
  <c r="CC49" i="15"/>
  <c r="CD49" i="15"/>
  <c r="CE49" i="15"/>
  <c r="CC50" i="15"/>
  <c r="CD50" i="15"/>
  <c r="CE50" i="15"/>
  <c r="CC51" i="15"/>
  <c r="CD51" i="15"/>
  <c r="CE51" i="15"/>
  <c r="CC52" i="15"/>
  <c r="CE52" i="15"/>
  <c r="CC53" i="15"/>
  <c r="CD53" i="15"/>
  <c r="CE53" i="15"/>
  <c r="CC54" i="15"/>
  <c r="CD54" i="15"/>
  <c r="CE54" i="15"/>
  <c r="CC55" i="15"/>
  <c r="CD55" i="15"/>
  <c r="CE55" i="15"/>
  <c r="CC56" i="15"/>
  <c r="CD56" i="15"/>
  <c r="CE56" i="15"/>
  <c r="CC57" i="15"/>
  <c r="CD57" i="15"/>
  <c r="CE57" i="15"/>
  <c r="CC58" i="15"/>
  <c r="CD58" i="15"/>
  <c r="CE58" i="15"/>
  <c r="CC59" i="15"/>
  <c r="CD59" i="15"/>
  <c r="CE59" i="15"/>
  <c r="CC60" i="15"/>
  <c r="CD60" i="15"/>
  <c r="CE60" i="15"/>
  <c r="CC61" i="15"/>
  <c r="CD61" i="15"/>
  <c r="CE61" i="15"/>
  <c r="CC62" i="15"/>
  <c r="CD62" i="15"/>
  <c r="CE62" i="15"/>
  <c r="CC63" i="15"/>
  <c r="CD63" i="15"/>
  <c r="CE63" i="15"/>
  <c r="CC64" i="15"/>
  <c r="CD64" i="15"/>
  <c r="CE64" i="15"/>
  <c r="CC65" i="15"/>
  <c r="CD65" i="15"/>
  <c r="CE65" i="15"/>
  <c r="CC66" i="15"/>
  <c r="CD66" i="15"/>
  <c r="CE66" i="15"/>
  <c r="CC67" i="15"/>
  <c r="CD67" i="15"/>
  <c r="CE67" i="15"/>
  <c r="CC68" i="15"/>
  <c r="CD68" i="15"/>
  <c r="CE68" i="15"/>
  <c r="CC69" i="15"/>
  <c r="CD69" i="15"/>
  <c r="CE69" i="15"/>
  <c r="CC70" i="15"/>
  <c r="CD70" i="15"/>
  <c r="CE70" i="15"/>
  <c r="CC71" i="15"/>
  <c r="CD71" i="15"/>
  <c r="CE71" i="15"/>
  <c r="CC72" i="15"/>
  <c r="CD72" i="15"/>
  <c r="CE72" i="15"/>
  <c r="CC73" i="15"/>
  <c r="CD73" i="15"/>
  <c r="CE73" i="15"/>
  <c r="CC74" i="15"/>
  <c r="CD74" i="15"/>
  <c r="CE74" i="15"/>
  <c r="CC75" i="15"/>
  <c r="CD75" i="15"/>
  <c r="CE75" i="15"/>
  <c r="CC76" i="15"/>
  <c r="CD76" i="15"/>
  <c r="CE76" i="15"/>
  <c r="CC78" i="15"/>
  <c r="CD78" i="15"/>
  <c r="CE78" i="15"/>
  <c r="CC79" i="15"/>
  <c r="CD79" i="15"/>
  <c r="CE79" i="15"/>
  <c r="CC80" i="15"/>
  <c r="CD80" i="15"/>
  <c r="CE80" i="15"/>
  <c r="CC81" i="15"/>
  <c r="CD81" i="15"/>
  <c r="CC82" i="15"/>
  <c r="CD82" i="15"/>
  <c r="CE82" i="15"/>
  <c r="CC83" i="15"/>
  <c r="CD83" i="15"/>
  <c r="CE83" i="15"/>
  <c r="CC84" i="15"/>
  <c r="CD84" i="15"/>
  <c r="CE84" i="15"/>
  <c r="CC85" i="15"/>
  <c r="CD85" i="15"/>
  <c r="CE85" i="15"/>
  <c r="CC86" i="15"/>
  <c r="CD86" i="15"/>
  <c r="CE86" i="15"/>
  <c r="CC87" i="15"/>
  <c r="CD87" i="15"/>
  <c r="CE87" i="15"/>
  <c r="CC88" i="15"/>
  <c r="CD88" i="15"/>
  <c r="CE88" i="15"/>
  <c r="CC89" i="15"/>
  <c r="CD89" i="15"/>
  <c r="CE89" i="15"/>
  <c r="CC90" i="15"/>
  <c r="CD90" i="15"/>
  <c r="CE91" i="15"/>
  <c r="CC92" i="15"/>
  <c r="CD92" i="15"/>
  <c r="CE92" i="15"/>
  <c r="CC93" i="15"/>
  <c r="CD93" i="15"/>
  <c r="CE93" i="15"/>
  <c r="CD2" i="15"/>
  <c r="CE2" i="15"/>
  <c r="CC2" i="15"/>
  <c r="BY3" i="15"/>
  <c r="BZ3" i="15"/>
  <c r="CA3" i="15"/>
  <c r="BY4" i="15"/>
  <c r="BZ4" i="15"/>
  <c r="CA4" i="15"/>
  <c r="BY5" i="15"/>
  <c r="BZ5" i="15"/>
  <c r="CA5" i="15"/>
  <c r="BY6" i="15"/>
  <c r="BZ6" i="15"/>
  <c r="CA6" i="15"/>
  <c r="BY7" i="15"/>
  <c r="BZ7" i="15"/>
  <c r="CA7" i="15"/>
  <c r="BY8" i="15"/>
  <c r="BZ8" i="15"/>
  <c r="CA8" i="15"/>
  <c r="BY10" i="15"/>
  <c r="BZ10" i="15"/>
  <c r="CA10" i="15"/>
  <c r="BY11" i="15"/>
  <c r="BZ11" i="15"/>
  <c r="CA11" i="15"/>
  <c r="BY12" i="15"/>
  <c r="BZ12" i="15"/>
  <c r="CA12" i="15"/>
  <c r="BY14" i="15"/>
  <c r="BZ14" i="15"/>
  <c r="CA14" i="15"/>
  <c r="BY15" i="15"/>
  <c r="BZ15" i="15"/>
  <c r="CA15" i="15"/>
  <c r="BY16" i="15"/>
  <c r="BZ16" i="15"/>
  <c r="CA16" i="15"/>
  <c r="BY17" i="15"/>
  <c r="BZ17" i="15"/>
  <c r="CA17" i="15"/>
  <c r="BY18" i="15"/>
  <c r="BZ18" i="15"/>
  <c r="CA18" i="15"/>
  <c r="BY20" i="15"/>
  <c r="BZ20" i="15"/>
  <c r="CA20" i="15"/>
  <c r="BY21" i="15"/>
  <c r="BZ21" i="15"/>
  <c r="CA21" i="15"/>
  <c r="BY22" i="15"/>
  <c r="BZ22" i="15"/>
  <c r="CA22" i="15"/>
  <c r="BY24" i="15"/>
  <c r="BZ24" i="15"/>
  <c r="CA24" i="15"/>
  <c r="BY25" i="15"/>
  <c r="BZ25" i="15"/>
  <c r="CA25" i="15"/>
  <c r="BY26" i="15"/>
  <c r="BZ26" i="15"/>
  <c r="CA26" i="15"/>
  <c r="BY27" i="15"/>
  <c r="BZ27" i="15"/>
  <c r="CA27" i="15"/>
  <c r="BY28" i="15"/>
  <c r="BZ28" i="15"/>
  <c r="CA28" i="15"/>
  <c r="BY29" i="15"/>
  <c r="BZ29" i="15"/>
  <c r="CA29" i="15"/>
  <c r="BY30" i="15"/>
  <c r="BZ30" i="15"/>
  <c r="CA30" i="15"/>
  <c r="BY31" i="15"/>
  <c r="BZ31" i="15"/>
  <c r="CA31" i="15"/>
  <c r="BY32" i="15"/>
  <c r="BZ32" i="15"/>
  <c r="CA32" i="15"/>
  <c r="BY33" i="15"/>
  <c r="BZ33" i="15"/>
  <c r="CA33" i="15"/>
  <c r="BY34" i="15"/>
  <c r="BZ34" i="15"/>
  <c r="CA34" i="15"/>
  <c r="BY35" i="15"/>
  <c r="BZ35" i="15"/>
  <c r="CA35" i="15"/>
  <c r="BY36" i="15"/>
  <c r="BZ36" i="15"/>
  <c r="CA36" i="15"/>
  <c r="BY37" i="15"/>
  <c r="BZ37" i="15"/>
  <c r="CA37" i="15"/>
  <c r="BY38" i="15"/>
  <c r="BZ38" i="15"/>
  <c r="CA38" i="15"/>
  <c r="BY39" i="15"/>
  <c r="BZ39" i="15"/>
  <c r="CA39" i="15"/>
  <c r="BY40" i="15"/>
  <c r="BZ40" i="15"/>
  <c r="CA40" i="15"/>
  <c r="BY41" i="15"/>
  <c r="BZ41" i="15"/>
  <c r="CA41" i="15"/>
  <c r="BY42" i="15"/>
  <c r="BY43" i="15"/>
  <c r="BZ43" i="15"/>
  <c r="CA43" i="15"/>
  <c r="BY44" i="15"/>
  <c r="BZ44" i="15"/>
  <c r="CA44" i="15"/>
  <c r="BY45" i="15"/>
  <c r="BZ45" i="15"/>
  <c r="CA45" i="15"/>
  <c r="BY46" i="15"/>
  <c r="BZ46" i="15"/>
  <c r="CA46" i="15"/>
  <c r="BY47" i="15"/>
  <c r="BZ47" i="15"/>
  <c r="CA47" i="15"/>
  <c r="BY48" i="15"/>
  <c r="BZ48" i="15"/>
  <c r="CA48" i="15"/>
  <c r="BY49" i="15"/>
  <c r="BZ49" i="15"/>
  <c r="CA49" i="15"/>
  <c r="BY50" i="15"/>
  <c r="BZ50" i="15"/>
  <c r="CA50" i="15"/>
  <c r="BY51" i="15"/>
  <c r="BZ51" i="15"/>
  <c r="CA51" i="15"/>
  <c r="BY52" i="15"/>
  <c r="BY53" i="15"/>
  <c r="BZ53" i="15"/>
  <c r="CA53" i="15"/>
  <c r="BY54" i="15"/>
  <c r="BZ54" i="15"/>
  <c r="CA54" i="15"/>
  <c r="BY55" i="15"/>
  <c r="BZ55" i="15"/>
  <c r="CA55" i="15"/>
  <c r="BY56" i="15"/>
  <c r="BZ56" i="15"/>
  <c r="CA56" i="15"/>
  <c r="BY57" i="15"/>
  <c r="BZ57" i="15"/>
  <c r="CA57" i="15"/>
  <c r="BY58" i="15"/>
  <c r="BZ58" i="15"/>
  <c r="CA58" i="15"/>
  <c r="BY59" i="15"/>
  <c r="BZ59" i="15"/>
  <c r="CA59" i="15"/>
  <c r="BY60" i="15"/>
  <c r="BZ60" i="15"/>
  <c r="CA60" i="15"/>
  <c r="BY61" i="15"/>
  <c r="BZ61" i="15"/>
  <c r="CA61" i="15"/>
  <c r="BY62" i="15"/>
  <c r="BZ62" i="15"/>
  <c r="CA62" i="15"/>
  <c r="BY63" i="15"/>
  <c r="BZ63" i="15"/>
  <c r="CA63" i="15"/>
  <c r="BY64" i="15"/>
  <c r="BZ64" i="15"/>
  <c r="CA64" i="15"/>
  <c r="BY65" i="15"/>
  <c r="BZ65" i="15"/>
  <c r="CA65" i="15"/>
  <c r="BY66" i="15"/>
  <c r="BZ66" i="15"/>
  <c r="CA66" i="15"/>
  <c r="BY67" i="15"/>
  <c r="BZ67" i="15"/>
  <c r="CA67" i="15"/>
  <c r="BY68" i="15"/>
  <c r="BZ68" i="15"/>
  <c r="CA68" i="15"/>
  <c r="BY69" i="15"/>
  <c r="BZ69" i="15"/>
  <c r="CA69" i="15"/>
  <c r="BY70" i="15"/>
  <c r="BZ70" i="15"/>
  <c r="CA70" i="15"/>
  <c r="BY71" i="15"/>
  <c r="BZ71" i="15"/>
  <c r="CA71" i="15"/>
  <c r="BY72" i="15"/>
  <c r="BZ72" i="15"/>
  <c r="CA72" i="15"/>
  <c r="BY73" i="15"/>
  <c r="BZ73" i="15"/>
  <c r="CA73" i="15"/>
  <c r="BY74" i="15"/>
  <c r="BZ74" i="15"/>
  <c r="CA74" i="15"/>
  <c r="BY75" i="15"/>
  <c r="BZ75" i="15"/>
  <c r="CA75" i="15"/>
  <c r="BY76" i="15"/>
  <c r="BZ76" i="15"/>
  <c r="CA76" i="15"/>
  <c r="BZ77" i="15"/>
  <c r="BY78" i="15"/>
  <c r="BZ78" i="15"/>
  <c r="CA78" i="15"/>
  <c r="BY79" i="15"/>
  <c r="BZ79" i="15"/>
  <c r="CA79" i="15"/>
  <c r="BY80" i="15"/>
  <c r="BZ80" i="15"/>
  <c r="CA80" i="15"/>
  <c r="BY82" i="15"/>
  <c r="BZ82" i="15"/>
  <c r="CA82" i="15"/>
  <c r="BY83" i="15"/>
  <c r="BZ83" i="15"/>
  <c r="CA83" i="15"/>
  <c r="BY84" i="15"/>
  <c r="BZ84" i="15"/>
  <c r="CA84" i="15"/>
  <c r="BY85" i="15"/>
  <c r="BZ85" i="15"/>
  <c r="CA85" i="15"/>
  <c r="BY86" i="15"/>
  <c r="BZ86" i="15"/>
  <c r="CA86" i="15"/>
  <c r="BY87" i="15"/>
  <c r="BZ87" i="15"/>
  <c r="CA87" i="15"/>
  <c r="BY88" i="15"/>
  <c r="BZ88" i="15"/>
  <c r="CA88" i="15"/>
  <c r="BY89" i="15"/>
  <c r="BZ89" i="15"/>
  <c r="CA89" i="15"/>
  <c r="BY92" i="15"/>
  <c r="BZ92" i="15"/>
  <c r="CA92" i="15"/>
  <c r="BY93" i="15"/>
  <c r="BZ93" i="15"/>
  <c r="CA93" i="15"/>
  <c r="BZ2" i="15"/>
  <c r="CA2" i="15"/>
  <c r="BY2" i="15"/>
  <c r="BU3" i="15"/>
  <c r="BV3" i="15"/>
  <c r="BW3" i="15"/>
  <c r="BU4" i="15"/>
  <c r="BV4" i="15"/>
  <c r="BW4" i="15"/>
  <c r="BU5" i="15"/>
  <c r="BV5" i="15"/>
  <c r="BW5" i="15"/>
  <c r="BU6" i="15"/>
  <c r="BV6" i="15"/>
  <c r="BW6" i="15"/>
  <c r="BU7" i="15"/>
  <c r="BV7" i="15"/>
  <c r="BW7" i="15"/>
  <c r="BU8" i="15"/>
  <c r="BV8" i="15"/>
  <c r="BW8" i="15"/>
  <c r="BU9" i="15"/>
  <c r="BU10" i="15"/>
  <c r="BV10" i="15"/>
  <c r="BW10" i="15"/>
  <c r="BU11" i="15"/>
  <c r="BV11" i="15"/>
  <c r="BW11" i="15"/>
  <c r="BU12" i="15"/>
  <c r="BV12" i="15"/>
  <c r="BW12" i="15"/>
  <c r="BU13" i="15"/>
  <c r="BW13" i="15"/>
  <c r="BU14" i="15"/>
  <c r="BV14" i="15"/>
  <c r="BW14" i="15"/>
  <c r="BU15" i="15"/>
  <c r="BV15" i="15"/>
  <c r="BW15" i="15"/>
  <c r="BU16" i="15"/>
  <c r="BV16" i="15"/>
  <c r="BW16" i="15"/>
  <c r="BU17" i="15"/>
  <c r="BV17" i="15"/>
  <c r="BW17" i="15"/>
  <c r="BU18" i="15"/>
  <c r="BV18" i="15"/>
  <c r="BW18" i="15"/>
  <c r="BV19" i="15"/>
  <c r="BW19" i="15"/>
  <c r="BU20" i="15"/>
  <c r="BV20" i="15"/>
  <c r="BW20" i="15"/>
  <c r="BU21" i="15"/>
  <c r="BV21" i="15"/>
  <c r="BW21" i="15"/>
  <c r="BU22" i="15"/>
  <c r="BV22" i="15"/>
  <c r="BW22" i="15"/>
  <c r="BV23" i="15"/>
  <c r="BU24" i="15"/>
  <c r="BV24" i="15"/>
  <c r="BW24" i="15"/>
  <c r="BU25" i="15"/>
  <c r="BV25" i="15"/>
  <c r="BW25" i="15"/>
  <c r="BU26" i="15"/>
  <c r="BV26" i="15"/>
  <c r="BW26" i="15"/>
  <c r="BU27" i="15"/>
  <c r="BV27" i="15"/>
  <c r="BW27" i="15"/>
  <c r="BU28" i="15"/>
  <c r="BV28" i="15"/>
  <c r="BW28" i="15"/>
  <c r="BU29" i="15"/>
  <c r="BV29" i="15"/>
  <c r="BW29" i="15"/>
  <c r="BU30" i="15"/>
  <c r="BV30" i="15"/>
  <c r="BW30" i="15"/>
  <c r="BU31" i="15"/>
  <c r="BV31" i="15"/>
  <c r="BW31" i="15"/>
  <c r="BU32" i="15"/>
  <c r="BV32" i="15"/>
  <c r="BW32" i="15"/>
  <c r="BU33" i="15"/>
  <c r="BV33" i="15"/>
  <c r="BW33" i="15"/>
  <c r="BU34" i="15"/>
  <c r="BV34" i="15"/>
  <c r="BW34" i="15"/>
  <c r="BU35" i="15"/>
  <c r="BV35" i="15"/>
  <c r="BW35" i="15"/>
  <c r="BU36" i="15"/>
  <c r="BV36" i="15"/>
  <c r="BW36" i="15"/>
  <c r="BU37" i="15"/>
  <c r="BV37" i="15"/>
  <c r="BW37" i="15"/>
  <c r="BU38" i="15"/>
  <c r="BV38" i="15"/>
  <c r="BW38" i="15"/>
  <c r="BU39" i="15"/>
  <c r="BV39" i="15"/>
  <c r="BW39" i="15"/>
  <c r="BU40" i="15"/>
  <c r="BV40" i="15"/>
  <c r="BW40" i="15"/>
  <c r="BU41" i="15"/>
  <c r="BV41" i="15"/>
  <c r="BW41" i="15"/>
  <c r="BU42" i="15"/>
  <c r="BU43" i="15"/>
  <c r="BV43" i="15"/>
  <c r="BW43" i="15"/>
  <c r="BU44" i="15"/>
  <c r="BV44" i="15"/>
  <c r="BW44" i="15"/>
  <c r="BU45" i="15"/>
  <c r="BV45" i="15"/>
  <c r="BW45" i="15"/>
  <c r="BU46" i="15"/>
  <c r="BV46" i="15"/>
  <c r="BW46" i="15"/>
  <c r="BU47" i="15"/>
  <c r="BV47" i="15"/>
  <c r="BW47" i="15"/>
  <c r="BU48" i="15"/>
  <c r="BV48" i="15"/>
  <c r="BW48" i="15"/>
  <c r="BU49" i="15"/>
  <c r="BV49" i="15"/>
  <c r="BW49" i="15"/>
  <c r="BU50" i="15"/>
  <c r="BV50" i="15"/>
  <c r="BW50" i="15"/>
  <c r="BU51" i="15"/>
  <c r="BV51" i="15"/>
  <c r="BW51" i="15"/>
  <c r="BU52" i="15"/>
  <c r="BW52" i="15"/>
  <c r="BU53" i="15"/>
  <c r="BV53" i="15"/>
  <c r="BW53" i="15"/>
  <c r="BU54" i="15"/>
  <c r="BV54" i="15"/>
  <c r="BW54" i="15"/>
  <c r="BU55" i="15"/>
  <c r="BV55" i="15"/>
  <c r="BW55" i="15"/>
  <c r="BU56" i="15"/>
  <c r="BV56" i="15"/>
  <c r="BW56" i="15"/>
  <c r="BU57" i="15"/>
  <c r="BV57" i="15"/>
  <c r="BW57" i="15"/>
  <c r="BU58" i="15"/>
  <c r="BV58" i="15"/>
  <c r="BW58" i="15"/>
  <c r="BU59" i="15"/>
  <c r="BV59" i="15"/>
  <c r="BW59" i="15"/>
  <c r="BU60" i="15"/>
  <c r="BV60" i="15"/>
  <c r="BW60" i="15"/>
  <c r="BU61" i="15"/>
  <c r="BV61" i="15"/>
  <c r="BW61" i="15"/>
  <c r="BU62" i="15"/>
  <c r="BV62" i="15"/>
  <c r="BW62" i="15"/>
  <c r="BU63" i="15"/>
  <c r="BV63" i="15"/>
  <c r="BW63" i="15"/>
  <c r="BU64" i="15"/>
  <c r="BV64" i="15"/>
  <c r="BW64" i="15"/>
  <c r="BU65" i="15"/>
  <c r="BV65" i="15"/>
  <c r="BW65" i="15"/>
  <c r="BU66" i="15"/>
  <c r="BV66" i="15"/>
  <c r="BW66" i="15"/>
  <c r="BU67" i="15"/>
  <c r="BV67" i="15"/>
  <c r="BW67" i="15"/>
  <c r="BU68" i="15"/>
  <c r="BV68" i="15"/>
  <c r="BW68" i="15"/>
  <c r="BU69" i="15"/>
  <c r="BV69" i="15"/>
  <c r="BW69" i="15"/>
  <c r="BU70" i="15"/>
  <c r="BV70" i="15"/>
  <c r="BW70" i="15"/>
  <c r="BU71" i="15"/>
  <c r="BV71" i="15"/>
  <c r="BW71" i="15"/>
  <c r="BU72" i="15"/>
  <c r="BV72" i="15"/>
  <c r="BW72" i="15"/>
  <c r="BU73" i="15"/>
  <c r="BV73" i="15"/>
  <c r="BW73" i="15"/>
  <c r="BU74" i="15"/>
  <c r="BV74" i="15"/>
  <c r="BW74" i="15"/>
  <c r="BU75" i="15"/>
  <c r="BV75" i="15"/>
  <c r="BW75" i="15"/>
  <c r="BU76" i="15"/>
  <c r="BV76" i="15"/>
  <c r="BW76" i="15"/>
  <c r="BU77" i="15"/>
  <c r="BU78" i="15"/>
  <c r="BV78" i="15"/>
  <c r="BW78" i="15"/>
  <c r="BU79" i="15"/>
  <c r="BV79" i="15"/>
  <c r="BW79" i="15"/>
  <c r="BU80" i="15"/>
  <c r="BV80" i="15"/>
  <c r="BW80" i="15"/>
  <c r="BV81" i="15"/>
  <c r="BU82" i="15"/>
  <c r="BV82" i="15"/>
  <c r="BW82" i="15"/>
  <c r="BU83" i="15"/>
  <c r="BV83" i="15"/>
  <c r="BW83" i="15"/>
  <c r="BU84" i="15"/>
  <c r="BV84" i="15"/>
  <c r="BW84" i="15"/>
  <c r="BU85" i="15"/>
  <c r="BV85" i="15"/>
  <c r="BW85" i="15"/>
  <c r="BU86" i="15"/>
  <c r="BV86" i="15"/>
  <c r="BW86" i="15"/>
  <c r="BV87" i="15"/>
  <c r="BW87" i="15"/>
  <c r="BU88" i="15"/>
  <c r="BV88" i="15"/>
  <c r="BW88" i="15"/>
  <c r="BU89" i="15"/>
  <c r="BV89" i="15"/>
  <c r="BW89" i="15"/>
  <c r="BU90" i="15"/>
  <c r="BU92" i="15"/>
  <c r="BV92" i="15"/>
  <c r="BW92" i="15"/>
  <c r="BU93" i="15"/>
  <c r="BV93" i="15"/>
  <c r="BW93" i="15"/>
  <c r="BV2" i="15"/>
  <c r="BW2" i="15"/>
  <c r="BU2" i="15"/>
  <c r="BQ3" i="15"/>
  <c r="BR3" i="15"/>
  <c r="BS3" i="15"/>
  <c r="BQ4" i="15"/>
  <c r="BR4" i="15"/>
  <c r="BS4" i="15"/>
  <c r="BQ5" i="15"/>
  <c r="BR5" i="15"/>
  <c r="BS5" i="15"/>
  <c r="BQ6" i="15"/>
  <c r="BR6" i="15"/>
  <c r="BS6" i="15"/>
  <c r="BQ7" i="15"/>
  <c r="BR7" i="15"/>
  <c r="BS7" i="15"/>
  <c r="BQ8" i="15"/>
  <c r="BR8" i="15"/>
  <c r="BS8" i="15"/>
  <c r="BQ10" i="15"/>
  <c r="BR10" i="15"/>
  <c r="BS10" i="15"/>
  <c r="BQ11" i="15"/>
  <c r="BR11" i="15"/>
  <c r="BS11" i="15"/>
  <c r="BQ12" i="15"/>
  <c r="BR12" i="15"/>
  <c r="BS12" i="15"/>
  <c r="BS13" i="15"/>
  <c r="BQ14" i="15"/>
  <c r="BR14" i="15"/>
  <c r="BS14" i="15"/>
  <c r="BQ15" i="15"/>
  <c r="BR15" i="15"/>
  <c r="BS15" i="15"/>
  <c r="BQ16" i="15"/>
  <c r="BR16" i="15"/>
  <c r="BS16" i="15"/>
  <c r="BQ17" i="15"/>
  <c r="BR17" i="15"/>
  <c r="BS17" i="15"/>
  <c r="BQ18" i="15"/>
  <c r="BR18" i="15"/>
  <c r="BS18" i="15"/>
  <c r="BQ19" i="15"/>
  <c r="BQ20" i="15"/>
  <c r="BR20" i="15"/>
  <c r="BS20" i="15"/>
  <c r="BQ21" i="15"/>
  <c r="BR21" i="15"/>
  <c r="BS21" i="15"/>
  <c r="BQ22" i="15"/>
  <c r="BR22" i="15"/>
  <c r="BS22" i="15"/>
  <c r="BQ24" i="15"/>
  <c r="BR24" i="15"/>
  <c r="BS24" i="15"/>
  <c r="BQ25" i="15"/>
  <c r="BR25" i="15"/>
  <c r="BS25" i="15"/>
  <c r="BQ26" i="15"/>
  <c r="BR26" i="15"/>
  <c r="BS26" i="15"/>
  <c r="BQ27" i="15"/>
  <c r="BR27" i="15"/>
  <c r="BS27" i="15"/>
  <c r="BQ28" i="15"/>
  <c r="BR28" i="15"/>
  <c r="BS28" i="15"/>
  <c r="BQ29" i="15"/>
  <c r="BR29" i="15"/>
  <c r="BS29" i="15"/>
  <c r="BQ30" i="15"/>
  <c r="BR30" i="15"/>
  <c r="BS30" i="15"/>
  <c r="BQ31" i="15"/>
  <c r="BR31" i="15"/>
  <c r="BS31" i="15"/>
  <c r="BQ32" i="15"/>
  <c r="BR32" i="15"/>
  <c r="BS32" i="15"/>
  <c r="BQ33" i="15"/>
  <c r="BR33" i="15"/>
  <c r="BS33" i="15"/>
  <c r="BQ34" i="15"/>
  <c r="BR34" i="15"/>
  <c r="BS34" i="15"/>
  <c r="BQ35" i="15"/>
  <c r="BR35" i="15"/>
  <c r="BS35" i="15"/>
  <c r="BQ36" i="15"/>
  <c r="BR36" i="15"/>
  <c r="BS36" i="15"/>
  <c r="BQ37" i="15"/>
  <c r="BR37" i="15"/>
  <c r="BS37" i="15"/>
  <c r="BQ38" i="15"/>
  <c r="BR38" i="15"/>
  <c r="BS38" i="15"/>
  <c r="BQ39" i="15"/>
  <c r="BR39" i="15"/>
  <c r="BS39" i="15"/>
  <c r="BQ40" i="15"/>
  <c r="BR40" i="15"/>
  <c r="BS40" i="15"/>
  <c r="BQ41" i="15"/>
  <c r="BR41" i="15"/>
  <c r="BS41" i="15"/>
  <c r="BQ43" i="15"/>
  <c r="BR43" i="15"/>
  <c r="BS43" i="15"/>
  <c r="BQ44" i="15"/>
  <c r="BR44" i="15"/>
  <c r="BS44" i="15"/>
  <c r="BQ45" i="15"/>
  <c r="BR45" i="15"/>
  <c r="BS45" i="15"/>
  <c r="BQ46" i="15"/>
  <c r="BR46" i="15"/>
  <c r="BS46" i="15"/>
  <c r="BQ47" i="15"/>
  <c r="BR47" i="15"/>
  <c r="BS47" i="15"/>
  <c r="BQ48" i="15"/>
  <c r="BR48" i="15"/>
  <c r="BS48" i="15"/>
  <c r="BQ49" i="15"/>
  <c r="BR49" i="15"/>
  <c r="BS49" i="15"/>
  <c r="BQ50" i="15"/>
  <c r="BR50" i="15"/>
  <c r="BS50" i="15"/>
  <c r="BQ51" i="15"/>
  <c r="BR51" i="15"/>
  <c r="BS51" i="15"/>
  <c r="BQ53" i="15"/>
  <c r="BR53" i="15"/>
  <c r="BS53" i="15"/>
  <c r="BQ54" i="15"/>
  <c r="BR54" i="15"/>
  <c r="BS54" i="15"/>
  <c r="BQ55" i="15"/>
  <c r="BR55" i="15"/>
  <c r="BS55" i="15"/>
  <c r="BQ56" i="15"/>
  <c r="BR56" i="15"/>
  <c r="BS56" i="15"/>
  <c r="BQ57" i="15"/>
  <c r="BR57" i="15"/>
  <c r="BS57" i="15"/>
  <c r="BQ58" i="15"/>
  <c r="BR58" i="15"/>
  <c r="BS58" i="15"/>
  <c r="BQ59" i="15"/>
  <c r="BR59" i="15"/>
  <c r="BS59" i="15"/>
  <c r="BQ60" i="15"/>
  <c r="BR60" i="15"/>
  <c r="BS60" i="15"/>
  <c r="BQ61" i="15"/>
  <c r="BR61" i="15"/>
  <c r="BS61" i="15"/>
  <c r="BQ62" i="15"/>
  <c r="BR62" i="15"/>
  <c r="BS62" i="15"/>
  <c r="BQ63" i="15"/>
  <c r="BR63" i="15"/>
  <c r="BS63" i="15"/>
  <c r="BQ64" i="15"/>
  <c r="BR64" i="15"/>
  <c r="BS64" i="15"/>
  <c r="BQ65" i="15"/>
  <c r="BR65" i="15"/>
  <c r="BS65" i="15"/>
  <c r="BQ66" i="15"/>
  <c r="BR66" i="15"/>
  <c r="BS66" i="15"/>
  <c r="BQ67" i="15"/>
  <c r="BR67" i="15"/>
  <c r="BS67" i="15"/>
  <c r="BQ68" i="15"/>
  <c r="BR68" i="15"/>
  <c r="BS68" i="15"/>
  <c r="BQ69" i="15"/>
  <c r="BR69" i="15"/>
  <c r="BS69" i="15"/>
  <c r="BQ70" i="15"/>
  <c r="BR70" i="15"/>
  <c r="BS70" i="15"/>
  <c r="BQ71" i="15"/>
  <c r="BR71" i="15"/>
  <c r="BS71" i="15"/>
  <c r="BQ72" i="15"/>
  <c r="BR72" i="15"/>
  <c r="BS72" i="15"/>
  <c r="BQ73" i="15"/>
  <c r="BR73" i="15"/>
  <c r="BS73" i="15"/>
  <c r="BQ74" i="15"/>
  <c r="BR74" i="15"/>
  <c r="BS74" i="15"/>
  <c r="BQ75" i="15"/>
  <c r="BR75" i="15"/>
  <c r="BS75" i="15"/>
  <c r="BQ76" i="15"/>
  <c r="BR76" i="15"/>
  <c r="BS76" i="15"/>
  <c r="BQ78" i="15"/>
  <c r="BR78" i="15"/>
  <c r="BS78" i="15"/>
  <c r="BQ79" i="15"/>
  <c r="BR79" i="15"/>
  <c r="BS79" i="15"/>
  <c r="BQ80" i="15"/>
  <c r="BR80" i="15"/>
  <c r="BS80" i="15"/>
  <c r="BQ82" i="15"/>
  <c r="BR82" i="15"/>
  <c r="BS82" i="15"/>
  <c r="BQ83" i="15"/>
  <c r="BR83" i="15"/>
  <c r="BS83" i="15"/>
  <c r="BQ84" i="15"/>
  <c r="BR84" i="15"/>
  <c r="BS84" i="15"/>
  <c r="BQ85" i="15"/>
  <c r="BR85" i="15"/>
  <c r="BS85" i="15"/>
  <c r="BQ86" i="15"/>
  <c r="BR86" i="15"/>
  <c r="BS86" i="15"/>
  <c r="BQ87" i="15"/>
  <c r="BR87" i="15"/>
  <c r="BS87" i="15"/>
  <c r="BQ88" i="15"/>
  <c r="BR88" i="15"/>
  <c r="BS88" i="15"/>
  <c r="BQ89" i="15"/>
  <c r="BR89" i="15"/>
  <c r="BS89" i="15"/>
  <c r="BQ90" i="15"/>
  <c r="BQ92" i="15"/>
  <c r="BR92" i="15"/>
  <c r="BS92" i="15"/>
  <c r="BQ93" i="15"/>
  <c r="BR93" i="15"/>
  <c r="BS93" i="15"/>
  <c r="BR2" i="15"/>
  <c r="BS2" i="15"/>
  <c r="BQ2" i="15"/>
  <c r="BM6" i="15"/>
  <c r="BN6" i="15"/>
  <c r="BO6" i="15"/>
  <c r="BM7" i="15"/>
  <c r="BN7" i="15"/>
  <c r="BO7" i="15"/>
  <c r="BM8" i="15"/>
  <c r="BN8" i="15"/>
  <c r="BO8" i="15"/>
  <c r="BM10" i="15"/>
  <c r="BN10" i="15"/>
  <c r="BO10" i="15"/>
  <c r="BM11" i="15"/>
  <c r="BN11" i="15"/>
  <c r="BO11" i="15"/>
  <c r="BM12" i="15"/>
  <c r="BN12" i="15"/>
  <c r="BO12" i="15"/>
  <c r="BM14" i="15"/>
  <c r="BN14" i="15"/>
  <c r="BO14" i="15"/>
  <c r="BM15" i="15"/>
  <c r="BN15" i="15"/>
  <c r="BO15" i="15"/>
  <c r="BM16" i="15"/>
  <c r="BN16" i="15"/>
  <c r="BO16" i="15"/>
  <c r="BM17" i="15"/>
  <c r="BN17" i="15"/>
  <c r="BO17" i="15"/>
  <c r="BM18" i="15"/>
  <c r="BN18" i="15"/>
  <c r="BO18" i="15"/>
  <c r="BO19" i="15"/>
  <c r="BM20" i="15"/>
  <c r="BN20" i="15"/>
  <c r="BO20" i="15"/>
  <c r="BM21" i="15"/>
  <c r="BN21" i="15"/>
  <c r="BO21" i="15"/>
  <c r="BM22" i="15"/>
  <c r="BN22" i="15"/>
  <c r="BO22" i="15"/>
  <c r="BM24" i="15"/>
  <c r="BN24" i="15"/>
  <c r="BO24" i="15"/>
  <c r="BM25" i="15"/>
  <c r="BN25" i="15"/>
  <c r="BO25" i="15"/>
  <c r="BM26" i="15"/>
  <c r="BN26" i="15"/>
  <c r="BO26" i="15"/>
  <c r="BM27" i="15"/>
  <c r="BN27" i="15"/>
  <c r="BO27" i="15"/>
  <c r="BM28" i="15"/>
  <c r="BN28" i="15"/>
  <c r="BO28" i="15"/>
  <c r="BM29" i="15"/>
  <c r="BN29" i="15"/>
  <c r="BO29" i="15"/>
  <c r="BM30" i="15"/>
  <c r="BN30" i="15"/>
  <c r="BO30" i="15"/>
  <c r="BM31" i="15"/>
  <c r="BN31" i="15"/>
  <c r="BO31" i="15"/>
  <c r="BM32" i="15"/>
  <c r="BN32" i="15"/>
  <c r="BO32" i="15"/>
  <c r="BM33" i="15"/>
  <c r="BN33" i="15"/>
  <c r="BO33" i="15"/>
  <c r="BM34" i="15"/>
  <c r="BN34" i="15"/>
  <c r="BO34" i="15"/>
  <c r="BM35" i="15"/>
  <c r="BN35" i="15"/>
  <c r="BO35" i="15"/>
  <c r="BM36" i="15"/>
  <c r="BN36" i="15"/>
  <c r="BO36" i="15"/>
  <c r="BM37" i="15"/>
  <c r="BN37" i="15"/>
  <c r="BO37" i="15"/>
  <c r="BM38" i="15"/>
  <c r="BN38" i="15"/>
  <c r="BO38" i="15"/>
  <c r="BM39" i="15"/>
  <c r="BN39" i="15"/>
  <c r="BO39" i="15"/>
  <c r="BM40" i="15"/>
  <c r="BN40" i="15"/>
  <c r="BO40" i="15"/>
  <c r="BM41" i="15"/>
  <c r="BN41" i="15"/>
  <c r="BO41" i="15"/>
  <c r="BM43" i="15"/>
  <c r="BN43" i="15"/>
  <c r="BO43" i="15"/>
  <c r="BM44" i="15"/>
  <c r="BN44" i="15"/>
  <c r="BO44" i="15"/>
  <c r="BM45" i="15"/>
  <c r="BN45" i="15"/>
  <c r="BO45" i="15"/>
  <c r="BM46" i="15"/>
  <c r="BN46" i="15"/>
  <c r="BO46" i="15"/>
  <c r="BM47" i="15"/>
  <c r="BN47" i="15"/>
  <c r="BO47" i="15"/>
  <c r="BM48" i="15"/>
  <c r="BN48" i="15"/>
  <c r="BO48" i="15"/>
  <c r="BM49" i="15"/>
  <c r="BN49" i="15"/>
  <c r="BO49" i="15"/>
  <c r="BM50" i="15"/>
  <c r="BN50" i="15"/>
  <c r="BO50" i="15"/>
  <c r="BM51" i="15"/>
  <c r="BN51" i="15"/>
  <c r="BO51" i="15"/>
  <c r="BM52" i="15"/>
  <c r="BM53" i="15"/>
  <c r="BN53" i="15"/>
  <c r="BO53" i="15"/>
  <c r="BM54" i="15"/>
  <c r="BN54" i="15"/>
  <c r="BO54" i="15"/>
  <c r="BM55" i="15"/>
  <c r="BN55" i="15"/>
  <c r="BO55" i="15"/>
  <c r="BM56" i="15"/>
  <c r="BN56" i="15"/>
  <c r="BO56" i="15"/>
  <c r="BM57" i="15"/>
  <c r="BN57" i="15"/>
  <c r="BO57" i="15"/>
  <c r="BM58" i="15"/>
  <c r="BN58" i="15"/>
  <c r="BO58" i="15"/>
  <c r="BM59" i="15"/>
  <c r="BN59" i="15"/>
  <c r="BO59" i="15"/>
  <c r="BM60" i="15"/>
  <c r="BN60" i="15"/>
  <c r="BO60" i="15"/>
  <c r="BM61" i="15"/>
  <c r="BN61" i="15"/>
  <c r="BO61" i="15"/>
  <c r="BM62" i="15"/>
  <c r="BN62" i="15"/>
  <c r="BO62" i="15"/>
  <c r="BM63" i="15"/>
  <c r="BN63" i="15"/>
  <c r="BO63" i="15"/>
  <c r="BM64" i="15"/>
  <c r="BN64" i="15"/>
  <c r="BO64" i="15"/>
  <c r="BM65" i="15"/>
  <c r="BN65" i="15"/>
  <c r="BO65" i="15"/>
  <c r="BM66" i="15"/>
  <c r="BN66" i="15"/>
  <c r="BO66" i="15"/>
  <c r="BM67" i="15"/>
  <c r="BN67" i="15"/>
  <c r="BO67" i="15"/>
  <c r="BM68" i="15"/>
  <c r="BN68" i="15"/>
  <c r="BO68" i="15"/>
  <c r="BM69" i="15"/>
  <c r="BN69" i="15"/>
  <c r="BO69" i="15"/>
  <c r="BM70" i="15"/>
  <c r="BN70" i="15"/>
  <c r="BO70" i="15"/>
  <c r="BM71" i="15"/>
  <c r="BN71" i="15"/>
  <c r="BO71" i="15"/>
  <c r="BM72" i="15"/>
  <c r="BN72" i="15"/>
  <c r="BO72" i="15"/>
  <c r="BM73" i="15"/>
  <c r="BN73" i="15"/>
  <c r="BO73" i="15"/>
  <c r="BM74" i="15"/>
  <c r="BN74" i="15"/>
  <c r="BO74" i="15"/>
  <c r="BM75" i="15"/>
  <c r="BN75" i="15"/>
  <c r="BO75" i="15"/>
  <c r="BM76" i="15"/>
  <c r="BN76" i="15"/>
  <c r="BO76" i="15"/>
  <c r="BN78" i="15"/>
  <c r="BO78" i="15"/>
  <c r="BM79" i="15"/>
  <c r="BN79" i="15"/>
  <c r="BO79" i="15"/>
  <c r="BM80" i="15"/>
  <c r="BN80" i="15"/>
  <c r="BO80" i="15"/>
  <c r="BO81" i="15"/>
  <c r="BM82" i="15"/>
  <c r="BN82" i="15"/>
  <c r="BO82" i="15"/>
  <c r="BM83" i="15"/>
  <c r="BN83" i="15"/>
  <c r="BO83" i="15"/>
  <c r="BM84" i="15"/>
  <c r="BN84" i="15"/>
  <c r="BO84" i="15"/>
  <c r="BM85" i="15"/>
  <c r="BN85" i="15"/>
  <c r="BO85" i="15"/>
  <c r="BM86" i="15"/>
  <c r="BN86" i="15"/>
  <c r="BO86" i="15"/>
  <c r="BM87" i="15"/>
  <c r="BN87" i="15"/>
  <c r="BO87" i="15"/>
  <c r="BM88" i="15"/>
  <c r="BN88" i="15"/>
  <c r="BO88" i="15"/>
  <c r="BM89" i="15"/>
  <c r="BN89" i="15"/>
  <c r="BO89" i="15"/>
  <c r="BN90" i="15"/>
  <c r="BM92" i="15"/>
  <c r="BN92" i="15"/>
  <c r="BO92" i="15"/>
  <c r="BM93" i="15"/>
  <c r="BN93" i="15"/>
  <c r="BO93" i="15"/>
  <c r="BM3" i="15"/>
  <c r="BN3" i="15"/>
  <c r="BO3" i="15"/>
  <c r="BM4" i="15"/>
  <c r="BN4" i="15"/>
  <c r="BO4" i="15"/>
  <c r="BM5" i="15"/>
  <c r="BN5" i="15"/>
  <c r="BO5" i="15"/>
  <c r="BN2" i="15"/>
  <c r="BO2" i="15"/>
  <c r="BM2" i="15"/>
  <c r="BI3" i="15"/>
  <c r="BJ3" i="15"/>
  <c r="BK3" i="15"/>
  <c r="BI4" i="15"/>
  <c r="BJ4" i="15"/>
  <c r="BK4" i="15"/>
  <c r="BI5" i="15"/>
  <c r="BJ5" i="15"/>
  <c r="BK5" i="15"/>
  <c r="BI6" i="15"/>
  <c r="BJ6" i="15"/>
  <c r="BK6" i="15"/>
  <c r="BI7" i="15"/>
  <c r="BJ7" i="15"/>
  <c r="BK7" i="15"/>
  <c r="BI8" i="15"/>
  <c r="BJ8" i="15"/>
  <c r="BK8" i="15"/>
  <c r="BI10" i="15"/>
  <c r="BJ10" i="15"/>
  <c r="BK10" i="15"/>
  <c r="BI11" i="15"/>
  <c r="BJ11" i="15"/>
  <c r="BK11" i="15"/>
  <c r="BI12" i="15"/>
  <c r="BJ12" i="15"/>
  <c r="BK12" i="15"/>
  <c r="BI14" i="15"/>
  <c r="BJ14" i="15"/>
  <c r="BK14" i="15"/>
  <c r="BI15" i="15"/>
  <c r="BJ15" i="15"/>
  <c r="BK15" i="15"/>
  <c r="BI16" i="15"/>
  <c r="BJ16" i="15"/>
  <c r="BK16" i="15"/>
  <c r="BI17" i="15"/>
  <c r="BJ17" i="15"/>
  <c r="BK17" i="15"/>
  <c r="BI18" i="15"/>
  <c r="BJ18" i="15"/>
  <c r="BK18" i="15"/>
  <c r="BI20" i="15"/>
  <c r="BJ20" i="15"/>
  <c r="BK20" i="15"/>
  <c r="BI21" i="15"/>
  <c r="BJ21" i="15"/>
  <c r="BK21" i="15"/>
  <c r="BI22" i="15"/>
  <c r="BJ22" i="15"/>
  <c r="BK22" i="15"/>
  <c r="BI24" i="15"/>
  <c r="BJ24" i="15"/>
  <c r="BK24" i="15"/>
  <c r="BI25" i="15"/>
  <c r="BJ25" i="15"/>
  <c r="BK25" i="15"/>
  <c r="BI26" i="15"/>
  <c r="BJ26" i="15"/>
  <c r="BK26" i="15"/>
  <c r="BI27" i="15"/>
  <c r="BJ27" i="15"/>
  <c r="BK27" i="15"/>
  <c r="BI28" i="15"/>
  <c r="BJ28" i="15"/>
  <c r="BK28" i="15"/>
  <c r="BI29" i="15"/>
  <c r="BJ29" i="15"/>
  <c r="BK29" i="15"/>
  <c r="BI30" i="15"/>
  <c r="BJ30" i="15"/>
  <c r="BK30" i="15"/>
  <c r="BI31" i="15"/>
  <c r="BJ31" i="15"/>
  <c r="BK31" i="15"/>
  <c r="BI32" i="15"/>
  <c r="BJ32" i="15"/>
  <c r="BK32" i="15"/>
  <c r="BI33" i="15"/>
  <c r="BJ33" i="15"/>
  <c r="BK33" i="15"/>
  <c r="BI34" i="15"/>
  <c r="BJ34" i="15"/>
  <c r="BK34" i="15"/>
  <c r="BI35" i="15"/>
  <c r="BJ35" i="15"/>
  <c r="BK35" i="15"/>
  <c r="BI36" i="15"/>
  <c r="BJ36" i="15"/>
  <c r="BK36" i="15"/>
  <c r="BI37" i="15"/>
  <c r="BJ37" i="15"/>
  <c r="BK37" i="15"/>
  <c r="BI38" i="15"/>
  <c r="BJ38" i="15"/>
  <c r="BK38" i="15"/>
  <c r="BI39" i="15"/>
  <c r="BJ39" i="15"/>
  <c r="BK39" i="15"/>
  <c r="BI40" i="15"/>
  <c r="BJ40" i="15"/>
  <c r="BK40" i="15"/>
  <c r="BI41" i="15"/>
  <c r="BJ41" i="15"/>
  <c r="BK41" i="15"/>
  <c r="BI42" i="15"/>
  <c r="BI43" i="15"/>
  <c r="BJ43" i="15"/>
  <c r="BK43" i="15"/>
  <c r="BI44" i="15"/>
  <c r="BJ44" i="15"/>
  <c r="BK44" i="15"/>
  <c r="BI45" i="15"/>
  <c r="BJ45" i="15"/>
  <c r="BK45" i="15"/>
  <c r="BI46" i="15"/>
  <c r="BJ46" i="15"/>
  <c r="BK46" i="15"/>
  <c r="BI47" i="15"/>
  <c r="BJ47" i="15"/>
  <c r="BK47" i="15"/>
  <c r="BI48" i="15"/>
  <c r="BJ48" i="15"/>
  <c r="BK48" i="15"/>
  <c r="BI49" i="15"/>
  <c r="BJ49" i="15"/>
  <c r="BK49" i="15"/>
  <c r="BI50" i="15"/>
  <c r="BJ50" i="15"/>
  <c r="BK50" i="15"/>
  <c r="BI51" i="15"/>
  <c r="BJ51" i="15"/>
  <c r="BK51" i="15"/>
  <c r="BI53" i="15"/>
  <c r="BJ53" i="15"/>
  <c r="BK53" i="15"/>
  <c r="BI54" i="15"/>
  <c r="BJ54" i="15"/>
  <c r="BK54" i="15"/>
  <c r="BI55" i="15"/>
  <c r="BJ55" i="15"/>
  <c r="BK55" i="15"/>
  <c r="BI56" i="15"/>
  <c r="BJ56" i="15"/>
  <c r="BK56" i="15"/>
  <c r="BI57" i="15"/>
  <c r="BJ57" i="15"/>
  <c r="BK57" i="15"/>
  <c r="BI58" i="15"/>
  <c r="BJ58" i="15"/>
  <c r="BK58" i="15"/>
  <c r="BI59" i="15"/>
  <c r="BJ59" i="15"/>
  <c r="BK59" i="15"/>
  <c r="BI60" i="15"/>
  <c r="BJ60" i="15"/>
  <c r="BK60" i="15"/>
  <c r="BI61" i="15"/>
  <c r="BJ61" i="15"/>
  <c r="BK61" i="15"/>
  <c r="BI62" i="15"/>
  <c r="BJ62" i="15"/>
  <c r="BK62" i="15"/>
  <c r="BI63" i="15"/>
  <c r="BJ63" i="15"/>
  <c r="BK63" i="15"/>
  <c r="BI64" i="15"/>
  <c r="BJ64" i="15"/>
  <c r="BK64" i="15"/>
  <c r="BI65" i="15"/>
  <c r="BJ65" i="15"/>
  <c r="BK65" i="15"/>
  <c r="BI66" i="15"/>
  <c r="BJ66" i="15"/>
  <c r="BK66" i="15"/>
  <c r="BI67" i="15"/>
  <c r="BJ67" i="15"/>
  <c r="BK67" i="15"/>
  <c r="BI68" i="15"/>
  <c r="BJ68" i="15"/>
  <c r="BK68" i="15"/>
  <c r="BI69" i="15"/>
  <c r="BJ69" i="15"/>
  <c r="BK69" i="15"/>
  <c r="BI70" i="15"/>
  <c r="BJ70" i="15"/>
  <c r="BK70" i="15"/>
  <c r="BI71" i="15"/>
  <c r="BJ71" i="15"/>
  <c r="BK71" i="15"/>
  <c r="BI72" i="15"/>
  <c r="BJ72" i="15"/>
  <c r="BK72" i="15"/>
  <c r="BI73" i="15"/>
  <c r="BJ73" i="15"/>
  <c r="BK73" i="15"/>
  <c r="BI74" i="15"/>
  <c r="BJ74" i="15"/>
  <c r="BK74" i="15"/>
  <c r="BI75" i="15"/>
  <c r="BJ75" i="15"/>
  <c r="BK75" i="15"/>
  <c r="BI76" i="15"/>
  <c r="BJ76" i="15"/>
  <c r="BK76" i="15"/>
  <c r="BI78" i="15"/>
  <c r="BJ78" i="15"/>
  <c r="BK78" i="15"/>
  <c r="BI79" i="15"/>
  <c r="BJ79" i="15"/>
  <c r="BK79" i="15"/>
  <c r="BI80" i="15"/>
  <c r="BJ80" i="15"/>
  <c r="BK80" i="15"/>
  <c r="BI82" i="15"/>
  <c r="BJ82" i="15"/>
  <c r="BK82" i="15"/>
  <c r="BI83" i="15"/>
  <c r="BJ83" i="15"/>
  <c r="BK83" i="15"/>
  <c r="BI84" i="15"/>
  <c r="BJ84" i="15"/>
  <c r="BK84" i="15"/>
  <c r="BI85" i="15"/>
  <c r="BJ85" i="15"/>
  <c r="BK85" i="15"/>
  <c r="BI86" i="15"/>
  <c r="BJ86" i="15"/>
  <c r="BK86" i="15"/>
  <c r="BJ87" i="15"/>
  <c r="BK87" i="15"/>
  <c r="BI88" i="15"/>
  <c r="BJ88" i="15"/>
  <c r="BK88" i="15"/>
  <c r="BI89" i="15"/>
  <c r="BJ89" i="15"/>
  <c r="BK89" i="15"/>
  <c r="BI90" i="15"/>
  <c r="BI92" i="15"/>
  <c r="BJ92" i="15"/>
  <c r="BK92" i="15"/>
  <c r="BI93" i="15"/>
  <c r="BJ93" i="15"/>
  <c r="BK93" i="15"/>
  <c r="BK94" i="15"/>
  <c r="BJ2" i="15"/>
  <c r="BK2" i="15"/>
  <c r="BI2" i="15"/>
  <c r="BE3" i="15"/>
  <c r="BF3" i="15"/>
  <c r="BG3" i="15"/>
  <c r="BE4" i="15"/>
  <c r="BF4" i="15"/>
  <c r="BG4" i="15"/>
  <c r="BE5" i="15"/>
  <c r="BF5" i="15"/>
  <c r="BG5" i="15"/>
  <c r="BE6" i="15"/>
  <c r="BF6" i="15"/>
  <c r="BG6" i="15"/>
  <c r="BE7" i="15"/>
  <c r="BF7" i="15"/>
  <c r="BG7" i="15"/>
  <c r="BE8" i="15"/>
  <c r="BF8" i="15"/>
  <c r="BG8" i="15"/>
  <c r="BG9" i="15"/>
  <c r="BE10" i="15"/>
  <c r="BF10" i="15"/>
  <c r="BG10" i="15"/>
  <c r="BE11" i="15"/>
  <c r="BF11" i="15"/>
  <c r="BG11" i="15"/>
  <c r="BE12" i="15"/>
  <c r="BF12" i="15"/>
  <c r="BG12" i="15"/>
  <c r="BE14" i="15"/>
  <c r="BF14" i="15"/>
  <c r="BG14" i="15"/>
  <c r="BE15" i="15"/>
  <c r="BF15" i="15"/>
  <c r="BG15" i="15"/>
  <c r="BE16" i="15"/>
  <c r="BF16" i="15"/>
  <c r="BG16" i="15"/>
  <c r="BE17" i="15"/>
  <c r="BF17" i="15"/>
  <c r="BG17" i="15"/>
  <c r="BE18" i="15"/>
  <c r="BF18" i="15"/>
  <c r="BG18" i="15"/>
  <c r="BF19" i="15"/>
  <c r="BE20" i="15"/>
  <c r="BF20" i="15"/>
  <c r="BG20" i="15"/>
  <c r="BE21" i="15"/>
  <c r="BF21" i="15"/>
  <c r="BG21" i="15"/>
  <c r="BE22" i="15"/>
  <c r="BF22" i="15"/>
  <c r="BG22" i="15"/>
  <c r="BE24" i="15"/>
  <c r="BF24" i="15"/>
  <c r="BG24" i="15"/>
  <c r="BE25" i="15"/>
  <c r="BF25" i="15"/>
  <c r="BG25" i="15"/>
  <c r="BE26" i="15"/>
  <c r="BF26" i="15"/>
  <c r="BG26" i="15"/>
  <c r="BE27" i="15"/>
  <c r="BF27" i="15"/>
  <c r="BG27" i="15"/>
  <c r="BE28" i="15"/>
  <c r="BF28" i="15"/>
  <c r="BG28" i="15"/>
  <c r="BE29" i="15"/>
  <c r="BF29" i="15"/>
  <c r="BG29" i="15"/>
  <c r="BE30" i="15"/>
  <c r="BF30" i="15"/>
  <c r="BG30" i="15"/>
  <c r="BE31" i="15"/>
  <c r="BF31" i="15"/>
  <c r="BG31" i="15"/>
  <c r="BE32" i="15"/>
  <c r="BF32" i="15"/>
  <c r="BG32" i="15"/>
  <c r="BE33" i="15"/>
  <c r="BF33" i="15"/>
  <c r="BG33" i="15"/>
  <c r="BE34" i="15"/>
  <c r="BF34" i="15"/>
  <c r="BG34" i="15"/>
  <c r="BE35" i="15"/>
  <c r="BF35" i="15"/>
  <c r="BG35" i="15"/>
  <c r="BE36" i="15"/>
  <c r="BF36" i="15"/>
  <c r="BG36" i="15"/>
  <c r="BE37" i="15"/>
  <c r="BF37" i="15"/>
  <c r="BG37" i="15"/>
  <c r="BE38" i="15"/>
  <c r="BF38" i="15"/>
  <c r="BG38" i="15"/>
  <c r="BE39" i="15"/>
  <c r="BF39" i="15"/>
  <c r="BG39" i="15"/>
  <c r="BE40" i="15"/>
  <c r="BF40" i="15"/>
  <c r="BG40" i="15"/>
  <c r="BE41" i="15"/>
  <c r="BF41" i="15"/>
  <c r="BG41" i="15"/>
  <c r="BE42" i="15"/>
  <c r="BE43" i="15"/>
  <c r="BF43" i="15"/>
  <c r="BG43" i="15"/>
  <c r="BE44" i="15"/>
  <c r="BF44" i="15"/>
  <c r="BG44" i="15"/>
  <c r="BE45" i="15"/>
  <c r="BF45" i="15"/>
  <c r="BG45" i="15"/>
  <c r="BE46" i="15"/>
  <c r="BF46" i="15"/>
  <c r="BG46" i="15"/>
  <c r="BE47" i="15"/>
  <c r="BF47" i="15"/>
  <c r="BG47" i="15"/>
  <c r="BE48" i="15"/>
  <c r="BF48" i="15"/>
  <c r="BG48" i="15"/>
  <c r="BE49" i="15"/>
  <c r="BF49" i="15"/>
  <c r="BG49" i="15"/>
  <c r="BE50" i="15"/>
  <c r="BF50" i="15"/>
  <c r="BG50" i="15"/>
  <c r="BE51" i="15"/>
  <c r="BF51" i="15"/>
  <c r="BG51" i="15"/>
  <c r="BG52" i="15"/>
  <c r="BE53" i="15"/>
  <c r="BF53" i="15"/>
  <c r="BG53" i="15"/>
  <c r="BE54" i="15"/>
  <c r="BF54" i="15"/>
  <c r="BG54" i="15"/>
  <c r="BE55" i="15"/>
  <c r="BF55" i="15"/>
  <c r="BG55" i="15"/>
  <c r="BE56" i="15"/>
  <c r="BF56" i="15"/>
  <c r="BG56" i="15"/>
  <c r="BE57" i="15"/>
  <c r="BF57" i="15"/>
  <c r="BG57" i="15"/>
  <c r="BE58" i="15"/>
  <c r="BF58" i="15"/>
  <c r="BG58" i="15"/>
  <c r="BE59" i="15"/>
  <c r="BF59" i="15"/>
  <c r="BG59" i="15"/>
  <c r="BE60" i="15"/>
  <c r="BF60" i="15"/>
  <c r="BG60" i="15"/>
  <c r="BE61" i="15"/>
  <c r="BF61" i="15"/>
  <c r="BG61" i="15"/>
  <c r="BE62" i="15"/>
  <c r="BF62" i="15"/>
  <c r="BG62" i="15"/>
  <c r="BE63" i="15"/>
  <c r="BF63" i="15"/>
  <c r="BG63" i="15"/>
  <c r="BE64" i="15"/>
  <c r="BF64" i="15"/>
  <c r="BG64" i="15"/>
  <c r="BE65" i="15"/>
  <c r="BF65" i="15"/>
  <c r="BG65" i="15"/>
  <c r="BE66" i="15"/>
  <c r="BF66" i="15"/>
  <c r="BG66" i="15"/>
  <c r="BE67" i="15"/>
  <c r="BF67" i="15"/>
  <c r="BG67" i="15"/>
  <c r="BE68" i="15"/>
  <c r="BF68" i="15"/>
  <c r="BG68" i="15"/>
  <c r="BE69" i="15"/>
  <c r="BF69" i="15"/>
  <c r="BG69" i="15"/>
  <c r="BE70" i="15"/>
  <c r="BF70" i="15"/>
  <c r="BG70" i="15"/>
  <c r="BE71" i="15"/>
  <c r="BF71" i="15"/>
  <c r="BG71" i="15"/>
  <c r="BE72" i="15"/>
  <c r="BF72" i="15"/>
  <c r="BG72" i="15"/>
  <c r="BE73" i="15"/>
  <c r="BF73" i="15"/>
  <c r="BG73" i="15"/>
  <c r="BE74" i="15"/>
  <c r="BF74" i="15"/>
  <c r="BG74" i="15"/>
  <c r="BE75" i="15"/>
  <c r="BF75" i="15"/>
  <c r="BG75" i="15"/>
  <c r="BE76" i="15"/>
  <c r="BF76" i="15"/>
  <c r="BG76" i="15"/>
  <c r="BE78" i="15"/>
  <c r="BF78" i="15"/>
  <c r="BG78" i="15"/>
  <c r="BE79" i="15"/>
  <c r="BF79" i="15"/>
  <c r="BG79" i="15"/>
  <c r="BE80" i="15"/>
  <c r="BF80" i="15"/>
  <c r="BG80" i="15"/>
  <c r="BE82" i="15"/>
  <c r="BF82" i="15"/>
  <c r="BG82" i="15"/>
  <c r="BE83" i="15"/>
  <c r="BF83" i="15"/>
  <c r="BG83" i="15"/>
  <c r="BE84" i="15"/>
  <c r="BF84" i="15"/>
  <c r="BG84" i="15"/>
  <c r="BE85" i="15"/>
  <c r="BF85" i="15"/>
  <c r="BG85" i="15"/>
  <c r="BE86" i="15"/>
  <c r="BF86" i="15"/>
  <c r="BG86" i="15"/>
  <c r="BE87" i="15"/>
  <c r="BF87" i="15"/>
  <c r="BG87" i="15"/>
  <c r="BE88" i="15"/>
  <c r="BF88" i="15"/>
  <c r="BG88" i="15"/>
  <c r="BE89" i="15"/>
  <c r="BF89" i="15"/>
  <c r="BG89" i="15"/>
  <c r="BE90" i="15"/>
  <c r="BF90" i="15"/>
  <c r="BE92" i="15"/>
  <c r="BF92" i="15"/>
  <c r="BG92" i="15"/>
  <c r="BE93" i="15"/>
  <c r="BF93" i="15"/>
  <c r="BG93" i="15"/>
  <c r="BF2" i="15"/>
  <c r="BG2" i="15"/>
  <c r="BE2" i="15"/>
  <c r="S142" i="14"/>
  <c r="S141" i="14"/>
  <c r="N128" i="14"/>
  <c r="Q137" i="14"/>
  <c r="Q140" i="14"/>
  <c r="Q141" i="14"/>
  <c r="Q144" i="14"/>
  <c r="Q145" i="14"/>
  <c r="Q136" i="14"/>
  <c r="P137" i="14"/>
  <c r="P140" i="14"/>
  <c r="P141" i="14"/>
  <c r="P144" i="14"/>
  <c r="P145" i="14"/>
  <c r="P136" i="14"/>
  <c r="O140" i="14"/>
  <c r="O141" i="14"/>
  <c r="O144" i="14"/>
  <c r="O145" i="14"/>
  <c r="O137" i="14"/>
  <c r="O136" i="14"/>
  <c r="N136" i="14"/>
  <c r="N137" i="14"/>
  <c r="N140" i="14"/>
  <c r="N141" i="14"/>
  <c r="N144" i="14"/>
  <c r="N145" i="14"/>
  <c r="M136" i="14"/>
  <c r="M137" i="14"/>
  <c r="M140" i="14"/>
  <c r="M141" i="14"/>
  <c r="M144" i="14"/>
  <c r="M145" i="14"/>
  <c r="L136" i="14"/>
  <c r="L137" i="14"/>
  <c r="L140" i="14"/>
  <c r="L141" i="14"/>
  <c r="L144" i="14"/>
  <c r="L145" i="14"/>
  <c r="K163" i="14"/>
  <c r="D151" i="14"/>
  <c r="E151" i="14"/>
  <c r="F151" i="14"/>
  <c r="G151" i="14"/>
  <c r="K151" i="14"/>
  <c r="B152" i="14"/>
  <c r="D152" i="14"/>
  <c r="F152" i="14"/>
  <c r="K152" i="14"/>
  <c r="E153" i="14"/>
  <c r="K153" i="14"/>
  <c r="K154" i="14"/>
  <c r="B155" i="14"/>
  <c r="C155" i="14"/>
  <c r="D155" i="14"/>
  <c r="K155" i="14"/>
  <c r="B156" i="14"/>
  <c r="C156" i="14"/>
  <c r="D156" i="14"/>
  <c r="K156" i="14"/>
  <c r="E157" i="14"/>
  <c r="F157" i="14"/>
  <c r="K157" i="14"/>
  <c r="K158" i="14"/>
  <c r="B159" i="14"/>
  <c r="D159" i="14"/>
  <c r="F159" i="14"/>
  <c r="K159" i="14"/>
  <c r="H160" i="14"/>
  <c r="I160" i="14"/>
  <c r="J160" i="14"/>
  <c r="K160" i="14"/>
  <c r="K161" i="14"/>
  <c r="K162" i="14"/>
  <c r="K150" i="14"/>
  <c r="K148" i="14"/>
  <c r="C145" i="14"/>
  <c r="D145" i="14"/>
  <c r="E145" i="14"/>
  <c r="F145" i="14"/>
  <c r="G145" i="14"/>
  <c r="H145" i="14"/>
  <c r="I145" i="14"/>
  <c r="J145" i="14"/>
  <c r="B145" i="14"/>
  <c r="E144" i="14"/>
  <c r="F144" i="14"/>
  <c r="I144" i="14"/>
  <c r="J144" i="14"/>
  <c r="C141" i="14"/>
  <c r="B141" i="14"/>
  <c r="C137" i="14"/>
  <c r="F137" i="14"/>
  <c r="G137" i="14"/>
  <c r="J137" i="14"/>
  <c r="B137" i="14"/>
  <c r="AO4" i="14"/>
  <c r="AP4" i="14"/>
  <c r="AQ4" i="14"/>
  <c r="AO5" i="14"/>
  <c r="AP5" i="14"/>
  <c r="AQ5" i="14"/>
  <c r="AO6" i="14"/>
  <c r="AP6" i="14"/>
  <c r="AQ6" i="14"/>
  <c r="AO7" i="14"/>
  <c r="AP7" i="14"/>
  <c r="AQ7" i="14"/>
  <c r="AO8" i="14"/>
  <c r="AP8" i="14"/>
  <c r="AQ8" i="14"/>
  <c r="AO9" i="14"/>
  <c r="AP9" i="14"/>
  <c r="AQ9" i="14"/>
  <c r="AO10" i="14"/>
  <c r="AO11" i="14"/>
  <c r="AP11" i="14"/>
  <c r="AQ11" i="14"/>
  <c r="AO12" i="14"/>
  <c r="AP12" i="14"/>
  <c r="AQ12" i="14"/>
  <c r="AO13" i="14"/>
  <c r="AP13" i="14"/>
  <c r="AQ13" i="14"/>
  <c r="AO14" i="14"/>
  <c r="AO15" i="14"/>
  <c r="AP15" i="14"/>
  <c r="AQ15" i="14"/>
  <c r="AO16" i="14"/>
  <c r="H136" i="14" s="1"/>
  <c r="AP16" i="14"/>
  <c r="I136" i="14" s="1"/>
  <c r="AQ16" i="14"/>
  <c r="J136" i="14" s="1"/>
  <c r="AO17" i="14"/>
  <c r="AP17" i="14"/>
  <c r="AQ17" i="14"/>
  <c r="AO18" i="14"/>
  <c r="H137" i="14" s="1"/>
  <c r="AP18" i="14"/>
  <c r="I137" i="14" s="1"/>
  <c r="AQ18" i="14"/>
  <c r="AO19" i="14"/>
  <c r="AP19" i="14"/>
  <c r="AQ19" i="14"/>
  <c r="AO20" i="14"/>
  <c r="AP20" i="14"/>
  <c r="AQ20" i="14"/>
  <c r="AO21" i="14"/>
  <c r="AP21" i="14"/>
  <c r="AQ21" i="14"/>
  <c r="AO22" i="14"/>
  <c r="H138" i="14" s="1"/>
  <c r="AP22" i="14"/>
  <c r="AQ22" i="14"/>
  <c r="AO23" i="14"/>
  <c r="AP23" i="14"/>
  <c r="AQ23" i="14"/>
  <c r="AO24" i="14"/>
  <c r="AO25" i="14"/>
  <c r="AP25" i="14"/>
  <c r="AQ25" i="14"/>
  <c r="AO26" i="14"/>
  <c r="AP26" i="14"/>
  <c r="AQ26" i="14"/>
  <c r="AO27" i="14"/>
  <c r="AP27" i="14"/>
  <c r="AQ27" i="14"/>
  <c r="AO28" i="14"/>
  <c r="AP28" i="14"/>
  <c r="AQ28" i="14"/>
  <c r="AO29" i="14"/>
  <c r="AP29" i="14"/>
  <c r="AQ29" i="14"/>
  <c r="AO30" i="14"/>
  <c r="AP30" i="14"/>
  <c r="AQ30" i="14"/>
  <c r="AO31" i="14"/>
  <c r="AP31" i="14"/>
  <c r="AQ31" i="14"/>
  <c r="AO32" i="14"/>
  <c r="AP32" i="14"/>
  <c r="AQ32" i="14"/>
  <c r="AO33" i="14"/>
  <c r="AP33" i="14"/>
  <c r="AQ33" i="14"/>
  <c r="AO34" i="14"/>
  <c r="AP34" i="14"/>
  <c r="AQ34" i="14"/>
  <c r="AO35" i="14"/>
  <c r="AP35" i="14"/>
  <c r="AQ35" i="14"/>
  <c r="AO36" i="14"/>
  <c r="AP36" i="14"/>
  <c r="AQ36" i="14"/>
  <c r="AO37" i="14"/>
  <c r="AP37" i="14"/>
  <c r="AQ37" i="14"/>
  <c r="AO38" i="14"/>
  <c r="AP38" i="14"/>
  <c r="AQ38" i="14"/>
  <c r="AO39" i="14"/>
  <c r="AP39" i="14"/>
  <c r="AQ39" i="14"/>
  <c r="AO40" i="14"/>
  <c r="AP40" i="14"/>
  <c r="AQ40" i="14"/>
  <c r="AO41" i="14"/>
  <c r="AP41" i="14"/>
  <c r="AQ41" i="14"/>
  <c r="AO42" i="14"/>
  <c r="AP42" i="14"/>
  <c r="AQ42" i="14"/>
  <c r="AO43" i="14"/>
  <c r="AP43" i="14"/>
  <c r="AO44" i="14"/>
  <c r="AP44" i="14"/>
  <c r="AQ44" i="14"/>
  <c r="AO45" i="14"/>
  <c r="AP45" i="14"/>
  <c r="AQ45" i="14"/>
  <c r="AO46" i="14"/>
  <c r="AP46" i="14"/>
  <c r="AQ46" i="14"/>
  <c r="AO47" i="14"/>
  <c r="AP47" i="14"/>
  <c r="AQ47" i="14"/>
  <c r="AO48" i="14"/>
  <c r="AP48" i="14"/>
  <c r="AQ48" i="14"/>
  <c r="AO49" i="14"/>
  <c r="AP49" i="14"/>
  <c r="AQ49" i="14"/>
  <c r="AO50" i="14"/>
  <c r="AP50" i="14"/>
  <c r="AQ50" i="14"/>
  <c r="AO51" i="14"/>
  <c r="AP51" i="14"/>
  <c r="AQ51" i="14"/>
  <c r="AO52" i="14"/>
  <c r="AP52" i="14"/>
  <c r="AQ52" i="14"/>
  <c r="AO53" i="14"/>
  <c r="AP53" i="14"/>
  <c r="AQ53" i="14"/>
  <c r="AO54" i="14"/>
  <c r="AP54" i="14"/>
  <c r="AQ54" i="14"/>
  <c r="AO55" i="14"/>
  <c r="AP55" i="14"/>
  <c r="AQ55" i="14"/>
  <c r="AO56" i="14"/>
  <c r="AP56" i="14"/>
  <c r="AQ56" i="14"/>
  <c r="AO57" i="14"/>
  <c r="AP57" i="14"/>
  <c r="AQ57" i="14"/>
  <c r="AO58" i="14"/>
  <c r="AP58" i="14"/>
  <c r="AQ58" i="14"/>
  <c r="AO59" i="14"/>
  <c r="AP59" i="14"/>
  <c r="AQ59" i="14"/>
  <c r="AO60" i="14"/>
  <c r="AP60" i="14"/>
  <c r="AQ60" i="14"/>
  <c r="AO61" i="14"/>
  <c r="AP61" i="14"/>
  <c r="AQ61" i="14"/>
  <c r="AO62" i="14"/>
  <c r="AP62" i="14"/>
  <c r="AQ62" i="14"/>
  <c r="AO63" i="14"/>
  <c r="AP63" i="14"/>
  <c r="AQ63" i="14"/>
  <c r="AO64" i="14"/>
  <c r="AP64" i="14"/>
  <c r="AQ64" i="14"/>
  <c r="AO65" i="14"/>
  <c r="AP65" i="14"/>
  <c r="AQ65" i="14"/>
  <c r="AO66" i="14"/>
  <c r="AP66" i="14"/>
  <c r="AQ66" i="14"/>
  <c r="AO67" i="14"/>
  <c r="AP67" i="14"/>
  <c r="AQ67" i="14"/>
  <c r="AO68" i="14"/>
  <c r="AP68" i="14"/>
  <c r="AQ68" i="14"/>
  <c r="AO69" i="14"/>
  <c r="AP69" i="14"/>
  <c r="AQ69" i="14"/>
  <c r="AO70" i="14"/>
  <c r="AP70" i="14"/>
  <c r="AQ70" i="14"/>
  <c r="AO71" i="14"/>
  <c r="AP71" i="14"/>
  <c r="AQ71" i="14"/>
  <c r="AO72" i="14"/>
  <c r="AP72" i="14"/>
  <c r="AQ72" i="14"/>
  <c r="AO73" i="14"/>
  <c r="AP73" i="14"/>
  <c r="AQ73" i="14"/>
  <c r="AO74" i="14"/>
  <c r="AP74" i="14"/>
  <c r="AQ74" i="14"/>
  <c r="AO75" i="14"/>
  <c r="AP75" i="14"/>
  <c r="AQ75" i="14"/>
  <c r="AO76" i="14"/>
  <c r="H140" i="14" s="1"/>
  <c r="AP76" i="14"/>
  <c r="I140" i="14" s="1"/>
  <c r="AQ76" i="14"/>
  <c r="J140" i="14" s="1"/>
  <c r="AO77" i="14"/>
  <c r="H141" i="14" s="1"/>
  <c r="AP77" i="14"/>
  <c r="I141" i="14" s="1"/>
  <c r="AQ77" i="14"/>
  <c r="J141" i="14" s="1"/>
  <c r="AO78" i="14"/>
  <c r="H142" i="14" s="1"/>
  <c r="H157" i="14" s="1"/>
  <c r="AP78" i="14"/>
  <c r="I142" i="14" s="1"/>
  <c r="AQ78" i="14"/>
  <c r="J142" i="14" s="1"/>
  <c r="N142" i="14" s="1"/>
  <c r="Q142" i="14" s="1"/>
  <c r="AO79" i="14"/>
  <c r="AP79" i="14"/>
  <c r="AQ79" i="14"/>
  <c r="AO80" i="14"/>
  <c r="AP80" i="14"/>
  <c r="AQ80" i="14"/>
  <c r="AO81" i="14"/>
  <c r="AP81" i="14"/>
  <c r="AQ81" i="14"/>
  <c r="AO82" i="14"/>
  <c r="H143" i="14" s="1"/>
  <c r="AP82" i="14"/>
  <c r="AO83" i="14"/>
  <c r="AP83" i="14"/>
  <c r="AQ83" i="14"/>
  <c r="AO84" i="14"/>
  <c r="AP84" i="14"/>
  <c r="AQ84" i="14"/>
  <c r="AO85" i="14"/>
  <c r="AP85" i="14"/>
  <c r="AQ85" i="14"/>
  <c r="AO86" i="14"/>
  <c r="H144" i="14" s="1"/>
  <c r="AP86" i="14"/>
  <c r="AQ86" i="14"/>
  <c r="AO87" i="14"/>
  <c r="AP87" i="14"/>
  <c r="AQ87" i="14"/>
  <c r="AO88" i="14"/>
  <c r="AP88" i="14"/>
  <c r="AQ88" i="14"/>
  <c r="AO89" i="14"/>
  <c r="AP89" i="14"/>
  <c r="AQ89" i="14"/>
  <c r="AO90" i="14"/>
  <c r="AP90" i="14"/>
  <c r="AQ90" i="14"/>
  <c r="AO91" i="14"/>
  <c r="AO92" i="14"/>
  <c r="AO93" i="14"/>
  <c r="AP93" i="14"/>
  <c r="AQ93" i="14"/>
  <c r="AO94" i="14"/>
  <c r="AP94" i="14"/>
  <c r="AQ94" i="14"/>
  <c r="AO95" i="14"/>
  <c r="H147" i="14" s="1"/>
  <c r="AP3" i="14"/>
  <c r="AQ3" i="14"/>
  <c r="AO3" i="14"/>
  <c r="AL4" i="14"/>
  <c r="AM4" i="14"/>
  <c r="AN4" i="14"/>
  <c r="AL5" i="14"/>
  <c r="AM5" i="14"/>
  <c r="AN5" i="14"/>
  <c r="AL6" i="14"/>
  <c r="AM6" i="14"/>
  <c r="AN6" i="14"/>
  <c r="AL7" i="14"/>
  <c r="AM7" i="14"/>
  <c r="AN7" i="14"/>
  <c r="AL8" i="14"/>
  <c r="AM8" i="14"/>
  <c r="AN8" i="14"/>
  <c r="AL9" i="14"/>
  <c r="AM9" i="14"/>
  <c r="AN9" i="14"/>
  <c r="AL10" i="14"/>
  <c r="AM10" i="14"/>
  <c r="AL11" i="14"/>
  <c r="AM11" i="14"/>
  <c r="AN11" i="14"/>
  <c r="AL12" i="14"/>
  <c r="AM12" i="14"/>
  <c r="AN12" i="14"/>
  <c r="AL13" i="14"/>
  <c r="AM13" i="14"/>
  <c r="AN13" i="14"/>
  <c r="AL14" i="14"/>
  <c r="AM14" i="14"/>
  <c r="AL15" i="14"/>
  <c r="AM15" i="14"/>
  <c r="AN15" i="14"/>
  <c r="AL16" i="14"/>
  <c r="E136" i="14" s="1"/>
  <c r="AM16" i="14"/>
  <c r="F136" i="14" s="1"/>
  <c r="AN16" i="14"/>
  <c r="G136" i="14" s="1"/>
  <c r="AL17" i="14"/>
  <c r="AM17" i="14"/>
  <c r="AN17" i="14"/>
  <c r="AL18" i="14"/>
  <c r="E137" i="14" s="1"/>
  <c r="AM18" i="14"/>
  <c r="AN18" i="14"/>
  <c r="AL19" i="14"/>
  <c r="E138" i="14" s="1"/>
  <c r="AM19" i="14"/>
  <c r="F138" i="14" s="1"/>
  <c r="F153" i="14" s="1"/>
  <c r="AN19" i="14"/>
  <c r="AL20" i="14"/>
  <c r="AM20" i="14"/>
  <c r="AN20" i="14"/>
  <c r="AL21" i="14"/>
  <c r="AM21" i="14"/>
  <c r="AN21" i="14"/>
  <c r="AL22" i="14"/>
  <c r="AM22" i="14"/>
  <c r="AN22" i="14"/>
  <c r="AL23" i="14"/>
  <c r="AM23" i="14"/>
  <c r="AN23" i="14"/>
  <c r="AL24" i="14"/>
  <c r="AM24" i="14"/>
  <c r="AN24" i="14"/>
  <c r="AL25" i="14"/>
  <c r="AM25" i="14"/>
  <c r="AN25" i="14"/>
  <c r="AL26" i="14"/>
  <c r="AM26" i="14"/>
  <c r="AN26" i="14"/>
  <c r="AL27" i="14"/>
  <c r="AM27" i="14"/>
  <c r="AN27" i="14"/>
  <c r="AL28" i="14"/>
  <c r="AM28" i="14"/>
  <c r="AN28" i="14"/>
  <c r="AL29" i="14"/>
  <c r="AM29" i="14"/>
  <c r="AN29" i="14"/>
  <c r="AL30" i="14"/>
  <c r="AM30" i="14"/>
  <c r="AN30" i="14"/>
  <c r="AL31" i="14"/>
  <c r="AM31" i="14"/>
  <c r="AN31" i="14"/>
  <c r="AL32" i="14"/>
  <c r="AM32" i="14"/>
  <c r="AN32" i="14"/>
  <c r="AL33" i="14"/>
  <c r="AM33" i="14"/>
  <c r="AN33" i="14"/>
  <c r="AL34" i="14"/>
  <c r="AM34" i="14"/>
  <c r="AN34" i="14"/>
  <c r="AL35" i="14"/>
  <c r="AM35" i="14"/>
  <c r="AN35" i="14"/>
  <c r="AL36" i="14"/>
  <c r="AM36" i="14"/>
  <c r="AN36" i="14"/>
  <c r="AL37" i="14"/>
  <c r="AM37" i="14"/>
  <c r="AN37" i="14"/>
  <c r="AL38" i="14"/>
  <c r="AM38" i="14"/>
  <c r="AN38" i="14"/>
  <c r="AL39" i="14"/>
  <c r="AM39" i="14"/>
  <c r="AN39" i="14"/>
  <c r="AL40" i="14"/>
  <c r="AM40" i="14"/>
  <c r="AN40" i="14"/>
  <c r="AL41" i="14"/>
  <c r="AM41" i="14"/>
  <c r="AN41" i="14"/>
  <c r="AL42" i="14"/>
  <c r="AM42" i="14"/>
  <c r="AN42" i="14"/>
  <c r="AL43" i="14"/>
  <c r="AL44" i="14"/>
  <c r="AM44" i="14"/>
  <c r="AN44" i="14"/>
  <c r="AL45" i="14"/>
  <c r="AM45" i="14"/>
  <c r="AN45" i="14"/>
  <c r="AL46" i="14"/>
  <c r="AM46" i="14"/>
  <c r="AN46" i="14"/>
  <c r="AL47" i="14"/>
  <c r="AM47" i="14"/>
  <c r="AN47" i="14"/>
  <c r="AL48" i="14"/>
  <c r="AM48" i="14"/>
  <c r="AN48" i="14"/>
  <c r="AL49" i="14"/>
  <c r="AM49" i="14"/>
  <c r="AN49" i="14"/>
  <c r="AL50" i="14"/>
  <c r="AM50" i="14"/>
  <c r="AN50" i="14"/>
  <c r="AL51" i="14"/>
  <c r="AM51" i="14"/>
  <c r="AN51" i="14"/>
  <c r="AL52" i="14"/>
  <c r="AM52" i="14"/>
  <c r="AN52" i="14"/>
  <c r="AL53" i="14"/>
  <c r="AM53" i="14"/>
  <c r="AL54" i="14"/>
  <c r="AM54" i="14"/>
  <c r="AN54" i="14"/>
  <c r="AL55" i="14"/>
  <c r="AM55" i="14"/>
  <c r="AN55" i="14"/>
  <c r="AL56" i="14"/>
  <c r="AM56" i="14"/>
  <c r="AN56" i="14"/>
  <c r="AL57" i="14"/>
  <c r="AM57" i="14"/>
  <c r="AN57" i="14"/>
  <c r="AL58" i="14"/>
  <c r="AM58" i="14"/>
  <c r="AN58" i="14"/>
  <c r="AL59" i="14"/>
  <c r="AM59" i="14"/>
  <c r="AN59" i="14"/>
  <c r="AL60" i="14"/>
  <c r="AM60" i="14"/>
  <c r="AN60" i="14"/>
  <c r="AL61" i="14"/>
  <c r="AM61" i="14"/>
  <c r="AN61" i="14"/>
  <c r="AL62" i="14"/>
  <c r="AM62" i="14"/>
  <c r="AN62" i="14"/>
  <c r="AL63" i="14"/>
  <c r="AM63" i="14"/>
  <c r="AN63" i="14"/>
  <c r="AL64" i="14"/>
  <c r="AM64" i="14"/>
  <c r="AN64" i="14"/>
  <c r="AL65" i="14"/>
  <c r="AM65" i="14"/>
  <c r="AN65" i="14"/>
  <c r="AL66" i="14"/>
  <c r="AM66" i="14"/>
  <c r="AN66" i="14"/>
  <c r="AL67" i="14"/>
  <c r="AM67" i="14"/>
  <c r="AN67" i="14"/>
  <c r="AL68" i="14"/>
  <c r="AM68" i="14"/>
  <c r="AN68" i="14"/>
  <c r="AL69" i="14"/>
  <c r="AM69" i="14"/>
  <c r="AN69" i="14"/>
  <c r="AL70" i="14"/>
  <c r="AM70" i="14"/>
  <c r="AN70" i="14"/>
  <c r="AL71" i="14"/>
  <c r="AM71" i="14"/>
  <c r="AN71" i="14"/>
  <c r="AL72" i="14"/>
  <c r="AM72" i="14"/>
  <c r="AN72" i="14"/>
  <c r="AL73" i="14"/>
  <c r="AM73" i="14"/>
  <c r="AN73" i="14"/>
  <c r="AL74" i="14"/>
  <c r="AM74" i="14"/>
  <c r="AN74" i="14"/>
  <c r="AL75" i="14"/>
  <c r="AM75" i="14"/>
  <c r="AN75" i="14"/>
  <c r="AL76" i="14"/>
  <c r="E140" i="14" s="1"/>
  <c r="AM76" i="14"/>
  <c r="F140" i="14" s="1"/>
  <c r="AN76" i="14"/>
  <c r="G140" i="14" s="1"/>
  <c r="AL77" i="14"/>
  <c r="E141" i="14" s="1"/>
  <c r="AM77" i="14"/>
  <c r="F141" i="14" s="1"/>
  <c r="AN77" i="14"/>
  <c r="G141" i="14" s="1"/>
  <c r="AL78" i="14"/>
  <c r="E142" i="14" s="1"/>
  <c r="M142" i="14" s="1"/>
  <c r="P142" i="14" s="1"/>
  <c r="AM78" i="14"/>
  <c r="F142" i="14" s="1"/>
  <c r="AN78" i="14"/>
  <c r="G142" i="14" s="1"/>
  <c r="G157" i="14" s="1"/>
  <c r="AL79" i="14"/>
  <c r="AM79" i="14"/>
  <c r="AN79" i="14"/>
  <c r="AL80" i="14"/>
  <c r="AM80" i="14"/>
  <c r="AN80" i="14"/>
  <c r="AL81" i="14"/>
  <c r="AM81" i="14"/>
  <c r="AN81" i="14"/>
  <c r="AL82" i="14"/>
  <c r="AM82" i="14"/>
  <c r="F143" i="14" s="1"/>
  <c r="F158" i="14" s="1"/>
  <c r="AL83" i="14"/>
  <c r="AM83" i="14"/>
  <c r="AN83" i="14"/>
  <c r="AL84" i="14"/>
  <c r="AM84" i="14"/>
  <c r="AN84" i="14"/>
  <c r="AL85" i="14"/>
  <c r="AM85" i="14"/>
  <c r="AN85" i="14"/>
  <c r="AL86" i="14"/>
  <c r="AM86" i="14"/>
  <c r="AN86" i="14"/>
  <c r="G144" i="14" s="1"/>
  <c r="AL87" i="14"/>
  <c r="AM87" i="14"/>
  <c r="AN87" i="14"/>
  <c r="AL88" i="14"/>
  <c r="AM88" i="14"/>
  <c r="AN88" i="14"/>
  <c r="AL89" i="14"/>
  <c r="AM89" i="14"/>
  <c r="AN89" i="14"/>
  <c r="AL90" i="14"/>
  <c r="AM90" i="14"/>
  <c r="AN90" i="14"/>
  <c r="AL91" i="14"/>
  <c r="AL92" i="14"/>
  <c r="AL93" i="14"/>
  <c r="AM93" i="14"/>
  <c r="AN93" i="14"/>
  <c r="AL94" i="14"/>
  <c r="AM94" i="14"/>
  <c r="AN94" i="14"/>
  <c r="AL95" i="14"/>
  <c r="E147" i="14" s="1"/>
  <c r="AM95" i="14"/>
  <c r="F147" i="14" s="1"/>
  <c r="F162" i="14" s="1"/>
  <c r="AI4" i="14"/>
  <c r="AJ4" i="14"/>
  <c r="AK4" i="14"/>
  <c r="AI5" i="14"/>
  <c r="AJ5" i="14"/>
  <c r="AK5" i="14"/>
  <c r="AI6" i="14"/>
  <c r="AJ6" i="14"/>
  <c r="AK6" i="14"/>
  <c r="AI7" i="14"/>
  <c r="AJ7" i="14"/>
  <c r="AK7" i="14"/>
  <c r="AI8" i="14"/>
  <c r="AJ8" i="14"/>
  <c r="AK8" i="14"/>
  <c r="AI9" i="14"/>
  <c r="AJ9" i="14"/>
  <c r="AK9" i="14"/>
  <c r="AI10" i="14"/>
  <c r="AJ10" i="14"/>
  <c r="AI11" i="14"/>
  <c r="AJ11" i="14"/>
  <c r="AK11" i="14"/>
  <c r="AI12" i="14"/>
  <c r="AJ12" i="14"/>
  <c r="AK12" i="14"/>
  <c r="AI13" i="14"/>
  <c r="AJ13" i="14"/>
  <c r="AK13" i="14"/>
  <c r="AI14" i="14"/>
  <c r="AJ14" i="14"/>
  <c r="AK14" i="14"/>
  <c r="AI15" i="14"/>
  <c r="AJ15" i="14"/>
  <c r="AK15" i="14"/>
  <c r="AI16" i="14"/>
  <c r="B136" i="14" s="1"/>
  <c r="AJ16" i="14"/>
  <c r="C136" i="14" s="1"/>
  <c r="AK16" i="14"/>
  <c r="D136" i="14" s="1"/>
  <c r="AI17" i="14"/>
  <c r="AJ17" i="14"/>
  <c r="AK17" i="14"/>
  <c r="AI18" i="14"/>
  <c r="AJ18" i="14"/>
  <c r="AK18" i="14"/>
  <c r="D137" i="14" s="1"/>
  <c r="AI19" i="14"/>
  <c r="B138" i="14" s="1"/>
  <c r="B153" i="14" s="1"/>
  <c r="AJ19" i="14"/>
  <c r="AK19" i="14"/>
  <c r="AI20" i="14"/>
  <c r="AJ20" i="14"/>
  <c r="AK20" i="14"/>
  <c r="AI21" i="14"/>
  <c r="AJ21" i="14"/>
  <c r="AK21" i="14"/>
  <c r="AI22" i="14"/>
  <c r="AJ22" i="14"/>
  <c r="AK22" i="14"/>
  <c r="AI23" i="14"/>
  <c r="AJ23" i="14"/>
  <c r="AK23" i="14"/>
  <c r="AI24" i="14"/>
  <c r="AJ24" i="14"/>
  <c r="AI25" i="14"/>
  <c r="AJ25" i="14"/>
  <c r="AK25" i="14"/>
  <c r="AI26" i="14"/>
  <c r="AJ26" i="14"/>
  <c r="AK26" i="14"/>
  <c r="AI27" i="14"/>
  <c r="AJ27" i="14"/>
  <c r="AK27" i="14"/>
  <c r="AI28" i="14"/>
  <c r="AJ28" i="14"/>
  <c r="AK28" i="14"/>
  <c r="AI29" i="14"/>
  <c r="AJ29" i="14"/>
  <c r="AK29" i="14"/>
  <c r="AI30" i="14"/>
  <c r="AJ30" i="14"/>
  <c r="AK30" i="14"/>
  <c r="AI31" i="14"/>
  <c r="AJ31" i="14"/>
  <c r="AK31" i="14"/>
  <c r="AI32" i="14"/>
  <c r="AJ32" i="14"/>
  <c r="AK32" i="14"/>
  <c r="AI33" i="14"/>
  <c r="AJ33" i="14"/>
  <c r="AK33" i="14"/>
  <c r="AI34" i="14"/>
  <c r="AJ34" i="14"/>
  <c r="AK34" i="14"/>
  <c r="AI35" i="14"/>
  <c r="AJ35" i="14"/>
  <c r="AK35" i="14"/>
  <c r="AI36" i="14"/>
  <c r="AJ36" i="14"/>
  <c r="AK36" i="14"/>
  <c r="AI37" i="14"/>
  <c r="AJ37" i="14"/>
  <c r="AK37" i="14"/>
  <c r="AI38" i="14"/>
  <c r="AJ38" i="14"/>
  <c r="AK38" i="14"/>
  <c r="AI39" i="14"/>
  <c r="AJ39" i="14"/>
  <c r="AK39" i="14"/>
  <c r="AI40" i="14"/>
  <c r="AJ40" i="14"/>
  <c r="AK40" i="14"/>
  <c r="AI41" i="14"/>
  <c r="AJ41" i="14"/>
  <c r="AK41" i="14"/>
  <c r="AI42" i="14"/>
  <c r="AJ42" i="14"/>
  <c r="AK42" i="14"/>
  <c r="AI43" i="14"/>
  <c r="AI44" i="14"/>
  <c r="AJ44" i="14"/>
  <c r="AK44" i="14"/>
  <c r="AI45" i="14"/>
  <c r="AJ45" i="14"/>
  <c r="AK45" i="14"/>
  <c r="AI46" i="14"/>
  <c r="AJ46" i="14"/>
  <c r="AK46" i="14"/>
  <c r="AI47" i="14"/>
  <c r="AJ47" i="14"/>
  <c r="AK47" i="14"/>
  <c r="AI48" i="14"/>
  <c r="AJ48" i="14"/>
  <c r="AK48" i="14"/>
  <c r="AI49" i="14"/>
  <c r="AJ49" i="14"/>
  <c r="AK49" i="14"/>
  <c r="AI50" i="14"/>
  <c r="AJ50" i="14"/>
  <c r="AK50" i="14"/>
  <c r="AI51" i="14"/>
  <c r="AJ51" i="14"/>
  <c r="AK51" i="14"/>
  <c r="AI52" i="14"/>
  <c r="AJ52" i="14"/>
  <c r="AK52" i="14"/>
  <c r="AI53" i="14"/>
  <c r="AI54" i="14"/>
  <c r="AJ54" i="14"/>
  <c r="AK54" i="14"/>
  <c r="AI55" i="14"/>
  <c r="AJ55" i="14"/>
  <c r="AK55" i="14"/>
  <c r="AI56" i="14"/>
  <c r="AJ56" i="14"/>
  <c r="AK56" i="14"/>
  <c r="AI57" i="14"/>
  <c r="AJ57" i="14"/>
  <c r="AK57" i="14"/>
  <c r="AI58" i="14"/>
  <c r="AJ58" i="14"/>
  <c r="AK58" i="14"/>
  <c r="AI59" i="14"/>
  <c r="AJ59" i="14"/>
  <c r="AK59" i="14"/>
  <c r="AI60" i="14"/>
  <c r="AJ60" i="14"/>
  <c r="AK60" i="14"/>
  <c r="AI61" i="14"/>
  <c r="AJ61" i="14"/>
  <c r="AK61" i="14"/>
  <c r="AI62" i="14"/>
  <c r="AJ62" i="14"/>
  <c r="AK62" i="14"/>
  <c r="AI63" i="14"/>
  <c r="AJ63" i="14"/>
  <c r="AK63" i="14"/>
  <c r="AI64" i="14"/>
  <c r="AJ64" i="14"/>
  <c r="AK64" i="14"/>
  <c r="AI65" i="14"/>
  <c r="AJ65" i="14"/>
  <c r="AK65" i="14"/>
  <c r="AI66" i="14"/>
  <c r="AJ66" i="14"/>
  <c r="AK66" i="14"/>
  <c r="AI67" i="14"/>
  <c r="AJ67" i="14"/>
  <c r="AK67" i="14"/>
  <c r="AI68" i="14"/>
  <c r="AJ68" i="14"/>
  <c r="AK68" i="14"/>
  <c r="AI69" i="14"/>
  <c r="AJ69" i="14"/>
  <c r="AK69" i="14"/>
  <c r="AI70" i="14"/>
  <c r="AJ70" i="14"/>
  <c r="AK70" i="14"/>
  <c r="AI71" i="14"/>
  <c r="AJ71" i="14"/>
  <c r="AK71" i="14"/>
  <c r="AI72" i="14"/>
  <c r="AJ72" i="14"/>
  <c r="AK72" i="14"/>
  <c r="AI73" i="14"/>
  <c r="AJ73" i="14"/>
  <c r="AK73" i="14"/>
  <c r="AI74" i="14"/>
  <c r="AJ74" i="14"/>
  <c r="AK74" i="14"/>
  <c r="AI75" i="14"/>
  <c r="AJ75" i="14"/>
  <c r="AK75" i="14"/>
  <c r="AI76" i="14"/>
  <c r="B140" i="14" s="1"/>
  <c r="AJ76" i="14"/>
  <c r="C140" i="14" s="1"/>
  <c r="AK76" i="14"/>
  <c r="D140" i="14" s="1"/>
  <c r="AI77" i="14"/>
  <c r="AJ77" i="14"/>
  <c r="AK77" i="14"/>
  <c r="D141" i="14" s="1"/>
  <c r="AI78" i="14"/>
  <c r="AJ78" i="14"/>
  <c r="AK78" i="14"/>
  <c r="AI79" i="14"/>
  <c r="AJ79" i="14"/>
  <c r="AK79" i="14"/>
  <c r="AI80" i="14"/>
  <c r="AJ80" i="14"/>
  <c r="AK80" i="14"/>
  <c r="AI81" i="14"/>
  <c r="AJ81" i="14"/>
  <c r="AK81" i="14"/>
  <c r="AI82" i="14"/>
  <c r="B143" i="14" s="1"/>
  <c r="AJ82" i="14"/>
  <c r="C143" i="14" s="1"/>
  <c r="C158" i="14" s="1"/>
  <c r="AI83" i="14"/>
  <c r="AJ83" i="14"/>
  <c r="AK83" i="14"/>
  <c r="AI84" i="14"/>
  <c r="AJ84" i="14"/>
  <c r="AK84" i="14"/>
  <c r="AI85" i="14"/>
  <c r="AJ85" i="14"/>
  <c r="AK85" i="14"/>
  <c r="AI86" i="14"/>
  <c r="B144" i="14" s="1"/>
  <c r="AJ86" i="14"/>
  <c r="C144" i="14" s="1"/>
  <c r="AK86" i="14"/>
  <c r="D144" i="14" s="1"/>
  <c r="AI87" i="14"/>
  <c r="AJ87" i="14"/>
  <c r="AK87" i="14"/>
  <c r="AI88" i="14"/>
  <c r="AJ88" i="14"/>
  <c r="AK88" i="14"/>
  <c r="AI89" i="14"/>
  <c r="AJ89" i="14"/>
  <c r="AK89" i="14"/>
  <c r="AI90" i="14"/>
  <c r="AJ90" i="14"/>
  <c r="AK90" i="14"/>
  <c r="AI91" i="14"/>
  <c r="AJ91" i="14"/>
  <c r="AI92" i="14"/>
  <c r="AI93" i="14"/>
  <c r="AJ93" i="14"/>
  <c r="AK93" i="14"/>
  <c r="AI94" i="14"/>
  <c r="AJ94" i="14"/>
  <c r="AK94" i="14"/>
  <c r="AI95" i="14"/>
  <c r="B147" i="14" s="1"/>
  <c r="AJ95" i="14"/>
  <c r="C147" i="14" s="1"/>
  <c r="AM3" i="14"/>
  <c r="AN3" i="14"/>
  <c r="AL3" i="14"/>
  <c r="AJ3" i="14"/>
  <c r="AK3" i="14"/>
  <c r="AI3" i="14"/>
  <c r="E127" i="14"/>
  <c r="E123" i="14"/>
  <c r="K127" i="14"/>
  <c r="K123" i="14"/>
  <c r="O108" i="14"/>
  <c r="N4" i="14"/>
  <c r="O4" i="14"/>
  <c r="P4" i="14"/>
  <c r="Q4" i="14"/>
  <c r="R4" i="14"/>
  <c r="S4" i="14"/>
  <c r="T4" i="14"/>
  <c r="N5" i="14"/>
  <c r="O5" i="14"/>
  <c r="P5" i="14"/>
  <c r="Q5" i="14"/>
  <c r="R5" i="14"/>
  <c r="S5" i="14"/>
  <c r="T5" i="14"/>
  <c r="N6" i="14"/>
  <c r="O6" i="14"/>
  <c r="P6" i="14"/>
  <c r="Q6" i="14"/>
  <c r="R6" i="14"/>
  <c r="S6" i="14"/>
  <c r="T6" i="14"/>
  <c r="N7" i="14"/>
  <c r="O7" i="14"/>
  <c r="P7" i="14"/>
  <c r="Q7" i="14"/>
  <c r="R7" i="14"/>
  <c r="S7" i="14"/>
  <c r="T7" i="14"/>
  <c r="N8" i="14"/>
  <c r="O8" i="14"/>
  <c r="P8" i="14"/>
  <c r="Q8" i="14"/>
  <c r="R8" i="14"/>
  <c r="S8" i="14"/>
  <c r="T8" i="14"/>
  <c r="N9" i="14"/>
  <c r="O9" i="14"/>
  <c r="P9" i="14"/>
  <c r="Q9" i="14"/>
  <c r="R9" i="14"/>
  <c r="S9" i="14"/>
  <c r="T9" i="14"/>
  <c r="N10" i="14"/>
  <c r="O10" i="14"/>
  <c r="P10" i="14"/>
  <c r="Q10" i="14"/>
  <c r="R10" i="14"/>
  <c r="S10" i="14"/>
  <c r="T10" i="14"/>
  <c r="N11" i="14"/>
  <c r="O11" i="14"/>
  <c r="P11" i="14"/>
  <c r="Q11" i="14"/>
  <c r="R11" i="14"/>
  <c r="S11" i="14"/>
  <c r="T11" i="14"/>
  <c r="N12" i="14"/>
  <c r="O12" i="14"/>
  <c r="P12" i="14"/>
  <c r="Q12" i="14"/>
  <c r="R12" i="14"/>
  <c r="S12" i="14"/>
  <c r="T12" i="14"/>
  <c r="N13" i="14"/>
  <c r="O13" i="14"/>
  <c r="P13" i="14"/>
  <c r="Q13" i="14"/>
  <c r="R13" i="14"/>
  <c r="S13" i="14"/>
  <c r="T13" i="14"/>
  <c r="N14" i="14"/>
  <c r="O14" i="14"/>
  <c r="P14" i="14"/>
  <c r="Q14" i="14"/>
  <c r="R14" i="14"/>
  <c r="S14" i="14"/>
  <c r="T14" i="14"/>
  <c r="N15" i="14"/>
  <c r="O15" i="14"/>
  <c r="P15" i="14"/>
  <c r="Q15" i="14"/>
  <c r="R15" i="14"/>
  <c r="S15" i="14"/>
  <c r="T15" i="14"/>
  <c r="N16" i="14"/>
  <c r="O16" i="14"/>
  <c r="J103" i="14" s="1"/>
  <c r="P16" i="14"/>
  <c r="Q16" i="14"/>
  <c r="R16" i="14"/>
  <c r="S16" i="14"/>
  <c r="N103" i="14" s="1"/>
  <c r="T16" i="14"/>
  <c r="N17" i="14"/>
  <c r="O17" i="14"/>
  <c r="P17" i="14"/>
  <c r="Q17" i="14"/>
  <c r="R17" i="14"/>
  <c r="S17" i="14"/>
  <c r="T17" i="14"/>
  <c r="N18" i="14"/>
  <c r="I104" i="14" s="1"/>
  <c r="O18" i="14"/>
  <c r="J104" i="14" s="1"/>
  <c r="P18" i="14"/>
  <c r="K104" i="14" s="1"/>
  <c r="Q18" i="14"/>
  <c r="L104" i="14" s="1"/>
  <c r="R18" i="14"/>
  <c r="M104" i="14" s="1"/>
  <c r="S18" i="14"/>
  <c r="N104" i="14" s="1"/>
  <c r="T18" i="14"/>
  <c r="O104" i="14" s="1"/>
  <c r="N19" i="14"/>
  <c r="O19" i="14"/>
  <c r="P19" i="14"/>
  <c r="Q19" i="14"/>
  <c r="R19" i="14"/>
  <c r="S19" i="14"/>
  <c r="T19" i="14"/>
  <c r="N20" i="14"/>
  <c r="O20" i="14"/>
  <c r="P20" i="14"/>
  <c r="Q20" i="14"/>
  <c r="R20" i="14"/>
  <c r="S20" i="14"/>
  <c r="T20" i="14"/>
  <c r="N21" i="14"/>
  <c r="O21" i="14"/>
  <c r="P21" i="14"/>
  <c r="Q21" i="14"/>
  <c r="R21" i="14"/>
  <c r="S21" i="14"/>
  <c r="T21" i="14"/>
  <c r="N22" i="14"/>
  <c r="O22" i="14"/>
  <c r="P22" i="14"/>
  <c r="Q22" i="14"/>
  <c r="R22" i="14"/>
  <c r="S22" i="14"/>
  <c r="T22" i="14"/>
  <c r="N23" i="14"/>
  <c r="O23" i="14"/>
  <c r="P23" i="14"/>
  <c r="Q23" i="14"/>
  <c r="R23" i="14"/>
  <c r="S23" i="14"/>
  <c r="T23" i="14"/>
  <c r="N24" i="14"/>
  <c r="O24" i="14"/>
  <c r="P24" i="14"/>
  <c r="Q24" i="14"/>
  <c r="R24" i="14"/>
  <c r="S24" i="14"/>
  <c r="T24" i="14"/>
  <c r="N25" i="14"/>
  <c r="O25" i="14"/>
  <c r="P25" i="14"/>
  <c r="Q25" i="14"/>
  <c r="R25" i="14"/>
  <c r="S25" i="14"/>
  <c r="T25" i="14"/>
  <c r="N26" i="14"/>
  <c r="O26" i="14"/>
  <c r="P26" i="14"/>
  <c r="Q26" i="14"/>
  <c r="R26" i="14"/>
  <c r="S26" i="14"/>
  <c r="T26" i="14"/>
  <c r="N27" i="14"/>
  <c r="O27" i="14"/>
  <c r="P27" i="14"/>
  <c r="Q27" i="14"/>
  <c r="R27" i="14"/>
  <c r="S27" i="14"/>
  <c r="T27" i="14"/>
  <c r="N28" i="14"/>
  <c r="O28" i="14"/>
  <c r="P28" i="14"/>
  <c r="Q28" i="14"/>
  <c r="R28" i="14"/>
  <c r="S28" i="14"/>
  <c r="T28" i="14"/>
  <c r="N29" i="14"/>
  <c r="O29" i="14"/>
  <c r="P29" i="14"/>
  <c r="Q29" i="14"/>
  <c r="R29" i="14"/>
  <c r="S29" i="14"/>
  <c r="T29" i="14"/>
  <c r="N30" i="14"/>
  <c r="O30" i="14"/>
  <c r="P30" i="14"/>
  <c r="Q30" i="14"/>
  <c r="R30" i="14"/>
  <c r="S30" i="14"/>
  <c r="T30" i="14"/>
  <c r="N31" i="14"/>
  <c r="O31" i="14"/>
  <c r="P31" i="14"/>
  <c r="Q31" i="14"/>
  <c r="R31" i="14"/>
  <c r="S31" i="14"/>
  <c r="T31" i="14"/>
  <c r="N32" i="14"/>
  <c r="O32" i="14"/>
  <c r="P32" i="14"/>
  <c r="Q32" i="14"/>
  <c r="R32" i="14"/>
  <c r="S32" i="14"/>
  <c r="T32" i="14"/>
  <c r="N33" i="14"/>
  <c r="O33" i="14"/>
  <c r="P33" i="14"/>
  <c r="Q33" i="14"/>
  <c r="R33" i="14"/>
  <c r="S33" i="14"/>
  <c r="T33" i="14"/>
  <c r="N34" i="14"/>
  <c r="O34" i="14"/>
  <c r="P34" i="14"/>
  <c r="Q34" i="14"/>
  <c r="R34" i="14"/>
  <c r="S34" i="14"/>
  <c r="T34" i="14"/>
  <c r="N35" i="14"/>
  <c r="O35" i="14"/>
  <c r="P35" i="14"/>
  <c r="Q35" i="14"/>
  <c r="R35" i="14"/>
  <c r="S35" i="14"/>
  <c r="T35" i="14"/>
  <c r="N36" i="14"/>
  <c r="O36" i="14"/>
  <c r="P36" i="14"/>
  <c r="Q36" i="14"/>
  <c r="R36" i="14"/>
  <c r="S36" i="14"/>
  <c r="T36" i="14"/>
  <c r="N37" i="14"/>
  <c r="O37" i="14"/>
  <c r="P37" i="14"/>
  <c r="Q37" i="14"/>
  <c r="R37" i="14"/>
  <c r="S37" i="14"/>
  <c r="T37" i="14"/>
  <c r="N38" i="14"/>
  <c r="O38" i="14"/>
  <c r="P38" i="14"/>
  <c r="Q38" i="14"/>
  <c r="R38" i="14"/>
  <c r="S38" i="14"/>
  <c r="T38" i="14"/>
  <c r="N39" i="14"/>
  <c r="O39" i="14"/>
  <c r="P39" i="14"/>
  <c r="Q39" i="14"/>
  <c r="R39" i="14"/>
  <c r="S39" i="14"/>
  <c r="T39" i="14"/>
  <c r="N40" i="14"/>
  <c r="O40" i="14"/>
  <c r="P40" i="14"/>
  <c r="Q40" i="14"/>
  <c r="R40" i="14"/>
  <c r="S40" i="14"/>
  <c r="T40" i="14"/>
  <c r="N41" i="14"/>
  <c r="O41" i="14"/>
  <c r="P41" i="14"/>
  <c r="Q41" i="14"/>
  <c r="R41" i="14"/>
  <c r="S41" i="14"/>
  <c r="T41" i="14"/>
  <c r="N42" i="14"/>
  <c r="O42" i="14"/>
  <c r="P42" i="14"/>
  <c r="Q42" i="14"/>
  <c r="R42" i="14"/>
  <c r="S42" i="14"/>
  <c r="T42" i="14"/>
  <c r="N43" i="14"/>
  <c r="O43" i="14"/>
  <c r="P43" i="14"/>
  <c r="Q43" i="14"/>
  <c r="R43" i="14"/>
  <c r="S43" i="14"/>
  <c r="T43" i="14"/>
  <c r="N44" i="14"/>
  <c r="O44" i="14"/>
  <c r="P44" i="14"/>
  <c r="Q44" i="14"/>
  <c r="R44" i="14"/>
  <c r="S44" i="14"/>
  <c r="T44" i="14"/>
  <c r="N45" i="14"/>
  <c r="O45" i="14"/>
  <c r="P45" i="14"/>
  <c r="Q45" i="14"/>
  <c r="R45" i="14"/>
  <c r="S45" i="14"/>
  <c r="T45" i="14"/>
  <c r="N46" i="14"/>
  <c r="O46" i="14"/>
  <c r="P46" i="14"/>
  <c r="Q46" i="14"/>
  <c r="R46" i="14"/>
  <c r="S46" i="14"/>
  <c r="T46" i="14"/>
  <c r="N47" i="14"/>
  <c r="O47" i="14"/>
  <c r="P47" i="14"/>
  <c r="Q47" i="14"/>
  <c r="R47" i="14"/>
  <c r="S47" i="14"/>
  <c r="T47" i="14"/>
  <c r="N48" i="14"/>
  <c r="O48" i="14"/>
  <c r="P48" i="14"/>
  <c r="Q48" i="14"/>
  <c r="R48" i="14"/>
  <c r="S48" i="14"/>
  <c r="T48" i="14"/>
  <c r="N49" i="14"/>
  <c r="O49" i="14"/>
  <c r="P49" i="14"/>
  <c r="Q49" i="14"/>
  <c r="R49" i="14"/>
  <c r="S49" i="14"/>
  <c r="T49" i="14"/>
  <c r="N50" i="14"/>
  <c r="O50" i="14"/>
  <c r="P50" i="14"/>
  <c r="Q50" i="14"/>
  <c r="R50" i="14"/>
  <c r="S50" i="14"/>
  <c r="T50" i="14"/>
  <c r="N51" i="14"/>
  <c r="O51" i="14"/>
  <c r="P51" i="14"/>
  <c r="Q51" i="14"/>
  <c r="R51" i="14"/>
  <c r="S51" i="14"/>
  <c r="T51" i="14"/>
  <c r="N52" i="14"/>
  <c r="O52" i="14"/>
  <c r="P52" i="14"/>
  <c r="Q52" i="14"/>
  <c r="R52" i="14"/>
  <c r="S52" i="14"/>
  <c r="T52" i="14"/>
  <c r="N53" i="14"/>
  <c r="O53" i="14"/>
  <c r="P53" i="14"/>
  <c r="Q53" i="14"/>
  <c r="R53" i="14"/>
  <c r="S53" i="14"/>
  <c r="T53" i="14"/>
  <c r="N54" i="14"/>
  <c r="O54" i="14"/>
  <c r="P54" i="14"/>
  <c r="Q54" i="14"/>
  <c r="R54" i="14"/>
  <c r="S54" i="14"/>
  <c r="T54" i="14"/>
  <c r="N55" i="14"/>
  <c r="O55" i="14"/>
  <c r="P55" i="14"/>
  <c r="Q55" i="14"/>
  <c r="R55" i="14"/>
  <c r="S55" i="14"/>
  <c r="T55" i="14"/>
  <c r="N56" i="14"/>
  <c r="O56" i="14"/>
  <c r="P56" i="14"/>
  <c r="Q56" i="14"/>
  <c r="R56" i="14"/>
  <c r="S56" i="14"/>
  <c r="T56" i="14"/>
  <c r="N57" i="14"/>
  <c r="O57" i="14"/>
  <c r="P57" i="14"/>
  <c r="Q57" i="14"/>
  <c r="R57" i="14"/>
  <c r="S57" i="14"/>
  <c r="T57" i="14"/>
  <c r="N58" i="14"/>
  <c r="O58" i="14"/>
  <c r="P58" i="14"/>
  <c r="Q58" i="14"/>
  <c r="R58" i="14"/>
  <c r="S58" i="14"/>
  <c r="T58" i="14"/>
  <c r="N59" i="14"/>
  <c r="O59" i="14"/>
  <c r="P59" i="14"/>
  <c r="Q59" i="14"/>
  <c r="R59" i="14"/>
  <c r="S59" i="14"/>
  <c r="T59" i="14"/>
  <c r="N60" i="14"/>
  <c r="O60" i="14"/>
  <c r="P60" i="14"/>
  <c r="Q60" i="14"/>
  <c r="R60" i="14"/>
  <c r="S60" i="14"/>
  <c r="T60" i="14"/>
  <c r="N61" i="14"/>
  <c r="O61" i="14"/>
  <c r="P61" i="14"/>
  <c r="Q61" i="14"/>
  <c r="R61" i="14"/>
  <c r="S61" i="14"/>
  <c r="T61" i="14"/>
  <c r="N62" i="14"/>
  <c r="O62" i="14"/>
  <c r="P62" i="14"/>
  <c r="Q62" i="14"/>
  <c r="R62" i="14"/>
  <c r="S62" i="14"/>
  <c r="T62" i="14"/>
  <c r="N63" i="14"/>
  <c r="O63" i="14"/>
  <c r="P63" i="14"/>
  <c r="Q63" i="14"/>
  <c r="R63" i="14"/>
  <c r="S63" i="14"/>
  <c r="T63" i="14"/>
  <c r="N64" i="14"/>
  <c r="O64" i="14"/>
  <c r="P64" i="14"/>
  <c r="Q64" i="14"/>
  <c r="R64" i="14"/>
  <c r="S64" i="14"/>
  <c r="T64" i="14"/>
  <c r="N65" i="14"/>
  <c r="O65" i="14"/>
  <c r="P65" i="14"/>
  <c r="Q65" i="14"/>
  <c r="R65" i="14"/>
  <c r="S65" i="14"/>
  <c r="T65" i="14"/>
  <c r="N66" i="14"/>
  <c r="O66" i="14"/>
  <c r="P66" i="14"/>
  <c r="Q66" i="14"/>
  <c r="R66" i="14"/>
  <c r="S66" i="14"/>
  <c r="T66" i="14"/>
  <c r="N67" i="14"/>
  <c r="O67" i="14"/>
  <c r="P67" i="14"/>
  <c r="Q67" i="14"/>
  <c r="R67" i="14"/>
  <c r="S67" i="14"/>
  <c r="T67" i="14"/>
  <c r="N68" i="14"/>
  <c r="O68" i="14"/>
  <c r="P68" i="14"/>
  <c r="Q68" i="14"/>
  <c r="R68" i="14"/>
  <c r="S68" i="14"/>
  <c r="T68" i="14"/>
  <c r="N69" i="14"/>
  <c r="O69" i="14"/>
  <c r="P69" i="14"/>
  <c r="Q69" i="14"/>
  <c r="R69" i="14"/>
  <c r="S69" i="14"/>
  <c r="T69" i="14"/>
  <c r="N70" i="14"/>
  <c r="O70" i="14"/>
  <c r="P70" i="14"/>
  <c r="Q70" i="14"/>
  <c r="R70" i="14"/>
  <c r="S70" i="14"/>
  <c r="T70" i="14"/>
  <c r="N71" i="14"/>
  <c r="O71" i="14"/>
  <c r="P71" i="14"/>
  <c r="Q71" i="14"/>
  <c r="R71" i="14"/>
  <c r="S71" i="14"/>
  <c r="T71" i="14"/>
  <c r="N72" i="14"/>
  <c r="O72" i="14"/>
  <c r="P72" i="14"/>
  <c r="Q72" i="14"/>
  <c r="R72" i="14"/>
  <c r="S72" i="14"/>
  <c r="T72" i="14"/>
  <c r="N73" i="14"/>
  <c r="O73" i="14"/>
  <c r="P73" i="14"/>
  <c r="Q73" i="14"/>
  <c r="R73" i="14"/>
  <c r="S73" i="14"/>
  <c r="T73" i="14"/>
  <c r="N74" i="14"/>
  <c r="O74" i="14"/>
  <c r="P74" i="14"/>
  <c r="Q74" i="14"/>
  <c r="R74" i="14"/>
  <c r="S74" i="14"/>
  <c r="T74" i="14"/>
  <c r="N75" i="14"/>
  <c r="O75" i="14"/>
  <c r="P75" i="14"/>
  <c r="Q75" i="14"/>
  <c r="R75" i="14"/>
  <c r="S75" i="14"/>
  <c r="T75" i="14"/>
  <c r="N76" i="14"/>
  <c r="I107" i="14" s="1"/>
  <c r="O76" i="14"/>
  <c r="J107" i="14" s="1"/>
  <c r="P76" i="14"/>
  <c r="K107" i="14" s="1"/>
  <c r="Q76" i="14"/>
  <c r="L107" i="14" s="1"/>
  <c r="R76" i="14"/>
  <c r="M107" i="14" s="1"/>
  <c r="S76" i="14"/>
  <c r="N107" i="14" s="1"/>
  <c r="T76" i="14"/>
  <c r="O107" i="14" s="1"/>
  <c r="N77" i="14"/>
  <c r="H108" i="14" s="1"/>
  <c r="O77" i="14"/>
  <c r="I108" i="14" s="1"/>
  <c r="P77" i="14"/>
  <c r="J108" i="14" s="1"/>
  <c r="Q77" i="14"/>
  <c r="K108" i="14" s="1"/>
  <c r="R77" i="14"/>
  <c r="L108" i="14" s="1"/>
  <c r="S77" i="14"/>
  <c r="M108" i="14" s="1"/>
  <c r="T77" i="14"/>
  <c r="N108" i="14" s="1"/>
  <c r="N78" i="14"/>
  <c r="O78" i="14"/>
  <c r="P78" i="14"/>
  <c r="Q78" i="14"/>
  <c r="R78" i="14"/>
  <c r="S78" i="14"/>
  <c r="T78" i="14"/>
  <c r="N79" i="14"/>
  <c r="O79" i="14"/>
  <c r="P79" i="14"/>
  <c r="Q79" i="14"/>
  <c r="R79" i="14"/>
  <c r="S79" i="14"/>
  <c r="T79" i="14"/>
  <c r="N80" i="14"/>
  <c r="O80" i="14"/>
  <c r="P80" i="14"/>
  <c r="Q80" i="14"/>
  <c r="R80" i="14"/>
  <c r="S80" i="14"/>
  <c r="T80" i="14"/>
  <c r="N81" i="14"/>
  <c r="O81" i="14"/>
  <c r="P81" i="14"/>
  <c r="Q81" i="14"/>
  <c r="R81" i="14"/>
  <c r="S81" i="14"/>
  <c r="T81" i="14"/>
  <c r="N82" i="14"/>
  <c r="O82" i="14"/>
  <c r="P82" i="14"/>
  <c r="Q82" i="14"/>
  <c r="R82" i="14"/>
  <c r="S82" i="14"/>
  <c r="T82" i="14"/>
  <c r="N83" i="14"/>
  <c r="O83" i="14"/>
  <c r="P83" i="14"/>
  <c r="Q83" i="14"/>
  <c r="R83" i="14"/>
  <c r="S83" i="14"/>
  <c r="T83" i="14"/>
  <c r="N84" i="14"/>
  <c r="O84" i="14"/>
  <c r="P84" i="14"/>
  <c r="Q84" i="14"/>
  <c r="R84" i="14"/>
  <c r="S84" i="14"/>
  <c r="T84" i="14"/>
  <c r="N85" i="14"/>
  <c r="O85" i="14"/>
  <c r="P85" i="14"/>
  <c r="Q85" i="14"/>
  <c r="R85" i="14"/>
  <c r="S85" i="14"/>
  <c r="T85" i="14"/>
  <c r="N86" i="14"/>
  <c r="I111" i="14" s="1"/>
  <c r="O86" i="14"/>
  <c r="J111" i="14" s="1"/>
  <c r="P86" i="14"/>
  <c r="K111" i="14" s="1"/>
  <c r="Q86" i="14"/>
  <c r="L111" i="14" s="1"/>
  <c r="R86" i="14"/>
  <c r="M111" i="14" s="1"/>
  <c r="S86" i="14"/>
  <c r="N111" i="14" s="1"/>
  <c r="T86" i="14"/>
  <c r="O111" i="14" s="1"/>
  <c r="N87" i="14"/>
  <c r="I112" i="14" s="1"/>
  <c r="O87" i="14"/>
  <c r="J112" i="14" s="1"/>
  <c r="P87" i="14"/>
  <c r="K112" i="14" s="1"/>
  <c r="Q87" i="14"/>
  <c r="L112" i="14" s="1"/>
  <c r="R87" i="14"/>
  <c r="M112" i="14" s="1"/>
  <c r="S87" i="14"/>
  <c r="N112" i="14" s="1"/>
  <c r="T87" i="14"/>
  <c r="O112" i="14" s="1"/>
  <c r="N88" i="14"/>
  <c r="O88" i="14"/>
  <c r="P88" i="14"/>
  <c r="Q88" i="14"/>
  <c r="R88" i="14"/>
  <c r="S88" i="14"/>
  <c r="T88" i="14"/>
  <c r="N89" i="14"/>
  <c r="O89" i="14"/>
  <c r="P89" i="14"/>
  <c r="Q89" i="14"/>
  <c r="R89" i="14"/>
  <c r="S89" i="14"/>
  <c r="T89" i="14"/>
  <c r="N90" i="14"/>
  <c r="O90" i="14"/>
  <c r="P90" i="14"/>
  <c r="Q90" i="14"/>
  <c r="R90" i="14"/>
  <c r="S90" i="14"/>
  <c r="T90" i="14"/>
  <c r="N91" i="14"/>
  <c r="O91" i="14"/>
  <c r="P91" i="14"/>
  <c r="Q91" i="14"/>
  <c r="R91" i="14"/>
  <c r="S91" i="14"/>
  <c r="T91" i="14"/>
  <c r="N92" i="14"/>
  <c r="O92" i="14"/>
  <c r="P92" i="14"/>
  <c r="Q92" i="14"/>
  <c r="R92" i="14"/>
  <c r="S92" i="14"/>
  <c r="T92" i="14"/>
  <c r="N93" i="14"/>
  <c r="O93" i="14"/>
  <c r="P93" i="14"/>
  <c r="Q93" i="14"/>
  <c r="R93" i="14"/>
  <c r="S93" i="14"/>
  <c r="T93" i="14"/>
  <c r="N94" i="14"/>
  <c r="O94" i="14"/>
  <c r="P94" i="14"/>
  <c r="Q94" i="14"/>
  <c r="R94" i="14"/>
  <c r="S94" i="14"/>
  <c r="T94" i="14"/>
  <c r="N95" i="14"/>
  <c r="I114" i="14" s="1"/>
  <c r="O95" i="14"/>
  <c r="J114" i="14" s="1"/>
  <c r="P95" i="14"/>
  <c r="K114" i="14" s="1"/>
  <c r="Q95" i="14"/>
  <c r="L114" i="14" s="1"/>
  <c r="R95" i="14"/>
  <c r="M114" i="14" s="1"/>
  <c r="S95" i="14"/>
  <c r="N114" i="14" s="1"/>
  <c r="T95" i="14"/>
  <c r="O114" i="14" s="1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C104" i="14" s="1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C107" i="14" s="1"/>
  <c r="H77" i="14"/>
  <c r="B108" i="14" s="1"/>
  <c r="H78" i="14"/>
  <c r="H79" i="14"/>
  <c r="H80" i="14"/>
  <c r="H81" i="14"/>
  <c r="H82" i="14"/>
  <c r="H83" i="14"/>
  <c r="H84" i="14"/>
  <c r="H85" i="14"/>
  <c r="H86" i="14"/>
  <c r="C111" i="14" s="1"/>
  <c r="H87" i="14"/>
  <c r="C112" i="14" s="1"/>
  <c r="H88" i="14"/>
  <c r="H89" i="14"/>
  <c r="H90" i="14"/>
  <c r="H91" i="14"/>
  <c r="H92" i="14"/>
  <c r="H93" i="14"/>
  <c r="H94" i="14"/>
  <c r="H95" i="14"/>
  <c r="C114" i="14" s="1"/>
  <c r="H3" i="14"/>
  <c r="T3" i="14"/>
  <c r="S3" i="14"/>
  <c r="R3" i="14"/>
  <c r="Q3" i="14"/>
  <c r="P3" i="14"/>
  <c r="O3" i="14"/>
  <c r="N3" i="14"/>
  <c r="G4" i="14"/>
  <c r="I4" i="14"/>
  <c r="J4" i="14"/>
  <c r="K4" i="14"/>
  <c r="L4" i="14"/>
  <c r="M4" i="14"/>
  <c r="G5" i="14"/>
  <c r="I5" i="14"/>
  <c r="J5" i="14"/>
  <c r="K5" i="14"/>
  <c r="L5" i="14"/>
  <c r="M5" i="14"/>
  <c r="G6" i="14"/>
  <c r="I6" i="14"/>
  <c r="J6" i="14"/>
  <c r="K6" i="14"/>
  <c r="L6" i="14"/>
  <c r="M6" i="14"/>
  <c r="G7" i="14"/>
  <c r="I7" i="14"/>
  <c r="J7" i="14"/>
  <c r="K7" i="14"/>
  <c r="L7" i="14"/>
  <c r="M7" i="14"/>
  <c r="G8" i="14"/>
  <c r="I8" i="14"/>
  <c r="J8" i="14"/>
  <c r="K8" i="14"/>
  <c r="L8" i="14"/>
  <c r="M8" i="14"/>
  <c r="G9" i="14"/>
  <c r="I9" i="14"/>
  <c r="J9" i="14"/>
  <c r="K9" i="14"/>
  <c r="L9" i="14"/>
  <c r="M9" i="14"/>
  <c r="G10" i="14"/>
  <c r="I10" i="14"/>
  <c r="J10" i="14"/>
  <c r="K10" i="14"/>
  <c r="L10" i="14"/>
  <c r="M10" i="14"/>
  <c r="G11" i="14"/>
  <c r="I11" i="14"/>
  <c r="J11" i="14"/>
  <c r="K11" i="14"/>
  <c r="L11" i="14"/>
  <c r="M11" i="14"/>
  <c r="G12" i="14"/>
  <c r="I12" i="14"/>
  <c r="J12" i="14"/>
  <c r="K12" i="14"/>
  <c r="L12" i="14"/>
  <c r="M12" i="14"/>
  <c r="G13" i="14"/>
  <c r="I13" i="14"/>
  <c r="J13" i="14"/>
  <c r="K13" i="14"/>
  <c r="L13" i="14"/>
  <c r="M13" i="14"/>
  <c r="G14" i="14"/>
  <c r="I14" i="14"/>
  <c r="J14" i="14"/>
  <c r="K14" i="14"/>
  <c r="L14" i="14"/>
  <c r="M14" i="14"/>
  <c r="G15" i="14"/>
  <c r="I15" i="14"/>
  <c r="J15" i="14"/>
  <c r="K15" i="14"/>
  <c r="L15" i="14"/>
  <c r="M15" i="14"/>
  <c r="G16" i="14"/>
  <c r="I16" i="14"/>
  <c r="J16" i="14"/>
  <c r="K16" i="14"/>
  <c r="L16" i="14"/>
  <c r="M16" i="14"/>
  <c r="G17" i="14"/>
  <c r="I17" i="14"/>
  <c r="J17" i="14"/>
  <c r="K17" i="14"/>
  <c r="L17" i="14"/>
  <c r="M17" i="14"/>
  <c r="G18" i="14"/>
  <c r="B104" i="14" s="1"/>
  <c r="I18" i="14"/>
  <c r="D104" i="14" s="1"/>
  <c r="J18" i="14"/>
  <c r="E104" i="14" s="1"/>
  <c r="K18" i="14"/>
  <c r="F104" i="14" s="1"/>
  <c r="L18" i="14"/>
  <c r="G104" i="14" s="1"/>
  <c r="M18" i="14"/>
  <c r="H104" i="14" s="1"/>
  <c r="G19" i="14"/>
  <c r="I19" i="14"/>
  <c r="J19" i="14"/>
  <c r="K19" i="14"/>
  <c r="L19" i="14"/>
  <c r="M19" i="14"/>
  <c r="G20" i="14"/>
  <c r="I20" i="14"/>
  <c r="J20" i="14"/>
  <c r="K20" i="14"/>
  <c r="L20" i="14"/>
  <c r="M20" i="14"/>
  <c r="G21" i="14"/>
  <c r="I21" i="14"/>
  <c r="J21" i="14"/>
  <c r="K21" i="14"/>
  <c r="L21" i="14"/>
  <c r="M21" i="14"/>
  <c r="G22" i="14"/>
  <c r="I22" i="14"/>
  <c r="J22" i="14"/>
  <c r="K22" i="14"/>
  <c r="L22" i="14"/>
  <c r="M22" i="14"/>
  <c r="G23" i="14"/>
  <c r="I23" i="14"/>
  <c r="J23" i="14"/>
  <c r="K23" i="14"/>
  <c r="L23" i="14"/>
  <c r="M23" i="14"/>
  <c r="G24" i="14"/>
  <c r="I24" i="14"/>
  <c r="J24" i="14"/>
  <c r="K24" i="14"/>
  <c r="L24" i="14"/>
  <c r="M24" i="14"/>
  <c r="G25" i="14"/>
  <c r="I25" i="14"/>
  <c r="J25" i="14"/>
  <c r="K25" i="14"/>
  <c r="L25" i="14"/>
  <c r="M25" i="14"/>
  <c r="G26" i="14"/>
  <c r="I26" i="14"/>
  <c r="J26" i="14"/>
  <c r="K26" i="14"/>
  <c r="L26" i="14"/>
  <c r="M26" i="14"/>
  <c r="G27" i="14"/>
  <c r="I27" i="14"/>
  <c r="J27" i="14"/>
  <c r="K27" i="14"/>
  <c r="L27" i="14"/>
  <c r="M27" i="14"/>
  <c r="G28" i="14"/>
  <c r="I28" i="14"/>
  <c r="J28" i="14"/>
  <c r="K28" i="14"/>
  <c r="L28" i="14"/>
  <c r="M28" i="14"/>
  <c r="G29" i="14"/>
  <c r="I29" i="14"/>
  <c r="J29" i="14"/>
  <c r="K29" i="14"/>
  <c r="L29" i="14"/>
  <c r="M29" i="14"/>
  <c r="G30" i="14"/>
  <c r="I30" i="14"/>
  <c r="J30" i="14"/>
  <c r="K30" i="14"/>
  <c r="L30" i="14"/>
  <c r="M30" i="14"/>
  <c r="G31" i="14"/>
  <c r="I31" i="14"/>
  <c r="J31" i="14"/>
  <c r="K31" i="14"/>
  <c r="L31" i="14"/>
  <c r="M31" i="14"/>
  <c r="G32" i="14"/>
  <c r="I32" i="14"/>
  <c r="J32" i="14"/>
  <c r="K32" i="14"/>
  <c r="L32" i="14"/>
  <c r="M32" i="14"/>
  <c r="G33" i="14"/>
  <c r="I33" i="14"/>
  <c r="J33" i="14"/>
  <c r="K33" i="14"/>
  <c r="L33" i="14"/>
  <c r="M33" i="14"/>
  <c r="G34" i="14"/>
  <c r="I34" i="14"/>
  <c r="J34" i="14"/>
  <c r="K34" i="14"/>
  <c r="L34" i="14"/>
  <c r="M34" i="14"/>
  <c r="G35" i="14"/>
  <c r="I35" i="14"/>
  <c r="J35" i="14"/>
  <c r="K35" i="14"/>
  <c r="L35" i="14"/>
  <c r="M35" i="14"/>
  <c r="G36" i="14"/>
  <c r="I36" i="14"/>
  <c r="J36" i="14"/>
  <c r="K36" i="14"/>
  <c r="L36" i="14"/>
  <c r="M36" i="14"/>
  <c r="G37" i="14"/>
  <c r="I37" i="14"/>
  <c r="J37" i="14"/>
  <c r="K37" i="14"/>
  <c r="L37" i="14"/>
  <c r="M37" i="14"/>
  <c r="G38" i="14"/>
  <c r="I38" i="14"/>
  <c r="J38" i="14"/>
  <c r="K38" i="14"/>
  <c r="L38" i="14"/>
  <c r="M38" i="14"/>
  <c r="G39" i="14"/>
  <c r="I39" i="14"/>
  <c r="J39" i="14"/>
  <c r="K39" i="14"/>
  <c r="L39" i="14"/>
  <c r="M39" i="14"/>
  <c r="G40" i="14"/>
  <c r="I40" i="14"/>
  <c r="J40" i="14"/>
  <c r="K40" i="14"/>
  <c r="L40" i="14"/>
  <c r="M40" i="14"/>
  <c r="G41" i="14"/>
  <c r="I41" i="14"/>
  <c r="J41" i="14"/>
  <c r="K41" i="14"/>
  <c r="L41" i="14"/>
  <c r="M41" i="14"/>
  <c r="G42" i="14"/>
  <c r="I42" i="14"/>
  <c r="J42" i="14"/>
  <c r="K42" i="14"/>
  <c r="L42" i="14"/>
  <c r="M42" i="14"/>
  <c r="G43" i="14"/>
  <c r="I43" i="14"/>
  <c r="J43" i="14"/>
  <c r="K43" i="14"/>
  <c r="L43" i="14"/>
  <c r="M43" i="14"/>
  <c r="G44" i="14"/>
  <c r="I44" i="14"/>
  <c r="J44" i="14"/>
  <c r="K44" i="14"/>
  <c r="L44" i="14"/>
  <c r="M44" i="14"/>
  <c r="G45" i="14"/>
  <c r="I45" i="14"/>
  <c r="J45" i="14"/>
  <c r="K45" i="14"/>
  <c r="L45" i="14"/>
  <c r="M45" i="14"/>
  <c r="G46" i="14"/>
  <c r="I46" i="14"/>
  <c r="J46" i="14"/>
  <c r="K46" i="14"/>
  <c r="L46" i="14"/>
  <c r="M46" i="14"/>
  <c r="G47" i="14"/>
  <c r="I47" i="14"/>
  <c r="J47" i="14"/>
  <c r="K47" i="14"/>
  <c r="L47" i="14"/>
  <c r="M47" i="14"/>
  <c r="G48" i="14"/>
  <c r="I48" i="14"/>
  <c r="J48" i="14"/>
  <c r="K48" i="14"/>
  <c r="L48" i="14"/>
  <c r="M48" i="14"/>
  <c r="G49" i="14"/>
  <c r="I49" i="14"/>
  <c r="J49" i="14"/>
  <c r="K49" i="14"/>
  <c r="L49" i="14"/>
  <c r="M49" i="14"/>
  <c r="G50" i="14"/>
  <c r="I50" i="14"/>
  <c r="J50" i="14"/>
  <c r="K50" i="14"/>
  <c r="L50" i="14"/>
  <c r="M50" i="14"/>
  <c r="G51" i="14"/>
  <c r="I51" i="14"/>
  <c r="J51" i="14"/>
  <c r="K51" i="14"/>
  <c r="L51" i="14"/>
  <c r="M51" i="14"/>
  <c r="G52" i="14"/>
  <c r="I52" i="14"/>
  <c r="J52" i="14"/>
  <c r="K52" i="14"/>
  <c r="L52" i="14"/>
  <c r="M52" i="14"/>
  <c r="G53" i="14"/>
  <c r="I53" i="14"/>
  <c r="J53" i="14"/>
  <c r="K53" i="14"/>
  <c r="L53" i="14"/>
  <c r="M53" i="14"/>
  <c r="G54" i="14"/>
  <c r="I54" i="14"/>
  <c r="J54" i="14"/>
  <c r="K54" i="14"/>
  <c r="L54" i="14"/>
  <c r="M54" i="14"/>
  <c r="G55" i="14"/>
  <c r="I55" i="14"/>
  <c r="J55" i="14"/>
  <c r="K55" i="14"/>
  <c r="L55" i="14"/>
  <c r="M55" i="14"/>
  <c r="G56" i="14"/>
  <c r="I56" i="14"/>
  <c r="J56" i="14"/>
  <c r="K56" i="14"/>
  <c r="L56" i="14"/>
  <c r="M56" i="14"/>
  <c r="G57" i="14"/>
  <c r="I57" i="14"/>
  <c r="J57" i="14"/>
  <c r="K57" i="14"/>
  <c r="L57" i="14"/>
  <c r="M57" i="14"/>
  <c r="G58" i="14"/>
  <c r="I58" i="14"/>
  <c r="J58" i="14"/>
  <c r="K58" i="14"/>
  <c r="L58" i="14"/>
  <c r="M58" i="14"/>
  <c r="G59" i="14"/>
  <c r="I59" i="14"/>
  <c r="J59" i="14"/>
  <c r="K59" i="14"/>
  <c r="L59" i="14"/>
  <c r="M59" i="14"/>
  <c r="G60" i="14"/>
  <c r="I60" i="14"/>
  <c r="J60" i="14"/>
  <c r="K60" i="14"/>
  <c r="L60" i="14"/>
  <c r="M60" i="14"/>
  <c r="G61" i="14"/>
  <c r="I61" i="14"/>
  <c r="J61" i="14"/>
  <c r="K61" i="14"/>
  <c r="L61" i="14"/>
  <c r="M61" i="14"/>
  <c r="G62" i="14"/>
  <c r="I62" i="14"/>
  <c r="J62" i="14"/>
  <c r="K62" i="14"/>
  <c r="L62" i="14"/>
  <c r="M62" i="14"/>
  <c r="G63" i="14"/>
  <c r="I63" i="14"/>
  <c r="J63" i="14"/>
  <c r="K63" i="14"/>
  <c r="L63" i="14"/>
  <c r="M63" i="14"/>
  <c r="G64" i="14"/>
  <c r="I64" i="14"/>
  <c r="J64" i="14"/>
  <c r="K64" i="14"/>
  <c r="L64" i="14"/>
  <c r="M64" i="14"/>
  <c r="G65" i="14"/>
  <c r="I65" i="14"/>
  <c r="J65" i="14"/>
  <c r="K65" i="14"/>
  <c r="L65" i="14"/>
  <c r="M65" i="14"/>
  <c r="G66" i="14"/>
  <c r="I66" i="14"/>
  <c r="J66" i="14"/>
  <c r="K66" i="14"/>
  <c r="L66" i="14"/>
  <c r="M66" i="14"/>
  <c r="G67" i="14"/>
  <c r="I67" i="14"/>
  <c r="J67" i="14"/>
  <c r="K67" i="14"/>
  <c r="L67" i="14"/>
  <c r="M67" i="14"/>
  <c r="G68" i="14"/>
  <c r="I68" i="14"/>
  <c r="J68" i="14"/>
  <c r="K68" i="14"/>
  <c r="L68" i="14"/>
  <c r="M68" i="14"/>
  <c r="G69" i="14"/>
  <c r="I69" i="14"/>
  <c r="J69" i="14"/>
  <c r="K69" i="14"/>
  <c r="L69" i="14"/>
  <c r="M69" i="14"/>
  <c r="G70" i="14"/>
  <c r="I70" i="14"/>
  <c r="J70" i="14"/>
  <c r="K70" i="14"/>
  <c r="L70" i="14"/>
  <c r="M70" i="14"/>
  <c r="G71" i="14"/>
  <c r="I71" i="14"/>
  <c r="J71" i="14"/>
  <c r="K71" i="14"/>
  <c r="L71" i="14"/>
  <c r="M71" i="14"/>
  <c r="G72" i="14"/>
  <c r="I72" i="14"/>
  <c r="J72" i="14"/>
  <c r="K72" i="14"/>
  <c r="L72" i="14"/>
  <c r="M72" i="14"/>
  <c r="G73" i="14"/>
  <c r="I73" i="14"/>
  <c r="J73" i="14"/>
  <c r="K73" i="14"/>
  <c r="L73" i="14"/>
  <c r="M73" i="14"/>
  <c r="G74" i="14"/>
  <c r="I74" i="14"/>
  <c r="J74" i="14"/>
  <c r="K74" i="14"/>
  <c r="L74" i="14"/>
  <c r="M74" i="14"/>
  <c r="G75" i="14"/>
  <c r="I75" i="14"/>
  <c r="J75" i="14"/>
  <c r="K75" i="14"/>
  <c r="L75" i="14"/>
  <c r="M75" i="14"/>
  <c r="G76" i="14"/>
  <c r="B107" i="14" s="1"/>
  <c r="I76" i="14"/>
  <c r="D107" i="14" s="1"/>
  <c r="J76" i="14"/>
  <c r="E107" i="14" s="1"/>
  <c r="K76" i="14"/>
  <c r="F107" i="14" s="1"/>
  <c r="L76" i="14"/>
  <c r="G107" i="14" s="1"/>
  <c r="M76" i="14"/>
  <c r="H107" i="14" s="1"/>
  <c r="G77" i="14"/>
  <c r="I77" i="14"/>
  <c r="C108" i="14" s="1"/>
  <c r="J77" i="14"/>
  <c r="D108" i="14" s="1"/>
  <c r="K77" i="14"/>
  <c r="E108" i="14" s="1"/>
  <c r="L77" i="14"/>
  <c r="F108" i="14" s="1"/>
  <c r="M77" i="14"/>
  <c r="G108" i="14" s="1"/>
  <c r="G78" i="14"/>
  <c r="I78" i="14"/>
  <c r="J78" i="14"/>
  <c r="K78" i="14"/>
  <c r="L78" i="14"/>
  <c r="M78" i="14"/>
  <c r="G79" i="14"/>
  <c r="I79" i="14"/>
  <c r="J79" i="14"/>
  <c r="K79" i="14"/>
  <c r="L79" i="14"/>
  <c r="M79" i="14"/>
  <c r="G80" i="14"/>
  <c r="I80" i="14"/>
  <c r="J80" i="14"/>
  <c r="K80" i="14"/>
  <c r="L80" i="14"/>
  <c r="M80" i="14"/>
  <c r="G81" i="14"/>
  <c r="I81" i="14"/>
  <c r="J81" i="14"/>
  <c r="K81" i="14"/>
  <c r="L81" i="14"/>
  <c r="M81" i="14"/>
  <c r="G82" i="14"/>
  <c r="I82" i="14"/>
  <c r="J82" i="14"/>
  <c r="K82" i="14"/>
  <c r="L82" i="14"/>
  <c r="M82" i="14"/>
  <c r="G83" i="14"/>
  <c r="I83" i="14"/>
  <c r="J83" i="14"/>
  <c r="K83" i="14"/>
  <c r="L83" i="14"/>
  <c r="M83" i="14"/>
  <c r="G84" i="14"/>
  <c r="I84" i="14"/>
  <c r="J84" i="14"/>
  <c r="K84" i="14"/>
  <c r="L84" i="14"/>
  <c r="M84" i="14"/>
  <c r="G85" i="14"/>
  <c r="I85" i="14"/>
  <c r="J85" i="14"/>
  <c r="K85" i="14"/>
  <c r="L85" i="14"/>
  <c r="M85" i="14"/>
  <c r="G86" i="14"/>
  <c r="B111" i="14" s="1"/>
  <c r="I86" i="14"/>
  <c r="D111" i="14" s="1"/>
  <c r="J86" i="14"/>
  <c r="E111" i="14" s="1"/>
  <c r="K86" i="14"/>
  <c r="F111" i="14" s="1"/>
  <c r="L86" i="14"/>
  <c r="G111" i="14" s="1"/>
  <c r="M86" i="14"/>
  <c r="H111" i="14" s="1"/>
  <c r="G87" i="14"/>
  <c r="B112" i="14" s="1"/>
  <c r="I87" i="14"/>
  <c r="D112" i="14" s="1"/>
  <c r="J87" i="14"/>
  <c r="E112" i="14" s="1"/>
  <c r="K87" i="14"/>
  <c r="F112" i="14" s="1"/>
  <c r="L87" i="14"/>
  <c r="G112" i="14" s="1"/>
  <c r="M87" i="14"/>
  <c r="H112" i="14" s="1"/>
  <c r="G88" i="14"/>
  <c r="I88" i="14"/>
  <c r="J88" i="14"/>
  <c r="K88" i="14"/>
  <c r="L88" i="14"/>
  <c r="M88" i="14"/>
  <c r="G89" i="14"/>
  <c r="I89" i="14"/>
  <c r="J89" i="14"/>
  <c r="K89" i="14"/>
  <c r="L89" i="14"/>
  <c r="M89" i="14"/>
  <c r="G90" i="14"/>
  <c r="I90" i="14"/>
  <c r="J90" i="14"/>
  <c r="K90" i="14"/>
  <c r="L90" i="14"/>
  <c r="M90" i="14"/>
  <c r="G91" i="14"/>
  <c r="I91" i="14"/>
  <c r="J91" i="14"/>
  <c r="K91" i="14"/>
  <c r="L91" i="14"/>
  <c r="M91" i="14"/>
  <c r="G92" i="14"/>
  <c r="I92" i="14"/>
  <c r="J92" i="14"/>
  <c r="K92" i="14"/>
  <c r="L92" i="14"/>
  <c r="M92" i="14"/>
  <c r="G93" i="14"/>
  <c r="I93" i="14"/>
  <c r="J93" i="14"/>
  <c r="K93" i="14"/>
  <c r="L93" i="14"/>
  <c r="M93" i="14"/>
  <c r="G94" i="14"/>
  <c r="I94" i="14"/>
  <c r="J94" i="14"/>
  <c r="K94" i="14"/>
  <c r="L94" i="14"/>
  <c r="M94" i="14"/>
  <c r="G95" i="14"/>
  <c r="B114" i="14" s="1"/>
  <c r="I95" i="14"/>
  <c r="D114" i="14" s="1"/>
  <c r="J95" i="14"/>
  <c r="E114" i="14" s="1"/>
  <c r="K95" i="14"/>
  <c r="F114" i="14" s="1"/>
  <c r="L95" i="14"/>
  <c r="G114" i="14" s="1"/>
  <c r="M95" i="14"/>
  <c r="H114" i="14" s="1"/>
  <c r="M3" i="14"/>
  <c r="L3" i="14"/>
  <c r="K3" i="14"/>
  <c r="J3" i="14"/>
  <c r="I3" i="14"/>
  <c r="G3" i="14"/>
  <c r="C166" i="10"/>
  <c r="B166" i="10"/>
  <c r="K29" i="10"/>
  <c r="L29" i="10"/>
  <c r="M29" i="10"/>
  <c r="R29" i="10" s="1"/>
  <c r="N29" i="10"/>
  <c r="T29" i="10" s="1"/>
  <c r="O29" i="10"/>
  <c r="P29" i="10"/>
  <c r="K30" i="10"/>
  <c r="L30" i="10"/>
  <c r="M30" i="10"/>
  <c r="N30" i="10"/>
  <c r="O30" i="10"/>
  <c r="P30" i="10"/>
  <c r="K31" i="10"/>
  <c r="L31" i="10"/>
  <c r="M31" i="10"/>
  <c r="R31" i="10" s="1"/>
  <c r="N31" i="10"/>
  <c r="T31" i="10" s="1"/>
  <c r="O31" i="10"/>
  <c r="P31" i="10"/>
  <c r="K32" i="10"/>
  <c r="L32" i="10"/>
  <c r="M32" i="10"/>
  <c r="N32" i="10"/>
  <c r="O32" i="10"/>
  <c r="P32" i="10"/>
  <c r="K33" i="10"/>
  <c r="L33" i="10"/>
  <c r="M33" i="10"/>
  <c r="R33" i="10" s="1"/>
  <c r="N33" i="10"/>
  <c r="T33" i="10" s="1"/>
  <c r="O33" i="10"/>
  <c r="P33" i="10"/>
  <c r="K34" i="10"/>
  <c r="L34" i="10"/>
  <c r="M34" i="10"/>
  <c r="N34" i="10"/>
  <c r="O34" i="10"/>
  <c r="P34" i="10"/>
  <c r="K35" i="10"/>
  <c r="L35" i="10"/>
  <c r="M35" i="10"/>
  <c r="R35" i="10" s="1"/>
  <c r="N35" i="10"/>
  <c r="T35" i="10" s="1"/>
  <c r="O35" i="10"/>
  <c r="P35" i="10"/>
  <c r="K36" i="10"/>
  <c r="L36" i="10"/>
  <c r="M36" i="10"/>
  <c r="N36" i="10"/>
  <c r="O36" i="10"/>
  <c r="P36" i="10"/>
  <c r="K37" i="10"/>
  <c r="L37" i="10"/>
  <c r="M37" i="10"/>
  <c r="N37" i="10"/>
  <c r="O37" i="10"/>
  <c r="P37" i="10"/>
  <c r="K38" i="10"/>
  <c r="L38" i="10"/>
  <c r="M38" i="10"/>
  <c r="N38" i="10"/>
  <c r="O38" i="10"/>
  <c r="P38" i="10"/>
  <c r="K39" i="10"/>
  <c r="L39" i="10"/>
  <c r="M39" i="10"/>
  <c r="R39" i="10" s="1"/>
  <c r="N39" i="10"/>
  <c r="T39" i="10" s="1"/>
  <c r="O39" i="10"/>
  <c r="P39" i="10"/>
  <c r="K40" i="10"/>
  <c r="L40" i="10"/>
  <c r="M40" i="10"/>
  <c r="N40" i="10"/>
  <c r="O40" i="10"/>
  <c r="P40" i="10"/>
  <c r="K41" i="10"/>
  <c r="L41" i="10"/>
  <c r="M41" i="10"/>
  <c r="R41" i="10" s="1"/>
  <c r="N41" i="10"/>
  <c r="T41" i="10" s="1"/>
  <c r="O41" i="10"/>
  <c r="P41" i="10"/>
  <c r="K42" i="10"/>
  <c r="L42" i="10"/>
  <c r="M42" i="10"/>
  <c r="N42" i="10"/>
  <c r="O42" i="10"/>
  <c r="P42" i="10"/>
  <c r="K43" i="10"/>
  <c r="L43" i="10"/>
  <c r="M43" i="10"/>
  <c r="R43" i="10" s="1"/>
  <c r="N43" i="10"/>
  <c r="T43" i="10" s="1"/>
  <c r="O43" i="10"/>
  <c r="P43" i="10"/>
  <c r="K44" i="10"/>
  <c r="L44" i="10"/>
  <c r="M44" i="10"/>
  <c r="N44" i="10"/>
  <c r="O44" i="10"/>
  <c r="P44" i="10"/>
  <c r="K45" i="10"/>
  <c r="L45" i="10"/>
  <c r="M45" i="10"/>
  <c r="R45" i="10" s="1"/>
  <c r="N45" i="10"/>
  <c r="T45" i="10" s="1"/>
  <c r="O45" i="10"/>
  <c r="P45" i="10"/>
  <c r="K46" i="10"/>
  <c r="L46" i="10"/>
  <c r="M46" i="10"/>
  <c r="N46" i="10"/>
  <c r="O46" i="10"/>
  <c r="P46" i="10"/>
  <c r="K47" i="10"/>
  <c r="L47" i="10"/>
  <c r="M47" i="10"/>
  <c r="R47" i="10" s="1"/>
  <c r="N47" i="10"/>
  <c r="T47" i="10" s="1"/>
  <c r="O47" i="10"/>
  <c r="P47" i="10"/>
  <c r="K48" i="10"/>
  <c r="L48" i="10"/>
  <c r="M48" i="10"/>
  <c r="N48" i="10"/>
  <c r="O48" i="10"/>
  <c r="T48" i="10" s="1"/>
  <c r="P48" i="10"/>
  <c r="K49" i="10"/>
  <c r="L49" i="10"/>
  <c r="M49" i="10"/>
  <c r="R49" i="10" s="1"/>
  <c r="N49" i="10"/>
  <c r="T49" i="10" s="1"/>
  <c r="O49" i="10"/>
  <c r="P49" i="10"/>
  <c r="K50" i="10"/>
  <c r="L50" i="10"/>
  <c r="M50" i="10"/>
  <c r="N50" i="10"/>
  <c r="O50" i="10"/>
  <c r="P50" i="10"/>
  <c r="K51" i="10"/>
  <c r="L51" i="10"/>
  <c r="M51" i="10"/>
  <c r="R51" i="10" s="1"/>
  <c r="N51" i="10"/>
  <c r="T51" i="10" s="1"/>
  <c r="O51" i="10"/>
  <c r="P51" i="10"/>
  <c r="K52" i="10"/>
  <c r="L52" i="10"/>
  <c r="M52" i="10"/>
  <c r="N52" i="10"/>
  <c r="O52" i="10"/>
  <c r="P52" i="10"/>
  <c r="K53" i="10"/>
  <c r="L53" i="10"/>
  <c r="M53" i="10"/>
  <c r="N53" i="10"/>
  <c r="T53" i="10" s="1"/>
  <c r="O53" i="10"/>
  <c r="P53" i="10"/>
  <c r="K54" i="10"/>
  <c r="L54" i="10"/>
  <c r="M54" i="10"/>
  <c r="N54" i="10"/>
  <c r="O54" i="10"/>
  <c r="P54" i="10"/>
  <c r="K55" i="10"/>
  <c r="L55" i="10"/>
  <c r="M55" i="10"/>
  <c r="R55" i="10" s="1"/>
  <c r="N55" i="10"/>
  <c r="T55" i="10" s="1"/>
  <c r="O55" i="10"/>
  <c r="P55" i="10"/>
  <c r="K56" i="10"/>
  <c r="L56" i="10"/>
  <c r="M56" i="10"/>
  <c r="N56" i="10"/>
  <c r="O56" i="10"/>
  <c r="P56" i="10"/>
  <c r="K57" i="10"/>
  <c r="L57" i="10"/>
  <c r="M57" i="10"/>
  <c r="R57" i="10" s="1"/>
  <c r="N57" i="10"/>
  <c r="T57" i="10" s="1"/>
  <c r="O57" i="10"/>
  <c r="P57" i="10"/>
  <c r="K58" i="10"/>
  <c r="L58" i="10"/>
  <c r="M58" i="10"/>
  <c r="N58" i="10"/>
  <c r="O58" i="10"/>
  <c r="P58" i="10"/>
  <c r="K59" i="10"/>
  <c r="L59" i="10"/>
  <c r="M59" i="10"/>
  <c r="R59" i="10" s="1"/>
  <c r="N59" i="10"/>
  <c r="T59" i="10" s="1"/>
  <c r="O59" i="10"/>
  <c r="P59" i="10"/>
  <c r="K60" i="10"/>
  <c r="L60" i="10"/>
  <c r="M60" i="10"/>
  <c r="N60" i="10"/>
  <c r="O60" i="10"/>
  <c r="P60" i="10"/>
  <c r="K61" i="10"/>
  <c r="L61" i="10"/>
  <c r="M61" i="10"/>
  <c r="R61" i="10" s="1"/>
  <c r="N61" i="10"/>
  <c r="T61" i="10" s="1"/>
  <c r="O61" i="10"/>
  <c r="P61" i="10"/>
  <c r="K62" i="10"/>
  <c r="L62" i="10"/>
  <c r="M62" i="10"/>
  <c r="N62" i="10"/>
  <c r="O62" i="10"/>
  <c r="P62" i="10"/>
  <c r="K63" i="10"/>
  <c r="L63" i="10"/>
  <c r="M63" i="10"/>
  <c r="N63" i="10"/>
  <c r="O63" i="10"/>
  <c r="P63" i="10"/>
  <c r="K64" i="10"/>
  <c r="L64" i="10"/>
  <c r="M64" i="10"/>
  <c r="N64" i="10"/>
  <c r="O64" i="10"/>
  <c r="P64" i="10"/>
  <c r="K65" i="10"/>
  <c r="L65" i="10"/>
  <c r="M65" i="10"/>
  <c r="N65" i="10"/>
  <c r="O65" i="10"/>
  <c r="P65" i="10"/>
  <c r="K66" i="10"/>
  <c r="L66" i="10"/>
  <c r="M66" i="10"/>
  <c r="N66" i="10"/>
  <c r="O66" i="10"/>
  <c r="P66" i="10"/>
  <c r="K67" i="10"/>
  <c r="L67" i="10"/>
  <c r="M67" i="10"/>
  <c r="N67" i="10"/>
  <c r="O67" i="10"/>
  <c r="P67" i="10"/>
  <c r="K68" i="10"/>
  <c r="L68" i="10"/>
  <c r="M68" i="10"/>
  <c r="N68" i="10"/>
  <c r="O68" i="10"/>
  <c r="P68" i="10"/>
  <c r="K69" i="10"/>
  <c r="L69" i="10"/>
  <c r="M69" i="10"/>
  <c r="R69" i="10" s="1"/>
  <c r="N69" i="10"/>
  <c r="O69" i="10"/>
  <c r="P69" i="10"/>
  <c r="K70" i="10"/>
  <c r="L70" i="10"/>
  <c r="M70" i="10"/>
  <c r="N70" i="10"/>
  <c r="O70" i="10"/>
  <c r="P70" i="10"/>
  <c r="K71" i="10"/>
  <c r="L71" i="10"/>
  <c r="M71" i="10"/>
  <c r="N71" i="10"/>
  <c r="O71" i="10"/>
  <c r="P71" i="10"/>
  <c r="K72" i="10"/>
  <c r="L72" i="10"/>
  <c r="M72" i="10"/>
  <c r="N72" i="10"/>
  <c r="O72" i="10"/>
  <c r="P72" i="10"/>
  <c r="K73" i="10"/>
  <c r="L73" i="10"/>
  <c r="M73" i="10"/>
  <c r="N73" i="10"/>
  <c r="O73" i="10"/>
  <c r="P73" i="10"/>
  <c r="K74" i="10"/>
  <c r="L74" i="10"/>
  <c r="M74" i="10"/>
  <c r="N74" i="10"/>
  <c r="O74" i="10"/>
  <c r="P74" i="10"/>
  <c r="K75" i="10"/>
  <c r="L75" i="10"/>
  <c r="M75" i="10"/>
  <c r="N75" i="10"/>
  <c r="O75" i="10"/>
  <c r="P75" i="10"/>
  <c r="K76" i="10"/>
  <c r="L76" i="10"/>
  <c r="M76" i="10"/>
  <c r="N76" i="10"/>
  <c r="O76" i="10"/>
  <c r="P76" i="10"/>
  <c r="K77" i="10"/>
  <c r="L77" i="10"/>
  <c r="M77" i="10"/>
  <c r="N77" i="10"/>
  <c r="O77" i="10"/>
  <c r="P77" i="10"/>
  <c r="K78" i="10"/>
  <c r="L78" i="10"/>
  <c r="M78" i="10"/>
  <c r="N78" i="10"/>
  <c r="O78" i="10"/>
  <c r="P78" i="10"/>
  <c r="K79" i="10"/>
  <c r="L79" i="10"/>
  <c r="M79" i="10"/>
  <c r="N79" i="10"/>
  <c r="O79" i="10"/>
  <c r="P79" i="10"/>
  <c r="K80" i="10"/>
  <c r="L80" i="10"/>
  <c r="M80" i="10"/>
  <c r="N80" i="10"/>
  <c r="O80" i="10"/>
  <c r="P80" i="10"/>
  <c r="K81" i="10"/>
  <c r="L81" i="10"/>
  <c r="M81" i="10"/>
  <c r="N81" i="10"/>
  <c r="O81" i="10"/>
  <c r="P81" i="10"/>
  <c r="K82" i="10"/>
  <c r="L82" i="10"/>
  <c r="M82" i="10"/>
  <c r="N82" i="10"/>
  <c r="O82" i="10"/>
  <c r="P82" i="10"/>
  <c r="K83" i="10"/>
  <c r="L83" i="10"/>
  <c r="M83" i="10"/>
  <c r="N83" i="10"/>
  <c r="O83" i="10"/>
  <c r="P83" i="10"/>
  <c r="K84" i="10"/>
  <c r="L84" i="10"/>
  <c r="M84" i="10"/>
  <c r="N84" i="10"/>
  <c r="O84" i="10"/>
  <c r="P84" i="10"/>
  <c r="K85" i="10"/>
  <c r="L85" i="10"/>
  <c r="M85" i="10"/>
  <c r="R85" i="10" s="1"/>
  <c r="N85" i="10"/>
  <c r="O85" i="10"/>
  <c r="P85" i="10"/>
  <c r="K86" i="10"/>
  <c r="L86" i="10"/>
  <c r="M86" i="10"/>
  <c r="N86" i="10"/>
  <c r="O86" i="10"/>
  <c r="P86" i="10"/>
  <c r="K87" i="10"/>
  <c r="L87" i="10"/>
  <c r="M87" i="10"/>
  <c r="N87" i="10"/>
  <c r="O87" i="10"/>
  <c r="P87" i="10"/>
  <c r="K88" i="10"/>
  <c r="L88" i="10"/>
  <c r="M88" i="10"/>
  <c r="N88" i="10"/>
  <c r="O88" i="10"/>
  <c r="P88" i="10"/>
  <c r="K89" i="10"/>
  <c r="L89" i="10"/>
  <c r="M89" i="10"/>
  <c r="R89" i="10" s="1"/>
  <c r="N89" i="10"/>
  <c r="O89" i="10"/>
  <c r="P89" i="10"/>
  <c r="K90" i="10"/>
  <c r="L90" i="10"/>
  <c r="M90" i="10"/>
  <c r="N90" i="10"/>
  <c r="O90" i="10"/>
  <c r="P90" i="10"/>
  <c r="K91" i="10"/>
  <c r="L91" i="10"/>
  <c r="M91" i="10"/>
  <c r="N91" i="10"/>
  <c r="O91" i="10"/>
  <c r="P91" i="10"/>
  <c r="K92" i="10"/>
  <c r="L92" i="10"/>
  <c r="M92" i="10"/>
  <c r="N92" i="10"/>
  <c r="O92" i="10"/>
  <c r="P92" i="10"/>
  <c r="K93" i="10"/>
  <c r="L93" i="10"/>
  <c r="M93" i="10"/>
  <c r="N93" i="10"/>
  <c r="O93" i="10"/>
  <c r="P93" i="10"/>
  <c r="K94" i="10"/>
  <c r="L94" i="10"/>
  <c r="M94" i="10"/>
  <c r="N94" i="10"/>
  <c r="O94" i="10"/>
  <c r="P94" i="10"/>
  <c r="K95" i="10"/>
  <c r="L95" i="10"/>
  <c r="M95" i="10"/>
  <c r="N95" i="10"/>
  <c r="O95" i="10"/>
  <c r="P95" i="10"/>
  <c r="K18" i="10"/>
  <c r="L18" i="10"/>
  <c r="M18" i="10"/>
  <c r="N18" i="10"/>
  <c r="O18" i="10"/>
  <c r="P18" i="10"/>
  <c r="K19" i="10"/>
  <c r="L19" i="10"/>
  <c r="M19" i="10"/>
  <c r="N19" i="10"/>
  <c r="O19" i="10"/>
  <c r="P19" i="10"/>
  <c r="K20" i="10"/>
  <c r="L20" i="10"/>
  <c r="M20" i="10"/>
  <c r="N20" i="10"/>
  <c r="O20" i="10"/>
  <c r="P20" i="10"/>
  <c r="K21" i="10"/>
  <c r="L21" i="10"/>
  <c r="M21" i="10"/>
  <c r="N21" i="10"/>
  <c r="O21" i="10"/>
  <c r="P21" i="10"/>
  <c r="K22" i="10"/>
  <c r="L22" i="10"/>
  <c r="M22" i="10"/>
  <c r="N22" i="10"/>
  <c r="O22" i="10"/>
  <c r="P22" i="10"/>
  <c r="K23" i="10"/>
  <c r="L23" i="10"/>
  <c r="M23" i="10"/>
  <c r="N23" i="10"/>
  <c r="O23" i="10"/>
  <c r="P23" i="10"/>
  <c r="K24" i="10"/>
  <c r="L24" i="10"/>
  <c r="M24" i="10"/>
  <c r="N24" i="10"/>
  <c r="O24" i="10"/>
  <c r="P24" i="10"/>
  <c r="K25" i="10"/>
  <c r="L25" i="10"/>
  <c r="M25" i="10"/>
  <c r="R25" i="10" s="1"/>
  <c r="N25" i="10"/>
  <c r="O25" i="10"/>
  <c r="P25" i="10"/>
  <c r="K26" i="10"/>
  <c r="L26" i="10"/>
  <c r="M26" i="10"/>
  <c r="N26" i="10"/>
  <c r="O26" i="10"/>
  <c r="P26" i="10"/>
  <c r="K27" i="10"/>
  <c r="L27" i="10"/>
  <c r="M27" i="10"/>
  <c r="N27" i="10"/>
  <c r="O27" i="10"/>
  <c r="P27" i="10"/>
  <c r="K28" i="10"/>
  <c r="L28" i="10"/>
  <c r="M28" i="10"/>
  <c r="N28" i="10"/>
  <c r="O28" i="10"/>
  <c r="P28" i="10"/>
  <c r="L17" i="10"/>
  <c r="M17" i="10"/>
  <c r="N17" i="10"/>
  <c r="O17" i="10"/>
  <c r="P17" i="10"/>
  <c r="K4" i="10"/>
  <c r="L4" i="10"/>
  <c r="M4" i="10"/>
  <c r="N4" i="10"/>
  <c r="O4" i="10"/>
  <c r="P4" i="10"/>
  <c r="K5" i="10"/>
  <c r="L5" i="10"/>
  <c r="M5" i="10"/>
  <c r="N5" i="10"/>
  <c r="O5" i="10"/>
  <c r="P5" i="10"/>
  <c r="K6" i="10"/>
  <c r="L6" i="10"/>
  <c r="M6" i="10"/>
  <c r="N6" i="10"/>
  <c r="O6" i="10"/>
  <c r="P6" i="10"/>
  <c r="K7" i="10"/>
  <c r="L7" i="10"/>
  <c r="M7" i="10"/>
  <c r="N7" i="10"/>
  <c r="O7" i="10"/>
  <c r="P7" i="10"/>
  <c r="K8" i="10"/>
  <c r="L8" i="10"/>
  <c r="M8" i="10"/>
  <c r="N8" i="10"/>
  <c r="O8" i="10"/>
  <c r="P8" i="10"/>
  <c r="K9" i="10"/>
  <c r="L9" i="10"/>
  <c r="M9" i="10"/>
  <c r="N9" i="10"/>
  <c r="O9" i="10"/>
  <c r="P9" i="10"/>
  <c r="K10" i="10"/>
  <c r="L10" i="10"/>
  <c r="M10" i="10"/>
  <c r="N10" i="10"/>
  <c r="O10" i="10"/>
  <c r="P10" i="10"/>
  <c r="K11" i="10"/>
  <c r="L11" i="10"/>
  <c r="M11" i="10"/>
  <c r="N11" i="10"/>
  <c r="O11" i="10"/>
  <c r="P11" i="10"/>
  <c r="K12" i="10"/>
  <c r="L12" i="10"/>
  <c r="M12" i="10"/>
  <c r="N12" i="10"/>
  <c r="O12" i="10"/>
  <c r="P12" i="10"/>
  <c r="K13" i="10"/>
  <c r="L13" i="10"/>
  <c r="M13" i="10"/>
  <c r="N13" i="10"/>
  <c r="O13" i="10"/>
  <c r="P13" i="10"/>
  <c r="K14" i="10"/>
  <c r="L14" i="10"/>
  <c r="M14" i="10"/>
  <c r="N14" i="10"/>
  <c r="O14" i="10"/>
  <c r="P14" i="10"/>
  <c r="K15" i="10"/>
  <c r="R15" i="10" s="1"/>
  <c r="L15" i="10"/>
  <c r="M15" i="10"/>
  <c r="N15" i="10"/>
  <c r="O15" i="10"/>
  <c r="P15" i="10"/>
  <c r="K16" i="10"/>
  <c r="L16" i="10"/>
  <c r="M16" i="10"/>
  <c r="N16" i="10"/>
  <c r="O16" i="10"/>
  <c r="P16" i="10"/>
  <c r="K17" i="10"/>
  <c r="R17" i="10" s="1"/>
  <c r="L3" i="10"/>
  <c r="M3" i="10"/>
  <c r="N3" i="10"/>
  <c r="O3" i="10"/>
  <c r="P3" i="10"/>
  <c r="K3" i="10"/>
  <c r="T69" i="10"/>
  <c r="T85" i="10"/>
  <c r="T37" i="10"/>
  <c r="T14" i="10"/>
  <c r="K138" i="10"/>
  <c r="K136" i="10"/>
  <c r="K135" i="10"/>
  <c r="K132" i="10"/>
  <c r="K13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R21" i="10"/>
  <c r="R37" i="10"/>
  <c r="R53" i="10"/>
  <c r="R73" i="10"/>
  <c r="M136" i="10"/>
  <c r="I139" i="10"/>
  <c r="I13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F126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E139" i="10"/>
  <c r="E131" i="10"/>
  <c r="E130" i="10"/>
  <c r="G130" i="10" s="1"/>
  <c r="E129" i="10"/>
  <c r="E138" i="10"/>
  <c r="E137" i="10"/>
  <c r="E136" i="10"/>
  <c r="E135" i="10"/>
  <c r="E134" i="10"/>
  <c r="E133" i="10"/>
  <c r="E132" i="10"/>
  <c r="E128" i="10"/>
  <c r="E127" i="10"/>
  <c r="E126" i="10"/>
  <c r="F127" i="14"/>
  <c r="F123" i="14"/>
  <c r="E126" i="14"/>
  <c r="F126" i="14" s="1"/>
  <c r="L127" i="14"/>
  <c r="L123" i="14"/>
  <c r="K126" i="14"/>
  <c r="L126" i="14" s="1"/>
  <c r="J125" i="14"/>
  <c r="J124" i="14"/>
  <c r="J128" i="14"/>
  <c r="J129" i="14"/>
  <c r="J127" i="14"/>
  <c r="J126" i="14"/>
  <c r="J123" i="14"/>
  <c r="D129" i="14"/>
  <c r="D128" i="14"/>
  <c r="D127" i="14"/>
  <c r="D126" i="14"/>
  <c r="D125" i="14"/>
  <c r="D124" i="14"/>
  <c r="D123" i="14"/>
  <c r="N136" i="10"/>
  <c r="N160" i="15" l="1"/>
  <c r="N156" i="15"/>
  <c r="BF23" i="15"/>
  <c r="BE19" i="15"/>
  <c r="BG13" i="15"/>
  <c r="CC94" i="15"/>
  <c r="BD112" i="15"/>
  <c r="K112" i="15"/>
  <c r="Q108" i="15"/>
  <c r="V104" i="15"/>
  <c r="W108" i="15"/>
  <c r="D121" i="15"/>
  <c r="BD121" i="15" s="1"/>
  <c r="H129" i="15"/>
  <c r="Q125" i="15"/>
  <c r="Q129" i="15"/>
  <c r="W129" i="15"/>
  <c r="F142" i="15"/>
  <c r="BF142" i="15" s="1"/>
  <c r="F146" i="15"/>
  <c r="BF146" i="15" s="1"/>
  <c r="L137" i="15"/>
  <c r="M143" i="15"/>
  <c r="Q138" i="15"/>
  <c r="R146" i="15"/>
  <c r="X142" i="15"/>
  <c r="M153" i="15"/>
  <c r="G176" i="15"/>
  <c r="M169" i="15"/>
  <c r="M173" i="15"/>
  <c r="M178" i="15"/>
  <c r="P176" i="15"/>
  <c r="M194" i="15"/>
  <c r="J205" i="15"/>
  <c r="J214" i="15"/>
  <c r="M214" i="15" s="1"/>
  <c r="P214" i="15"/>
  <c r="V210" i="15"/>
  <c r="AJ108" i="15"/>
  <c r="DA94" i="15"/>
  <c r="CZ52" i="15"/>
  <c r="DA23" i="15"/>
  <c r="DU11" i="15"/>
  <c r="DI19" i="15"/>
  <c r="DJ13" i="15"/>
  <c r="DO23" i="15"/>
  <c r="D134" i="15"/>
  <c r="Q151" i="15"/>
  <c r="R128" i="15"/>
  <c r="I138" i="15"/>
  <c r="X154" i="15"/>
  <c r="H137" i="15"/>
  <c r="O161" i="15"/>
  <c r="O157" i="15"/>
  <c r="O153" i="15"/>
  <c r="BE94" i="15"/>
  <c r="BE52" i="15"/>
  <c r="BE23" i="15"/>
  <c r="BN91" i="15"/>
  <c r="BH139" i="15"/>
  <c r="BS52" i="15"/>
  <c r="BR42" i="15"/>
  <c r="BQ23" i="15"/>
  <c r="BY91" i="15"/>
  <c r="CA52" i="15"/>
  <c r="BD103" i="15"/>
  <c r="E112" i="15"/>
  <c r="G104" i="15"/>
  <c r="P104" i="15"/>
  <c r="W112" i="15"/>
  <c r="F124" i="15"/>
  <c r="BF124" i="15" s="1"/>
  <c r="E129" i="15"/>
  <c r="BE129" i="15" s="1"/>
  <c r="H125" i="15"/>
  <c r="K129" i="15"/>
  <c r="N129" i="15" s="1"/>
  <c r="P121" i="15"/>
  <c r="V121" i="15"/>
  <c r="X124" i="15"/>
  <c r="M140" i="15"/>
  <c r="M144" i="15"/>
  <c r="W138" i="15"/>
  <c r="M160" i="15"/>
  <c r="U155" i="15"/>
  <c r="D180" i="15"/>
  <c r="BD180" i="15" s="1"/>
  <c r="G210" i="15"/>
  <c r="V214" i="15"/>
  <c r="Y171" i="15"/>
  <c r="AH125" i="15"/>
  <c r="AJ158" i="15"/>
  <c r="DG77" i="15"/>
  <c r="DO94" i="15"/>
  <c r="B334" i="15" s="1"/>
  <c r="E334" i="15" s="1"/>
  <c r="L155" i="15"/>
  <c r="H138" i="15"/>
  <c r="G137" i="15"/>
  <c r="ED115" i="15"/>
  <c r="ED116" i="15" s="1"/>
  <c r="D141" i="15"/>
  <c r="N161" i="15"/>
  <c r="N157" i="15"/>
  <c r="N153" i="15"/>
  <c r="BE81" i="15"/>
  <c r="BI94" i="15"/>
  <c r="BI52" i="15"/>
  <c r="BQ42" i="15"/>
  <c r="BU94" i="15"/>
  <c r="BU81" i="15"/>
  <c r="BU23" i="15"/>
  <c r="BY81" i="15"/>
  <c r="BZ42" i="15"/>
  <c r="CC19" i="15"/>
  <c r="E103" i="15"/>
  <c r="F104" i="15"/>
  <c r="BF110" i="15"/>
  <c r="I104" i="15"/>
  <c r="K103" i="15"/>
  <c r="Q112" i="15"/>
  <c r="W103" i="15"/>
  <c r="E125" i="15"/>
  <c r="BE125" i="15" s="1"/>
  <c r="G121" i="15"/>
  <c r="J121" i="15"/>
  <c r="S121" i="15"/>
  <c r="L142" i="15"/>
  <c r="M157" i="15"/>
  <c r="M161" i="15"/>
  <c r="D176" i="15"/>
  <c r="BD176" i="15" s="1"/>
  <c r="J176" i="15"/>
  <c r="M190" i="15"/>
  <c r="D205" i="15"/>
  <c r="BD205" i="15" s="1"/>
  <c r="D210" i="15"/>
  <c r="BD210" i="15" s="1"/>
  <c r="D214" i="15"/>
  <c r="BD214" i="15" s="1"/>
  <c r="J210" i="15"/>
  <c r="M210" i="15" s="1"/>
  <c r="DB13" i="15"/>
  <c r="DD52" i="15"/>
  <c r="DF42" i="15"/>
  <c r="G138" i="15"/>
  <c r="S154" i="15"/>
  <c r="O160" i="15"/>
  <c r="O156" i="15"/>
  <c r="BH106" i="15"/>
  <c r="BI106" i="15"/>
  <c r="BH102" i="15"/>
  <c r="BI102" i="15"/>
  <c r="BH140" i="15"/>
  <c r="BI160" i="15"/>
  <c r="BH160" i="15"/>
  <c r="BI156" i="15"/>
  <c r="BI173" i="15"/>
  <c r="BH173" i="15"/>
  <c r="BH190" i="15"/>
  <c r="BI190" i="15"/>
  <c r="BH186" i="15"/>
  <c r="BI186" i="15"/>
  <c r="BH203" i="15"/>
  <c r="BI203" i="15"/>
  <c r="M170" i="15"/>
  <c r="M174" i="15"/>
  <c r="M186" i="15"/>
  <c r="DM77" i="15"/>
  <c r="Z192" i="15"/>
  <c r="Q192" i="15"/>
  <c r="W192" i="15"/>
  <c r="H192" i="15"/>
  <c r="E192" i="15"/>
  <c r="K192" i="15"/>
  <c r="DP81" i="15"/>
  <c r="W210" i="15"/>
  <c r="K210" i="15"/>
  <c r="N210" i="15" s="1"/>
  <c r="Z210" i="15"/>
  <c r="Q210" i="15"/>
  <c r="E210" i="15"/>
  <c r="W176" i="15"/>
  <c r="K176" i="15"/>
  <c r="E176" i="15"/>
  <c r="Z176" i="15"/>
  <c r="Q176" i="15"/>
  <c r="H176" i="15"/>
  <c r="N176" i="15" s="1"/>
  <c r="X196" i="15"/>
  <c r="R196" i="15"/>
  <c r="AA196" i="15"/>
  <c r="I196" i="15"/>
  <c r="L196" i="15"/>
  <c r="F196" i="15"/>
  <c r="BF196" i="15" s="1"/>
  <c r="W214" i="15"/>
  <c r="K214" i="15"/>
  <c r="Z214" i="15"/>
  <c r="Q214" i="15"/>
  <c r="E214" i="15"/>
  <c r="DJ94" i="15"/>
  <c r="C300" i="15" s="1"/>
  <c r="F300" i="15" s="1"/>
  <c r="W180" i="15"/>
  <c r="K180" i="15"/>
  <c r="E180" i="15"/>
  <c r="Z180" i="15"/>
  <c r="Q180" i="15"/>
  <c r="H180" i="15"/>
  <c r="AA206" i="15"/>
  <c r="R206" i="15"/>
  <c r="F206" i="15"/>
  <c r="X206" i="15"/>
  <c r="L206" i="15"/>
  <c r="DK42" i="15"/>
  <c r="X172" i="15"/>
  <c r="L172" i="15"/>
  <c r="F172" i="15"/>
  <c r="I172" i="15"/>
  <c r="AA172" i="15"/>
  <c r="R172" i="15"/>
  <c r="DM42" i="15"/>
  <c r="W189" i="15"/>
  <c r="Z189" i="15"/>
  <c r="Q189" i="15"/>
  <c r="E189" i="15"/>
  <c r="BE189" i="15" s="1"/>
  <c r="K189" i="15"/>
  <c r="H189" i="15"/>
  <c r="DP19" i="15"/>
  <c r="Z205" i="15"/>
  <c r="Q205" i="15"/>
  <c r="E205" i="15"/>
  <c r="W205" i="15"/>
  <c r="K205" i="15"/>
  <c r="DJ19" i="15"/>
  <c r="Z171" i="15"/>
  <c r="Q171" i="15"/>
  <c r="H171" i="15"/>
  <c r="W171" i="15"/>
  <c r="K171" i="15"/>
  <c r="E171" i="15"/>
  <c r="BC96" i="15"/>
  <c r="G134" i="15"/>
  <c r="G145" i="15"/>
  <c r="H145" i="15"/>
  <c r="H141" i="15"/>
  <c r="L141" i="15"/>
  <c r="P141" i="15"/>
  <c r="F163" i="15"/>
  <c r="F159" i="15"/>
  <c r="BF159" i="15" s="1"/>
  <c r="F155" i="15"/>
  <c r="BF155" i="15" s="1"/>
  <c r="F151" i="15"/>
  <c r="I162" i="15"/>
  <c r="I158" i="15"/>
  <c r="I154" i="15"/>
  <c r="K163" i="15"/>
  <c r="K159" i="15"/>
  <c r="K155" i="15"/>
  <c r="K151" i="15"/>
  <c r="R162" i="15"/>
  <c r="R158" i="15"/>
  <c r="R154" i="15"/>
  <c r="X159" i="15"/>
  <c r="X155" i="15"/>
  <c r="X151" i="15"/>
  <c r="AA162" i="15"/>
  <c r="AA158" i="15"/>
  <c r="AA154" i="15"/>
  <c r="AI151" i="15"/>
  <c r="BI135" i="15"/>
  <c r="BH135" i="15"/>
  <c r="BH161" i="15"/>
  <c r="BI161" i="15"/>
  <c r="BI157" i="15"/>
  <c r="BH157" i="15"/>
  <c r="BH152" i="15"/>
  <c r="BI152" i="15"/>
  <c r="BI177" i="15"/>
  <c r="BH177" i="15"/>
  <c r="BI174" i="15"/>
  <c r="BH174" i="15"/>
  <c r="BI170" i="15"/>
  <c r="BH170" i="15"/>
  <c r="BI191" i="15"/>
  <c r="BH191" i="15"/>
  <c r="BH207" i="15"/>
  <c r="M176" i="15"/>
  <c r="M187" i="15"/>
  <c r="M195" i="15"/>
  <c r="M213" i="15"/>
  <c r="AF174" i="15"/>
  <c r="W168" i="15"/>
  <c r="K168" i="15"/>
  <c r="E168" i="15"/>
  <c r="Z168" i="15"/>
  <c r="Q168" i="15"/>
  <c r="H168" i="15"/>
  <c r="N168" i="15" s="1"/>
  <c r="W202" i="15"/>
  <c r="Z202" i="15"/>
  <c r="Q202" i="15"/>
  <c r="K202" i="15"/>
  <c r="E202" i="15"/>
  <c r="X209" i="15"/>
  <c r="L209" i="15"/>
  <c r="R209" i="15"/>
  <c r="AA209" i="15"/>
  <c r="F209" i="15"/>
  <c r="DK77" i="15"/>
  <c r="AA175" i="15"/>
  <c r="R175" i="15"/>
  <c r="I175" i="15"/>
  <c r="X175" i="15"/>
  <c r="L175" i="15"/>
  <c r="F175" i="15"/>
  <c r="DK90" i="15"/>
  <c r="F179" i="15"/>
  <c r="AA179" i="15"/>
  <c r="R179" i="15"/>
  <c r="I179" i="15"/>
  <c r="X179" i="15"/>
  <c r="L179" i="15"/>
  <c r="Z196" i="15"/>
  <c r="Q196" i="15"/>
  <c r="W196" i="15"/>
  <c r="H196" i="15"/>
  <c r="E196" i="15"/>
  <c r="K196" i="15"/>
  <c r="N196" i="15" s="1"/>
  <c r="W206" i="15"/>
  <c r="K206" i="15"/>
  <c r="Z206" i="15"/>
  <c r="Q206" i="15"/>
  <c r="E206" i="15"/>
  <c r="DJ42" i="15"/>
  <c r="W172" i="15"/>
  <c r="K172" i="15"/>
  <c r="E172" i="15"/>
  <c r="Z172" i="15"/>
  <c r="Q172" i="15"/>
  <c r="H172" i="15"/>
  <c r="N172" i="15" s="1"/>
  <c r="AA137" i="15"/>
  <c r="Z146" i="15"/>
  <c r="I146" i="15"/>
  <c r="I134" i="15"/>
  <c r="K141" i="15"/>
  <c r="E163" i="15"/>
  <c r="E159" i="15"/>
  <c r="E155" i="15"/>
  <c r="E151" i="15"/>
  <c r="H162" i="15"/>
  <c r="H158" i="15"/>
  <c r="H154" i="15"/>
  <c r="L162" i="15"/>
  <c r="L158" i="15"/>
  <c r="L154" i="15"/>
  <c r="S151" i="15"/>
  <c r="Q162" i="15"/>
  <c r="Q158" i="15"/>
  <c r="Q154" i="15"/>
  <c r="W163" i="15"/>
  <c r="W159" i="15"/>
  <c r="W155" i="15"/>
  <c r="W151" i="15"/>
  <c r="Z162" i="15"/>
  <c r="Z158" i="15"/>
  <c r="Z154" i="15"/>
  <c r="I151" i="15"/>
  <c r="BH109" i="15"/>
  <c r="BI109" i="15"/>
  <c r="BH101" i="15"/>
  <c r="BI101" i="15"/>
  <c r="BI178" i="15"/>
  <c r="BH178" i="15"/>
  <c r="BH194" i="15"/>
  <c r="BI194" i="15"/>
  <c r="BI187" i="15"/>
  <c r="BH187" i="15"/>
  <c r="BH211" i="15"/>
  <c r="BH204" i="15"/>
  <c r="AF169" i="15"/>
  <c r="AF177" i="15"/>
  <c r="DM9" i="15"/>
  <c r="W185" i="15"/>
  <c r="Z185" i="15"/>
  <c r="Q185" i="15"/>
  <c r="E185" i="15"/>
  <c r="K185" i="15"/>
  <c r="H185" i="15"/>
  <c r="X168" i="15"/>
  <c r="L168" i="15"/>
  <c r="F168" i="15"/>
  <c r="AA168" i="15"/>
  <c r="R168" i="15"/>
  <c r="I168" i="15"/>
  <c r="AA202" i="15"/>
  <c r="R202" i="15"/>
  <c r="L202" i="15"/>
  <c r="F202" i="15"/>
  <c r="X202" i="15"/>
  <c r="Z209" i="15"/>
  <c r="Q209" i="15"/>
  <c r="E209" i="15"/>
  <c r="BE209" i="15" s="1"/>
  <c r="W209" i="15"/>
  <c r="K209" i="15"/>
  <c r="N209" i="15" s="1"/>
  <c r="DJ77" i="15"/>
  <c r="Z175" i="15"/>
  <c r="Q175" i="15"/>
  <c r="H175" i="15"/>
  <c r="W175" i="15"/>
  <c r="K175" i="15"/>
  <c r="E175" i="15"/>
  <c r="DN81" i="15"/>
  <c r="AA193" i="15"/>
  <c r="R193" i="15"/>
  <c r="X193" i="15"/>
  <c r="L193" i="15"/>
  <c r="F193" i="15"/>
  <c r="I193" i="15"/>
  <c r="X213" i="15"/>
  <c r="L213" i="15"/>
  <c r="F213" i="15"/>
  <c r="R213" i="15"/>
  <c r="AA213" i="15"/>
  <c r="Z179" i="15"/>
  <c r="Q179" i="15"/>
  <c r="H179" i="15"/>
  <c r="W179" i="15"/>
  <c r="K179" i="15"/>
  <c r="E179" i="15"/>
  <c r="BE179" i="15" s="1"/>
  <c r="BF163" i="15"/>
  <c r="DN94" i="15"/>
  <c r="D317" i="15" s="1"/>
  <c r="G317" i="15" s="1"/>
  <c r="AA197" i="15"/>
  <c r="R197" i="15"/>
  <c r="L197" i="15"/>
  <c r="X197" i="15"/>
  <c r="F197" i="15"/>
  <c r="BF197" i="15" s="1"/>
  <c r="I197" i="15"/>
  <c r="X188" i="15"/>
  <c r="I188" i="15"/>
  <c r="R188" i="15"/>
  <c r="L188" i="15"/>
  <c r="AA188" i="15"/>
  <c r="F188" i="15"/>
  <c r="BF188" i="15" s="1"/>
  <c r="H142" i="15"/>
  <c r="H134" i="15"/>
  <c r="F162" i="15"/>
  <c r="F158" i="15"/>
  <c r="BF158" i="15" s="1"/>
  <c r="F154" i="15"/>
  <c r="I163" i="15"/>
  <c r="I159" i="15"/>
  <c r="I155" i="15"/>
  <c r="O155" i="15" s="1"/>
  <c r="H151" i="15"/>
  <c r="K162" i="15"/>
  <c r="K158" i="15"/>
  <c r="N158" i="15" s="1"/>
  <c r="K154" i="15"/>
  <c r="N154" i="15" s="1"/>
  <c r="N152" i="15"/>
  <c r="S162" i="15"/>
  <c r="R163" i="15"/>
  <c r="R159" i="15"/>
  <c r="R155" i="15"/>
  <c r="R151" i="15"/>
  <c r="AA163" i="15"/>
  <c r="AA159" i="15"/>
  <c r="AA155" i="15"/>
  <c r="AA151" i="15"/>
  <c r="BI110" i="15"/>
  <c r="BH110" i="15"/>
  <c r="BH105" i="15"/>
  <c r="BI105" i="15"/>
  <c r="BH136" i="15"/>
  <c r="BI136" i="15"/>
  <c r="BI153" i="15"/>
  <c r="BH153" i="15"/>
  <c r="BI169" i="15"/>
  <c r="BH169" i="15"/>
  <c r="BI195" i="15"/>
  <c r="BH195" i="15"/>
  <c r="AF170" i="15"/>
  <c r="AF178" i="15"/>
  <c r="AA185" i="15"/>
  <c r="R185" i="15"/>
  <c r="L185" i="15"/>
  <c r="O185" i="15" s="1"/>
  <c r="F185" i="15"/>
  <c r="X185" i="15"/>
  <c r="I185" i="15"/>
  <c r="DN77" i="15"/>
  <c r="X192" i="15"/>
  <c r="AA192" i="15"/>
  <c r="I192" i="15"/>
  <c r="L192" i="15"/>
  <c r="O192" i="15" s="1"/>
  <c r="R192" i="15"/>
  <c r="F192" i="15"/>
  <c r="AA210" i="15"/>
  <c r="R210" i="15"/>
  <c r="F210" i="15"/>
  <c r="L210" i="15"/>
  <c r="X210" i="15"/>
  <c r="X176" i="15"/>
  <c r="L176" i="15"/>
  <c r="F176" i="15"/>
  <c r="AA176" i="15"/>
  <c r="R176" i="15"/>
  <c r="I176" i="15"/>
  <c r="W193" i="15"/>
  <c r="Z193" i="15"/>
  <c r="Q193" i="15"/>
  <c r="E193" i="15"/>
  <c r="K193" i="15"/>
  <c r="N193" i="15" s="1"/>
  <c r="H193" i="15"/>
  <c r="DP90" i="15"/>
  <c r="Z213" i="15"/>
  <c r="Q213" i="15"/>
  <c r="E213" i="15"/>
  <c r="W213" i="15"/>
  <c r="K213" i="15"/>
  <c r="DQ94" i="15"/>
  <c r="D334" i="15" s="1"/>
  <c r="AA214" i="15"/>
  <c r="R214" i="15"/>
  <c r="F214" i="15"/>
  <c r="BF214" i="15" s="1"/>
  <c r="L214" i="15"/>
  <c r="X214" i="15"/>
  <c r="DK94" i="15"/>
  <c r="D300" i="15" s="1"/>
  <c r="G300" i="15" s="1"/>
  <c r="F180" i="15"/>
  <c r="X180" i="15"/>
  <c r="L180" i="15"/>
  <c r="I180" i="15"/>
  <c r="AA180" i="15"/>
  <c r="R180" i="15"/>
  <c r="W197" i="15"/>
  <c r="Z197" i="15"/>
  <c r="Q197" i="15"/>
  <c r="E197" i="15"/>
  <c r="K197" i="15"/>
  <c r="H197" i="15"/>
  <c r="AA189" i="15"/>
  <c r="R189" i="15"/>
  <c r="L189" i="15"/>
  <c r="F189" i="15"/>
  <c r="BF189" i="15" s="1"/>
  <c r="X189" i="15"/>
  <c r="I189" i="15"/>
  <c r="X205" i="15"/>
  <c r="L205" i="15"/>
  <c r="R205" i="15"/>
  <c r="AA205" i="15"/>
  <c r="F205" i="15"/>
  <c r="DK19" i="15"/>
  <c r="AA171" i="15"/>
  <c r="R171" i="15"/>
  <c r="I171" i="15"/>
  <c r="F171" i="15"/>
  <c r="X171" i="15"/>
  <c r="L171" i="15"/>
  <c r="Z188" i="15"/>
  <c r="Q188" i="15"/>
  <c r="W188" i="15"/>
  <c r="H188" i="15"/>
  <c r="E188" i="15"/>
  <c r="K188" i="15"/>
  <c r="G142" i="15"/>
  <c r="I141" i="15"/>
  <c r="I137" i="15"/>
  <c r="E162" i="15"/>
  <c r="E158" i="15"/>
  <c r="BE158" i="15" s="1"/>
  <c r="E154" i="15"/>
  <c r="H163" i="15"/>
  <c r="H159" i="15"/>
  <c r="N159" i="15" s="1"/>
  <c r="H155" i="15"/>
  <c r="N155" i="15" s="1"/>
  <c r="L163" i="15"/>
  <c r="O163" i="15" s="1"/>
  <c r="L159" i="15"/>
  <c r="O159" i="15" s="1"/>
  <c r="L151" i="15"/>
  <c r="O151" i="15" s="1"/>
  <c r="Q163" i="15"/>
  <c r="Q159" i="15"/>
  <c r="Q155" i="15"/>
  <c r="W162" i="15"/>
  <c r="W154" i="15"/>
  <c r="Z159" i="15"/>
  <c r="Z155" i="15"/>
  <c r="T16" i="10"/>
  <c r="T12" i="10"/>
  <c r="R93" i="10"/>
  <c r="R81" i="10"/>
  <c r="P133" i="10" s="1"/>
  <c r="R77" i="10"/>
  <c r="P132" i="10" s="1"/>
  <c r="R65" i="10"/>
  <c r="T15" i="10"/>
  <c r="R14" i="10"/>
  <c r="R12" i="10"/>
  <c r="T11" i="10"/>
  <c r="R10" i="10"/>
  <c r="T9" i="10"/>
  <c r="R8" i="10"/>
  <c r="T7" i="10"/>
  <c r="R6" i="10"/>
  <c r="R18" i="10"/>
  <c r="P128" i="10" s="1"/>
  <c r="T92" i="10"/>
  <c r="T88" i="10"/>
  <c r="T84" i="10"/>
  <c r="T80" i="10"/>
  <c r="T76" i="10"/>
  <c r="AB131" i="10" s="1"/>
  <c r="AC131" i="10" s="1"/>
  <c r="T72" i="10"/>
  <c r="T68" i="10"/>
  <c r="T64" i="10"/>
  <c r="T60" i="10"/>
  <c r="R60" i="10"/>
  <c r="T56" i="10"/>
  <c r="R56" i="10"/>
  <c r="T52" i="10"/>
  <c r="R52" i="10"/>
  <c r="R48" i="10"/>
  <c r="T44" i="10"/>
  <c r="R44" i="10"/>
  <c r="T42" i="10"/>
  <c r="T40" i="10"/>
  <c r="R40" i="10"/>
  <c r="T36" i="10"/>
  <c r="R36" i="10"/>
  <c r="T32" i="10"/>
  <c r="R32" i="10"/>
  <c r="M128" i="10"/>
  <c r="M138" i="10"/>
  <c r="R91" i="10"/>
  <c r="R87" i="10"/>
  <c r="P136" i="10" s="1"/>
  <c r="R83" i="10"/>
  <c r="R79" i="10"/>
  <c r="R75" i="10"/>
  <c r="R71" i="10"/>
  <c r="R67" i="10"/>
  <c r="R63" i="10"/>
  <c r="M132" i="10"/>
  <c r="T5" i="10"/>
  <c r="R5" i="10"/>
  <c r="R28" i="10"/>
  <c r="T27" i="10"/>
  <c r="R24" i="10"/>
  <c r="T23" i="10"/>
  <c r="R20" i="10"/>
  <c r="T95" i="10"/>
  <c r="T93" i="10"/>
  <c r="R92" i="10"/>
  <c r="T91" i="10"/>
  <c r="T89" i="10"/>
  <c r="R88" i="10"/>
  <c r="T87" i="10"/>
  <c r="AJ136" i="10" s="1"/>
  <c r="M135" i="10"/>
  <c r="R84" i="10"/>
  <c r="T83" i="10"/>
  <c r="T81" i="10"/>
  <c r="R80" i="10"/>
  <c r="T79" i="10"/>
  <c r="T77" i="10"/>
  <c r="AF132" i="10" s="1"/>
  <c r="R76" i="10"/>
  <c r="P131" i="10" s="1"/>
  <c r="T75" i="10"/>
  <c r="T73" i="10"/>
  <c r="R72" i="10"/>
  <c r="T71" i="10"/>
  <c r="R68" i="10"/>
  <c r="T67" i="10"/>
  <c r="T65" i="10"/>
  <c r="R64" i="10"/>
  <c r="T63" i="10"/>
  <c r="T3" i="10"/>
  <c r="M127" i="10"/>
  <c r="T10" i="10"/>
  <c r="T8" i="10"/>
  <c r="M129" i="10"/>
  <c r="R16" i="10"/>
  <c r="V127" i="10" s="1"/>
  <c r="R4" i="10"/>
  <c r="T17" i="10"/>
  <c r="AB127" i="10" s="1"/>
  <c r="R3" i="10"/>
  <c r="T28" i="10"/>
  <c r="T26" i="10"/>
  <c r="T24" i="10"/>
  <c r="T22" i="10"/>
  <c r="T20" i="10"/>
  <c r="T18" i="10"/>
  <c r="R11" i="10"/>
  <c r="R9" i="10"/>
  <c r="R7" i="10"/>
  <c r="T6" i="10"/>
  <c r="T4" i="10"/>
  <c r="R27" i="10"/>
  <c r="R26" i="10"/>
  <c r="T25" i="10"/>
  <c r="R23" i="10"/>
  <c r="R22" i="10"/>
  <c r="T21" i="10"/>
  <c r="T19" i="10"/>
  <c r="R19" i="10"/>
  <c r="CG94" i="16"/>
  <c r="BX94" i="16"/>
  <c r="CI9" i="16"/>
  <c r="BF9" i="16"/>
  <c r="BZ9" i="16"/>
  <c r="BF23" i="16"/>
  <c r="BZ23" i="16"/>
  <c r="BF52" i="16"/>
  <c r="BZ52" i="16"/>
  <c r="CI81" i="16"/>
  <c r="BZ81" i="16"/>
  <c r="CI90" i="16"/>
  <c r="BZ90" i="16"/>
  <c r="CH9" i="16"/>
  <c r="BY9" i="16"/>
  <c r="BE9" i="16"/>
  <c r="CH13" i="16"/>
  <c r="BY13" i="16"/>
  <c r="BE13" i="16"/>
  <c r="CH77" i="16"/>
  <c r="BY77" i="16"/>
  <c r="CH81" i="16"/>
  <c r="BY81" i="16"/>
  <c r="CG9" i="16"/>
  <c r="BD9" i="16"/>
  <c r="BX9" i="16"/>
  <c r="BD13" i="16"/>
  <c r="BX13" i="16"/>
  <c r="CG23" i="16"/>
  <c r="BX23" i="16"/>
  <c r="CG52" i="16"/>
  <c r="BX52" i="16"/>
  <c r="CG77" i="16"/>
  <c r="BX77" i="16"/>
  <c r="CG81" i="16"/>
  <c r="BX81" i="16"/>
  <c r="CG90" i="16"/>
  <c r="BX90" i="16"/>
  <c r="CG91" i="16"/>
  <c r="BX91" i="16"/>
  <c r="CH42" i="16"/>
  <c r="BY42" i="16"/>
  <c r="BF13" i="16"/>
  <c r="BZ13" i="16"/>
  <c r="CI77" i="16"/>
  <c r="BZ77" i="16"/>
  <c r="CI91" i="16"/>
  <c r="BZ91" i="16"/>
  <c r="BB9" i="16"/>
  <c r="BB42" i="16"/>
  <c r="BE23" i="16"/>
  <c r="BF81" i="16"/>
  <c r="BA81" i="16"/>
  <c r="BE81" i="16"/>
  <c r="BE90" i="16"/>
  <c r="BB77" i="16"/>
  <c r="BB81" i="16"/>
  <c r="AZ81" i="16"/>
  <c r="BB90" i="16"/>
  <c r="BB91" i="16"/>
  <c r="AZ91" i="16"/>
  <c r="BD94" i="16"/>
  <c r="BE94" i="16"/>
  <c r="BA42" i="16"/>
  <c r="BD42" i="16"/>
  <c r="CB19" i="16"/>
  <c r="CH94" i="16"/>
  <c r="CG42" i="16"/>
  <c r="BA91" i="16"/>
  <c r="BD77" i="16"/>
  <c r="BE42" i="16"/>
  <c r="CG13" i="16"/>
  <c r="AZ9" i="16"/>
  <c r="AU9" i="16"/>
  <c r="AX6" i="16" s="1"/>
  <c r="BP9" i="16"/>
  <c r="CC9" i="16" s="1"/>
  <c r="AU13" i="16"/>
  <c r="AX8" i="16" s="1"/>
  <c r="BP13" i="16"/>
  <c r="BD23" i="16"/>
  <c r="BD52" i="16"/>
  <c r="BD81" i="16"/>
  <c r="BD90" i="16"/>
  <c r="BA9" i="16"/>
  <c r="AT9" i="16"/>
  <c r="AW5" i="16" s="1"/>
  <c r="BO9" i="16"/>
  <c r="CE9" i="16" s="1"/>
  <c r="BA13" i="16"/>
  <c r="BO13" i="16"/>
  <c r="AT13" i="16"/>
  <c r="AW7" i="16" s="1"/>
  <c r="BA77" i="16"/>
  <c r="BA94" i="16"/>
  <c r="AZ42" i="16"/>
  <c r="AS9" i="16"/>
  <c r="AV5" i="16" s="1"/>
  <c r="BN9" i="16"/>
  <c r="AS13" i="16"/>
  <c r="AV7" i="16" s="1"/>
  <c r="BN13" i="16"/>
  <c r="BE52" i="16"/>
  <c r="BF42" i="16"/>
  <c r="AU94" i="16"/>
  <c r="AX94" i="16" s="1"/>
  <c r="BP94" i="16"/>
  <c r="CC94" i="16" s="1"/>
  <c r="BO94" i="16"/>
  <c r="AT94" i="16"/>
  <c r="AW94" i="16" s="1"/>
  <c r="AS94" i="16"/>
  <c r="AV94" i="16" s="1"/>
  <c r="BN94" i="16"/>
  <c r="CD94" i="16" s="1"/>
  <c r="BF94" i="16"/>
  <c r="BO90" i="16"/>
  <c r="CB90" i="16" s="1"/>
  <c r="AT90" i="16"/>
  <c r="BO91" i="16"/>
  <c r="AT91" i="16"/>
  <c r="BN90" i="16"/>
  <c r="CA90" i="16" s="1"/>
  <c r="AS90" i="16"/>
  <c r="BN91" i="16"/>
  <c r="AS91" i="16"/>
  <c r="BF90" i="16"/>
  <c r="BD91" i="16"/>
  <c r="AU90" i="16"/>
  <c r="BP90" i="16"/>
  <c r="BP91" i="16"/>
  <c r="CF91" i="16" s="1"/>
  <c r="AU91" i="16"/>
  <c r="AT81" i="16"/>
  <c r="AW81" i="16" s="1"/>
  <c r="BN81" i="16"/>
  <c r="CD81" i="16" s="1"/>
  <c r="AS81" i="16"/>
  <c r="AV81" i="16" s="1"/>
  <c r="BP81" i="16"/>
  <c r="AU81" i="16"/>
  <c r="AX81" i="16" s="1"/>
  <c r="AT77" i="16"/>
  <c r="AW77" i="16" s="1"/>
  <c r="BO77" i="16"/>
  <c r="BN77" i="16"/>
  <c r="CD77" i="16" s="1"/>
  <c r="AS77" i="16"/>
  <c r="AV77" i="16" s="1"/>
  <c r="AZ77" i="16"/>
  <c r="BP77" i="16"/>
  <c r="CC77" i="16" s="1"/>
  <c r="AU77" i="16"/>
  <c r="AX77" i="16" s="1"/>
  <c r="AT23" i="16"/>
  <c r="BO23" i="16"/>
  <c r="CE23" i="16" s="1"/>
  <c r="BN23" i="16"/>
  <c r="CA23" i="16" s="1"/>
  <c r="AS23" i="16"/>
  <c r="AZ23" i="16"/>
  <c r="BP23" i="16"/>
  <c r="AU23" i="16"/>
  <c r="AX21" i="16" s="1"/>
  <c r="AU52" i="16"/>
  <c r="BP52" i="16"/>
  <c r="CF52" i="16" s="1"/>
  <c r="AT52" i="16"/>
  <c r="BO52" i="16"/>
  <c r="CE52" i="16" s="1"/>
  <c r="BP42" i="16"/>
  <c r="AU42" i="16"/>
  <c r="BN52" i="16"/>
  <c r="CD52" i="16" s="1"/>
  <c r="AS52" i="16"/>
  <c r="BO42" i="16"/>
  <c r="AT42" i="16"/>
  <c r="AS42" i="16"/>
  <c r="BN42" i="16"/>
  <c r="CD42" i="16" s="1"/>
  <c r="CD19" i="16"/>
  <c r="CA19" i="16"/>
  <c r="F164" i="15"/>
  <c r="BF152" i="15"/>
  <c r="BE108" i="15"/>
  <c r="U206" i="15"/>
  <c r="U172" i="15"/>
  <c r="Y128" i="15"/>
  <c r="BS91" i="15"/>
  <c r="BY19" i="15"/>
  <c r="EH115" i="15"/>
  <c r="EH116" i="15" s="1"/>
  <c r="M122" i="15"/>
  <c r="CZ91" i="15"/>
  <c r="DU40" i="15"/>
  <c r="EB40" i="15" s="1"/>
  <c r="DW38" i="15"/>
  <c r="DV11" i="15"/>
  <c r="AG205" i="15"/>
  <c r="BM23" i="15"/>
  <c r="BQ77" i="15"/>
  <c r="C365" i="15"/>
  <c r="CA90" i="15"/>
  <c r="CD91" i="15"/>
  <c r="AA128" i="15"/>
  <c r="AJ214" i="15"/>
  <c r="AA117" i="15"/>
  <c r="G364" i="15"/>
  <c r="H364" i="15" s="1"/>
  <c r="D120" i="15"/>
  <c r="BD120" i="15" s="1"/>
  <c r="EG115" i="15"/>
  <c r="EG116" i="15" s="1"/>
  <c r="DL9" i="15"/>
  <c r="Y104" i="15"/>
  <c r="BJ90" i="15"/>
  <c r="BV90" i="15"/>
  <c r="BI91" i="15"/>
  <c r="G179" i="15"/>
  <c r="M179" i="15" s="1"/>
  <c r="D359" i="15"/>
  <c r="G163" i="15"/>
  <c r="M163" i="15" s="1"/>
  <c r="D197" i="15"/>
  <c r="BD197" i="15" s="1"/>
  <c r="V197" i="15"/>
  <c r="AE112" i="15"/>
  <c r="AI112" i="15"/>
  <c r="AE129" i="15"/>
  <c r="BJ94" i="15"/>
  <c r="R112" i="15"/>
  <c r="X112" i="15"/>
  <c r="J180" i="15"/>
  <c r="M180" i="15" s="1"/>
  <c r="P180" i="15"/>
  <c r="V180" i="15"/>
  <c r="BE214" i="15"/>
  <c r="AJ112" i="15"/>
  <c r="AI129" i="15"/>
  <c r="F129" i="15"/>
  <c r="BF129" i="15" s="1"/>
  <c r="DE94" i="15"/>
  <c r="D266" i="15" s="1"/>
  <c r="G266" i="15" s="1"/>
  <c r="AA111" i="15"/>
  <c r="BQ91" i="15"/>
  <c r="BV91" i="15"/>
  <c r="H111" i="15"/>
  <c r="L111" i="15"/>
  <c r="X111" i="15"/>
  <c r="P179" i="15"/>
  <c r="V196" i="15"/>
  <c r="V213" i="15"/>
  <c r="Y179" i="15"/>
  <c r="Y213" i="15"/>
  <c r="AA145" i="15"/>
  <c r="Z128" i="15"/>
  <c r="G162" i="15"/>
  <c r="BF91" i="15"/>
  <c r="BR90" i="15"/>
  <c r="BY90" i="15"/>
  <c r="CC91" i="15"/>
  <c r="K111" i="15"/>
  <c r="W111" i="15"/>
  <c r="I128" i="15"/>
  <c r="L128" i="15"/>
  <c r="P145" i="15"/>
  <c r="AJ111" i="15"/>
  <c r="AD145" i="15"/>
  <c r="G368" i="15"/>
  <c r="G367" i="15"/>
  <c r="H367" i="15" s="1"/>
  <c r="DV83" i="15"/>
  <c r="CA81" i="15"/>
  <c r="BI81" i="15"/>
  <c r="BN81" i="15"/>
  <c r="V108" i="15"/>
  <c r="D125" i="15"/>
  <c r="BD125" i="15" s="1"/>
  <c r="Q142" i="15"/>
  <c r="U159" i="15"/>
  <c r="BF193" i="15"/>
  <c r="I210" i="15"/>
  <c r="AI159" i="15"/>
  <c r="D108" i="15"/>
  <c r="BD108" i="15" s="1"/>
  <c r="J125" i="15"/>
  <c r="V125" i="15"/>
  <c r="AC142" i="15"/>
  <c r="AI193" i="15"/>
  <c r="BC108" i="15"/>
  <c r="BF108" i="15" s="1"/>
  <c r="AI176" i="15"/>
  <c r="CX81" i="15"/>
  <c r="D366" i="15" s="1"/>
  <c r="DH77" i="15"/>
  <c r="D107" i="15"/>
  <c r="G107" i="15"/>
  <c r="P107" i="15"/>
  <c r="D124" i="15"/>
  <c r="BD124" i="15" s="1"/>
  <c r="P124" i="15"/>
  <c r="V124" i="15"/>
  <c r="Q141" i="15"/>
  <c r="P175" i="15"/>
  <c r="T141" i="15"/>
  <c r="BJ77" i="15"/>
  <c r="BF107" i="15"/>
  <c r="E124" i="15"/>
  <c r="BE124" i="15" s="1"/>
  <c r="BI124" i="15" s="1"/>
  <c r="E141" i="15"/>
  <c r="BE141" i="15" s="1"/>
  <c r="BF192" i="15"/>
  <c r="BF106" i="15"/>
  <c r="H363" i="15"/>
  <c r="EA11" i="15"/>
  <c r="EE11" i="15"/>
  <c r="EC11" i="15"/>
  <c r="ED11" i="15"/>
  <c r="DZ11" i="15"/>
  <c r="EB11" i="15"/>
  <c r="EF11" i="15"/>
  <c r="DU38" i="15"/>
  <c r="DZ40" i="15"/>
  <c r="ED40" i="15"/>
  <c r="EF40" i="15"/>
  <c r="EQ38" i="15"/>
  <c r="EN38" i="15"/>
  <c r="ER38" i="15"/>
  <c r="EO38" i="15"/>
  <c r="ES38" i="15"/>
  <c r="EP38" i="15"/>
  <c r="ET38" i="15"/>
  <c r="EI11" i="15"/>
  <c r="EM11" i="15"/>
  <c r="EH11" i="15"/>
  <c r="EJ11" i="15"/>
  <c r="EG11" i="15"/>
  <c r="EK11" i="15"/>
  <c r="EL11" i="15"/>
  <c r="DP23" i="15"/>
  <c r="CX23" i="15"/>
  <c r="DB23" i="15"/>
  <c r="D240" i="15" s="1"/>
  <c r="G240" i="15" s="1"/>
  <c r="I103" i="15"/>
  <c r="Y154" i="15"/>
  <c r="S205" i="15"/>
  <c r="P205" i="15"/>
  <c r="G205" i="15"/>
  <c r="M205" i="15" s="1"/>
  <c r="H103" i="15"/>
  <c r="Z103" i="15"/>
  <c r="DA19" i="15"/>
  <c r="T103" i="15"/>
  <c r="Q103" i="15"/>
  <c r="P171" i="15"/>
  <c r="G171" i="15"/>
  <c r="M171" i="15" s="1"/>
  <c r="D171" i="15"/>
  <c r="BD171" i="15" s="1"/>
  <c r="BU19" i="15"/>
  <c r="DE19" i="15"/>
  <c r="X137" i="15"/>
  <c r="R137" i="15"/>
  <c r="F137" i="15"/>
  <c r="BF137" i="15" s="1"/>
  <c r="Q120" i="15"/>
  <c r="H120" i="15"/>
  <c r="N120" i="15" s="1"/>
  <c r="W120" i="15"/>
  <c r="E120" i="15"/>
  <c r="BE120" i="15" s="1"/>
  <c r="D361" i="15"/>
  <c r="CV19" i="15"/>
  <c r="CZ19" i="15"/>
  <c r="S103" i="15"/>
  <c r="J103" i="15"/>
  <c r="M103" i="15" s="1"/>
  <c r="V103" i="15"/>
  <c r="DH19" i="15"/>
  <c r="U154" i="15"/>
  <c r="BF154" i="15"/>
  <c r="Q137" i="15"/>
  <c r="E137" i="15"/>
  <c r="BE137" i="15" s="1"/>
  <c r="U188" i="15"/>
  <c r="Z120" i="15"/>
  <c r="C361" i="15"/>
  <c r="CA19" i="15"/>
  <c r="BM19" i="15"/>
  <c r="BZ19" i="15"/>
  <c r="Y120" i="15"/>
  <c r="BJ19" i="15"/>
  <c r="B359" i="15"/>
  <c r="F359" i="15" s="1"/>
  <c r="G359" i="15" s="1"/>
  <c r="H359" i="15" s="1"/>
  <c r="BE101" i="15"/>
  <c r="BF101" i="15"/>
  <c r="BE107" i="15"/>
  <c r="AJ134" i="15"/>
  <c r="Y134" i="15"/>
  <c r="DK9" i="15"/>
  <c r="DO13" i="15"/>
  <c r="S202" i="15"/>
  <c r="DA13" i="15"/>
  <c r="CW13" i="15"/>
  <c r="C358" i="15" s="1"/>
  <c r="CZ23" i="15"/>
  <c r="CV23" i="15"/>
  <c r="Y103" i="15"/>
  <c r="T137" i="15"/>
  <c r="Z137" i="15"/>
  <c r="DD23" i="15"/>
  <c r="AG137" i="15"/>
  <c r="DN23" i="15"/>
  <c r="D308" i="15" s="1"/>
  <c r="G308" i="15" s="1"/>
  <c r="DG52" i="15"/>
  <c r="DP77" i="15"/>
  <c r="AI209" i="15"/>
  <c r="AH209" i="15"/>
  <c r="AA107" i="15"/>
  <c r="DB77" i="15"/>
  <c r="D244" i="15" s="1"/>
  <c r="G244" i="15" s="1"/>
  <c r="DF77" i="15"/>
  <c r="AG158" i="15"/>
  <c r="DL77" i="15"/>
  <c r="AC192" i="15"/>
  <c r="AE192" i="15"/>
  <c r="DO81" i="15"/>
  <c r="AH210" i="15"/>
  <c r="AJ210" i="15"/>
  <c r="Y210" i="15"/>
  <c r="P210" i="15"/>
  <c r="Z108" i="15"/>
  <c r="CW81" i="15"/>
  <c r="C366" i="15" s="1"/>
  <c r="AG108" i="15"/>
  <c r="AE108" i="15"/>
  <c r="DE81" i="15"/>
  <c r="AA142" i="15"/>
  <c r="Z125" i="15"/>
  <c r="AG125" i="15"/>
  <c r="AC125" i="15"/>
  <c r="Y111" i="15"/>
  <c r="CV90" i="15"/>
  <c r="CZ90" i="15"/>
  <c r="DU90" i="15" s="1"/>
  <c r="AI111" i="15"/>
  <c r="AC111" i="15"/>
  <c r="DH90" i="15"/>
  <c r="BF162" i="15"/>
  <c r="T145" i="15"/>
  <c r="DD90" i="15"/>
  <c r="AC145" i="15"/>
  <c r="DN90" i="15"/>
  <c r="DK91" i="15"/>
  <c r="DP94" i="15"/>
  <c r="C334" i="15" s="1"/>
  <c r="F334" i="15" s="1"/>
  <c r="AA112" i="15"/>
  <c r="CX94" i="15"/>
  <c r="D370" i="15" s="1"/>
  <c r="DB94" i="15"/>
  <c r="D163" i="15"/>
  <c r="DF94" i="15"/>
  <c r="B283" i="15" s="1"/>
  <c r="E283" i="15" s="1"/>
  <c r="I129" i="15"/>
  <c r="AA129" i="15"/>
  <c r="AJ129" i="15"/>
  <c r="DL94" i="15"/>
  <c r="B317" i="15" s="1"/>
  <c r="E317" i="15" s="1"/>
  <c r="AC197" i="15"/>
  <c r="D242" i="15"/>
  <c r="G242" i="15" s="1"/>
  <c r="AJ145" i="15"/>
  <c r="CX77" i="15"/>
  <c r="D365" i="15" s="1"/>
  <c r="O128" i="15"/>
  <c r="D247" i="15"/>
  <c r="G247" i="15" s="1"/>
  <c r="C246" i="15"/>
  <c r="F246" i="15" s="1"/>
  <c r="C247" i="15"/>
  <c r="F247" i="15" s="1"/>
  <c r="B246" i="15"/>
  <c r="E246" i="15" s="1"/>
  <c r="D243" i="15"/>
  <c r="G243" i="15" s="1"/>
  <c r="C242" i="15"/>
  <c r="F242" i="15" s="1"/>
  <c r="B239" i="15"/>
  <c r="BG110" i="15"/>
  <c r="AJ137" i="15"/>
  <c r="C249" i="15"/>
  <c r="F249" i="15" s="1"/>
  <c r="B247" i="15"/>
  <c r="C243" i="15"/>
  <c r="F243" i="15" s="1"/>
  <c r="B242" i="15"/>
  <c r="Z117" i="15"/>
  <c r="B369" i="15"/>
  <c r="F369" i="15" s="1"/>
  <c r="B249" i="15"/>
  <c r="D246" i="15"/>
  <c r="G246" i="15" s="1"/>
  <c r="B243" i="15"/>
  <c r="H368" i="15"/>
  <c r="G360" i="15"/>
  <c r="H360" i="15" s="1"/>
  <c r="BG106" i="15"/>
  <c r="BI13" i="15"/>
  <c r="Y145" i="15"/>
  <c r="AJ142" i="15"/>
  <c r="AJ146" i="15"/>
  <c r="T138" i="15"/>
  <c r="D162" i="15"/>
  <c r="BD162" i="15" s="1"/>
  <c r="CW52" i="15"/>
  <c r="D239" i="15"/>
  <c r="G239" i="15" s="1"/>
  <c r="BG102" i="15"/>
  <c r="Z100" i="15"/>
  <c r="BA100" i="15"/>
  <c r="BD100" i="15" s="1"/>
  <c r="BM13" i="15"/>
  <c r="Z111" i="15"/>
  <c r="X145" i="15"/>
  <c r="AA134" i="15"/>
  <c r="Z142" i="15"/>
  <c r="B362" i="15"/>
  <c r="F362" i="15" s="1"/>
  <c r="CW91" i="15"/>
  <c r="C369" i="15" s="1"/>
  <c r="CX91" i="15"/>
  <c r="CA42" i="15"/>
  <c r="CE42" i="15"/>
  <c r="C239" i="15"/>
  <c r="F239" i="15" s="1"/>
  <c r="BF81" i="15"/>
  <c r="Y142" i="15"/>
  <c r="Z134" i="15"/>
  <c r="BE162" i="15"/>
  <c r="CV81" i="15"/>
  <c r="B366" i="15" s="1"/>
  <c r="F366" i="15" s="1"/>
  <c r="CV77" i="15"/>
  <c r="B365" i="15" s="1"/>
  <c r="F365" i="15" s="1"/>
  <c r="CV13" i="15"/>
  <c r="B358" i="15" s="1"/>
  <c r="F358" i="15" s="1"/>
  <c r="CW94" i="15"/>
  <c r="C370" i="15" s="1"/>
  <c r="G370" i="15" s="1"/>
  <c r="CX90" i="15"/>
  <c r="D369" i="15" s="1"/>
  <c r="CX9" i="15"/>
  <c r="D358" i="15" s="1"/>
  <c r="Y138" i="15"/>
  <c r="AI103" i="15"/>
  <c r="P154" i="15"/>
  <c r="AA120" i="15"/>
  <c r="G188" i="15"/>
  <c r="CD42" i="15"/>
  <c r="BV42" i="15"/>
  <c r="Y155" i="15"/>
  <c r="AA121" i="15"/>
  <c r="BK19" i="15"/>
  <c r="BN19" i="15"/>
  <c r="BS19" i="15"/>
  <c r="D154" i="15"/>
  <c r="BD154" i="15" s="1"/>
  <c r="G154" i="15"/>
  <c r="D188" i="15"/>
  <c r="BD188" i="15" s="1"/>
  <c r="AC103" i="15"/>
  <c r="AE103" i="15"/>
  <c r="BB103" i="15"/>
  <c r="BE103" i="15" s="1"/>
  <c r="AA103" i="15"/>
  <c r="J154" i="15"/>
  <c r="M154" i="15" s="1"/>
  <c r="AJ120" i="15"/>
  <c r="Y188" i="15"/>
  <c r="Y137" i="15"/>
  <c r="BC103" i="15"/>
  <c r="BG19" i="15"/>
  <c r="BR19" i="15"/>
  <c r="F103" i="15"/>
  <c r="L103" i="15"/>
  <c r="O103" i="15" s="1"/>
  <c r="AD103" i="15"/>
  <c r="AG103" i="15"/>
  <c r="AH103" i="15"/>
  <c r="AN43" i="14"/>
  <c r="AK43" i="14"/>
  <c r="AM43" i="14"/>
  <c r="F139" i="14"/>
  <c r="F154" i="14" s="1"/>
  <c r="DQ42" i="15"/>
  <c r="DW42" i="15" s="1"/>
  <c r="DC42" i="15"/>
  <c r="BG42" i="15"/>
  <c r="BO42" i="15"/>
  <c r="S138" i="15"/>
  <c r="BF42" i="15"/>
  <c r="BK42" i="15"/>
  <c r="BN42" i="15"/>
  <c r="BW42" i="15"/>
  <c r="BF172" i="15"/>
  <c r="AJ138" i="15"/>
  <c r="DP42" i="15"/>
  <c r="J138" i="15"/>
  <c r="M138" i="15" s="1"/>
  <c r="BM42" i="15"/>
  <c r="BS42" i="15"/>
  <c r="D138" i="15"/>
  <c r="BD138" i="15" s="1"/>
  <c r="C362" i="15"/>
  <c r="G362" i="15" s="1"/>
  <c r="BB104" i="15"/>
  <c r="BE104" i="15" s="1"/>
  <c r="CX42" i="15"/>
  <c r="CA94" i="16"/>
  <c r="BB94" i="16"/>
  <c r="AZ94" i="16"/>
  <c r="CA89" i="16"/>
  <c r="CC87" i="16"/>
  <c r="CE93" i="16"/>
  <c r="CE89" i="16"/>
  <c r="CD88" i="16"/>
  <c r="BA90" i="16"/>
  <c r="CC93" i="16"/>
  <c r="CD92" i="16"/>
  <c r="AZ90" i="16"/>
  <c r="CA86" i="16"/>
  <c r="CD86" i="16"/>
  <c r="CC86" i="16"/>
  <c r="CA85" i="16"/>
  <c r="CE85" i="16"/>
  <c r="CB81" i="16"/>
  <c r="CF84" i="16"/>
  <c r="CE83" i="16"/>
  <c r="CD82" i="16"/>
  <c r="CC83" i="16"/>
  <c r="CB82" i="16"/>
  <c r="CC84" i="16"/>
  <c r="CB83" i="16"/>
  <c r="CA82" i="16"/>
  <c r="CE80" i="16"/>
  <c r="CD79" i="16"/>
  <c r="CB80" i="16"/>
  <c r="CA79" i="16"/>
  <c r="CD80" i="16"/>
  <c r="CF78" i="16"/>
  <c r="CA80" i="16"/>
  <c r="CC78" i="16"/>
  <c r="CF79" i="16"/>
  <c r="CE78" i="16"/>
  <c r="BF77" i="16"/>
  <c r="CB76" i="16"/>
  <c r="CA76" i="16"/>
  <c r="CF76" i="16"/>
  <c r="CE76" i="16"/>
  <c r="CC75" i="16"/>
  <c r="CB75" i="16"/>
  <c r="CF75" i="16"/>
  <c r="CD74" i="16"/>
  <c r="CC72" i="16"/>
  <c r="CE71" i="16"/>
  <c r="CB71" i="16"/>
  <c r="CD70" i="16"/>
  <c r="CA70" i="16"/>
  <c r="CF68" i="16"/>
  <c r="CB67" i="16"/>
  <c r="CD66" i="16"/>
  <c r="CA66" i="16"/>
  <c r="CF64" i="16"/>
  <c r="CC64" i="16"/>
  <c r="CE63" i="16"/>
  <c r="CA62" i="16"/>
  <c r="CF60" i="16"/>
  <c r="CC60" i="16"/>
  <c r="CE59" i="16"/>
  <c r="CB59" i="16"/>
  <c r="CD58" i="16"/>
  <c r="CC56" i="16"/>
  <c r="CE55" i="16"/>
  <c r="CB55" i="16"/>
  <c r="CD54" i="16"/>
  <c r="CA54" i="16"/>
  <c r="CD51" i="16"/>
  <c r="CA51" i="16"/>
  <c r="CF49" i="16"/>
  <c r="CC49" i="16"/>
  <c r="CF45" i="16"/>
  <c r="CC45" i="16"/>
  <c r="CE44" i="16"/>
  <c r="CB44" i="16"/>
  <c r="CD43" i="16"/>
  <c r="CE40" i="16"/>
  <c r="CB40" i="16"/>
  <c r="CD39" i="16"/>
  <c r="CA39" i="16"/>
  <c r="CF37" i="16"/>
  <c r="CD35" i="16"/>
  <c r="CA35" i="16"/>
  <c r="CF33" i="16"/>
  <c r="CC33" i="16"/>
  <c r="CE32" i="16"/>
  <c r="CF29" i="16"/>
  <c r="CC29" i="16"/>
  <c r="CE28" i="16"/>
  <c r="CB28" i="16"/>
  <c r="CC68" i="16"/>
  <c r="CB32" i="16"/>
  <c r="CD62" i="16"/>
  <c r="CD47" i="16"/>
  <c r="CF73" i="16"/>
  <c r="CC73" i="16"/>
  <c r="CE72" i="16"/>
  <c r="CA71" i="16"/>
  <c r="CF69" i="16"/>
  <c r="CC69" i="16"/>
  <c r="CE68" i="16"/>
  <c r="CB68" i="16"/>
  <c r="CD67" i="16"/>
  <c r="CC65" i="16"/>
  <c r="CE64" i="16"/>
  <c r="CB64" i="16"/>
  <c r="CD63" i="16"/>
  <c r="CA63" i="16"/>
  <c r="CF61" i="16"/>
  <c r="CB60" i="16"/>
  <c r="CD59" i="16"/>
  <c r="CA59" i="16"/>
  <c r="CF57" i="16"/>
  <c r="CC57" i="16"/>
  <c r="CE56" i="16"/>
  <c r="CA55" i="16"/>
  <c r="CF53" i="16"/>
  <c r="CC53" i="16"/>
  <c r="CF50" i="16"/>
  <c r="CC50" i="16"/>
  <c r="CE49" i="16"/>
  <c r="CB49" i="16"/>
  <c r="CD48" i="16"/>
  <c r="CA48" i="16"/>
  <c r="CF46" i="16"/>
  <c r="CC46" i="16"/>
  <c r="CE45" i="16"/>
  <c r="CB45" i="16"/>
  <c r="CD44" i="16"/>
  <c r="CA44" i="16"/>
  <c r="CF42" i="16"/>
  <c r="CC42" i="16"/>
  <c r="CE41" i="16"/>
  <c r="CB41" i="16"/>
  <c r="CD40" i="16"/>
  <c r="CA40" i="16"/>
  <c r="CF38" i="16"/>
  <c r="CC38" i="16"/>
  <c r="CE37" i="16"/>
  <c r="CB37" i="16"/>
  <c r="CD36" i="16"/>
  <c r="CA36" i="16"/>
  <c r="CF34" i="16"/>
  <c r="CC34" i="16"/>
  <c r="CE33" i="16"/>
  <c r="CB33" i="16"/>
  <c r="CD32" i="16"/>
  <c r="CA32" i="16"/>
  <c r="CF30" i="16"/>
  <c r="CC30" i="16"/>
  <c r="CA74" i="16"/>
  <c r="CA67" i="16"/>
  <c r="CA60" i="16"/>
  <c r="CC37" i="16"/>
  <c r="CF74" i="16"/>
  <c r="CE67" i="16"/>
  <c r="CE60" i="16"/>
  <c r="CE53" i="16"/>
  <c r="CD31" i="16"/>
  <c r="CE73" i="16"/>
  <c r="CB73" i="16"/>
  <c r="CD72" i="16"/>
  <c r="CA72" i="16"/>
  <c r="CD68" i="16"/>
  <c r="CA68" i="16"/>
  <c r="CF66" i="16"/>
  <c r="CC66" i="16"/>
  <c r="CF62" i="16"/>
  <c r="CC62" i="16"/>
  <c r="CE61" i="16"/>
  <c r="CB61" i="16"/>
  <c r="CE57" i="16"/>
  <c r="CB57" i="16"/>
  <c r="CD56" i="16"/>
  <c r="CA56" i="16"/>
  <c r="CF51" i="16"/>
  <c r="CB50" i="16"/>
  <c r="CD49" i="16"/>
  <c r="CA49" i="16"/>
  <c r="CF47" i="16"/>
  <c r="CC47" i="16"/>
  <c r="CE46" i="16"/>
  <c r="CB72" i="16"/>
  <c r="CB65" i="16"/>
  <c r="CA58" i="16"/>
  <c r="CA43" i="16"/>
  <c r="CF72" i="16"/>
  <c r="CF65" i="16"/>
  <c r="CF58" i="16"/>
  <c r="CE50" i="16"/>
  <c r="CE36" i="16"/>
  <c r="CE74" i="16"/>
  <c r="CB74" i="16"/>
  <c r="CD73" i="16"/>
  <c r="CA73" i="16"/>
  <c r="CF71" i="16"/>
  <c r="CC71" i="16"/>
  <c r="CE70" i="16"/>
  <c r="CB70" i="16"/>
  <c r="CD69" i="16"/>
  <c r="CA69" i="16"/>
  <c r="CF67" i="16"/>
  <c r="CC67" i="16"/>
  <c r="CE66" i="16"/>
  <c r="CB66" i="16"/>
  <c r="CD65" i="16"/>
  <c r="CA65" i="16"/>
  <c r="CF63" i="16"/>
  <c r="CC63" i="16"/>
  <c r="CE62" i="16"/>
  <c r="CB62" i="16"/>
  <c r="CD61" i="16"/>
  <c r="CA61" i="16"/>
  <c r="CF59" i="16"/>
  <c r="CC59" i="16"/>
  <c r="CE58" i="16"/>
  <c r="CB58" i="16"/>
  <c r="CC70" i="16"/>
  <c r="CB63" i="16"/>
  <c r="CB56" i="16"/>
  <c r="CB48" i="16"/>
  <c r="CD71" i="16"/>
  <c r="CD64" i="16"/>
  <c r="CF56" i="16"/>
  <c r="CF41" i="16"/>
  <c r="CE29" i="16"/>
  <c r="CB29" i="16"/>
  <c r="CD28" i="16"/>
  <c r="CA28" i="16"/>
  <c r="CB51" i="16"/>
  <c r="CA46" i="16"/>
  <c r="CB42" i="16"/>
  <c r="CC40" i="16"/>
  <c r="CA37" i="16"/>
  <c r="CB35" i="16"/>
  <c r="CC31" i="16"/>
  <c r="CA30" i="16"/>
  <c r="CD50" i="16"/>
  <c r="CD41" i="16"/>
  <c r="CF35" i="16"/>
  <c r="CE30" i="16"/>
  <c r="CB47" i="16"/>
  <c r="CC43" i="16"/>
  <c r="CB38" i="16"/>
  <c r="CC36" i="16"/>
  <c r="CA33" i="16"/>
  <c r="CB31" i="16"/>
  <c r="CE51" i="16"/>
  <c r="CE42" i="16"/>
  <c r="CD37" i="16"/>
  <c r="CF31" i="16"/>
  <c r="CD57" i="16"/>
  <c r="CA57" i="16"/>
  <c r="CF55" i="16"/>
  <c r="CC55" i="16"/>
  <c r="CE54" i="16"/>
  <c r="CB54" i="16"/>
  <c r="CD53" i="16"/>
  <c r="CA53" i="16"/>
  <c r="CA45" i="16"/>
  <c r="CC39" i="16"/>
  <c r="CB34" i="16"/>
  <c r="CA29" i="16"/>
  <c r="CF43" i="16"/>
  <c r="CE38" i="16"/>
  <c r="CD33" i="16"/>
  <c r="AZ52" i="16"/>
  <c r="CF22" i="16"/>
  <c r="CE21" i="16"/>
  <c r="CD20" i="16"/>
  <c r="CF18" i="16"/>
  <c r="CE27" i="16"/>
  <c r="CD26" i="16"/>
  <c r="CF24" i="16"/>
  <c r="CE22" i="16"/>
  <c r="CD21" i="16"/>
  <c r="CF19" i="16"/>
  <c r="CE18" i="16"/>
  <c r="CC17" i="16"/>
  <c r="CF16" i="16"/>
  <c r="CE15" i="16"/>
  <c r="CE16" i="16"/>
  <c r="CD15" i="16"/>
  <c r="CD16" i="16"/>
  <c r="CA3" i="16"/>
  <c r="CD14" i="16"/>
  <c r="CA2" i="16"/>
  <c r="CA10" i="16"/>
  <c r="CA8" i="16"/>
  <c r="CC6" i="16"/>
  <c r="CB5" i="16"/>
  <c r="CA4" i="16"/>
  <c r="CD10" i="16"/>
  <c r="AZ13" i="16"/>
  <c r="CC2" i="16"/>
  <c r="CB12" i="16"/>
  <c r="CA11" i="16"/>
  <c r="CC7" i="16"/>
  <c r="CB6" i="16"/>
  <c r="CA5" i="16"/>
  <c r="CC3" i="16"/>
  <c r="CE94" i="16"/>
  <c r="BF91" i="16"/>
  <c r="CC92" i="16"/>
  <c r="CB92" i="16"/>
  <c r="CC90" i="16"/>
  <c r="CF90" i="16"/>
  <c r="CF81" i="16"/>
  <c r="CC81" i="16"/>
  <c r="CE81" i="16"/>
  <c r="CA77" i="16"/>
  <c r="BE77" i="16"/>
  <c r="BB52" i="16"/>
  <c r="BA52" i="16"/>
  <c r="BB23" i="16"/>
  <c r="BA23" i="16"/>
  <c r="CI13" i="16"/>
  <c r="CF9" i="16"/>
  <c r="U185" i="15"/>
  <c r="CA9" i="15"/>
  <c r="V117" i="15"/>
  <c r="G117" i="15"/>
  <c r="S117" i="15"/>
  <c r="D117" i="15"/>
  <c r="BD117" i="15" s="1"/>
  <c r="AC117" i="15"/>
  <c r="K134" i="15"/>
  <c r="AI134" i="15"/>
  <c r="E134" i="15"/>
  <c r="AJ151" i="15"/>
  <c r="CZ9" i="15"/>
  <c r="J100" i="15"/>
  <c r="Y100" i="15"/>
  <c r="U205" i="15"/>
  <c r="I205" i="15"/>
  <c r="AC205" i="15"/>
  <c r="BW23" i="15"/>
  <c r="AJ171" i="15"/>
  <c r="AI171" i="15"/>
  <c r="DG23" i="15"/>
  <c r="C274" i="15" s="1"/>
  <c r="F274" i="15" s="1"/>
  <c r="AH154" i="15"/>
  <c r="AG154" i="15"/>
  <c r="AE154" i="15"/>
  <c r="T154" i="15"/>
  <c r="BE154" i="15"/>
  <c r="DC23" i="15"/>
  <c r="B257" i="15" s="1"/>
  <c r="P137" i="15"/>
  <c r="J137" i="15"/>
  <c r="M137" i="15" s="1"/>
  <c r="AE137" i="15"/>
  <c r="DP52" i="15"/>
  <c r="T206" i="15"/>
  <c r="AJ206" i="15"/>
  <c r="AI104" i="15"/>
  <c r="AE104" i="15"/>
  <c r="AD104" i="15"/>
  <c r="AA104" i="15"/>
  <c r="AH104" i="15"/>
  <c r="X104" i="15"/>
  <c r="U104" i="15"/>
  <c r="AJ104" i="15"/>
  <c r="AG104" i="15"/>
  <c r="AC104" i="15"/>
  <c r="DJ52" i="15"/>
  <c r="BE172" i="15"/>
  <c r="T172" i="15"/>
  <c r="AI155" i="15"/>
  <c r="DF52" i="15"/>
  <c r="V155" i="15"/>
  <c r="J155" i="15"/>
  <c r="D155" i="15"/>
  <c r="BD155" i="15" s="1"/>
  <c r="AI121" i="15"/>
  <c r="X121" i="15"/>
  <c r="L121" i="15"/>
  <c r="AG121" i="15"/>
  <c r="R121" i="15"/>
  <c r="I121" i="15"/>
  <c r="F121" i="15"/>
  <c r="BF121" i="15" s="1"/>
  <c r="BI121" i="15" s="1"/>
  <c r="AH189" i="15"/>
  <c r="Y189" i="15"/>
  <c r="G189" i="15"/>
  <c r="S189" i="15"/>
  <c r="J189" i="15"/>
  <c r="M189" i="15" s="1"/>
  <c r="AC189" i="15"/>
  <c r="BY77" i="15"/>
  <c r="BA107" i="15"/>
  <c r="BG107" i="15" s="1"/>
  <c r="AE209" i="15"/>
  <c r="AD209" i="15"/>
  <c r="V209" i="15"/>
  <c r="P209" i="15"/>
  <c r="J209" i="15"/>
  <c r="M209" i="15" s="1"/>
  <c r="G209" i="15"/>
  <c r="DO77" i="15"/>
  <c r="B329" i="15" s="1"/>
  <c r="Y209" i="15"/>
  <c r="D209" i="15"/>
  <c r="BD209" i="15" s="1"/>
  <c r="W107" i="15"/>
  <c r="Q107" i="15"/>
  <c r="K107" i="15"/>
  <c r="Z107" i="15"/>
  <c r="AD175" i="15"/>
  <c r="V175" i="15"/>
  <c r="DE77" i="15"/>
  <c r="D261" i="15" s="1"/>
  <c r="G261" i="15" s="1"/>
  <c r="F141" i="15"/>
  <c r="BF141" i="15" s="1"/>
  <c r="U141" i="15"/>
  <c r="R141" i="15"/>
  <c r="AD124" i="15"/>
  <c r="W124" i="15"/>
  <c r="Q124" i="15"/>
  <c r="BF52" i="15"/>
  <c r="BE9" i="15"/>
  <c r="BK23" i="15"/>
  <c r="BI9" i="15"/>
  <c r="CA23" i="15"/>
  <c r="CD52" i="15"/>
  <c r="BF151" i="15"/>
  <c r="G175" i="15"/>
  <c r="BE206" i="15"/>
  <c r="AJ124" i="15"/>
  <c r="AE205" i="15"/>
  <c r="BF77" i="15"/>
  <c r="BE13" i="15"/>
  <c r="BK52" i="15"/>
  <c r="CI52" i="15" s="1"/>
  <c r="CM52" i="15" s="1"/>
  <c r="CQ52" i="15" s="1"/>
  <c r="DT52" i="15" s="1"/>
  <c r="BN52" i="15"/>
  <c r="BR52" i="15"/>
  <c r="BV52" i="15"/>
  <c r="V100" i="15"/>
  <c r="BD105" i="15"/>
  <c r="H107" i="15"/>
  <c r="R104" i="15"/>
  <c r="U121" i="15"/>
  <c r="D137" i="15"/>
  <c r="BD137" i="15" s="1"/>
  <c r="Q134" i="15"/>
  <c r="W134" i="15"/>
  <c r="X141" i="15"/>
  <c r="P155" i="15"/>
  <c r="AC154" i="15"/>
  <c r="AD154" i="15"/>
  <c r="AG175" i="15"/>
  <c r="AH171" i="15"/>
  <c r="AD205" i="15"/>
  <c r="DI77" i="15"/>
  <c r="BI77" i="15"/>
  <c r="H124" i="15"/>
  <c r="J117" i="15"/>
  <c r="J124" i="15"/>
  <c r="J175" i="15"/>
  <c r="M175" i="15" s="1"/>
  <c r="AH121" i="15"/>
  <c r="BE77" i="15"/>
  <c r="BJ52" i="15"/>
  <c r="BQ52" i="15"/>
  <c r="CC77" i="15"/>
  <c r="P100" i="15"/>
  <c r="L104" i="15"/>
  <c r="O104" i="15" s="1"/>
  <c r="D175" i="15"/>
  <c r="BD175" i="15" s="1"/>
  <c r="BE188" i="15"/>
  <c r="AC121" i="15"/>
  <c r="AD172" i="15"/>
  <c r="AJ209" i="15"/>
  <c r="DA77" i="15"/>
  <c r="C244" i="15" s="1"/>
  <c r="F244" i="15" s="1"/>
  <c r="DD9" i="15"/>
  <c r="BB111" i="15"/>
  <c r="H213" i="15"/>
  <c r="AJ162" i="15"/>
  <c r="J196" i="15"/>
  <c r="M196" i="15" s="1"/>
  <c r="AF136" i="15"/>
  <c r="CA13" i="15"/>
  <c r="BG23" i="15"/>
  <c r="AC179" i="15"/>
  <c r="BJ9" i="15"/>
  <c r="BN13" i="15"/>
  <c r="G151" i="15"/>
  <c r="BY13" i="15"/>
  <c r="CA77" i="15"/>
  <c r="AJ176" i="15"/>
  <c r="AJ125" i="15"/>
  <c r="AD193" i="15"/>
  <c r="BO94" i="15"/>
  <c r="AA100" i="15"/>
  <c r="BE109" i="15"/>
  <c r="I242" i="15"/>
  <c r="K242" i="15" s="1"/>
  <c r="DI91" i="15"/>
  <c r="B299" i="15" s="1"/>
  <c r="DL91" i="15"/>
  <c r="B316" i="15" s="1"/>
  <c r="BO9" i="15"/>
  <c r="BO52" i="15"/>
  <c r="AH138" i="15"/>
  <c r="BN77" i="15"/>
  <c r="AJ107" i="15"/>
  <c r="AC158" i="15"/>
  <c r="AI124" i="15"/>
  <c r="AJ192" i="15"/>
  <c r="I213" i="15"/>
  <c r="BM91" i="15"/>
  <c r="BN94" i="15"/>
  <c r="AG214" i="15"/>
  <c r="AJ180" i="15"/>
  <c r="AE163" i="15"/>
  <c r="BS94" i="15"/>
  <c r="CA94" i="15"/>
  <c r="D146" i="15"/>
  <c r="BD146" i="15" s="1"/>
  <c r="BI146" i="15" s="1"/>
  <c r="AE180" i="15"/>
  <c r="BG94" i="15"/>
  <c r="CE94" i="15"/>
  <c r="J146" i="15"/>
  <c r="M146" i="15" s="1"/>
  <c r="V146" i="15"/>
  <c r="Y146" i="15"/>
  <c r="AD146" i="15"/>
  <c r="AG146" i="15"/>
  <c r="AG163" i="15"/>
  <c r="AH197" i="15"/>
  <c r="AC214" i="15"/>
  <c r="BF94" i="15"/>
  <c r="BI112" i="15" s="1"/>
  <c r="BR94" i="15"/>
  <c r="BW94" i="15"/>
  <c r="BZ94" i="15"/>
  <c r="CD94" i="15"/>
  <c r="BH214" i="15" s="1"/>
  <c r="F112" i="15"/>
  <c r="BF112" i="15" s="1"/>
  <c r="X129" i="15"/>
  <c r="P163" i="15"/>
  <c r="Y163" i="15"/>
  <c r="BF180" i="15"/>
  <c r="P197" i="15"/>
  <c r="H214" i="15"/>
  <c r="AD112" i="15"/>
  <c r="AF112" i="15" s="1"/>
  <c r="AG112" i="15"/>
  <c r="AC129" i="15"/>
  <c r="AD129" i="15"/>
  <c r="AF129" i="15" s="1"/>
  <c r="AG129" i="15"/>
  <c r="AC163" i="15"/>
  <c r="AD163" i="15"/>
  <c r="AH163" i="15"/>
  <c r="AI163" i="15"/>
  <c r="AJ163" i="15"/>
  <c r="AD180" i="15"/>
  <c r="AI180" i="15"/>
  <c r="AG197" i="15"/>
  <c r="AI197" i="15"/>
  <c r="AD214" i="15"/>
  <c r="AI214" i="15"/>
  <c r="DM94" i="15"/>
  <c r="C317" i="15" s="1"/>
  <c r="F317" i="15" s="1"/>
  <c r="I214" i="15"/>
  <c r="AC146" i="15"/>
  <c r="AE146" i="15"/>
  <c r="AC180" i="15"/>
  <c r="AG180" i="15"/>
  <c r="AJ197" i="15"/>
  <c r="BM94" i="15"/>
  <c r="BH146" i="15" s="1"/>
  <c r="BQ94" i="15"/>
  <c r="BV94" i="15"/>
  <c r="BI180" i="15" s="1"/>
  <c r="BY94" i="15"/>
  <c r="BE112" i="15"/>
  <c r="P146" i="15"/>
  <c r="V163" i="15"/>
  <c r="BE180" i="15"/>
  <c r="BE197" i="15"/>
  <c r="BH197" i="15" s="1"/>
  <c r="G197" i="15"/>
  <c r="M197" i="15" s="1"/>
  <c r="AH146" i="15"/>
  <c r="AI146" i="15"/>
  <c r="AD197" i="15"/>
  <c r="AE197" i="15"/>
  <c r="AE214" i="15"/>
  <c r="BG112" i="15"/>
  <c r="M147" i="14"/>
  <c r="P147" i="14" s="1"/>
  <c r="E162" i="14"/>
  <c r="AQ95" i="14"/>
  <c r="J147" i="14" s="1"/>
  <c r="N147" i="14" s="1"/>
  <c r="Q147" i="14" s="1"/>
  <c r="AK95" i="14"/>
  <c r="D147" i="14" s="1"/>
  <c r="L147" i="14" s="1"/>
  <c r="O147" i="14" s="1"/>
  <c r="BW91" i="15"/>
  <c r="T196" i="15"/>
  <c r="AG162" i="15"/>
  <c r="AI196" i="15"/>
  <c r="AJ196" i="15"/>
  <c r="DQ91" i="15"/>
  <c r="BC111" i="15"/>
  <c r="U213" i="15"/>
  <c r="CA91" i="15"/>
  <c r="D196" i="15"/>
  <c r="BD196" i="15" s="1"/>
  <c r="AG111" i="15"/>
  <c r="DC91" i="15"/>
  <c r="DP91" i="15"/>
  <c r="AJ179" i="15"/>
  <c r="AJ128" i="15"/>
  <c r="P196" i="15"/>
  <c r="BG91" i="15"/>
  <c r="BO91" i="15"/>
  <c r="BD111" i="15"/>
  <c r="BK91" i="15"/>
  <c r="AH111" i="15"/>
  <c r="BE91" i="15"/>
  <c r="CG91" i="15" s="1"/>
  <c r="CK91" i="15" s="1"/>
  <c r="CO91" i="15" s="1"/>
  <c r="DR91" i="15" s="1"/>
  <c r="BJ91" i="15"/>
  <c r="BU91" i="15"/>
  <c r="BU98" i="15" s="1"/>
  <c r="BZ91" i="15"/>
  <c r="W128" i="15"/>
  <c r="L145" i="15"/>
  <c r="U145" i="15"/>
  <c r="D179" i="15"/>
  <c r="BD179" i="15" s="1"/>
  <c r="BF179" i="15"/>
  <c r="V179" i="15"/>
  <c r="AD128" i="15"/>
  <c r="AE128" i="15"/>
  <c r="D145" i="15"/>
  <c r="BD145" i="15" s="1"/>
  <c r="T162" i="15"/>
  <c r="BF213" i="15"/>
  <c r="AE145" i="15"/>
  <c r="AF145" i="15" s="1"/>
  <c r="AH145" i="15"/>
  <c r="AE162" i="15"/>
  <c r="AI179" i="15"/>
  <c r="AC196" i="15"/>
  <c r="AD196" i="15"/>
  <c r="AC213" i="15"/>
  <c r="AE213" i="15"/>
  <c r="BW90" i="15"/>
  <c r="J145" i="15"/>
  <c r="M145" i="15" s="1"/>
  <c r="BE163" i="15"/>
  <c r="J162" i="15"/>
  <c r="M162" i="15" s="1"/>
  <c r="P162" i="15"/>
  <c r="BE213" i="15"/>
  <c r="Y162" i="15"/>
  <c r="AE111" i="15"/>
  <c r="AG128" i="15"/>
  <c r="AI128" i="15"/>
  <c r="AG145" i="15"/>
  <c r="AI145" i="15"/>
  <c r="AC162" i="15"/>
  <c r="AH162" i="15"/>
  <c r="AD179" i="15"/>
  <c r="AE179" i="15"/>
  <c r="AE196" i="15"/>
  <c r="AG196" i="15"/>
  <c r="AH196" i="15"/>
  <c r="AG213" i="15"/>
  <c r="AJ213" i="15"/>
  <c r="DQ90" i="15"/>
  <c r="S196" i="15"/>
  <c r="BG90" i="15"/>
  <c r="BM90" i="15"/>
  <c r="BZ90" i="15"/>
  <c r="CH90" i="15" s="1"/>
  <c r="CL90" i="15" s="1"/>
  <c r="CP90" i="15" s="1"/>
  <c r="DS90" i="15" s="1"/>
  <c r="DV90" i="15" s="1"/>
  <c r="BK90" i="15"/>
  <c r="BO90" i="15"/>
  <c r="BS90" i="15"/>
  <c r="CE90" i="15"/>
  <c r="BI213" i="15" s="1"/>
  <c r="F111" i="15"/>
  <c r="I111" i="15"/>
  <c r="R111" i="15"/>
  <c r="X128" i="15"/>
  <c r="S145" i="15"/>
  <c r="V145" i="15"/>
  <c r="BD163" i="15"/>
  <c r="V162" i="15"/>
  <c r="BE196" i="15"/>
  <c r="AD111" i="15"/>
  <c r="AC128" i="15"/>
  <c r="AD162" i="15"/>
  <c r="AI162" i="15"/>
  <c r="AG179" i="15"/>
  <c r="AD213" i="15"/>
  <c r="AF213" i="15" s="1"/>
  <c r="AH213" i="15"/>
  <c r="AI213" i="15"/>
  <c r="AH142" i="15"/>
  <c r="AJ193" i="15"/>
  <c r="DK81" i="15"/>
  <c r="BK81" i="15"/>
  <c r="BS81" i="15"/>
  <c r="D142" i="15"/>
  <c r="BD142" i="15" s="1"/>
  <c r="BF176" i="15"/>
  <c r="AG142" i="15"/>
  <c r="AE159" i="15"/>
  <c r="AH176" i="15"/>
  <c r="AI210" i="15"/>
  <c r="BG81" i="15"/>
  <c r="BJ81" i="15"/>
  <c r="BM81" i="15"/>
  <c r="BR81" i="15"/>
  <c r="F125" i="15"/>
  <c r="BF125" i="15" s="1"/>
  <c r="BI125" i="15" s="1"/>
  <c r="N142" i="15"/>
  <c r="P142" i="15"/>
  <c r="S142" i="15"/>
  <c r="G159" i="15"/>
  <c r="M159" i="15" s="1"/>
  <c r="BE176" i="15"/>
  <c r="J193" i="15"/>
  <c r="M193" i="15" s="1"/>
  <c r="BE210" i="15"/>
  <c r="U210" i="15"/>
  <c r="AD108" i="15"/>
  <c r="AF108" i="15" s="1"/>
  <c r="AI108" i="15"/>
  <c r="AD125" i="15"/>
  <c r="AD159" i="15"/>
  <c r="AJ159" i="15"/>
  <c r="AD176" i="15"/>
  <c r="AC193" i="15"/>
  <c r="AG193" i="15"/>
  <c r="AD210" i="15"/>
  <c r="DJ81" i="15"/>
  <c r="DQ81" i="15"/>
  <c r="D330" i="15" s="1"/>
  <c r="G330" i="15" s="1"/>
  <c r="BE193" i="15"/>
  <c r="BF210" i="15"/>
  <c r="AD142" i="15"/>
  <c r="AH159" i="15"/>
  <c r="AG176" i="15"/>
  <c r="AE193" i="15"/>
  <c r="AE210" i="15"/>
  <c r="BQ81" i="15"/>
  <c r="BW81" i="15"/>
  <c r="BI176" i="15" s="1"/>
  <c r="BZ81" i="15"/>
  <c r="BH193" i="15" s="1"/>
  <c r="CE81" i="15"/>
  <c r="BI210" i="15" s="1"/>
  <c r="I125" i="15"/>
  <c r="L125" i="15"/>
  <c r="R125" i="15"/>
  <c r="J142" i="15"/>
  <c r="M142" i="15" s="1"/>
  <c r="BE159" i="15"/>
  <c r="P193" i="15"/>
  <c r="T210" i="15"/>
  <c r="AC108" i="15"/>
  <c r="AE125" i="15"/>
  <c r="AF125" i="15" s="1"/>
  <c r="AE142" i="15"/>
  <c r="AI142" i="15"/>
  <c r="AC176" i="15"/>
  <c r="AE176" i="15"/>
  <c r="AF176" i="15" s="1"/>
  <c r="AC210" i="15"/>
  <c r="AG210" i="15"/>
  <c r="BG108" i="15"/>
  <c r="BO77" i="15"/>
  <c r="BS77" i="15"/>
  <c r="BW77" i="15"/>
  <c r="CD77" i="15"/>
  <c r="X107" i="15"/>
  <c r="D158" i="15"/>
  <c r="BD158" i="15" s="1"/>
  <c r="P158" i="15"/>
  <c r="BF175" i="15"/>
  <c r="V192" i="15"/>
  <c r="AG124" i="15"/>
  <c r="AD158" i="15"/>
  <c r="AF158" i="15" s="1"/>
  <c r="AH158" i="15"/>
  <c r="AI158" i="15"/>
  <c r="AC175" i="15"/>
  <c r="AH175" i="15"/>
  <c r="AI175" i="15"/>
  <c r="AD192" i="15"/>
  <c r="AF192" i="15" s="1"/>
  <c r="AG192" i="15"/>
  <c r="AH192" i="15"/>
  <c r="AC209" i="15"/>
  <c r="DQ77" i="15"/>
  <c r="D329" i="15" s="1"/>
  <c r="G329" i="15" s="1"/>
  <c r="BG77" i="15"/>
  <c r="BK77" i="15"/>
  <c r="BR77" i="15"/>
  <c r="BV77" i="15"/>
  <c r="BH175" i="15" s="1"/>
  <c r="K124" i="15"/>
  <c r="R124" i="15"/>
  <c r="BE175" i="15"/>
  <c r="D192" i="15"/>
  <c r="BD192" i="15" s="1"/>
  <c r="BE192" i="15"/>
  <c r="J192" i="15"/>
  <c r="M192" i="15" s="1"/>
  <c r="T192" i="15"/>
  <c r="Y192" i="15"/>
  <c r="BF209" i="15"/>
  <c r="I209" i="15"/>
  <c r="U209" i="15"/>
  <c r="Y158" i="15"/>
  <c r="AC107" i="15"/>
  <c r="AD107" i="15"/>
  <c r="AE107" i="15"/>
  <c r="AG107" i="15"/>
  <c r="AI107" i="15"/>
  <c r="AC124" i="15"/>
  <c r="AE124" i="15"/>
  <c r="AF124" i="15" s="1"/>
  <c r="AE175" i="15"/>
  <c r="AF175" i="15" s="1"/>
  <c r="AG209" i="15"/>
  <c r="T189" i="15"/>
  <c r="I206" i="15"/>
  <c r="AC138" i="15"/>
  <c r="AG138" i="15"/>
  <c r="AI138" i="15"/>
  <c r="AC172" i="15"/>
  <c r="AH172" i="15"/>
  <c r="AI172" i="15"/>
  <c r="AJ172" i="15"/>
  <c r="AG189" i="15"/>
  <c r="AJ189" i="15"/>
  <c r="AC206" i="15"/>
  <c r="AD206" i="15"/>
  <c r="AE206" i="15"/>
  <c r="AG206" i="15"/>
  <c r="AI206" i="15"/>
  <c r="DC52" i="15"/>
  <c r="DM52" i="15"/>
  <c r="C309" i="15" s="1"/>
  <c r="F309" i="15" s="1"/>
  <c r="BC104" i="15"/>
  <c r="BF104" i="15" s="1"/>
  <c r="BZ52" i="15"/>
  <c r="BD104" i="15"/>
  <c r="P138" i="15"/>
  <c r="BE155" i="15"/>
  <c r="G155" i="15"/>
  <c r="T155" i="15"/>
  <c r="H206" i="15"/>
  <c r="AE121" i="15"/>
  <c r="AJ121" i="15"/>
  <c r="AE138" i="15"/>
  <c r="AH155" i="15"/>
  <c r="AJ155" i="15"/>
  <c r="AG172" i="15"/>
  <c r="AE189" i="15"/>
  <c r="AI189" i="15"/>
  <c r="DK52" i="15"/>
  <c r="D292" i="15" s="1"/>
  <c r="G292" i="15" s="1"/>
  <c r="DL52" i="15"/>
  <c r="B309" i="15" s="1"/>
  <c r="DQ52" i="15"/>
  <c r="V138" i="15"/>
  <c r="D189" i="15"/>
  <c r="BD189" i="15" s="1"/>
  <c r="P189" i="15"/>
  <c r="V189" i="15"/>
  <c r="BF206" i="15"/>
  <c r="AD121" i="15"/>
  <c r="AD138" i="15"/>
  <c r="AC155" i="15"/>
  <c r="AD155" i="15"/>
  <c r="AE155" i="15"/>
  <c r="AG155" i="15"/>
  <c r="AE172" i="15"/>
  <c r="AF172" i="15" s="1"/>
  <c r="AD189" i="15"/>
  <c r="AH206" i="15"/>
  <c r="DB52" i="15"/>
  <c r="F198" i="15"/>
  <c r="BF198" i="15" s="1"/>
  <c r="AH188" i="15"/>
  <c r="AI188" i="15"/>
  <c r="AJ188" i="15"/>
  <c r="DL23" i="15"/>
  <c r="B308" i="15" s="1"/>
  <c r="BF103" i="15"/>
  <c r="AC188" i="15"/>
  <c r="AD188" i="15"/>
  <c r="AE188" i="15"/>
  <c r="AG188" i="15"/>
  <c r="BO23" i="15"/>
  <c r="BS23" i="15"/>
  <c r="BZ23" i="15"/>
  <c r="CE23" i="15"/>
  <c r="F120" i="15"/>
  <c r="BF120" i="15" s="1"/>
  <c r="BI120" i="15" s="1"/>
  <c r="R120" i="15"/>
  <c r="S137" i="15"/>
  <c r="V137" i="15"/>
  <c r="V154" i="15"/>
  <c r="BF171" i="15"/>
  <c r="J188" i="15"/>
  <c r="M188" i="15" s="1"/>
  <c r="S188" i="15"/>
  <c r="BF205" i="15"/>
  <c r="H205" i="15"/>
  <c r="T205" i="15"/>
  <c r="AJ103" i="15"/>
  <c r="AD137" i="15"/>
  <c r="AF137" i="15" s="1"/>
  <c r="AI137" i="15"/>
  <c r="AI154" i="15"/>
  <c r="AJ154" i="15"/>
  <c r="AC171" i="15"/>
  <c r="AD171" i="15"/>
  <c r="AE171" i="15"/>
  <c r="AG171" i="15"/>
  <c r="AI205" i="15"/>
  <c r="AJ205" i="15"/>
  <c r="DK23" i="15"/>
  <c r="DQ23" i="15"/>
  <c r="D325" i="15" s="1"/>
  <c r="G325" i="15" s="1"/>
  <c r="BN23" i="15"/>
  <c r="BR23" i="15"/>
  <c r="BY23" i="15"/>
  <c r="CD23" i="15"/>
  <c r="BI205" i="15" s="1"/>
  <c r="I120" i="15"/>
  <c r="L120" i="15"/>
  <c r="BE171" i="15"/>
  <c r="P188" i="15"/>
  <c r="T188" i="15"/>
  <c r="V188" i="15"/>
  <c r="BE205" i="15"/>
  <c r="AC120" i="15"/>
  <c r="AD120" i="15"/>
  <c r="AE120" i="15"/>
  <c r="AG120" i="15"/>
  <c r="AI120" i="15"/>
  <c r="AC137" i="15"/>
  <c r="AH137" i="15"/>
  <c r="AH205" i="15"/>
  <c r="V134" i="15"/>
  <c r="AE185" i="15"/>
  <c r="AE168" i="15"/>
  <c r="BK13" i="15"/>
  <c r="BO13" i="15"/>
  <c r="BR13" i="15"/>
  <c r="CE13" i="15"/>
  <c r="BJ13" i="15"/>
  <c r="BQ13" i="15"/>
  <c r="BZ13" i="15"/>
  <c r="CD13" i="15"/>
  <c r="DC13" i="15"/>
  <c r="DL13" i="15"/>
  <c r="B305" i="15" s="1"/>
  <c r="T185" i="15"/>
  <c r="BM77" i="15"/>
  <c r="BE151" i="15"/>
  <c r="AI117" i="15"/>
  <c r="U117" i="15"/>
  <c r="AG100" i="15"/>
  <c r="AE117" i="15"/>
  <c r="AC151" i="15"/>
  <c r="DB9" i="15"/>
  <c r="D237" i="15" s="1"/>
  <c r="DF9" i="15"/>
  <c r="B271" i="15" s="1"/>
  <c r="BB100" i="15"/>
  <c r="BF9" i="15"/>
  <c r="AC185" i="15"/>
  <c r="BY9" i="15"/>
  <c r="BQ9" i="15"/>
  <c r="CE9" i="15"/>
  <c r="S134" i="15"/>
  <c r="AH100" i="15"/>
  <c r="AJ117" i="15"/>
  <c r="AD168" i="15"/>
  <c r="AH117" i="15"/>
  <c r="BV9" i="15"/>
  <c r="R100" i="15"/>
  <c r="X100" i="15"/>
  <c r="F117" i="15"/>
  <c r="BF117" i="15" s="1"/>
  <c r="I117" i="15"/>
  <c r="O117" i="15" s="1"/>
  <c r="D185" i="15"/>
  <c r="BD185" i="15" s="1"/>
  <c r="AD202" i="15"/>
  <c r="AC134" i="15"/>
  <c r="AD134" i="15"/>
  <c r="AE134" i="15"/>
  <c r="AG134" i="15"/>
  <c r="AH134" i="15"/>
  <c r="AD151" i="15"/>
  <c r="AH168" i="15"/>
  <c r="AI168" i="15"/>
  <c r="AG185" i="15"/>
  <c r="AE202" i="15"/>
  <c r="AJ202" i="15"/>
  <c r="BC100" i="15"/>
  <c r="AG168" i="15"/>
  <c r="DC9" i="15"/>
  <c r="AJ185" i="15"/>
  <c r="BM9" i="15"/>
  <c r="BS9" i="15"/>
  <c r="CD9" i="15"/>
  <c r="U100" i="15"/>
  <c r="R117" i="15"/>
  <c r="J151" i="15"/>
  <c r="M151" i="15" s="1"/>
  <c r="V151" i="15"/>
  <c r="J185" i="15"/>
  <c r="M185" i="15" s="1"/>
  <c r="BF202" i="15"/>
  <c r="H202" i="15"/>
  <c r="AC100" i="15"/>
  <c r="AG117" i="15"/>
  <c r="AE151" i="15"/>
  <c r="AC168" i="15"/>
  <c r="AJ168" i="15"/>
  <c r="AH185" i="15"/>
  <c r="AI185" i="15"/>
  <c r="AH202" i="15"/>
  <c r="AH204" i="15" s="1"/>
  <c r="DJ9" i="15"/>
  <c r="C288" i="15" s="1"/>
  <c r="DP9" i="15"/>
  <c r="C322" i="15" s="1"/>
  <c r="U202" i="15"/>
  <c r="T151" i="15"/>
  <c r="X117" i="15"/>
  <c r="BF168" i="15"/>
  <c r="BK9" i="15"/>
  <c r="BR9" i="15"/>
  <c r="I100" i="15"/>
  <c r="BD134" i="15"/>
  <c r="J134" i="15"/>
  <c r="P134" i="15"/>
  <c r="BE185" i="15"/>
  <c r="S185" i="15"/>
  <c r="T202" i="15"/>
  <c r="Y185" i="15"/>
  <c r="AE100" i="15"/>
  <c r="AJ100" i="15"/>
  <c r="AH151" i="15"/>
  <c r="AC202" i="15"/>
  <c r="BF185" i="15"/>
  <c r="BE202" i="15"/>
  <c r="E113" i="15"/>
  <c r="D130" i="15"/>
  <c r="BD130" i="15" s="1"/>
  <c r="BD168" i="15"/>
  <c r="DG9" i="15"/>
  <c r="DQ9" i="15"/>
  <c r="D322" i="15" s="1"/>
  <c r="D113" i="15"/>
  <c r="D215" i="15"/>
  <c r="BD215" i="15" s="1"/>
  <c r="BN9" i="15"/>
  <c r="BW9" i="15"/>
  <c r="BZ9" i="15"/>
  <c r="CH9" i="15" s="1"/>
  <c r="CL9" i="15" s="1"/>
  <c r="CP9" i="15" s="1"/>
  <c r="DS9" i="15" s="1"/>
  <c r="CC9" i="15"/>
  <c r="CG9" i="15" s="1"/>
  <c r="CK9" i="15" s="1"/>
  <c r="CO9" i="15" s="1"/>
  <c r="DR9" i="15" s="1"/>
  <c r="L100" i="15"/>
  <c r="Q100" i="15"/>
  <c r="Q117" i="15"/>
  <c r="F134" i="15"/>
  <c r="D151" i="15"/>
  <c r="D164" i="15" s="1"/>
  <c r="J168" i="15"/>
  <c r="M168" i="15" s="1"/>
  <c r="P185" i="15"/>
  <c r="V185" i="15"/>
  <c r="I202" i="15"/>
  <c r="Y168" i="15"/>
  <c r="AD100" i="15"/>
  <c r="AI100" i="15"/>
  <c r="AD117" i="15"/>
  <c r="AG151" i="15"/>
  <c r="AD185" i="15"/>
  <c r="AF185" i="15" s="1"/>
  <c r="AG202" i="15"/>
  <c r="AI202" i="15"/>
  <c r="AJ92" i="14"/>
  <c r="AP92" i="14"/>
  <c r="AK92" i="14"/>
  <c r="B146" i="14"/>
  <c r="D146" i="14"/>
  <c r="D161" i="14" s="1"/>
  <c r="F146" i="14"/>
  <c r="F161" i="14" s="1"/>
  <c r="AN92" i="14"/>
  <c r="C146" i="14"/>
  <c r="C161" i="14" s="1"/>
  <c r="AO96" i="14"/>
  <c r="AQ91" i="14"/>
  <c r="J146" i="14" s="1"/>
  <c r="AN91" i="14"/>
  <c r="G146" i="14" s="1"/>
  <c r="G161" i="14" s="1"/>
  <c r="H146" i="14"/>
  <c r="N146" i="14" s="1"/>
  <c r="Q146" i="14" s="1"/>
  <c r="AP91" i="14"/>
  <c r="I146" i="14" s="1"/>
  <c r="E146" i="14"/>
  <c r="L143" i="14"/>
  <c r="O143" i="14" s="1"/>
  <c r="E143" i="14"/>
  <c r="I143" i="14"/>
  <c r="N143" i="14" s="1"/>
  <c r="Q143" i="14" s="1"/>
  <c r="AK82" i="14"/>
  <c r="D143" i="14" s="1"/>
  <c r="D158" i="14" s="1"/>
  <c r="AN82" i="14"/>
  <c r="G143" i="14" s="1"/>
  <c r="G158" i="14" s="1"/>
  <c r="B158" i="14"/>
  <c r="D142" i="14"/>
  <c r="D157" i="14" s="1"/>
  <c r="C142" i="14"/>
  <c r="C157" i="14" s="1"/>
  <c r="B142" i="14"/>
  <c r="J139" i="14"/>
  <c r="J154" i="14" s="1"/>
  <c r="C139" i="14"/>
  <c r="C154" i="14" s="1"/>
  <c r="AK53" i="14"/>
  <c r="D139" i="14"/>
  <c r="D154" i="14" s="1"/>
  <c r="B139" i="14"/>
  <c r="E139" i="14"/>
  <c r="G139" i="14"/>
  <c r="G154" i="14" s="1"/>
  <c r="I139" i="14"/>
  <c r="I154" i="14" s="1"/>
  <c r="H139" i="14"/>
  <c r="J138" i="14"/>
  <c r="J153" i="14" s="1"/>
  <c r="AK24" i="14"/>
  <c r="G138" i="14"/>
  <c r="G153" i="14" s="1"/>
  <c r="I138" i="14"/>
  <c r="D138" i="14"/>
  <c r="D153" i="14" s="1"/>
  <c r="C138" i="14"/>
  <c r="C153" i="14" s="1"/>
  <c r="AQ14" i="14"/>
  <c r="AL96" i="14"/>
  <c r="C135" i="14"/>
  <c r="B135" i="14"/>
  <c r="C150" i="14"/>
  <c r="F135" i="14"/>
  <c r="F148" i="14" s="1"/>
  <c r="F163" i="14" s="1"/>
  <c r="AK10" i="14"/>
  <c r="AN10" i="14"/>
  <c r="AQ96" i="14"/>
  <c r="J135" i="14"/>
  <c r="AP96" i="14"/>
  <c r="I135" i="14"/>
  <c r="G135" i="14"/>
  <c r="AJ96" i="14"/>
  <c r="E135" i="14"/>
  <c r="B150" i="14"/>
  <c r="BH128" i="15"/>
  <c r="BI128" i="15"/>
  <c r="BI129" i="15"/>
  <c r="BH129" i="15"/>
  <c r="BH124" i="15"/>
  <c r="BH118" i="15"/>
  <c r="BI118" i="15"/>
  <c r="BH122" i="15"/>
  <c r="BI122" i="15"/>
  <c r="BH126" i="15"/>
  <c r="BI126" i="15"/>
  <c r="BH143" i="15"/>
  <c r="BI143" i="15"/>
  <c r="BH119" i="15"/>
  <c r="BI119" i="15"/>
  <c r="BH123" i="15"/>
  <c r="BI123" i="15"/>
  <c r="BH127" i="15"/>
  <c r="BI127" i="15"/>
  <c r="BI139" i="15"/>
  <c r="BH144" i="15"/>
  <c r="BI144" i="15"/>
  <c r="BH156" i="15"/>
  <c r="I277" i="15"/>
  <c r="K277" i="15" s="1"/>
  <c r="J290" i="15"/>
  <c r="BI140" i="15"/>
  <c r="J283" i="15"/>
  <c r="BI207" i="15"/>
  <c r="BI211" i="15"/>
  <c r="BG101" i="15"/>
  <c r="BG105" i="15"/>
  <c r="BG109" i="15"/>
  <c r="BI204" i="15"/>
  <c r="BH208" i="15"/>
  <c r="BI208" i="15"/>
  <c r="BH212" i="15"/>
  <c r="BI212" i="15"/>
  <c r="J294" i="15"/>
  <c r="E243" i="15"/>
  <c r="I243" i="15"/>
  <c r="K243" i="15" s="1"/>
  <c r="J243" i="15"/>
  <c r="E263" i="15"/>
  <c r="J263" i="15"/>
  <c r="I263" i="15"/>
  <c r="K263" i="15" s="1"/>
  <c r="I260" i="15"/>
  <c r="K260" i="15" s="1"/>
  <c r="AF203" i="15"/>
  <c r="AF207" i="15"/>
  <c r="AF211" i="15"/>
  <c r="E239" i="15"/>
  <c r="I239" i="15"/>
  <c r="K239" i="15" s="1"/>
  <c r="J239" i="15"/>
  <c r="E266" i="15"/>
  <c r="I266" i="15"/>
  <c r="K266" i="15" s="1"/>
  <c r="E264" i="15"/>
  <c r="J264" i="15"/>
  <c r="I264" i="15"/>
  <c r="K264" i="15" s="1"/>
  <c r="E259" i="15"/>
  <c r="J259" i="15"/>
  <c r="I259" i="15"/>
  <c r="K259" i="15" s="1"/>
  <c r="I256" i="15"/>
  <c r="K256" i="15" s="1"/>
  <c r="I281" i="15"/>
  <c r="K281" i="15" s="1"/>
  <c r="E249" i="15"/>
  <c r="E247" i="15"/>
  <c r="E260" i="15"/>
  <c r="J260" i="15"/>
  <c r="E280" i="15"/>
  <c r="J280" i="15"/>
  <c r="I280" i="15"/>
  <c r="K280" i="15" s="1"/>
  <c r="E273" i="15"/>
  <c r="J273" i="15"/>
  <c r="E300" i="15"/>
  <c r="J300" i="15"/>
  <c r="F311" i="15"/>
  <c r="J311" i="15"/>
  <c r="I311" i="15"/>
  <c r="K311" i="15" s="1"/>
  <c r="E310" i="15"/>
  <c r="J310" i="15"/>
  <c r="I310" i="15"/>
  <c r="K310" i="15" s="1"/>
  <c r="G307" i="15"/>
  <c r="J307" i="15"/>
  <c r="I307" i="15"/>
  <c r="K307" i="15" s="1"/>
  <c r="G334" i="15"/>
  <c r="I334" i="15"/>
  <c r="K334" i="15" s="1"/>
  <c r="G332" i="15"/>
  <c r="J332" i="15"/>
  <c r="E328" i="15"/>
  <c r="I328" i="15"/>
  <c r="K328" i="15" s="1"/>
  <c r="J328" i="15"/>
  <c r="F324" i="15"/>
  <c r="J324" i="15"/>
  <c r="J266" i="15"/>
  <c r="E242" i="15"/>
  <c r="J242" i="15"/>
  <c r="I273" i="15"/>
  <c r="K273" i="15" s="1"/>
  <c r="I300" i="15"/>
  <c r="K300" i="15" s="1"/>
  <c r="J256" i="15"/>
  <c r="I276" i="15"/>
  <c r="K276" i="15" s="1"/>
  <c r="J293" i="15"/>
  <c r="J331" i="15"/>
  <c r="J327" i="15"/>
  <c r="I283" i="15"/>
  <c r="K283" i="15" s="1"/>
  <c r="J281" i="15"/>
  <c r="J277" i="15"/>
  <c r="I294" i="15"/>
  <c r="K294" i="15" s="1"/>
  <c r="I290" i="15"/>
  <c r="K290" i="15" s="1"/>
  <c r="I332" i="15"/>
  <c r="K332" i="15" s="1"/>
  <c r="I324" i="15"/>
  <c r="K324" i="15" s="1"/>
  <c r="J334" i="15"/>
  <c r="B255" i="15"/>
  <c r="B323" i="15"/>
  <c r="J276" i="15"/>
  <c r="I293" i="15"/>
  <c r="K293" i="15" s="1"/>
  <c r="I331" i="15"/>
  <c r="K331" i="15" s="1"/>
  <c r="I327" i="15"/>
  <c r="K327" i="15" s="1"/>
  <c r="C240" i="15"/>
  <c r="F240" i="15" s="1"/>
  <c r="C265" i="15"/>
  <c r="F265" i="15" s="1"/>
  <c r="C248" i="15"/>
  <c r="F248" i="15" s="1"/>
  <c r="C261" i="15"/>
  <c r="F261" i="15" s="1"/>
  <c r="D245" i="15"/>
  <c r="G245" i="15" s="1"/>
  <c r="B238" i="15"/>
  <c r="C257" i="15"/>
  <c r="F257" i="15" s="1"/>
  <c r="D255" i="15"/>
  <c r="G255" i="15" s="1"/>
  <c r="C272" i="15"/>
  <c r="F272" i="15" s="1"/>
  <c r="D295" i="15"/>
  <c r="G295" i="15" s="1"/>
  <c r="B289" i="15"/>
  <c r="B262" i="15"/>
  <c r="C255" i="15"/>
  <c r="F255" i="15" s="1"/>
  <c r="B272" i="15"/>
  <c r="D306" i="15"/>
  <c r="G306" i="15" s="1"/>
  <c r="C323" i="15"/>
  <c r="F323" i="15" s="1"/>
  <c r="C245" i="15"/>
  <c r="F245" i="15" s="1"/>
  <c r="B241" i="15"/>
  <c r="D265" i="15"/>
  <c r="G265" i="15" s="1"/>
  <c r="D258" i="15"/>
  <c r="G258" i="15" s="1"/>
  <c r="C254" i="15"/>
  <c r="B282" i="15"/>
  <c r="D279" i="15"/>
  <c r="G279" i="15" s="1"/>
  <c r="D278" i="15"/>
  <c r="G278" i="15" s="1"/>
  <c r="C275" i="15"/>
  <c r="F275" i="15" s="1"/>
  <c r="D315" i="15"/>
  <c r="G315" i="15" s="1"/>
  <c r="D298" i="15"/>
  <c r="G298" i="15" s="1"/>
  <c r="C297" i="15"/>
  <c r="F297" i="15" s="1"/>
  <c r="C314" i="15"/>
  <c r="F314" i="15" s="1"/>
  <c r="C296" i="15"/>
  <c r="F296" i="15" s="1"/>
  <c r="C295" i="15"/>
  <c r="F295" i="15" s="1"/>
  <c r="B292" i="15"/>
  <c r="D291" i="15"/>
  <c r="G291" i="15" s="1"/>
  <c r="D316" i="15"/>
  <c r="G316" i="15" s="1"/>
  <c r="B313" i="15"/>
  <c r="B312" i="15"/>
  <c r="C308" i="15"/>
  <c r="F308" i="15" s="1"/>
  <c r="D305" i="15"/>
  <c r="C333" i="15"/>
  <c r="F333" i="15" s="1"/>
  <c r="D326" i="15"/>
  <c r="G326" i="15" s="1"/>
  <c r="B325" i="15"/>
  <c r="D248" i="15"/>
  <c r="G248" i="15" s="1"/>
  <c r="B245" i="15"/>
  <c r="B244" i="15"/>
  <c r="D238" i="15"/>
  <c r="G238" i="15" s="1"/>
  <c r="C258" i="15"/>
  <c r="F258" i="15" s="1"/>
  <c r="C279" i="15"/>
  <c r="F279" i="15" s="1"/>
  <c r="C278" i="15"/>
  <c r="F278" i="15" s="1"/>
  <c r="B275" i="15"/>
  <c r="D274" i="15"/>
  <c r="G274" i="15" s="1"/>
  <c r="D299" i="15"/>
  <c r="G299" i="15" s="1"/>
  <c r="C315" i="15"/>
  <c r="F315" i="15" s="1"/>
  <c r="C298" i="15"/>
  <c r="F298" i="15" s="1"/>
  <c r="B297" i="15"/>
  <c r="B314" i="15"/>
  <c r="B296" i="15"/>
  <c r="B295" i="15"/>
  <c r="C291" i="15"/>
  <c r="F291" i="15" s="1"/>
  <c r="D289" i="15"/>
  <c r="G289" i="15" s="1"/>
  <c r="D288" i="15"/>
  <c r="C316" i="15"/>
  <c r="F316" i="15" s="1"/>
  <c r="D309" i="15"/>
  <c r="G309" i="15" s="1"/>
  <c r="C306" i="15"/>
  <c r="F306" i="15" s="1"/>
  <c r="C305" i="15"/>
  <c r="B333" i="15"/>
  <c r="C326" i="15"/>
  <c r="F326" i="15" s="1"/>
  <c r="B322" i="15"/>
  <c r="B240" i="15"/>
  <c r="C238" i="15"/>
  <c r="F238" i="15" s="1"/>
  <c r="C237" i="15"/>
  <c r="B265" i="15"/>
  <c r="D262" i="15"/>
  <c r="G262" i="15" s="1"/>
  <c r="B258" i="15"/>
  <c r="D257" i="15"/>
  <c r="G257" i="15" s="1"/>
  <c r="D282" i="15"/>
  <c r="G282" i="15" s="1"/>
  <c r="B279" i="15"/>
  <c r="B278" i="15"/>
  <c r="D272" i="15"/>
  <c r="G272" i="15" s="1"/>
  <c r="D271" i="15"/>
  <c r="C299" i="15"/>
  <c r="F299" i="15" s="1"/>
  <c r="B298" i="15"/>
  <c r="B315" i="15"/>
  <c r="B291" i="15"/>
  <c r="C289" i="15"/>
  <c r="F289" i="15" s="1"/>
  <c r="D313" i="15"/>
  <c r="G313" i="15" s="1"/>
  <c r="D312" i="15"/>
  <c r="G312" i="15" s="1"/>
  <c r="B306" i="15"/>
  <c r="C330" i="15"/>
  <c r="F330" i="15" s="1"/>
  <c r="C329" i="15"/>
  <c r="F329" i="15" s="1"/>
  <c r="B326" i="15"/>
  <c r="B248" i="15"/>
  <c r="C241" i="15"/>
  <c r="F241" i="15" s="1"/>
  <c r="B237" i="15"/>
  <c r="C262" i="15"/>
  <c r="F262" i="15" s="1"/>
  <c r="D254" i="15"/>
  <c r="C282" i="15"/>
  <c r="F282" i="15" s="1"/>
  <c r="D275" i="15"/>
  <c r="G275" i="15" s="1"/>
  <c r="B274" i="15"/>
  <c r="C271" i="15"/>
  <c r="D314" i="15"/>
  <c r="G314" i="15" s="1"/>
  <c r="D297" i="15"/>
  <c r="G297" i="15" s="1"/>
  <c r="C292" i="15"/>
  <c r="F292" i="15" s="1"/>
  <c r="B288" i="15"/>
  <c r="C313" i="15"/>
  <c r="F313" i="15" s="1"/>
  <c r="C312" i="15"/>
  <c r="F312" i="15" s="1"/>
  <c r="B330" i="15"/>
  <c r="C325" i="15"/>
  <c r="F325" i="15" s="1"/>
  <c r="D323" i="15"/>
  <c r="G323" i="15" s="1"/>
  <c r="AF193" i="15"/>
  <c r="AF186" i="15"/>
  <c r="AF190" i="15"/>
  <c r="AF194" i="15"/>
  <c r="AF204" i="15"/>
  <c r="AF208" i="15"/>
  <c r="AF212" i="15"/>
  <c r="AF187" i="15"/>
  <c r="AF191" i="15"/>
  <c r="AF195" i="15"/>
  <c r="AF205" i="15"/>
  <c r="AF209" i="15"/>
  <c r="M202" i="15"/>
  <c r="AF101" i="15"/>
  <c r="AF105" i="15"/>
  <c r="AF109" i="15"/>
  <c r="AF118" i="15"/>
  <c r="AF122" i="15"/>
  <c r="AF126" i="15"/>
  <c r="AF143" i="15"/>
  <c r="AF153" i="15"/>
  <c r="AF157" i="15"/>
  <c r="AF161" i="15"/>
  <c r="AF140" i="15"/>
  <c r="AF163" i="15"/>
  <c r="AF135" i="15"/>
  <c r="AF139" i="15"/>
  <c r="AF144" i="15"/>
  <c r="AF154" i="15"/>
  <c r="AF142" i="15"/>
  <c r="AF146" i="15"/>
  <c r="AF152" i="15"/>
  <c r="AF156" i="15"/>
  <c r="AF160" i="15"/>
  <c r="AF119" i="15"/>
  <c r="AF123" i="15"/>
  <c r="AF127" i="15"/>
  <c r="AF102" i="15"/>
  <c r="AF110" i="15"/>
  <c r="AF106" i="15"/>
  <c r="AF103" i="15"/>
  <c r="T13" i="10"/>
  <c r="R13" i="10"/>
  <c r="AF104" i="15"/>
  <c r="CG93" i="15"/>
  <c r="CK93" i="15" s="1"/>
  <c r="CO93" i="15" s="1"/>
  <c r="DR93" i="15" s="1"/>
  <c r="DU93" i="15" s="1"/>
  <c r="M146" i="14"/>
  <c r="P146" i="14" s="1"/>
  <c r="E161" i="14"/>
  <c r="E148" i="14"/>
  <c r="B161" i="14"/>
  <c r="N146" i="15"/>
  <c r="N137" i="15"/>
  <c r="N143" i="15"/>
  <c r="O145" i="15"/>
  <c r="O134" i="15"/>
  <c r="N135" i="15"/>
  <c r="O139" i="15"/>
  <c r="O142" i="15"/>
  <c r="O141" i="15"/>
  <c r="N140" i="15"/>
  <c r="O144" i="15"/>
  <c r="N145" i="15"/>
  <c r="N136" i="15"/>
  <c r="O135" i="15"/>
  <c r="O138" i="15"/>
  <c r="N144" i="15"/>
  <c r="M126" i="15"/>
  <c r="N126" i="15"/>
  <c r="O137" i="15"/>
  <c r="N138" i="15"/>
  <c r="N139" i="15"/>
  <c r="O143" i="15"/>
  <c r="O146" i="15"/>
  <c r="O126" i="15"/>
  <c r="M119" i="15"/>
  <c r="N119" i="15"/>
  <c r="M127" i="15"/>
  <c r="N122" i="15"/>
  <c r="O136" i="15"/>
  <c r="O140" i="15"/>
  <c r="N128" i="15"/>
  <c r="M123" i="15"/>
  <c r="O122" i="15"/>
  <c r="M120" i="15"/>
  <c r="O127" i="15"/>
  <c r="O123" i="15"/>
  <c r="O129" i="15"/>
  <c r="O118" i="15"/>
  <c r="M124" i="15"/>
  <c r="M128" i="15"/>
  <c r="N117" i="15"/>
  <c r="N118" i="15"/>
  <c r="M121" i="15"/>
  <c r="M125" i="15"/>
  <c r="N127" i="15"/>
  <c r="N121" i="15"/>
  <c r="N123" i="15"/>
  <c r="N125" i="15"/>
  <c r="M100" i="15"/>
  <c r="M118" i="15"/>
  <c r="O119" i="15"/>
  <c r="M129" i="15"/>
  <c r="O108" i="15"/>
  <c r="O112" i="15"/>
  <c r="M102" i="15"/>
  <c r="N104" i="15"/>
  <c r="N108" i="15"/>
  <c r="N112" i="15"/>
  <c r="M107" i="15"/>
  <c r="M111" i="15"/>
  <c r="M110" i="15"/>
  <c r="O111" i="15"/>
  <c r="O101" i="15"/>
  <c r="M106" i="15"/>
  <c r="M101" i="15"/>
  <c r="O102" i="15"/>
  <c r="N103" i="15"/>
  <c r="M105" i="15"/>
  <c r="N106" i="15"/>
  <c r="M109" i="15"/>
  <c r="O110" i="15"/>
  <c r="N102" i="15"/>
  <c r="M104" i="15"/>
  <c r="O105" i="15"/>
  <c r="M108" i="15"/>
  <c r="O109" i="15"/>
  <c r="N110" i="15"/>
  <c r="N101" i="15"/>
  <c r="N105" i="15"/>
  <c r="N109" i="15"/>
  <c r="O106" i="15"/>
  <c r="O107" i="15"/>
  <c r="M112" i="15"/>
  <c r="N100" i="15"/>
  <c r="CI2" i="15"/>
  <c r="CM2" i="15" s="1"/>
  <c r="CQ2" i="15" s="1"/>
  <c r="CG94" i="15"/>
  <c r="CK94" i="15" s="1"/>
  <c r="CH91" i="15"/>
  <c r="CL91" i="15" s="1"/>
  <c r="CP91" i="15" s="1"/>
  <c r="DS91" i="15" s="1"/>
  <c r="CI88" i="15"/>
  <c r="CM88" i="15" s="1"/>
  <c r="CQ88" i="15" s="1"/>
  <c r="DT88" i="15" s="1"/>
  <c r="DW88" i="15" s="1"/>
  <c r="CI8" i="15"/>
  <c r="CM8" i="15" s="1"/>
  <c r="CQ8" i="15" s="1"/>
  <c r="DT8" i="15" s="1"/>
  <c r="DW8" i="15" s="1"/>
  <c r="CH7" i="15"/>
  <c r="CL7" i="15" s="1"/>
  <c r="CP7" i="15" s="1"/>
  <c r="DS7" i="15" s="1"/>
  <c r="DV7" i="15" s="1"/>
  <c r="CG6" i="15"/>
  <c r="CK6" i="15" s="1"/>
  <c r="CO6" i="15" s="1"/>
  <c r="DR6" i="15" s="1"/>
  <c r="DU6" i="15" s="1"/>
  <c r="CI4" i="15"/>
  <c r="CM4" i="15" s="1"/>
  <c r="CQ4" i="15" s="1"/>
  <c r="DT4" i="15" s="1"/>
  <c r="DW4" i="15" s="1"/>
  <c r="CH3" i="15"/>
  <c r="CL3" i="15" s="1"/>
  <c r="CP3" i="15" s="1"/>
  <c r="DS3" i="15" s="1"/>
  <c r="DV3" i="15" s="1"/>
  <c r="CI85" i="15"/>
  <c r="CM85" i="15" s="1"/>
  <c r="CQ85" i="15" s="1"/>
  <c r="CH84" i="15"/>
  <c r="CL84" i="15" s="1"/>
  <c r="CP84" i="15" s="1"/>
  <c r="DS84" i="15" s="1"/>
  <c r="DV84" i="15" s="1"/>
  <c r="CG83" i="15"/>
  <c r="CK83" i="15" s="1"/>
  <c r="CO83" i="15" s="1"/>
  <c r="DR83" i="15" s="1"/>
  <c r="DU83" i="15" s="1"/>
  <c r="CH80" i="15"/>
  <c r="CL80" i="15" s="1"/>
  <c r="CP80" i="15" s="1"/>
  <c r="DS80" i="15" s="1"/>
  <c r="DV80" i="15" s="1"/>
  <c r="CG79" i="15"/>
  <c r="CK79" i="15" s="1"/>
  <c r="CO79" i="15" s="1"/>
  <c r="DR79" i="15" s="1"/>
  <c r="DU79" i="15" s="1"/>
  <c r="CH76" i="15"/>
  <c r="CL76" i="15" s="1"/>
  <c r="CP76" i="15" s="1"/>
  <c r="CG75" i="15"/>
  <c r="CK75" i="15" s="1"/>
  <c r="CI73" i="15"/>
  <c r="CM73" i="15" s="1"/>
  <c r="CQ73" i="15" s="1"/>
  <c r="DT73" i="15" s="1"/>
  <c r="DW73" i="15" s="1"/>
  <c r="CH72" i="15"/>
  <c r="CL72" i="15" s="1"/>
  <c r="CP72" i="15" s="1"/>
  <c r="DS72" i="15" s="1"/>
  <c r="DV72" i="15" s="1"/>
  <c r="CG71" i="15"/>
  <c r="CK71" i="15" s="1"/>
  <c r="CO71" i="15" s="1"/>
  <c r="DR71" i="15" s="1"/>
  <c r="DU71" i="15" s="1"/>
  <c r="CI69" i="15"/>
  <c r="CM69" i="15" s="1"/>
  <c r="CQ69" i="15" s="1"/>
  <c r="DT69" i="15" s="1"/>
  <c r="DW69" i="15" s="1"/>
  <c r="CH68" i="15"/>
  <c r="CL68" i="15" s="1"/>
  <c r="CP68" i="15" s="1"/>
  <c r="DS68" i="15" s="1"/>
  <c r="DV68" i="15" s="1"/>
  <c r="CG67" i="15"/>
  <c r="CK67" i="15" s="1"/>
  <c r="CO67" i="15" s="1"/>
  <c r="DR67" i="15" s="1"/>
  <c r="DU67" i="15" s="1"/>
  <c r="CI65" i="15"/>
  <c r="CM65" i="15" s="1"/>
  <c r="CQ65" i="15" s="1"/>
  <c r="DT65" i="15" s="1"/>
  <c r="DW65" i="15" s="1"/>
  <c r="CH64" i="15"/>
  <c r="CL64" i="15" s="1"/>
  <c r="CP64" i="15" s="1"/>
  <c r="DS64" i="15" s="1"/>
  <c r="DV64" i="15" s="1"/>
  <c r="CG63" i="15"/>
  <c r="CK63" i="15" s="1"/>
  <c r="CO63" i="15" s="1"/>
  <c r="DR63" i="15" s="1"/>
  <c r="DU63" i="15" s="1"/>
  <c r="CI61" i="15"/>
  <c r="CM61" i="15" s="1"/>
  <c r="CQ61" i="15" s="1"/>
  <c r="DT61" i="15" s="1"/>
  <c r="DW61" i="15" s="1"/>
  <c r="CH60" i="15"/>
  <c r="CL60" i="15" s="1"/>
  <c r="CP60" i="15" s="1"/>
  <c r="DS60" i="15" s="1"/>
  <c r="DV60" i="15" s="1"/>
  <c r="CG59" i="15"/>
  <c r="CK59" i="15" s="1"/>
  <c r="CO59" i="15" s="1"/>
  <c r="DR59" i="15" s="1"/>
  <c r="DU59" i="15" s="1"/>
  <c r="CI57" i="15"/>
  <c r="CM57" i="15" s="1"/>
  <c r="CQ57" i="15" s="1"/>
  <c r="DT57" i="15" s="1"/>
  <c r="DW57" i="15" s="1"/>
  <c r="CH56" i="15"/>
  <c r="CL56" i="15" s="1"/>
  <c r="CP56" i="15" s="1"/>
  <c r="DS56" i="15" s="1"/>
  <c r="DV56" i="15" s="1"/>
  <c r="CG55" i="15"/>
  <c r="CK55" i="15" s="1"/>
  <c r="CO55" i="15" s="1"/>
  <c r="DR55" i="15" s="1"/>
  <c r="DU55" i="15" s="1"/>
  <c r="CI53" i="15"/>
  <c r="CM53" i="15" s="1"/>
  <c r="CQ53" i="15" s="1"/>
  <c r="DT53" i="15" s="1"/>
  <c r="DW53" i="15" s="1"/>
  <c r="CG51" i="15"/>
  <c r="CK51" i="15" s="1"/>
  <c r="CO51" i="15" s="1"/>
  <c r="DR51" i="15" s="1"/>
  <c r="DU51" i="15" s="1"/>
  <c r="CI49" i="15"/>
  <c r="CM49" i="15" s="1"/>
  <c r="CQ49" i="15" s="1"/>
  <c r="DT49" i="15" s="1"/>
  <c r="DW49" i="15" s="1"/>
  <c r="CH48" i="15"/>
  <c r="CL48" i="15" s="1"/>
  <c r="CP48" i="15" s="1"/>
  <c r="DS48" i="15" s="1"/>
  <c r="DV48" i="15" s="1"/>
  <c r="CG47" i="15"/>
  <c r="CK47" i="15" s="1"/>
  <c r="CO47" i="15" s="1"/>
  <c r="DR47" i="15" s="1"/>
  <c r="DU47" i="15" s="1"/>
  <c r="CI45" i="15"/>
  <c r="CM45" i="15" s="1"/>
  <c r="CQ45" i="15" s="1"/>
  <c r="DT45" i="15" s="1"/>
  <c r="DW45" i="15" s="1"/>
  <c r="CH44" i="15"/>
  <c r="CL44" i="15" s="1"/>
  <c r="CP44" i="15" s="1"/>
  <c r="DS44" i="15" s="1"/>
  <c r="DV44" i="15" s="1"/>
  <c r="CG43" i="15"/>
  <c r="CK43" i="15" s="1"/>
  <c r="CO43" i="15" s="1"/>
  <c r="DR43" i="15" s="1"/>
  <c r="DU43" i="15" s="1"/>
  <c r="CI41" i="15"/>
  <c r="CM41" i="15" s="1"/>
  <c r="CQ41" i="15" s="1"/>
  <c r="DT41" i="15" s="1"/>
  <c r="DW41" i="15" s="1"/>
  <c r="CH40" i="15"/>
  <c r="CL40" i="15" s="1"/>
  <c r="CP40" i="15" s="1"/>
  <c r="DS40" i="15" s="1"/>
  <c r="DV40" i="15" s="1"/>
  <c r="CG39" i="15"/>
  <c r="CK39" i="15" s="1"/>
  <c r="CO39" i="15" s="1"/>
  <c r="DR39" i="15" s="1"/>
  <c r="DU39" i="15" s="1"/>
  <c r="CI37" i="15"/>
  <c r="CM37" i="15" s="1"/>
  <c r="CQ37" i="15" s="1"/>
  <c r="DT37" i="15" s="1"/>
  <c r="DW37" i="15" s="1"/>
  <c r="CH36" i="15"/>
  <c r="CL36" i="15" s="1"/>
  <c r="CP36" i="15" s="1"/>
  <c r="DS36" i="15" s="1"/>
  <c r="DV36" i="15" s="1"/>
  <c r="CG35" i="15"/>
  <c r="CK35" i="15" s="1"/>
  <c r="CO35" i="15" s="1"/>
  <c r="DR35" i="15" s="1"/>
  <c r="DU35" i="15" s="1"/>
  <c r="CI33" i="15"/>
  <c r="CM33" i="15" s="1"/>
  <c r="CQ33" i="15" s="1"/>
  <c r="DT33" i="15" s="1"/>
  <c r="DW33" i="15" s="1"/>
  <c r="CH32" i="15"/>
  <c r="CL32" i="15" s="1"/>
  <c r="CP32" i="15" s="1"/>
  <c r="DS32" i="15" s="1"/>
  <c r="DV32" i="15" s="1"/>
  <c r="CG31" i="15"/>
  <c r="CK31" i="15" s="1"/>
  <c r="CO31" i="15" s="1"/>
  <c r="DR31" i="15" s="1"/>
  <c r="DU31" i="15" s="1"/>
  <c r="CI29" i="15"/>
  <c r="CM29" i="15" s="1"/>
  <c r="CQ29" i="15" s="1"/>
  <c r="DT29" i="15" s="1"/>
  <c r="DW29" i="15" s="1"/>
  <c r="CH28" i="15"/>
  <c r="CL28" i="15" s="1"/>
  <c r="CP28" i="15" s="1"/>
  <c r="CG27" i="15"/>
  <c r="CK27" i="15" s="1"/>
  <c r="CO27" i="15" s="1"/>
  <c r="DR27" i="15" s="1"/>
  <c r="DU27" i="15" s="1"/>
  <c r="CI25" i="15"/>
  <c r="CM25" i="15" s="1"/>
  <c r="CQ25" i="15" s="1"/>
  <c r="DT25" i="15" s="1"/>
  <c r="DW25" i="15" s="1"/>
  <c r="CH24" i="15"/>
  <c r="CL24" i="15" s="1"/>
  <c r="CP24" i="15" s="1"/>
  <c r="DS24" i="15" s="1"/>
  <c r="DV24" i="15" s="1"/>
  <c r="CG23" i="15"/>
  <c r="CK23" i="15" s="1"/>
  <c r="CO23" i="15" s="1"/>
  <c r="DR23" i="15" s="1"/>
  <c r="CI21" i="15"/>
  <c r="CM21" i="15" s="1"/>
  <c r="CQ21" i="15" s="1"/>
  <c r="DT21" i="15" s="1"/>
  <c r="DW21" i="15" s="1"/>
  <c r="CH20" i="15"/>
  <c r="CL20" i="15" s="1"/>
  <c r="CP20" i="15" s="1"/>
  <c r="DS20" i="15" s="1"/>
  <c r="DV20" i="15" s="1"/>
  <c r="CG19" i="15"/>
  <c r="CK19" i="15" s="1"/>
  <c r="CO19" i="15" s="1"/>
  <c r="CI17" i="15"/>
  <c r="CM17" i="15" s="1"/>
  <c r="CQ17" i="15" s="1"/>
  <c r="CH16" i="15"/>
  <c r="CL16" i="15" s="1"/>
  <c r="CP16" i="15" s="1"/>
  <c r="DS16" i="15" s="1"/>
  <c r="DV16" i="15" s="1"/>
  <c r="CG15" i="15"/>
  <c r="CK15" i="15" s="1"/>
  <c r="CH12" i="15"/>
  <c r="CL12" i="15" s="1"/>
  <c r="CP12" i="15" s="1"/>
  <c r="DS12" i="15" s="1"/>
  <c r="DV12" i="15" s="1"/>
  <c r="CG11" i="15"/>
  <c r="CK11" i="15" s="1"/>
  <c r="CH8" i="15"/>
  <c r="CL8" i="15" s="1"/>
  <c r="CP8" i="15" s="1"/>
  <c r="DS8" i="15" s="1"/>
  <c r="DV8" i="15" s="1"/>
  <c r="CG7" i="15"/>
  <c r="CK7" i="15" s="1"/>
  <c r="CO7" i="15" s="1"/>
  <c r="DR7" i="15" s="1"/>
  <c r="DU7" i="15" s="1"/>
  <c r="CI5" i="15"/>
  <c r="CM5" i="15" s="1"/>
  <c r="CQ5" i="15" s="1"/>
  <c r="DT5" i="15" s="1"/>
  <c r="DW5" i="15" s="1"/>
  <c r="CH4" i="15"/>
  <c r="CL4" i="15" s="1"/>
  <c r="CP4" i="15" s="1"/>
  <c r="DS4" i="15" s="1"/>
  <c r="DV4" i="15" s="1"/>
  <c r="CG3" i="15"/>
  <c r="CK3" i="15" s="1"/>
  <c r="CO3" i="15" s="1"/>
  <c r="DR3" i="15" s="1"/>
  <c r="DU3" i="15" s="1"/>
  <c r="CH2" i="15"/>
  <c r="CL2" i="15" s="1"/>
  <c r="CP2" i="15" s="1"/>
  <c r="CH92" i="15"/>
  <c r="CL92" i="15" s="1"/>
  <c r="CP92" i="15" s="1"/>
  <c r="DS92" i="15" s="1"/>
  <c r="DV92" i="15" s="1"/>
  <c r="CH88" i="15"/>
  <c r="CL88" i="15" s="1"/>
  <c r="CP88" i="15" s="1"/>
  <c r="DS88" i="15" s="1"/>
  <c r="DV88" i="15" s="1"/>
  <c r="CI3" i="15"/>
  <c r="CM3" i="15" s="1"/>
  <c r="CQ3" i="15" s="1"/>
  <c r="DT3" i="15" s="1"/>
  <c r="DW3" i="15" s="1"/>
  <c r="CI92" i="15"/>
  <c r="CM92" i="15" s="1"/>
  <c r="CQ92" i="15" s="1"/>
  <c r="DT92" i="15" s="1"/>
  <c r="DW92" i="15" s="1"/>
  <c r="CH87" i="15"/>
  <c r="CL87" i="15" s="1"/>
  <c r="CP87" i="15" s="1"/>
  <c r="CI86" i="15"/>
  <c r="CM86" i="15" s="1"/>
  <c r="CQ86" i="15" s="1"/>
  <c r="CH85" i="15"/>
  <c r="CL85" i="15" s="1"/>
  <c r="CP85" i="15" s="1"/>
  <c r="CG84" i="15"/>
  <c r="CK84" i="15" s="1"/>
  <c r="CO84" i="15" s="1"/>
  <c r="DR84" i="15" s="1"/>
  <c r="DU84" i="15" s="1"/>
  <c r="CI82" i="15"/>
  <c r="CM82" i="15" s="1"/>
  <c r="CQ82" i="15" s="1"/>
  <c r="DT82" i="15" s="1"/>
  <c r="DW82" i="15" s="1"/>
  <c r="CG80" i="15"/>
  <c r="CK80" i="15" s="1"/>
  <c r="CO80" i="15" s="1"/>
  <c r="DR80" i="15" s="1"/>
  <c r="DU80" i="15" s="1"/>
  <c r="CI78" i="15"/>
  <c r="CM78" i="15" s="1"/>
  <c r="CQ78" i="15" s="1"/>
  <c r="DT78" i="15" s="1"/>
  <c r="DW78" i="15" s="1"/>
  <c r="CH77" i="15"/>
  <c r="CL77" i="15" s="1"/>
  <c r="CP77" i="15" s="1"/>
  <c r="CG76" i="15"/>
  <c r="CK76" i="15" s="1"/>
  <c r="CO76" i="15" s="1"/>
  <c r="CI74" i="15"/>
  <c r="CM74" i="15" s="1"/>
  <c r="CQ74" i="15" s="1"/>
  <c r="DT74" i="15" s="1"/>
  <c r="DW74" i="15" s="1"/>
  <c r="CH73" i="15"/>
  <c r="CL73" i="15" s="1"/>
  <c r="CP73" i="15" s="1"/>
  <c r="DS73" i="15" s="1"/>
  <c r="DV73" i="15" s="1"/>
  <c r="CG72" i="15"/>
  <c r="CK72" i="15" s="1"/>
  <c r="CO72" i="15" s="1"/>
  <c r="DR72" i="15" s="1"/>
  <c r="DU72" i="15" s="1"/>
  <c r="CI70" i="15"/>
  <c r="CM70" i="15" s="1"/>
  <c r="CQ70" i="15" s="1"/>
  <c r="DT70" i="15" s="1"/>
  <c r="DW70" i="15" s="1"/>
  <c r="CH69" i="15"/>
  <c r="CL69" i="15" s="1"/>
  <c r="CP69" i="15" s="1"/>
  <c r="DS69" i="15" s="1"/>
  <c r="DV69" i="15" s="1"/>
  <c r="CG68" i="15"/>
  <c r="CK68" i="15" s="1"/>
  <c r="CO68" i="15" s="1"/>
  <c r="DR68" i="15" s="1"/>
  <c r="DU68" i="15" s="1"/>
  <c r="CI66" i="15"/>
  <c r="CM66" i="15" s="1"/>
  <c r="CQ66" i="15" s="1"/>
  <c r="DT66" i="15" s="1"/>
  <c r="DW66" i="15" s="1"/>
  <c r="CH65" i="15"/>
  <c r="CL65" i="15" s="1"/>
  <c r="CP65" i="15" s="1"/>
  <c r="DS65" i="15" s="1"/>
  <c r="DV65" i="15" s="1"/>
  <c r="CG64" i="15"/>
  <c r="CK64" i="15" s="1"/>
  <c r="CO64" i="15" s="1"/>
  <c r="DR64" i="15" s="1"/>
  <c r="DU64" i="15" s="1"/>
  <c r="CI62" i="15"/>
  <c r="CM62" i="15" s="1"/>
  <c r="CQ62" i="15" s="1"/>
  <c r="DT62" i="15" s="1"/>
  <c r="DW62" i="15" s="1"/>
  <c r="CH61" i="15"/>
  <c r="CL61" i="15" s="1"/>
  <c r="CP61" i="15" s="1"/>
  <c r="DS61" i="15" s="1"/>
  <c r="DV61" i="15" s="1"/>
  <c r="CG60" i="15"/>
  <c r="CK60" i="15" s="1"/>
  <c r="CO60" i="15" s="1"/>
  <c r="DR60" i="15" s="1"/>
  <c r="DU60" i="15" s="1"/>
  <c r="CI58" i="15"/>
  <c r="CM58" i="15" s="1"/>
  <c r="CQ58" i="15" s="1"/>
  <c r="DT58" i="15" s="1"/>
  <c r="DW58" i="15" s="1"/>
  <c r="CH57" i="15"/>
  <c r="CL57" i="15" s="1"/>
  <c r="CP57" i="15" s="1"/>
  <c r="DS57" i="15" s="1"/>
  <c r="DV57" i="15" s="1"/>
  <c r="CG56" i="15"/>
  <c r="CK56" i="15" s="1"/>
  <c r="CO56" i="15" s="1"/>
  <c r="DR56" i="15" s="1"/>
  <c r="DU56" i="15" s="1"/>
  <c r="CI54" i="15"/>
  <c r="CM54" i="15" s="1"/>
  <c r="CQ54" i="15" s="1"/>
  <c r="DT54" i="15" s="1"/>
  <c r="DW54" i="15" s="1"/>
  <c r="CH53" i="15"/>
  <c r="CL53" i="15" s="1"/>
  <c r="CP53" i="15" s="1"/>
  <c r="DS53" i="15" s="1"/>
  <c r="DV53" i="15" s="1"/>
  <c r="CG52" i="15"/>
  <c r="CK52" i="15" s="1"/>
  <c r="CO52" i="15" s="1"/>
  <c r="DR52" i="15" s="1"/>
  <c r="CI50" i="15"/>
  <c r="CM50" i="15" s="1"/>
  <c r="CQ50" i="15" s="1"/>
  <c r="DT50" i="15" s="1"/>
  <c r="DW50" i="15" s="1"/>
  <c r="CH49" i="15"/>
  <c r="CL49" i="15" s="1"/>
  <c r="CP49" i="15" s="1"/>
  <c r="DS49" i="15" s="1"/>
  <c r="DV49" i="15" s="1"/>
  <c r="CG48" i="15"/>
  <c r="CK48" i="15" s="1"/>
  <c r="CO48" i="15" s="1"/>
  <c r="DR48" i="15" s="1"/>
  <c r="DU48" i="15" s="1"/>
  <c r="CI46" i="15"/>
  <c r="CM46" i="15" s="1"/>
  <c r="CQ46" i="15" s="1"/>
  <c r="DT46" i="15" s="1"/>
  <c r="DW46" i="15" s="1"/>
  <c r="CH45" i="15"/>
  <c r="CL45" i="15" s="1"/>
  <c r="CP45" i="15" s="1"/>
  <c r="DS45" i="15" s="1"/>
  <c r="DV45" i="15" s="1"/>
  <c r="CG44" i="15"/>
  <c r="CK44" i="15" s="1"/>
  <c r="CO44" i="15" s="1"/>
  <c r="DR44" i="15" s="1"/>
  <c r="DU44" i="15" s="1"/>
  <c r="CI42" i="15"/>
  <c r="CM42" i="15" s="1"/>
  <c r="CH41" i="15"/>
  <c r="CL41" i="15" s="1"/>
  <c r="CP41" i="15" s="1"/>
  <c r="DS41" i="15" s="1"/>
  <c r="DV41" i="15" s="1"/>
  <c r="CG40" i="15"/>
  <c r="CK40" i="15" s="1"/>
  <c r="CI38" i="15"/>
  <c r="CM38" i="15" s="1"/>
  <c r="CH37" i="15"/>
  <c r="CL37" i="15" s="1"/>
  <c r="CP37" i="15" s="1"/>
  <c r="DS37" i="15" s="1"/>
  <c r="DV37" i="15" s="1"/>
  <c r="CG36" i="15"/>
  <c r="CK36" i="15" s="1"/>
  <c r="CO36" i="15" s="1"/>
  <c r="DR36" i="15" s="1"/>
  <c r="DU36" i="15" s="1"/>
  <c r="CI34" i="15"/>
  <c r="CM34" i="15" s="1"/>
  <c r="CQ34" i="15" s="1"/>
  <c r="DT34" i="15" s="1"/>
  <c r="DW34" i="15" s="1"/>
  <c r="CH33" i="15"/>
  <c r="CL33" i="15" s="1"/>
  <c r="CP33" i="15" s="1"/>
  <c r="DS33" i="15" s="1"/>
  <c r="DV33" i="15" s="1"/>
  <c r="CG32" i="15"/>
  <c r="CK32" i="15" s="1"/>
  <c r="CO32" i="15" s="1"/>
  <c r="DR32" i="15" s="1"/>
  <c r="DU32" i="15" s="1"/>
  <c r="CI30" i="15"/>
  <c r="CM30" i="15" s="1"/>
  <c r="CQ30" i="15" s="1"/>
  <c r="DT30" i="15" s="1"/>
  <c r="DW30" i="15" s="1"/>
  <c r="CH29" i="15"/>
  <c r="CL29" i="15" s="1"/>
  <c r="CP29" i="15" s="1"/>
  <c r="DS29" i="15" s="1"/>
  <c r="DV29" i="15" s="1"/>
  <c r="CG28" i="15"/>
  <c r="CK28" i="15" s="1"/>
  <c r="CI26" i="15"/>
  <c r="CM26" i="15" s="1"/>
  <c r="CQ26" i="15" s="1"/>
  <c r="DT26" i="15" s="1"/>
  <c r="DW26" i="15" s="1"/>
  <c r="CH25" i="15"/>
  <c r="CL25" i="15" s="1"/>
  <c r="CP25" i="15" s="1"/>
  <c r="DS25" i="15" s="1"/>
  <c r="DV25" i="15" s="1"/>
  <c r="CG24" i="15"/>
  <c r="CK24" i="15" s="1"/>
  <c r="CO24" i="15" s="1"/>
  <c r="DR24" i="15" s="1"/>
  <c r="DU24" i="15" s="1"/>
  <c r="CI22" i="15"/>
  <c r="CM22" i="15" s="1"/>
  <c r="CQ22" i="15" s="1"/>
  <c r="DT22" i="15" s="1"/>
  <c r="DW22" i="15" s="1"/>
  <c r="CH21" i="15"/>
  <c r="CL21" i="15" s="1"/>
  <c r="CP21" i="15" s="1"/>
  <c r="DS21" i="15" s="1"/>
  <c r="DV21" i="15" s="1"/>
  <c r="CG20" i="15"/>
  <c r="CK20" i="15" s="1"/>
  <c r="CO20" i="15" s="1"/>
  <c r="DR20" i="15" s="1"/>
  <c r="DU20" i="15" s="1"/>
  <c r="CI18" i="15"/>
  <c r="CM18" i="15" s="1"/>
  <c r="CQ18" i="15" s="1"/>
  <c r="CH17" i="15"/>
  <c r="CL17" i="15" s="1"/>
  <c r="CP17" i="15" s="1"/>
  <c r="CG16" i="15"/>
  <c r="CK16" i="15" s="1"/>
  <c r="CO16" i="15" s="1"/>
  <c r="DR16" i="15" s="1"/>
  <c r="DU16" i="15" s="1"/>
  <c r="CI14" i="15"/>
  <c r="CM14" i="15" s="1"/>
  <c r="CQ14" i="15" s="1"/>
  <c r="DT14" i="15" s="1"/>
  <c r="DW14" i="15" s="1"/>
  <c r="CG12" i="15"/>
  <c r="CK12" i="15" s="1"/>
  <c r="CO12" i="15" s="1"/>
  <c r="DR12" i="15" s="1"/>
  <c r="DU12" i="15" s="1"/>
  <c r="CI10" i="15"/>
  <c r="CM10" i="15" s="1"/>
  <c r="CQ10" i="15" s="1"/>
  <c r="DT10" i="15" s="1"/>
  <c r="DW10" i="15" s="1"/>
  <c r="CG8" i="15"/>
  <c r="CK8" i="15" s="1"/>
  <c r="CO8" i="15" s="1"/>
  <c r="DR8" i="15" s="1"/>
  <c r="DU8" i="15" s="1"/>
  <c r="CI6" i="15"/>
  <c r="CM6" i="15" s="1"/>
  <c r="CQ6" i="15" s="1"/>
  <c r="DT6" i="15" s="1"/>
  <c r="DW6" i="15" s="1"/>
  <c r="CH5" i="15"/>
  <c r="CL5" i="15" s="1"/>
  <c r="CP5" i="15" s="1"/>
  <c r="DS5" i="15" s="1"/>
  <c r="DV5" i="15" s="1"/>
  <c r="CG4" i="15"/>
  <c r="CK4" i="15" s="1"/>
  <c r="CO4" i="15" s="1"/>
  <c r="DR4" i="15" s="1"/>
  <c r="DU4" i="15" s="1"/>
  <c r="CI93" i="15"/>
  <c r="CM93" i="15" s="1"/>
  <c r="CQ93" i="15" s="1"/>
  <c r="DT93" i="15" s="1"/>
  <c r="DW93" i="15" s="1"/>
  <c r="CI89" i="15"/>
  <c r="CM89" i="15" s="1"/>
  <c r="CQ89" i="15" s="1"/>
  <c r="DT89" i="15" s="1"/>
  <c r="DW89" i="15" s="1"/>
  <c r="CH14" i="15"/>
  <c r="CL14" i="15" s="1"/>
  <c r="CP14" i="15" s="1"/>
  <c r="DS14" i="15" s="1"/>
  <c r="DV14" i="15" s="1"/>
  <c r="CG90" i="15"/>
  <c r="CK90" i="15" s="1"/>
  <c r="CG2" i="15"/>
  <c r="CK2" i="15" s="1"/>
  <c r="CH22" i="15"/>
  <c r="CL22" i="15" s="1"/>
  <c r="CP22" i="15" s="1"/>
  <c r="DS22" i="15" s="1"/>
  <c r="DV22" i="15" s="1"/>
  <c r="CI19" i="15"/>
  <c r="CM19" i="15" s="1"/>
  <c r="CQ19" i="15" s="1"/>
  <c r="DT19" i="15" s="1"/>
  <c r="DW19" i="15" s="1"/>
  <c r="CG17" i="15"/>
  <c r="CK17" i="15" s="1"/>
  <c r="CI11" i="15"/>
  <c r="CM11" i="15" s="1"/>
  <c r="CQ11" i="15" s="1"/>
  <c r="DT11" i="15" s="1"/>
  <c r="DW11" i="15" s="1"/>
  <c r="CH6" i="15"/>
  <c r="CL6" i="15" s="1"/>
  <c r="CP6" i="15" s="1"/>
  <c r="DS6" i="15" s="1"/>
  <c r="DV6" i="15" s="1"/>
  <c r="CI94" i="15"/>
  <c r="CM94" i="15" s="1"/>
  <c r="CQ94" i="15" s="1"/>
  <c r="CH93" i="15"/>
  <c r="CL93" i="15" s="1"/>
  <c r="CP93" i="15" s="1"/>
  <c r="DS93" i="15" s="1"/>
  <c r="DV93" i="15" s="1"/>
  <c r="CG92" i="15"/>
  <c r="CK92" i="15" s="1"/>
  <c r="CO92" i="15" s="1"/>
  <c r="DR92" i="15" s="1"/>
  <c r="DU92" i="15" s="1"/>
  <c r="CH89" i="15"/>
  <c r="CL89" i="15" s="1"/>
  <c r="CP89" i="15" s="1"/>
  <c r="DS89" i="15" s="1"/>
  <c r="DV89" i="15" s="1"/>
  <c r="CG88" i="15"/>
  <c r="CK88" i="15" s="1"/>
  <c r="CO88" i="15" s="1"/>
  <c r="DR88" i="15" s="1"/>
  <c r="DU88" i="15" s="1"/>
  <c r="CG89" i="15"/>
  <c r="CK89" i="15" s="1"/>
  <c r="CO89" i="15" s="1"/>
  <c r="DR89" i="15" s="1"/>
  <c r="DU89" i="15" s="1"/>
  <c r="CI87" i="15"/>
  <c r="CM87" i="15" s="1"/>
  <c r="CQ87" i="15" s="1"/>
  <c r="CH86" i="15"/>
  <c r="CL86" i="15" s="1"/>
  <c r="CP86" i="15" s="1"/>
  <c r="CG85" i="15"/>
  <c r="CK85" i="15" s="1"/>
  <c r="CI83" i="15"/>
  <c r="CM83" i="15" s="1"/>
  <c r="CQ83" i="15" s="1"/>
  <c r="DT83" i="15" s="1"/>
  <c r="DW83" i="15" s="1"/>
  <c r="CH82" i="15"/>
  <c r="CL82" i="15" s="1"/>
  <c r="CP82" i="15" s="1"/>
  <c r="DS82" i="15" s="1"/>
  <c r="DV82" i="15" s="1"/>
  <c r="CG81" i="15"/>
  <c r="CK81" i="15" s="1"/>
  <c r="CI79" i="15"/>
  <c r="CM79" i="15" s="1"/>
  <c r="CQ79" i="15" s="1"/>
  <c r="DT79" i="15" s="1"/>
  <c r="DW79" i="15" s="1"/>
  <c r="CH78" i="15"/>
  <c r="CL78" i="15" s="1"/>
  <c r="CP78" i="15" s="1"/>
  <c r="DS78" i="15" s="1"/>
  <c r="DV78" i="15" s="1"/>
  <c r="CI75" i="15"/>
  <c r="CM75" i="15" s="1"/>
  <c r="CQ75" i="15" s="1"/>
  <c r="CH74" i="15"/>
  <c r="CL74" i="15" s="1"/>
  <c r="CP74" i="15" s="1"/>
  <c r="DS74" i="15" s="1"/>
  <c r="DV74" i="15" s="1"/>
  <c r="CG73" i="15"/>
  <c r="CK73" i="15" s="1"/>
  <c r="CO73" i="15" s="1"/>
  <c r="DR73" i="15" s="1"/>
  <c r="DU73" i="15" s="1"/>
  <c r="CI71" i="15"/>
  <c r="CM71" i="15" s="1"/>
  <c r="CQ71" i="15" s="1"/>
  <c r="DT71" i="15" s="1"/>
  <c r="DW71" i="15" s="1"/>
  <c r="CH70" i="15"/>
  <c r="CL70" i="15" s="1"/>
  <c r="CP70" i="15" s="1"/>
  <c r="DS70" i="15" s="1"/>
  <c r="DV70" i="15" s="1"/>
  <c r="CG69" i="15"/>
  <c r="CK69" i="15" s="1"/>
  <c r="CO69" i="15" s="1"/>
  <c r="DR69" i="15" s="1"/>
  <c r="DU69" i="15" s="1"/>
  <c r="CI67" i="15"/>
  <c r="CM67" i="15" s="1"/>
  <c r="CQ67" i="15" s="1"/>
  <c r="DT67" i="15" s="1"/>
  <c r="DW67" i="15" s="1"/>
  <c r="CH66" i="15"/>
  <c r="CL66" i="15" s="1"/>
  <c r="CP66" i="15" s="1"/>
  <c r="DS66" i="15" s="1"/>
  <c r="DV66" i="15" s="1"/>
  <c r="CG65" i="15"/>
  <c r="CK65" i="15" s="1"/>
  <c r="CO65" i="15" s="1"/>
  <c r="DR65" i="15" s="1"/>
  <c r="DU65" i="15" s="1"/>
  <c r="CI63" i="15"/>
  <c r="CM63" i="15" s="1"/>
  <c r="CQ63" i="15" s="1"/>
  <c r="DT63" i="15" s="1"/>
  <c r="DW63" i="15" s="1"/>
  <c r="CH62" i="15"/>
  <c r="CL62" i="15" s="1"/>
  <c r="CP62" i="15" s="1"/>
  <c r="DS62" i="15" s="1"/>
  <c r="DV62" i="15" s="1"/>
  <c r="CG61" i="15"/>
  <c r="CK61" i="15" s="1"/>
  <c r="CO61" i="15" s="1"/>
  <c r="DR61" i="15" s="1"/>
  <c r="DU61" i="15" s="1"/>
  <c r="CI59" i="15"/>
  <c r="CM59" i="15" s="1"/>
  <c r="CQ59" i="15" s="1"/>
  <c r="DT59" i="15" s="1"/>
  <c r="DW59" i="15" s="1"/>
  <c r="CH58" i="15"/>
  <c r="CL58" i="15" s="1"/>
  <c r="CP58" i="15" s="1"/>
  <c r="DS58" i="15" s="1"/>
  <c r="DV58" i="15" s="1"/>
  <c r="CG57" i="15"/>
  <c r="CK57" i="15" s="1"/>
  <c r="CO57" i="15" s="1"/>
  <c r="DR57" i="15" s="1"/>
  <c r="DU57" i="15" s="1"/>
  <c r="CI55" i="15"/>
  <c r="CM55" i="15" s="1"/>
  <c r="CQ55" i="15" s="1"/>
  <c r="DT55" i="15" s="1"/>
  <c r="DW55" i="15" s="1"/>
  <c r="CH54" i="15"/>
  <c r="CL54" i="15" s="1"/>
  <c r="CP54" i="15" s="1"/>
  <c r="DS54" i="15" s="1"/>
  <c r="DV54" i="15" s="1"/>
  <c r="CG53" i="15"/>
  <c r="CK53" i="15" s="1"/>
  <c r="CO53" i="15" s="1"/>
  <c r="DR53" i="15" s="1"/>
  <c r="DU53" i="15" s="1"/>
  <c r="CI51" i="15"/>
  <c r="CM51" i="15" s="1"/>
  <c r="CQ51" i="15" s="1"/>
  <c r="DT51" i="15" s="1"/>
  <c r="DW51" i="15" s="1"/>
  <c r="CH50" i="15"/>
  <c r="CL50" i="15" s="1"/>
  <c r="CP50" i="15" s="1"/>
  <c r="DS50" i="15" s="1"/>
  <c r="DV50" i="15" s="1"/>
  <c r="CG49" i="15"/>
  <c r="CK49" i="15" s="1"/>
  <c r="CO49" i="15" s="1"/>
  <c r="DR49" i="15" s="1"/>
  <c r="DU49" i="15" s="1"/>
  <c r="CI47" i="15"/>
  <c r="CM47" i="15" s="1"/>
  <c r="CQ47" i="15" s="1"/>
  <c r="DT47" i="15" s="1"/>
  <c r="DW47" i="15" s="1"/>
  <c r="CH46" i="15"/>
  <c r="CL46" i="15" s="1"/>
  <c r="CP46" i="15" s="1"/>
  <c r="DS46" i="15" s="1"/>
  <c r="DV46" i="15" s="1"/>
  <c r="CG45" i="15"/>
  <c r="CK45" i="15" s="1"/>
  <c r="CO45" i="15" s="1"/>
  <c r="DR45" i="15" s="1"/>
  <c r="DU45" i="15" s="1"/>
  <c r="CI43" i="15"/>
  <c r="CM43" i="15" s="1"/>
  <c r="CQ43" i="15" s="1"/>
  <c r="DT43" i="15" s="1"/>
  <c r="DW43" i="15" s="1"/>
  <c r="CH42" i="15"/>
  <c r="CL42" i="15" s="1"/>
  <c r="CP42" i="15" s="1"/>
  <c r="DS42" i="15" s="1"/>
  <c r="CG41" i="15"/>
  <c r="CK41" i="15" s="1"/>
  <c r="CO41" i="15" s="1"/>
  <c r="DR41" i="15" s="1"/>
  <c r="DU41" i="15" s="1"/>
  <c r="CI39" i="15"/>
  <c r="CM39" i="15" s="1"/>
  <c r="CQ39" i="15" s="1"/>
  <c r="DT39" i="15" s="1"/>
  <c r="DW39" i="15" s="1"/>
  <c r="CH38" i="15"/>
  <c r="CL38" i="15" s="1"/>
  <c r="CP38" i="15" s="1"/>
  <c r="DS38" i="15" s="1"/>
  <c r="DV38" i="15" s="1"/>
  <c r="CG37" i="15"/>
  <c r="CK37" i="15" s="1"/>
  <c r="CO37" i="15" s="1"/>
  <c r="DR37" i="15" s="1"/>
  <c r="DU37" i="15" s="1"/>
  <c r="CI35" i="15"/>
  <c r="CM35" i="15" s="1"/>
  <c r="CQ35" i="15" s="1"/>
  <c r="DT35" i="15" s="1"/>
  <c r="DW35" i="15" s="1"/>
  <c r="CH34" i="15"/>
  <c r="CL34" i="15" s="1"/>
  <c r="CP34" i="15" s="1"/>
  <c r="DS34" i="15" s="1"/>
  <c r="DV34" i="15" s="1"/>
  <c r="CG33" i="15"/>
  <c r="CK33" i="15" s="1"/>
  <c r="CO33" i="15" s="1"/>
  <c r="DR33" i="15" s="1"/>
  <c r="DU33" i="15" s="1"/>
  <c r="CI31" i="15"/>
  <c r="CM31" i="15" s="1"/>
  <c r="CQ31" i="15" s="1"/>
  <c r="DT31" i="15" s="1"/>
  <c r="DW31" i="15" s="1"/>
  <c r="CH30" i="15"/>
  <c r="CL30" i="15" s="1"/>
  <c r="CP30" i="15" s="1"/>
  <c r="DS30" i="15" s="1"/>
  <c r="DV30" i="15" s="1"/>
  <c r="CG29" i="15"/>
  <c r="CK29" i="15" s="1"/>
  <c r="CO29" i="15" s="1"/>
  <c r="DR29" i="15" s="1"/>
  <c r="DU29" i="15" s="1"/>
  <c r="CI27" i="15"/>
  <c r="CM27" i="15" s="1"/>
  <c r="CQ27" i="15" s="1"/>
  <c r="DT27" i="15" s="1"/>
  <c r="DW27" i="15" s="1"/>
  <c r="CH26" i="15"/>
  <c r="CL26" i="15" s="1"/>
  <c r="CP26" i="15" s="1"/>
  <c r="DS26" i="15" s="1"/>
  <c r="DV26" i="15" s="1"/>
  <c r="CG25" i="15"/>
  <c r="CK25" i="15" s="1"/>
  <c r="CO25" i="15" s="1"/>
  <c r="DR25" i="15" s="1"/>
  <c r="DU25" i="15" s="1"/>
  <c r="CG21" i="15"/>
  <c r="CK21" i="15" s="1"/>
  <c r="CO21" i="15" s="1"/>
  <c r="DR21" i="15" s="1"/>
  <c r="DU21" i="15" s="1"/>
  <c r="CH18" i="15"/>
  <c r="CL18" i="15" s="1"/>
  <c r="CP18" i="15" s="1"/>
  <c r="CI15" i="15"/>
  <c r="CM15" i="15" s="1"/>
  <c r="CQ15" i="15" s="1"/>
  <c r="CG13" i="15"/>
  <c r="CK13" i="15" s="1"/>
  <c r="CO13" i="15" s="1"/>
  <c r="DR13" i="15" s="1"/>
  <c r="CH10" i="15"/>
  <c r="CL10" i="15" s="1"/>
  <c r="CP10" i="15" s="1"/>
  <c r="DS10" i="15" s="1"/>
  <c r="DV10" i="15" s="1"/>
  <c r="CI7" i="15"/>
  <c r="CM7" i="15" s="1"/>
  <c r="CQ7" i="15" s="1"/>
  <c r="DT7" i="15" s="1"/>
  <c r="DW7" i="15" s="1"/>
  <c r="CG5" i="15"/>
  <c r="CK5" i="15" s="1"/>
  <c r="CO5" i="15" s="1"/>
  <c r="DR5" i="15" s="1"/>
  <c r="DU5" i="15" s="1"/>
  <c r="CG86" i="15"/>
  <c r="CK86" i="15" s="1"/>
  <c r="CI84" i="15"/>
  <c r="CM84" i="15" s="1"/>
  <c r="CQ84" i="15" s="1"/>
  <c r="DT84" i="15" s="1"/>
  <c r="DW84" i="15" s="1"/>
  <c r="CH83" i="15"/>
  <c r="CL83" i="15" s="1"/>
  <c r="CG82" i="15"/>
  <c r="CK82" i="15" s="1"/>
  <c r="CO82" i="15" s="1"/>
  <c r="DR82" i="15" s="1"/>
  <c r="DU82" i="15" s="1"/>
  <c r="CI80" i="15"/>
  <c r="CM80" i="15" s="1"/>
  <c r="CQ80" i="15" s="1"/>
  <c r="DT80" i="15" s="1"/>
  <c r="DW80" i="15" s="1"/>
  <c r="CH79" i="15"/>
  <c r="CL79" i="15" s="1"/>
  <c r="CP79" i="15" s="1"/>
  <c r="DS79" i="15" s="1"/>
  <c r="DV79" i="15" s="1"/>
  <c r="CG78" i="15"/>
  <c r="CK78" i="15" s="1"/>
  <c r="CO78" i="15" s="1"/>
  <c r="DR78" i="15" s="1"/>
  <c r="CI76" i="15"/>
  <c r="CM76" i="15" s="1"/>
  <c r="CQ76" i="15" s="1"/>
  <c r="CH75" i="15"/>
  <c r="CL75" i="15" s="1"/>
  <c r="CP75" i="15" s="1"/>
  <c r="CG74" i="15"/>
  <c r="CK74" i="15" s="1"/>
  <c r="CO74" i="15" s="1"/>
  <c r="DR74" i="15" s="1"/>
  <c r="DU74" i="15" s="1"/>
  <c r="CI72" i="15"/>
  <c r="CM72" i="15" s="1"/>
  <c r="CQ72" i="15" s="1"/>
  <c r="DT72" i="15" s="1"/>
  <c r="DW72" i="15" s="1"/>
  <c r="CH71" i="15"/>
  <c r="CL71" i="15" s="1"/>
  <c r="CP71" i="15" s="1"/>
  <c r="DS71" i="15" s="1"/>
  <c r="DV71" i="15" s="1"/>
  <c r="CG70" i="15"/>
  <c r="CK70" i="15" s="1"/>
  <c r="CO70" i="15" s="1"/>
  <c r="DR70" i="15" s="1"/>
  <c r="DU70" i="15" s="1"/>
  <c r="CI68" i="15"/>
  <c r="CM68" i="15" s="1"/>
  <c r="CQ68" i="15" s="1"/>
  <c r="DT68" i="15" s="1"/>
  <c r="DW68" i="15" s="1"/>
  <c r="CH67" i="15"/>
  <c r="CL67" i="15" s="1"/>
  <c r="CP67" i="15" s="1"/>
  <c r="DS67" i="15" s="1"/>
  <c r="DV67" i="15" s="1"/>
  <c r="CG66" i="15"/>
  <c r="CK66" i="15" s="1"/>
  <c r="CO66" i="15" s="1"/>
  <c r="DR66" i="15" s="1"/>
  <c r="DU66" i="15" s="1"/>
  <c r="CI64" i="15"/>
  <c r="CM64" i="15" s="1"/>
  <c r="CQ64" i="15" s="1"/>
  <c r="DT64" i="15" s="1"/>
  <c r="DW64" i="15" s="1"/>
  <c r="CH63" i="15"/>
  <c r="CL63" i="15" s="1"/>
  <c r="CP63" i="15" s="1"/>
  <c r="DS63" i="15" s="1"/>
  <c r="DV63" i="15" s="1"/>
  <c r="CG62" i="15"/>
  <c r="CK62" i="15" s="1"/>
  <c r="CO62" i="15" s="1"/>
  <c r="DR62" i="15" s="1"/>
  <c r="DU62" i="15" s="1"/>
  <c r="CI60" i="15"/>
  <c r="CM60" i="15" s="1"/>
  <c r="CQ60" i="15" s="1"/>
  <c r="DT60" i="15" s="1"/>
  <c r="DW60" i="15" s="1"/>
  <c r="CH59" i="15"/>
  <c r="CL59" i="15" s="1"/>
  <c r="CP59" i="15" s="1"/>
  <c r="DS59" i="15" s="1"/>
  <c r="DV59" i="15" s="1"/>
  <c r="CG58" i="15"/>
  <c r="CK58" i="15" s="1"/>
  <c r="CO58" i="15" s="1"/>
  <c r="DR58" i="15" s="1"/>
  <c r="DU58" i="15" s="1"/>
  <c r="CI56" i="15"/>
  <c r="CM56" i="15" s="1"/>
  <c r="CQ56" i="15" s="1"/>
  <c r="DT56" i="15" s="1"/>
  <c r="DW56" i="15" s="1"/>
  <c r="CH55" i="15"/>
  <c r="CL55" i="15" s="1"/>
  <c r="CP55" i="15" s="1"/>
  <c r="DS55" i="15" s="1"/>
  <c r="DV55" i="15" s="1"/>
  <c r="CG54" i="15"/>
  <c r="CK54" i="15" s="1"/>
  <c r="CO54" i="15" s="1"/>
  <c r="DR54" i="15" s="1"/>
  <c r="DU54" i="15" s="1"/>
  <c r="CH51" i="15"/>
  <c r="CL51" i="15" s="1"/>
  <c r="CP51" i="15" s="1"/>
  <c r="DS51" i="15" s="1"/>
  <c r="DV51" i="15" s="1"/>
  <c r="CG50" i="15"/>
  <c r="CK50" i="15" s="1"/>
  <c r="CO50" i="15" s="1"/>
  <c r="DR50" i="15" s="1"/>
  <c r="DU50" i="15" s="1"/>
  <c r="CI48" i="15"/>
  <c r="CM48" i="15" s="1"/>
  <c r="CQ48" i="15" s="1"/>
  <c r="DT48" i="15" s="1"/>
  <c r="DW48" i="15" s="1"/>
  <c r="CH47" i="15"/>
  <c r="CL47" i="15" s="1"/>
  <c r="CP47" i="15" s="1"/>
  <c r="DS47" i="15" s="1"/>
  <c r="DV47" i="15" s="1"/>
  <c r="CG46" i="15"/>
  <c r="CK46" i="15" s="1"/>
  <c r="CO46" i="15" s="1"/>
  <c r="DR46" i="15" s="1"/>
  <c r="DU46" i="15" s="1"/>
  <c r="CI44" i="15"/>
  <c r="CM44" i="15" s="1"/>
  <c r="CQ44" i="15" s="1"/>
  <c r="DT44" i="15" s="1"/>
  <c r="DW44" i="15" s="1"/>
  <c r="CH43" i="15"/>
  <c r="CL43" i="15" s="1"/>
  <c r="CP43" i="15" s="1"/>
  <c r="DS43" i="15" s="1"/>
  <c r="DV43" i="15" s="1"/>
  <c r="CG42" i="15"/>
  <c r="CK42" i="15" s="1"/>
  <c r="CO42" i="15" s="1"/>
  <c r="CI40" i="15"/>
  <c r="CM40" i="15" s="1"/>
  <c r="CQ40" i="15" s="1"/>
  <c r="DT40" i="15" s="1"/>
  <c r="DW40" i="15" s="1"/>
  <c r="CH39" i="15"/>
  <c r="CL39" i="15" s="1"/>
  <c r="CP39" i="15" s="1"/>
  <c r="DS39" i="15" s="1"/>
  <c r="DV39" i="15" s="1"/>
  <c r="CG38" i="15"/>
  <c r="CK38" i="15" s="1"/>
  <c r="CI36" i="15"/>
  <c r="CM36" i="15" s="1"/>
  <c r="CQ36" i="15" s="1"/>
  <c r="DT36" i="15" s="1"/>
  <c r="DW36" i="15" s="1"/>
  <c r="CH35" i="15"/>
  <c r="CL35" i="15" s="1"/>
  <c r="CP35" i="15" s="1"/>
  <c r="DS35" i="15" s="1"/>
  <c r="DV35" i="15" s="1"/>
  <c r="CG34" i="15"/>
  <c r="CK34" i="15" s="1"/>
  <c r="CO34" i="15" s="1"/>
  <c r="DR34" i="15" s="1"/>
  <c r="DU34" i="15" s="1"/>
  <c r="CI32" i="15"/>
  <c r="CM32" i="15" s="1"/>
  <c r="CQ32" i="15" s="1"/>
  <c r="DT32" i="15" s="1"/>
  <c r="DW32" i="15" s="1"/>
  <c r="CH31" i="15"/>
  <c r="CL31" i="15" s="1"/>
  <c r="CP31" i="15" s="1"/>
  <c r="DS31" i="15" s="1"/>
  <c r="DV31" i="15" s="1"/>
  <c r="CG30" i="15"/>
  <c r="CK30" i="15" s="1"/>
  <c r="CO30" i="15" s="1"/>
  <c r="DR30" i="15" s="1"/>
  <c r="DU30" i="15" s="1"/>
  <c r="CI28" i="15"/>
  <c r="CM28" i="15" s="1"/>
  <c r="CQ28" i="15" s="1"/>
  <c r="CH27" i="15"/>
  <c r="CL27" i="15" s="1"/>
  <c r="CP27" i="15" s="1"/>
  <c r="DS27" i="15" s="1"/>
  <c r="DV27" i="15" s="1"/>
  <c r="CG26" i="15"/>
  <c r="CK26" i="15" s="1"/>
  <c r="CO26" i="15" s="1"/>
  <c r="DR26" i="15" s="1"/>
  <c r="DU26" i="15" s="1"/>
  <c r="CI24" i="15"/>
  <c r="CM24" i="15" s="1"/>
  <c r="CQ24" i="15" s="1"/>
  <c r="DT24" i="15" s="1"/>
  <c r="DW24" i="15" s="1"/>
  <c r="CG22" i="15"/>
  <c r="CK22" i="15" s="1"/>
  <c r="CO22" i="15" s="1"/>
  <c r="DR22" i="15" s="1"/>
  <c r="DU22" i="15" s="1"/>
  <c r="CI20" i="15"/>
  <c r="CM20" i="15" s="1"/>
  <c r="CQ20" i="15" s="1"/>
  <c r="DT20" i="15" s="1"/>
  <c r="DW20" i="15" s="1"/>
  <c r="CH19" i="15"/>
  <c r="CL19" i="15" s="1"/>
  <c r="CP19" i="15" s="1"/>
  <c r="DS19" i="15" s="1"/>
  <c r="DV19" i="15" s="1"/>
  <c r="CG18" i="15"/>
  <c r="CK18" i="15" s="1"/>
  <c r="CI16" i="15"/>
  <c r="CM16" i="15" s="1"/>
  <c r="CQ16" i="15" s="1"/>
  <c r="DT16" i="15" s="1"/>
  <c r="DW16" i="15" s="1"/>
  <c r="CH15" i="15"/>
  <c r="CL15" i="15" s="1"/>
  <c r="CP15" i="15" s="1"/>
  <c r="CG14" i="15"/>
  <c r="CK14" i="15" s="1"/>
  <c r="CO14" i="15" s="1"/>
  <c r="DR14" i="15" s="1"/>
  <c r="DU14" i="15" s="1"/>
  <c r="CI12" i="15"/>
  <c r="CM12" i="15" s="1"/>
  <c r="CQ12" i="15" s="1"/>
  <c r="DT12" i="15" s="1"/>
  <c r="DW12" i="15" s="1"/>
  <c r="CH11" i="15"/>
  <c r="CL11" i="15" s="1"/>
  <c r="CG10" i="15"/>
  <c r="CK10" i="15" s="1"/>
  <c r="CO10" i="15" s="1"/>
  <c r="DR10" i="15" s="1"/>
  <c r="DU10" i="15" s="1"/>
  <c r="CG87" i="15"/>
  <c r="CK87" i="15" s="1"/>
  <c r="AN96" i="14"/>
  <c r="H135" i="14"/>
  <c r="D135" i="14"/>
  <c r="AI96" i="14"/>
  <c r="AM96" i="14"/>
  <c r="M110" i="14"/>
  <c r="I110" i="14"/>
  <c r="P104" i="14"/>
  <c r="O103" i="14"/>
  <c r="K103" i="14"/>
  <c r="P111" i="14"/>
  <c r="P107" i="14"/>
  <c r="P114" i="14"/>
  <c r="P112" i="14"/>
  <c r="O113" i="14"/>
  <c r="O102" i="14"/>
  <c r="I113" i="14"/>
  <c r="N113" i="14"/>
  <c r="L110" i="14"/>
  <c r="M109" i="14"/>
  <c r="I109" i="14"/>
  <c r="K106" i="14"/>
  <c r="O105" i="14"/>
  <c r="K105" i="14"/>
  <c r="J105" i="14"/>
  <c r="I105" i="14"/>
  <c r="J102" i="14"/>
  <c r="B113" i="14"/>
  <c r="G103" i="14"/>
  <c r="B103" i="14"/>
  <c r="L102" i="14"/>
  <c r="O110" i="14"/>
  <c r="K110" i="14"/>
  <c r="O109" i="14"/>
  <c r="K109" i="14"/>
  <c r="N106" i="14"/>
  <c r="J106" i="14"/>
  <c r="M103" i="14"/>
  <c r="I103" i="14"/>
  <c r="M102" i="14"/>
  <c r="I102" i="14"/>
  <c r="K113" i="14"/>
  <c r="L106" i="14"/>
  <c r="K102" i="14"/>
  <c r="M113" i="14"/>
  <c r="L113" i="14"/>
  <c r="J113" i="14"/>
  <c r="L109" i="14"/>
  <c r="O106" i="14"/>
  <c r="L105" i="14"/>
  <c r="N105" i="14"/>
  <c r="M105" i="14"/>
  <c r="N102" i="14"/>
  <c r="N110" i="14"/>
  <c r="J110" i="14"/>
  <c r="N109" i="14"/>
  <c r="J109" i="14"/>
  <c r="M106" i="14"/>
  <c r="I106" i="14"/>
  <c r="L103" i="14"/>
  <c r="P108" i="14"/>
  <c r="D113" i="14"/>
  <c r="H102" i="14"/>
  <c r="C113" i="14"/>
  <c r="C103" i="14"/>
  <c r="F113" i="14"/>
  <c r="F103" i="14"/>
  <c r="H113" i="14"/>
  <c r="D102" i="14"/>
  <c r="G113" i="14"/>
  <c r="C102" i="14"/>
  <c r="E113" i="14"/>
  <c r="G110" i="14"/>
  <c r="G109" i="14"/>
  <c r="E105" i="14"/>
  <c r="B110" i="14"/>
  <c r="B109" i="14"/>
  <c r="E106" i="14"/>
  <c r="H105" i="14"/>
  <c r="C105" i="14"/>
  <c r="E110" i="14"/>
  <c r="G106" i="14"/>
  <c r="B106" i="14"/>
  <c r="G105" i="14"/>
  <c r="B105" i="14"/>
  <c r="E103" i="14"/>
  <c r="C110" i="14"/>
  <c r="C109" i="14"/>
  <c r="C106" i="14"/>
  <c r="E102" i="14"/>
  <c r="F110" i="14"/>
  <c r="F109" i="14"/>
  <c r="H106" i="14"/>
  <c r="D106" i="14"/>
  <c r="D105" i="14"/>
  <c r="F102" i="14"/>
  <c r="E109" i="14"/>
  <c r="B102" i="14"/>
  <c r="G102" i="14"/>
  <c r="H110" i="14"/>
  <c r="D110" i="14"/>
  <c r="H109" i="14"/>
  <c r="D109" i="14"/>
  <c r="F106" i="14"/>
  <c r="F105" i="14"/>
  <c r="H103" i="14"/>
  <c r="D103" i="14"/>
  <c r="AE136" i="10"/>
  <c r="AJ132" i="10"/>
  <c r="AJ131" i="10"/>
  <c r="AE131" i="10"/>
  <c r="AH131" i="10"/>
  <c r="R94" i="10"/>
  <c r="T90" i="10"/>
  <c r="R90" i="10"/>
  <c r="M137" i="10"/>
  <c r="R86" i="10"/>
  <c r="P135" i="10" s="1"/>
  <c r="R82" i="10"/>
  <c r="V134" i="10" s="1"/>
  <c r="T78" i="10"/>
  <c r="R74" i="10"/>
  <c r="T70" i="10"/>
  <c r="T66" i="10"/>
  <c r="R66" i="10"/>
  <c r="T62" i="10"/>
  <c r="R62" i="10"/>
  <c r="T58" i="10"/>
  <c r="R58" i="10"/>
  <c r="T54" i="10"/>
  <c r="R54" i="10"/>
  <c r="T50" i="10"/>
  <c r="R50" i="10"/>
  <c r="T46" i="10"/>
  <c r="R46" i="10"/>
  <c r="R42" i="10"/>
  <c r="T38" i="10"/>
  <c r="R38" i="10"/>
  <c r="T34" i="10"/>
  <c r="R34" i="10"/>
  <c r="T30" i="10"/>
  <c r="R30" i="10"/>
  <c r="M130" i="10"/>
  <c r="T86" i="10"/>
  <c r="T82" i="10"/>
  <c r="R78" i="10"/>
  <c r="T74" i="10"/>
  <c r="R70" i="10"/>
  <c r="AK131" i="10"/>
  <c r="AK138" i="10"/>
  <c r="AF138" i="10"/>
  <c r="AB138" i="10"/>
  <c r="AJ138" i="10"/>
  <c r="AE138" i="10"/>
  <c r="AH138" i="10"/>
  <c r="AH136" i="10"/>
  <c r="AK136" i="10"/>
  <c r="AF136" i="10"/>
  <c r="AB136" i="10"/>
  <c r="M131" i="10"/>
  <c r="AF131" i="10"/>
  <c r="AG131" i="10" s="1"/>
  <c r="T94" i="10"/>
  <c r="M133" i="10"/>
  <c r="R95" i="10"/>
  <c r="P138" i="10" s="1"/>
  <c r="M134" i="10"/>
  <c r="AK128" i="10"/>
  <c r="AF128" i="10"/>
  <c r="AB128" i="10"/>
  <c r="AH128" i="10"/>
  <c r="AJ128" i="10"/>
  <c r="AE128" i="10"/>
  <c r="M126" i="10"/>
  <c r="M139" i="10"/>
  <c r="AH127" i="10"/>
  <c r="G134" i="10"/>
  <c r="G138" i="10"/>
  <c r="G127" i="10"/>
  <c r="G131" i="10"/>
  <c r="G139" i="10"/>
  <c r="G126" i="10"/>
  <c r="U131" i="10"/>
  <c r="S76" i="10" s="1"/>
  <c r="W131" i="10" s="1"/>
  <c r="Y131" i="10" s="1"/>
  <c r="Z131" i="10" s="1"/>
  <c r="G135" i="10"/>
  <c r="G128" i="10"/>
  <c r="G136" i="10"/>
  <c r="G129" i="10"/>
  <c r="G133" i="10"/>
  <c r="G137" i="10"/>
  <c r="V131" i="10"/>
  <c r="G132" i="10"/>
  <c r="U134" i="10"/>
  <c r="V128" i="10"/>
  <c r="V132" i="10"/>
  <c r="S131" i="10"/>
  <c r="U132" i="10"/>
  <c r="S77" i="10" s="1"/>
  <c r="W132" i="10" s="1"/>
  <c r="Y132" i="10" s="1"/>
  <c r="Z132" i="10" s="1"/>
  <c r="S134" i="10"/>
  <c r="Q134" i="10"/>
  <c r="Q132" i="10"/>
  <c r="R132" i="10" s="1"/>
  <c r="S132" i="10"/>
  <c r="Q131" i="10"/>
  <c r="R131" i="10" s="1"/>
  <c r="P127" i="10"/>
  <c r="P134" i="10"/>
  <c r="C138" i="10"/>
  <c r="O138" i="10" s="1"/>
  <c r="C137" i="10"/>
  <c r="O137" i="10" s="1"/>
  <c r="C136" i="10"/>
  <c r="O136" i="10" s="1"/>
  <c r="C135" i="10"/>
  <c r="O135" i="10" s="1"/>
  <c r="C134" i="10"/>
  <c r="C133" i="10"/>
  <c r="C132" i="10"/>
  <c r="O132" i="10" s="1"/>
  <c r="C131" i="10"/>
  <c r="C130" i="10"/>
  <c r="C129" i="10"/>
  <c r="C128" i="10"/>
  <c r="O128" i="10" s="1"/>
  <c r="C127" i="10"/>
  <c r="C126" i="10"/>
  <c r="C125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N128" i="10"/>
  <c r="N138" i="10"/>
  <c r="N135" i="10"/>
  <c r="N132" i="10"/>
  <c r="N133" i="10"/>
  <c r="N139" i="10"/>
  <c r="D137" i="10"/>
  <c r="D126" i="10"/>
  <c r="N126" i="10"/>
  <c r="D127" i="10"/>
  <c r="N134" i="10"/>
  <c r="N130" i="10"/>
  <c r="N127" i="10"/>
  <c r="D133" i="10"/>
  <c r="D134" i="10"/>
  <c r="N131" i="10"/>
  <c r="N137" i="10"/>
  <c r="N129" i="10"/>
  <c r="D129" i="10"/>
  <c r="D130" i="10"/>
  <c r="D131" i="10"/>
  <c r="J317" i="15" l="1"/>
  <c r="BI163" i="15"/>
  <c r="BI111" i="15"/>
  <c r="AF179" i="15"/>
  <c r="BI155" i="15"/>
  <c r="BH154" i="15"/>
  <c r="BH206" i="15"/>
  <c r="BI188" i="15"/>
  <c r="N162" i="15"/>
  <c r="O188" i="15"/>
  <c r="N171" i="15"/>
  <c r="O196" i="15"/>
  <c r="CH23" i="15"/>
  <c r="CL23" i="15" s="1"/>
  <c r="CP23" i="15" s="1"/>
  <c r="DS23" i="15" s="1"/>
  <c r="BI168" i="15"/>
  <c r="BI185" i="15"/>
  <c r="AF168" i="15"/>
  <c r="BH138" i="15"/>
  <c r="BI104" i="15"/>
  <c r="BI103" i="15"/>
  <c r="BH137" i="15"/>
  <c r="BH171" i="15"/>
  <c r="BI196" i="15"/>
  <c r="O179" i="15"/>
  <c r="O175" i="15"/>
  <c r="BI189" i="15"/>
  <c r="BI162" i="15"/>
  <c r="BH179" i="15"/>
  <c r="BI145" i="15"/>
  <c r="BH113" i="15"/>
  <c r="BI172" i="15"/>
  <c r="BI108" i="15"/>
  <c r="B361" i="15"/>
  <c r="F361" i="15" s="1"/>
  <c r="N175" i="15"/>
  <c r="AF159" i="15"/>
  <c r="AF180" i="15"/>
  <c r="BI107" i="15"/>
  <c r="BH107" i="15"/>
  <c r="H370" i="15"/>
  <c r="EE40" i="15"/>
  <c r="EC40" i="15"/>
  <c r="E164" i="15"/>
  <c r="BE164" i="15" s="1"/>
  <c r="D147" i="15"/>
  <c r="N188" i="15"/>
  <c r="O205" i="15"/>
  <c r="BI206" i="15"/>
  <c r="BI202" i="15"/>
  <c r="BH189" i="15"/>
  <c r="BH151" i="15"/>
  <c r="BI138" i="15"/>
  <c r="N179" i="15"/>
  <c r="O213" i="15"/>
  <c r="O193" i="15"/>
  <c r="BI198" i="15"/>
  <c r="BI171" i="15"/>
  <c r="BI175" i="15"/>
  <c r="BH155" i="15"/>
  <c r="N206" i="15"/>
  <c r="N202" i="15"/>
  <c r="BI181" i="15"/>
  <c r="BH145" i="15"/>
  <c r="BH104" i="15"/>
  <c r="N151" i="15"/>
  <c r="O154" i="15"/>
  <c r="N189" i="15"/>
  <c r="N214" i="15"/>
  <c r="N192" i="15"/>
  <c r="BI193" i="15"/>
  <c r="BH180" i="15"/>
  <c r="BI137" i="15"/>
  <c r="BH111" i="15"/>
  <c r="BI100" i="15"/>
  <c r="DS86" i="15"/>
  <c r="C349" i="15" s="1"/>
  <c r="F349" i="15" s="1"/>
  <c r="Z229" i="15"/>
  <c r="Q229" i="15"/>
  <c r="K229" i="15"/>
  <c r="W229" i="15"/>
  <c r="E229" i="15"/>
  <c r="DS2" i="15"/>
  <c r="DV2" i="15" s="1"/>
  <c r="CO15" i="15"/>
  <c r="AD220" i="15" s="1"/>
  <c r="BH220" i="15"/>
  <c r="BI220" i="15"/>
  <c r="CO18" i="15"/>
  <c r="DT28" i="15"/>
  <c r="DW28" i="15" s="1"/>
  <c r="X223" i="15"/>
  <c r="F223" i="15"/>
  <c r="BF223" i="15" s="1"/>
  <c r="R223" i="15"/>
  <c r="L223" i="15"/>
  <c r="AA223" i="15"/>
  <c r="DT87" i="15"/>
  <c r="DW87" i="15" s="1"/>
  <c r="EN87" i="15" s="1"/>
  <c r="AF120" i="15"/>
  <c r="BI159" i="15"/>
  <c r="BH159" i="15"/>
  <c r="BH163" i="15"/>
  <c r="BI164" i="15"/>
  <c r="BH209" i="15"/>
  <c r="BI209" i="15"/>
  <c r="B371" i="15"/>
  <c r="F371" i="15" s="1"/>
  <c r="EA40" i="15"/>
  <c r="BI158" i="15"/>
  <c r="BH158" i="15"/>
  <c r="O171" i="15"/>
  <c r="O189" i="15"/>
  <c r="N197" i="15"/>
  <c r="O180" i="15"/>
  <c r="BH188" i="15"/>
  <c r="BI179" i="15"/>
  <c r="BI151" i="15"/>
  <c r="BH112" i="15"/>
  <c r="N185" i="15"/>
  <c r="BI214" i="15"/>
  <c r="BH185" i="15"/>
  <c r="BH172" i="15"/>
  <c r="BH162" i="15"/>
  <c r="O209" i="15"/>
  <c r="BH210" i="15"/>
  <c r="BH181" i="15"/>
  <c r="BI134" i="15"/>
  <c r="O158" i="15"/>
  <c r="N205" i="15"/>
  <c r="O206" i="15"/>
  <c r="DT18" i="15"/>
  <c r="DW18" i="15" s="1"/>
  <c r="DT75" i="15"/>
  <c r="D344" i="15" s="1"/>
  <c r="G344" i="15" s="1"/>
  <c r="AA224" i="15"/>
  <c r="R224" i="15"/>
  <c r="L224" i="15"/>
  <c r="X224" i="15"/>
  <c r="F224" i="15"/>
  <c r="CO2" i="15"/>
  <c r="P219" i="15" s="1"/>
  <c r="DS76" i="15"/>
  <c r="C345" i="15" s="1"/>
  <c r="F345" i="15" s="1"/>
  <c r="Z225" i="15"/>
  <c r="Q225" i="15"/>
  <c r="K225" i="15"/>
  <c r="W225" i="15"/>
  <c r="E225" i="15"/>
  <c r="CO87" i="15"/>
  <c r="P230" i="15" s="1"/>
  <c r="CO17" i="15"/>
  <c r="BI221" i="15"/>
  <c r="BH221" i="15"/>
  <c r="DT86" i="15"/>
  <c r="D349" i="15" s="1"/>
  <c r="G349" i="15" s="1"/>
  <c r="X229" i="15"/>
  <c r="F229" i="15"/>
  <c r="AA229" i="15"/>
  <c r="R229" i="15"/>
  <c r="L229" i="15"/>
  <c r="DS28" i="15"/>
  <c r="DV28" i="15" s="1"/>
  <c r="BI142" i="15"/>
  <c r="BH142" i="15"/>
  <c r="M155" i="15"/>
  <c r="O214" i="15"/>
  <c r="O210" i="15"/>
  <c r="BH205" i="15"/>
  <c r="BH215" i="15"/>
  <c r="BH164" i="15"/>
  <c r="O197" i="15"/>
  <c r="O168" i="15"/>
  <c r="BH198" i="15"/>
  <c r="BH168" i="15"/>
  <c r="BH134" i="15"/>
  <c r="BH103" i="15"/>
  <c r="O162" i="15"/>
  <c r="O172" i="15"/>
  <c r="N180" i="15"/>
  <c r="BH213" i="15"/>
  <c r="BH196" i="15"/>
  <c r="BH176" i="15"/>
  <c r="BI154" i="15"/>
  <c r="BH108" i="15"/>
  <c r="BH100" i="15"/>
  <c r="DT76" i="15"/>
  <c r="D345" i="15" s="1"/>
  <c r="G345" i="15" s="1"/>
  <c r="X225" i="15"/>
  <c r="F225" i="15"/>
  <c r="AA225" i="15"/>
  <c r="R225" i="15"/>
  <c r="L225" i="15"/>
  <c r="DT15" i="15"/>
  <c r="DW15" i="15" s="1"/>
  <c r="AA220" i="15"/>
  <c r="R220" i="15"/>
  <c r="L220" i="15"/>
  <c r="X220" i="15"/>
  <c r="F220" i="15"/>
  <c r="CO81" i="15"/>
  <c r="P227" i="15" s="1"/>
  <c r="DS77" i="15"/>
  <c r="W226" i="15"/>
  <c r="E226" i="15"/>
  <c r="Z226" i="15"/>
  <c r="Q226" i="15"/>
  <c r="K226" i="15"/>
  <c r="CO75" i="15"/>
  <c r="AE224" i="15" s="1"/>
  <c r="BH224" i="15"/>
  <c r="BI224" i="15"/>
  <c r="DS18" i="15"/>
  <c r="DV18" i="15" s="1"/>
  <c r="W222" i="15"/>
  <c r="E222" i="15"/>
  <c r="Z222" i="15"/>
  <c r="Q222" i="15"/>
  <c r="K222" i="15"/>
  <c r="DS85" i="15"/>
  <c r="C348" i="15" s="1"/>
  <c r="F348" i="15" s="1"/>
  <c r="W228" i="15"/>
  <c r="E228" i="15"/>
  <c r="Z228" i="15"/>
  <c r="Q228" i="15"/>
  <c r="K228" i="15"/>
  <c r="DT17" i="15"/>
  <c r="D341" i="15" s="1"/>
  <c r="G341" i="15" s="1"/>
  <c r="X221" i="15"/>
  <c r="F221" i="15"/>
  <c r="AA221" i="15"/>
  <c r="R221" i="15"/>
  <c r="L221" i="15"/>
  <c r="DT85" i="15"/>
  <c r="D348" i="15" s="1"/>
  <c r="G348" i="15" s="1"/>
  <c r="AA228" i="15"/>
  <c r="R228" i="15"/>
  <c r="L228" i="15"/>
  <c r="X228" i="15"/>
  <c r="F228" i="15"/>
  <c r="CO94" i="15"/>
  <c r="DS15" i="15"/>
  <c r="W220" i="15"/>
  <c r="E220" i="15"/>
  <c r="Z220" i="15"/>
  <c r="Q220" i="15"/>
  <c r="K220" i="15"/>
  <c r="DS75" i="15"/>
  <c r="C344" i="15" s="1"/>
  <c r="F344" i="15" s="1"/>
  <c r="W224" i="15"/>
  <c r="E224" i="15"/>
  <c r="Z224" i="15"/>
  <c r="Q224" i="15"/>
  <c r="K224" i="15"/>
  <c r="CO86" i="15"/>
  <c r="BI229" i="15"/>
  <c r="BH229" i="15"/>
  <c r="CO85" i="15"/>
  <c r="BI228" i="15"/>
  <c r="BH228" i="15"/>
  <c r="DT94" i="15"/>
  <c r="D351" i="15" s="1"/>
  <c r="G351" i="15" s="1"/>
  <c r="X231" i="15"/>
  <c r="F231" i="15"/>
  <c r="R231" i="15"/>
  <c r="L231" i="15"/>
  <c r="AA231" i="15"/>
  <c r="DS17" i="15"/>
  <c r="C341" i="15" s="1"/>
  <c r="F341" i="15" s="1"/>
  <c r="Z221" i="15"/>
  <c r="Q221" i="15"/>
  <c r="K221" i="15"/>
  <c r="W221" i="15"/>
  <c r="E221" i="15"/>
  <c r="CO28" i="15"/>
  <c r="S223" i="15" s="1"/>
  <c r="DR76" i="15"/>
  <c r="B345" i="15" s="1"/>
  <c r="BH225" i="15"/>
  <c r="P225" i="15"/>
  <c r="DS87" i="15"/>
  <c r="DV87" i="15" s="1"/>
  <c r="EM87" i="15" s="1"/>
  <c r="W230" i="15"/>
  <c r="E230" i="15"/>
  <c r="BE230" i="15" s="1"/>
  <c r="Z230" i="15"/>
  <c r="Q230" i="15"/>
  <c r="K230" i="15"/>
  <c r="DT2" i="15"/>
  <c r="DW2" i="15" s="1"/>
  <c r="ET2" i="15" s="1"/>
  <c r="I317" i="15"/>
  <c r="K317" i="15" s="1"/>
  <c r="AF171" i="15"/>
  <c r="BI192" i="15"/>
  <c r="BH192" i="15"/>
  <c r="BA113" i="15"/>
  <c r="N213" i="15"/>
  <c r="O176" i="15"/>
  <c r="BH202" i="15"/>
  <c r="O202" i="15"/>
  <c r="N163" i="15"/>
  <c r="P129" i="10"/>
  <c r="S128" i="10"/>
  <c r="U128" i="10"/>
  <c r="S18" i="10" s="1"/>
  <c r="W128" i="10" s="1"/>
  <c r="Y128" i="10" s="1"/>
  <c r="Z128" i="10" s="1"/>
  <c r="V133" i="10"/>
  <c r="AK132" i="10"/>
  <c r="AH126" i="10"/>
  <c r="Q128" i="10"/>
  <c r="R128" i="10" s="1"/>
  <c r="AK133" i="10"/>
  <c r="Q129" i="10"/>
  <c r="S127" i="10"/>
  <c r="AF137" i="10"/>
  <c r="AE132" i="10"/>
  <c r="AH132" i="10"/>
  <c r="Q127" i="10"/>
  <c r="R127" i="10" s="1"/>
  <c r="S135" i="10"/>
  <c r="U135" i="10"/>
  <c r="S86" i="10" s="1"/>
  <c r="W135" i="10" s="1"/>
  <c r="Y135" i="10" s="1"/>
  <c r="Z135" i="10" s="1"/>
  <c r="U127" i="10"/>
  <c r="S16" i="10" s="1"/>
  <c r="AK134" i="10"/>
  <c r="AK130" i="10"/>
  <c r="V137" i="10"/>
  <c r="AB132" i="10"/>
  <c r="S129" i="10"/>
  <c r="AK126" i="10"/>
  <c r="U126" i="10"/>
  <c r="S3" i="10" s="1"/>
  <c r="AJ129" i="10"/>
  <c r="O133" i="10"/>
  <c r="Q136" i="10"/>
  <c r="R136" i="10" s="1"/>
  <c r="S136" i="10"/>
  <c r="Q135" i="10"/>
  <c r="R135" i="10" s="1"/>
  <c r="U136" i="10"/>
  <c r="S87" i="10" s="1"/>
  <c r="W136" i="10" s="1"/>
  <c r="Y136" i="10" s="1"/>
  <c r="Z136" i="10" s="1"/>
  <c r="V136" i="10"/>
  <c r="P126" i="10"/>
  <c r="AJ127" i="10"/>
  <c r="AJ126" i="10"/>
  <c r="AK139" i="10"/>
  <c r="AF127" i="10"/>
  <c r="AF126" i="10"/>
  <c r="Q137" i="10"/>
  <c r="U129" i="10"/>
  <c r="S27" i="10" s="1"/>
  <c r="AE129" i="10"/>
  <c r="Q126" i="10"/>
  <c r="S126" i="10"/>
  <c r="AE127" i="10"/>
  <c r="AB126" i="10"/>
  <c r="AE126" i="10"/>
  <c r="AG136" i="10"/>
  <c r="V130" i="10"/>
  <c r="AD131" i="10"/>
  <c r="AB129" i="10"/>
  <c r="V126" i="10"/>
  <c r="V139" i="10"/>
  <c r="AF129" i="10"/>
  <c r="AH129" i="10"/>
  <c r="AB137" i="10"/>
  <c r="AD137" i="10" s="1"/>
  <c r="V129" i="10"/>
  <c r="AK127" i="10"/>
  <c r="AK129" i="10"/>
  <c r="AK137" i="10"/>
  <c r="CC52" i="16"/>
  <c r="CF94" i="16"/>
  <c r="CA9" i="16"/>
  <c r="CD90" i="16"/>
  <c r="CC91" i="16"/>
  <c r="CA52" i="16"/>
  <c r="CF77" i="16"/>
  <c r="CE77" i="16"/>
  <c r="CA42" i="16"/>
  <c r="CB77" i="16"/>
  <c r="CF23" i="16"/>
  <c r="CA81" i="16"/>
  <c r="CE90" i="16"/>
  <c r="CB23" i="16"/>
  <c r="CC23" i="16"/>
  <c r="CB9" i="16"/>
  <c r="CD9" i="16"/>
  <c r="CD13" i="16"/>
  <c r="CA13" i="16"/>
  <c r="CE13" i="16"/>
  <c r="CB13" i="16"/>
  <c r="CB91" i="16"/>
  <c r="CD91" i="16"/>
  <c r="CE91" i="16"/>
  <c r="CA91" i="16"/>
  <c r="CD23" i="16"/>
  <c r="CB52" i="16"/>
  <c r="F147" i="15"/>
  <c r="BB113" i="15"/>
  <c r="E130" i="15"/>
  <c r="BE130" i="15" s="1"/>
  <c r="G365" i="15"/>
  <c r="H365" i="15" s="1"/>
  <c r="BF100" i="15"/>
  <c r="BC113" i="15"/>
  <c r="AF155" i="15"/>
  <c r="CG77" i="15"/>
  <c r="CK77" i="15" s="1"/>
  <c r="CH13" i="15"/>
  <c r="CL13" i="15" s="1"/>
  <c r="CP13" i="15" s="1"/>
  <c r="DS13" i="15" s="1"/>
  <c r="CI13" i="15"/>
  <c r="CM13" i="15" s="1"/>
  <c r="CQ13" i="15" s="1"/>
  <c r="DT13" i="15" s="1"/>
  <c r="DW13" i="15" s="1"/>
  <c r="EN13" i="15" s="1"/>
  <c r="DV9" i="15"/>
  <c r="AF202" i="15"/>
  <c r="AF111" i="15"/>
  <c r="DU91" i="15"/>
  <c r="EE91" i="15" s="1"/>
  <c r="N107" i="15"/>
  <c r="N111" i="15"/>
  <c r="ES2" i="15"/>
  <c r="G358" i="15"/>
  <c r="H358" i="15" s="1"/>
  <c r="EI2" i="15"/>
  <c r="EM2" i="15"/>
  <c r="EJ2" i="15"/>
  <c r="EG2" i="15"/>
  <c r="EK2" i="15"/>
  <c r="EH2" i="15"/>
  <c r="EL2" i="15"/>
  <c r="BH121" i="15"/>
  <c r="C371" i="15"/>
  <c r="AF197" i="15"/>
  <c r="EB89" i="15"/>
  <c r="EF89" i="15"/>
  <c r="EC89" i="15"/>
  <c r="DZ89" i="15"/>
  <c r="ED89" i="15"/>
  <c r="EA89" i="15"/>
  <c r="EE89" i="15"/>
  <c r="EJ93" i="15"/>
  <c r="EG93" i="15"/>
  <c r="EK93" i="15"/>
  <c r="EH93" i="15"/>
  <c r="EL93" i="15"/>
  <c r="EI93" i="15"/>
  <c r="EM93" i="15"/>
  <c r="EG88" i="15"/>
  <c r="EK88" i="15"/>
  <c r="EH88" i="15"/>
  <c r="EL88" i="15"/>
  <c r="EI88" i="15"/>
  <c r="EM88" i="15"/>
  <c r="EJ88" i="15"/>
  <c r="DZ91" i="15"/>
  <c r="EB91" i="15"/>
  <c r="EC88" i="15"/>
  <c r="DZ88" i="15"/>
  <c r="ED88" i="15"/>
  <c r="EA88" i="15"/>
  <c r="EE88" i="15"/>
  <c r="EB88" i="15"/>
  <c r="EF88" i="15"/>
  <c r="EL87" i="15"/>
  <c r="EI87" i="15"/>
  <c r="EG87" i="15"/>
  <c r="EK87" i="15"/>
  <c r="EG92" i="15"/>
  <c r="EK92" i="15"/>
  <c r="EH92" i="15"/>
  <c r="EL92" i="15"/>
  <c r="EI92" i="15"/>
  <c r="EM92" i="15"/>
  <c r="EJ92" i="15"/>
  <c r="CI91" i="15"/>
  <c r="CM91" i="15" s="1"/>
  <c r="CQ91" i="15" s="1"/>
  <c r="DT91" i="15" s="1"/>
  <c r="DW91" i="15" s="1"/>
  <c r="EJ89" i="15"/>
  <c r="EG89" i="15"/>
  <c r="EK89" i="15"/>
  <c r="EH89" i="15"/>
  <c r="EL89" i="15"/>
  <c r="EI89" i="15"/>
  <c r="EM89" i="15"/>
  <c r="EN89" i="15"/>
  <c r="ER89" i="15"/>
  <c r="EO89" i="15"/>
  <c r="ES89" i="15"/>
  <c r="EP89" i="15"/>
  <c r="ET89" i="15"/>
  <c r="EQ89" i="15"/>
  <c r="EO92" i="15"/>
  <c r="ES92" i="15"/>
  <c r="EP92" i="15"/>
  <c r="ET92" i="15"/>
  <c r="EQ92" i="15"/>
  <c r="EN92" i="15"/>
  <c r="ER92" i="15"/>
  <c r="EO88" i="15"/>
  <c r="ES88" i="15"/>
  <c r="EP88" i="15"/>
  <c r="ET88" i="15"/>
  <c r="EQ88" i="15"/>
  <c r="EN88" i="15"/>
  <c r="ER88" i="15"/>
  <c r="EB93" i="15"/>
  <c r="EF93" i="15"/>
  <c r="EC93" i="15"/>
  <c r="DZ93" i="15"/>
  <c r="ED93" i="15"/>
  <c r="EA93" i="15"/>
  <c r="EE93" i="15"/>
  <c r="AF128" i="15"/>
  <c r="EQ87" i="15"/>
  <c r="ES87" i="15"/>
  <c r="EC92" i="15"/>
  <c r="DZ92" i="15"/>
  <c r="ED92" i="15"/>
  <c r="EA92" i="15"/>
  <c r="EE92" i="15"/>
  <c r="EB92" i="15"/>
  <c r="EF92" i="15"/>
  <c r="EN93" i="15"/>
  <c r="ER93" i="15"/>
  <c r="EO93" i="15"/>
  <c r="ES93" i="15"/>
  <c r="EP93" i="15"/>
  <c r="ET93" i="15"/>
  <c r="EQ93" i="15"/>
  <c r="EI90" i="15"/>
  <c r="EM90" i="15"/>
  <c r="EJ90" i="15"/>
  <c r="EG90" i="15"/>
  <c r="EK90" i="15"/>
  <c r="EH90" i="15"/>
  <c r="EL90" i="15"/>
  <c r="DV91" i="15"/>
  <c r="EA90" i="15"/>
  <c r="EE90" i="15"/>
  <c r="EB90" i="15"/>
  <c r="EF90" i="15"/>
  <c r="EC90" i="15"/>
  <c r="DZ90" i="15"/>
  <c r="ED90" i="15"/>
  <c r="J247" i="15"/>
  <c r="I247" i="15"/>
  <c r="K247" i="15" s="1"/>
  <c r="I246" i="15"/>
  <c r="K246" i="15" s="1"/>
  <c r="J246" i="15"/>
  <c r="EO82" i="15"/>
  <c r="ES82" i="15"/>
  <c r="EP82" i="15"/>
  <c r="ET82" i="15"/>
  <c r="EQ82" i="15"/>
  <c r="EN82" i="15"/>
  <c r="ER82" i="15"/>
  <c r="EC82" i="15"/>
  <c r="DZ82" i="15"/>
  <c r="ED82" i="15"/>
  <c r="EA82" i="15"/>
  <c r="EE82" i="15"/>
  <c r="EB82" i="15"/>
  <c r="EF82" i="15"/>
  <c r="EA84" i="15"/>
  <c r="EE84" i="15"/>
  <c r="EB84" i="15"/>
  <c r="EF84" i="15"/>
  <c r="EC84" i="15"/>
  <c r="DZ84" i="15"/>
  <c r="ED84" i="15"/>
  <c r="EB83" i="15"/>
  <c r="EF83" i="15"/>
  <c r="EC83" i="15"/>
  <c r="DZ83" i="15"/>
  <c r="ED83" i="15"/>
  <c r="EA83" i="15"/>
  <c r="EE83" i="15"/>
  <c r="EG82" i="15"/>
  <c r="EK82" i="15"/>
  <c r="EH82" i="15"/>
  <c r="EL82" i="15"/>
  <c r="EI82" i="15"/>
  <c r="EM82" i="15"/>
  <c r="EJ82" i="15"/>
  <c r="EI84" i="15"/>
  <c r="EM84" i="15"/>
  <c r="EJ84" i="15"/>
  <c r="EG84" i="15"/>
  <c r="EK84" i="15"/>
  <c r="EH84" i="15"/>
  <c r="EL84" i="15"/>
  <c r="EJ83" i="15"/>
  <c r="EG83" i="15"/>
  <c r="EK83" i="15"/>
  <c r="EH83" i="15"/>
  <c r="EL83" i="15"/>
  <c r="EI83" i="15"/>
  <c r="EM83" i="15"/>
  <c r="EQ84" i="15"/>
  <c r="EN84" i="15"/>
  <c r="ER84" i="15"/>
  <c r="EO84" i="15"/>
  <c r="ES84" i="15"/>
  <c r="EP84" i="15"/>
  <c r="ET84" i="15"/>
  <c r="EN83" i="15"/>
  <c r="ER83" i="15"/>
  <c r="EO83" i="15"/>
  <c r="ES83" i="15"/>
  <c r="EP83" i="15"/>
  <c r="ET83" i="15"/>
  <c r="EQ83" i="15"/>
  <c r="EQ79" i="15"/>
  <c r="EN79" i="15"/>
  <c r="ER79" i="15"/>
  <c r="EO79" i="15"/>
  <c r="ES79" i="15"/>
  <c r="EP79" i="15"/>
  <c r="ET79" i="15"/>
  <c r="EH80" i="15"/>
  <c r="EL80" i="15"/>
  <c r="EI80" i="15"/>
  <c r="EM80" i="15"/>
  <c r="EJ80" i="15"/>
  <c r="EG80" i="15"/>
  <c r="EK80" i="15"/>
  <c r="CI77" i="15"/>
  <c r="CM77" i="15" s="1"/>
  <c r="CQ77" i="15" s="1"/>
  <c r="EN78" i="15"/>
  <c r="ER78" i="15"/>
  <c r="EO78" i="15"/>
  <c r="ES78" i="15"/>
  <c r="EP78" i="15"/>
  <c r="ET78" i="15"/>
  <c r="EQ78" i="15"/>
  <c r="EP80" i="15"/>
  <c r="ET80" i="15"/>
  <c r="EQ80" i="15"/>
  <c r="EN80" i="15"/>
  <c r="ER80" i="15"/>
  <c r="EO80" i="15"/>
  <c r="ES80" i="15"/>
  <c r="EI79" i="15"/>
  <c r="EM79" i="15"/>
  <c r="EJ79" i="15"/>
  <c r="EG79" i="15"/>
  <c r="EK79" i="15"/>
  <c r="EH79" i="15"/>
  <c r="EL79" i="15"/>
  <c r="EJ78" i="15"/>
  <c r="EG78" i="15"/>
  <c r="EK78" i="15"/>
  <c r="EH78" i="15"/>
  <c r="EL78" i="15"/>
  <c r="EI78" i="15"/>
  <c r="EM78" i="15"/>
  <c r="DZ80" i="15"/>
  <c r="ED80" i="15"/>
  <c r="EA80" i="15"/>
  <c r="EE80" i="15"/>
  <c r="EB80" i="15"/>
  <c r="EF80" i="15"/>
  <c r="EC80" i="15"/>
  <c r="EA79" i="15"/>
  <c r="EE79" i="15"/>
  <c r="EB79" i="15"/>
  <c r="EF79" i="15"/>
  <c r="EC79" i="15"/>
  <c r="DZ79" i="15"/>
  <c r="ED79" i="15"/>
  <c r="EJ31" i="15"/>
  <c r="EK31" i="15"/>
  <c r="EG31" i="15"/>
  <c r="EL31" i="15"/>
  <c r="EI31" i="15"/>
  <c r="EM31" i="15"/>
  <c r="EH31" i="15"/>
  <c r="EH59" i="15"/>
  <c r="EL59" i="15"/>
  <c r="EI59" i="15"/>
  <c r="EM59" i="15"/>
  <c r="EJ59" i="15"/>
  <c r="EG59" i="15"/>
  <c r="EK59" i="15"/>
  <c r="EB41" i="15"/>
  <c r="EF41" i="15"/>
  <c r="EC41" i="15"/>
  <c r="DZ41" i="15"/>
  <c r="ED41" i="15"/>
  <c r="EA41" i="15"/>
  <c r="EE41" i="15"/>
  <c r="EB57" i="15"/>
  <c r="EF57" i="15"/>
  <c r="EC57" i="15"/>
  <c r="DZ57" i="15"/>
  <c r="ED57" i="15"/>
  <c r="EA57" i="15"/>
  <c r="EE57" i="15"/>
  <c r="EB73" i="15"/>
  <c r="EF73" i="15"/>
  <c r="EC73" i="15"/>
  <c r="ED73" i="15"/>
  <c r="EE73" i="15"/>
  <c r="DZ73" i="15"/>
  <c r="EA73" i="15"/>
  <c r="EN10" i="15"/>
  <c r="ER10" i="15"/>
  <c r="ES10" i="15"/>
  <c r="EO10" i="15"/>
  <c r="ET10" i="15"/>
  <c r="EQ10" i="15"/>
  <c r="EP10" i="15"/>
  <c r="EQ54" i="15"/>
  <c r="EN54" i="15"/>
  <c r="ER54" i="15"/>
  <c r="EO54" i="15"/>
  <c r="ES54" i="15"/>
  <c r="EP54" i="15"/>
  <c r="ET54" i="15"/>
  <c r="EQ70" i="15"/>
  <c r="EN70" i="15"/>
  <c r="ER70" i="15"/>
  <c r="EO70" i="15"/>
  <c r="ES70" i="15"/>
  <c r="EP70" i="15"/>
  <c r="ET70" i="15"/>
  <c r="EG40" i="15"/>
  <c r="EK40" i="15"/>
  <c r="EH40" i="15"/>
  <c r="EL40" i="15"/>
  <c r="EI40" i="15"/>
  <c r="EM40" i="15"/>
  <c r="EJ40" i="15"/>
  <c r="EN57" i="15"/>
  <c r="ER57" i="15"/>
  <c r="EO57" i="15"/>
  <c r="ES57" i="15"/>
  <c r="EP57" i="15"/>
  <c r="ET57" i="15"/>
  <c r="EQ57" i="15"/>
  <c r="EN73" i="15"/>
  <c r="ER73" i="15"/>
  <c r="EO73" i="15"/>
  <c r="ES73" i="15"/>
  <c r="ET73" i="15"/>
  <c r="EP73" i="15"/>
  <c r="EQ73" i="15"/>
  <c r="EA38" i="15"/>
  <c r="EE38" i="15"/>
  <c r="EB38" i="15"/>
  <c r="EF38" i="15"/>
  <c r="EC38" i="15"/>
  <c r="DZ38" i="15"/>
  <c r="ED38" i="15"/>
  <c r="EN36" i="15"/>
  <c r="ER36" i="15"/>
  <c r="EO36" i="15"/>
  <c r="ET36" i="15"/>
  <c r="EP36" i="15"/>
  <c r="EQ36" i="15"/>
  <c r="ES36" i="15"/>
  <c r="EA54" i="15"/>
  <c r="EE54" i="15"/>
  <c r="EB54" i="15"/>
  <c r="EF54" i="15"/>
  <c r="EC54" i="15"/>
  <c r="DZ54" i="15"/>
  <c r="ED54" i="15"/>
  <c r="EA70" i="15"/>
  <c r="EE70" i="15"/>
  <c r="EB70" i="15"/>
  <c r="EF70" i="15"/>
  <c r="EC70" i="15"/>
  <c r="DZ70" i="15"/>
  <c r="ED70" i="15"/>
  <c r="EN35" i="15"/>
  <c r="ER35" i="15"/>
  <c r="EO35" i="15"/>
  <c r="ES35" i="15"/>
  <c r="EQ35" i="15"/>
  <c r="ET35" i="15"/>
  <c r="EP35" i="15"/>
  <c r="EP51" i="15"/>
  <c r="ET51" i="15"/>
  <c r="EQ51" i="15"/>
  <c r="EN51" i="15"/>
  <c r="ER51" i="15"/>
  <c r="EO51" i="15"/>
  <c r="ES51" i="15"/>
  <c r="EP67" i="15"/>
  <c r="ET67" i="15"/>
  <c r="EQ67" i="15"/>
  <c r="EN67" i="15"/>
  <c r="ER67" i="15"/>
  <c r="EO67" i="15"/>
  <c r="ES67" i="15"/>
  <c r="EJ14" i="15"/>
  <c r="EI14" i="15"/>
  <c r="EK14" i="15"/>
  <c r="EH14" i="15"/>
  <c r="EL14" i="15"/>
  <c r="EM14" i="15"/>
  <c r="EG14" i="15"/>
  <c r="EH33" i="15"/>
  <c r="EL33" i="15"/>
  <c r="EI33" i="15"/>
  <c r="EM33" i="15"/>
  <c r="EK33" i="15"/>
  <c r="EG33" i="15"/>
  <c r="EJ33" i="15"/>
  <c r="EJ49" i="15"/>
  <c r="EG49" i="15"/>
  <c r="EK49" i="15"/>
  <c r="EH49" i="15"/>
  <c r="EL49" i="15"/>
  <c r="EI49" i="15"/>
  <c r="EM49" i="15"/>
  <c r="EJ65" i="15"/>
  <c r="EG65" i="15"/>
  <c r="EK65" i="15"/>
  <c r="EH65" i="15"/>
  <c r="EL65" i="15"/>
  <c r="EI65" i="15"/>
  <c r="EM65" i="15"/>
  <c r="EH12" i="15"/>
  <c r="EL12" i="15"/>
  <c r="EI12" i="15"/>
  <c r="EJ12" i="15"/>
  <c r="EG12" i="15"/>
  <c r="EK12" i="15"/>
  <c r="EM12" i="15"/>
  <c r="EP29" i="15"/>
  <c r="ET29" i="15"/>
  <c r="EO29" i="15"/>
  <c r="EQ29" i="15"/>
  <c r="ES29" i="15"/>
  <c r="EN29" i="15"/>
  <c r="ER29" i="15"/>
  <c r="EN45" i="15"/>
  <c r="EO45" i="15"/>
  <c r="ES45" i="15"/>
  <c r="ET45" i="15"/>
  <c r="EP45" i="15"/>
  <c r="EQ45" i="15"/>
  <c r="ER45" i="15"/>
  <c r="DZ63" i="15"/>
  <c r="ED63" i="15"/>
  <c r="EA63" i="15"/>
  <c r="EE63" i="15"/>
  <c r="EB63" i="15"/>
  <c r="EF63" i="15"/>
  <c r="EC63" i="15"/>
  <c r="EI3" i="15"/>
  <c r="EM3" i="15"/>
  <c r="EK3" i="15"/>
  <c r="EG3" i="15"/>
  <c r="EL3" i="15"/>
  <c r="EH3" i="15"/>
  <c r="EJ3" i="15"/>
  <c r="EQ32" i="15"/>
  <c r="EN32" i="15"/>
  <c r="ER32" i="15"/>
  <c r="EP32" i="15"/>
  <c r="ES32" i="15"/>
  <c r="ET32" i="15"/>
  <c r="EO32" i="15"/>
  <c r="EH43" i="15"/>
  <c r="EL43" i="15"/>
  <c r="EI43" i="15"/>
  <c r="EM43" i="15"/>
  <c r="EJ43" i="15"/>
  <c r="EG43" i="15"/>
  <c r="EK43" i="15"/>
  <c r="EO48" i="15"/>
  <c r="ES48" i="15"/>
  <c r="EP48" i="15"/>
  <c r="ET48" i="15"/>
  <c r="EQ48" i="15"/>
  <c r="EN48" i="15"/>
  <c r="ER48" i="15"/>
  <c r="EH55" i="15"/>
  <c r="EL55" i="15"/>
  <c r="EI55" i="15"/>
  <c r="EM55" i="15"/>
  <c r="EJ55" i="15"/>
  <c r="EG55" i="15"/>
  <c r="EK55" i="15"/>
  <c r="EO60" i="15"/>
  <c r="ES60" i="15"/>
  <c r="EP60" i="15"/>
  <c r="ET60" i="15"/>
  <c r="EQ60" i="15"/>
  <c r="EN60" i="15"/>
  <c r="ER60" i="15"/>
  <c r="EA66" i="15"/>
  <c r="EE66" i="15"/>
  <c r="EB66" i="15"/>
  <c r="EF66" i="15"/>
  <c r="EC66" i="15"/>
  <c r="DZ66" i="15"/>
  <c r="ED66" i="15"/>
  <c r="EH71" i="15"/>
  <c r="EL71" i="15"/>
  <c r="EI71" i="15"/>
  <c r="EM71" i="15"/>
  <c r="EJ71" i="15"/>
  <c r="EG71" i="15"/>
  <c r="EK71" i="15"/>
  <c r="EC5" i="15"/>
  <c r="EA5" i="15"/>
  <c r="EF5" i="15"/>
  <c r="EB5" i="15"/>
  <c r="DZ5" i="15"/>
  <c r="EE5" i="15"/>
  <c r="ED5" i="15"/>
  <c r="EN31" i="15"/>
  <c r="ER31" i="15"/>
  <c r="EP31" i="15"/>
  <c r="EQ31" i="15"/>
  <c r="ET31" i="15"/>
  <c r="EO31" i="15"/>
  <c r="ES31" i="15"/>
  <c r="EA37" i="15"/>
  <c r="EE37" i="15"/>
  <c r="ED37" i="15"/>
  <c r="DZ37" i="15"/>
  <c r="EF37" i="15"/>
  <c r="EB37" i="15"/>
  <c r="EC37" i="15"/>
  <c r="EP47" i="15"/>
  <c r="ET47" i="15"/>
  <c r="EQ47" i="15"/>
  <c r="EN47" i="15"/>
  <c r="ER47" i="15"/>
  <c r="EO47" i="15"/>
  <c r="ES47" i="15"/>
  <c r="EB53" i="15"/>
  <c r="EF53" i="15"/>
  <c r="EC53" i="15"/>
  <c r="DZ53" i="15"/>
  <c r="ED53" i="15"/>
  <c r="EA53" i="15"/>
  <c r="EE53" i="15"/>
  <c r="EI58" i="15"/>
  <c r="EM58" i="15"/>
  <c r="EJ58" i="15"/>
  <c r="EG58" i="15"/>
  <c r="EK58" i="15"/>
  <c r="EH58" i="15"/>
  <c r="EL58" i="15"/>
  <c r="EP63" i="15"/>
  <c r="ET63" i="15"/>
  <c r="EQ63" i="15"/>
  <c r="EN63" i="15"/>
  <c r="ER63" i="15"/>
  <c r="EO63" i="15"/>
  <c r="ES63" i="15"/>
  <c r="EB69" i="15"/>
  <c r="EF69" i="15"/>
  <c r="EC69" i="15"/>
  <c r="DZ69" i="15"/>
  <c r="ED69" i="15"/>
  <c r="EA69" i="15"/>
  <c r="EE69" i="15"/>
  <c r="EG74" i="15"/>
  <c r="EK74" i="15"/>
  <c r="EH74" i="15"/>
  <c r="EL74" i="15"/>
  <c r="EI74" i="15"/>
  <c r="EM74" i="15"/>
  <c r="EJ74" i="15"/>
  <c r="EJ6" i="15"/>
  <c r="EG6" i="15"/>
  <c r="EL6" i="15"/>
  <c r="EH6" i="15"/>
  <c r="EM6" i="15"/>
  <c r="EK6" i="15"/>
  <c r="EI6" i="15"/>
  <c r="EN6" i="15"/>
  <c r="ER6" i="15"/>
  <c r="EQ6" i="15"/>
  <c r="ES6" i="15"/>
  <c r="EP6" i="15"/>
  <c r="ET6" i="15"/>
  <c r="EO6" i="15"/>
  <c r="DZ12" i="15"/>
  <c r="ED12" i="15"/>
  <c r="EC12" i="15"/>
  <c r="EE12" i="15"/>
  <c r="EA12" i="15"/>
  <c r="EB12" i="15"/>
  <c r="EF12" i="15"/>
  <c r="EH29" i="15"/>
  <c r="EL29" i="15"/>
  <c r="EJ29" i="15"/>
  <c r="EK29" i="15"/>
  <c r="EI29" i="15"/>
  <c r="EM29" i="15"/>
  <c r="EG29" i="15"/>
  <c r="EO34" i="15"/>
  <c r="ES34" i="15"/>
  <c r="EP34" i="15"/>
  <c r="ET34" i="15"/>
  <c r="EN34" i="15"/>
  <c r="EQ34" i="15"/>
  <c r="ER34" i="15"/>
  <c r="EJ45" i="15"/>
  <c r="EG45" i="15"/>
  <c r="EK45" i="15"/>
  <c r="EH45" i="15"/>
  <c r="EL45" i="15"/>
  <c r="EM45" i="15"/>
  <c r="EI45" i="15"/>
  <c r="EQ50" i="15"/>
  <c r="EN50" i="15"/>
  <c r="ER50" i="15"/>
  <c r="EO50" i="15"/>
  <c r="ES50" i="15"/>
  <c r="EP50" i="15"/>
  <c r="ET50" i="15"/>
  <c r="EC56" i="15"/>
  <c r="DZ56" i="15"/>
  <c r="ED56" i="15"/>
  <c r="EA56" i="15"/>
  <c r="EE56" i="15"/>
  <c r="EB56" i="15"/>
  <c r="EF56" i="15"/>
  <c r="EJ61" i="15"/>
  <c r="EG61" i="15"/>
  <c r="EK61" i="15"/>
  <c r="EH61" i="15"/>
  <c r="EL61" i="15"/>
  <c r="EI61" i="15"/>
  <c r="EM61" i="15"/>
  <c r="EQ66" i="15"/>
  <c r="EN66" i="15"/>
  <c r="ER66" i="15"/>
  <c r="EO66" i="15"/>
  <c r="ES66" i="15"/>
  <c r="EP66" i="15"/>
  <c r="ET66" i="15"/>
  <c r="EC72" i="15"/>
  <c r="DZ72" i="15"/>
  <c r="ED72" i="15"/>
  <c r="EA72" i="15"/>
  <c r="EE72" i="15"/>
  <c r="EB72" i="15"/>
  <c r="EF72" i="15"/>
  <c r="EA7" i="15"/>
  <c r="EE7" i="15"/>
  <c r="EB7" i="15"/>
  <c r="EC7" i="15"/>
  <c r="DZ7" i="15"/>
  <c r="EF7" i="15"/>
  <c r="ED7" i="15"/>
  <c r="EB31" i="15"/>
  <c r="EF31" i="15"/>
  <c r="DZ31" i="15"/>
  <c r="EE31" i="15"/>
  <c r="EA31" i="15"/>
  <c r="EC31" i="15"/>
  <c r="ED31" i="15"/>
  <c r="EJ36" i="15"/>
  <c r="EI36" i="15"/>
  <c r="EK36" i="15"/>
  <c r="EG36" i="15"/>
  <c r="EL36" i="15"/>
  <c r="EH36" i="15"/>
  <c r="EM36" i="15"/>
  <c r="EN41" i="15"/>
  <c r="ER41" i="15"/>
  <c r="EO41" i="15"/>
  <c r="ES41" i="15"/>
  <c r="EP41" i="15"/>
  <c r="ET41" i="15"/>
  <c r="EQ41" i="15"/>
  <c r="EA47" i="15"/>
  <c r="ED47" i="15"/>
  <c r="DZ47" i="15"/>
  <c r="EE47" i="15"/>
  <c r="EB47" i="15"/>
  <c r="EF47" i="15"/>
  <c r="EC47" i="15"/>
  <c r="EN53" i="15"/>
  <c r="ER53" i="15"/>
  <c r="EO53" i="15"/>
  <c r="ES53" i="15"/>
  <c r="EP53" i="15"/>
  <c r="ET53" i="15"/>
  <c r="EQ53" i="15"/>
  <c r="DZ59" i="15"/>
  <c r="ED59" i="15"/>
  <c r="EA59" i="15"/>
  <c r="EE59" i="15"/>
  <c r="EB59" i="15"/>
  <c r="EF59" i="15"/>
  <c r="EC59" i="15"/>
  <c r="EG64" i="15"/>
  <c r="EK64" i="15"/>
  <c r="EH64" i="15"/>
  <c r="EL64" i="15"/>
  <c r="EI64" i="15"/>
  <c r="EM64" i="15"/>
  <c r="EJ64" i="15"/>
  <c r="EN69" i="15"/>
  <c r="ER69" i="15"/>
  <c r="EO69" i="15"/>
  <c r="ES69" i="15"/>
  <c r="EP69" i="15"/>
  <c r="ET69" i="15"/>
  <c r="EQ69" i="15"/>
  <c r="EP4" i="15"/>
  <c r="ET4" i="15"/>
  <c r="EQ4" i="15"/>
  <c r="ER4" i="15"/>
  <c r="EO4" i="15"/>
  <c r="ES4" i="15"/>
  <c r="EN4" i="15"/>
  <c r="EG9" i="15"/>
  <c r="EK9" i="15"/>
  <c r="EH9" i="15"/>
  <c r="EM9" i="15"/>
  <c r="EI9" i="15"/>
  <c r="EJ9" i="15"/>
  <c r="EL9" i="15"/>
  <c r="DU52" i="15"/>
  <c r="EB10" i="15"/>
  <c r="EF10" i="15"/>
  <c r="EC10" i="15"/>
  <c r="ED10" i="15"/>
  <c r="DZ10" i="15"/>
  <c r="EA10" i="15"/>
  <c r="EE10" i="15"/>
  <c r="EH47" i="15"/>
  <c r="EL47" i="15"/>
  <c r="EI47" i="15"/>
  <c r="EM47" i="15"/>
  <c r="EJ47" i="15"/>
  <c r="EK47" i="15"/>
  <c r="EG47" i="15"/>
  <c r="EO64" i="15"/>
  <c r="ES64" i="15"/>
  <c r="EP64" i="15"/>
  <c r="ET64" i="15"/>
  <c r="EQ64" i="15"/>
  <c r="EN64" i="15"/>
  <c r="ER64" i="15"/>
  <c r="EG30" i="15"/>
  <c r="EK30" i="15"/>
  <c r="EJ30" i="15"/>
  <c r="EL30" i="15"/>
  <c r="EI30" i="15"/>
  <c r="EM30" i="15"/>
  <c r="EH30" i="15"/>
  <c r="EJ46" i="15"/>
  <c r="EI46" i="15"/>
  <c r="EK46" i="15"/>
  <c r="EG46" i="15"/>
  <c r="EL46" i="15"/>
  <c r="EM46" i="15"/>
  <c r="EH46" i="15"/>
  <c r="EI62" i="15"/>
  <c r="EM62" i="15"/>
  <c r="EJ62" i="15"/>
  <c r="EG62" i="15"/>
  <c r="EK62" i="15"/>
  <c r="EH62" i="15"/>
  <c r="EL62" i="15"/>
  <c r="EG5" i="15"/>
  <c r="EK5" i="15"/>
  <c r="EL5" i="15"/>
  <c r="EH5" i="15"/>
  <c r="EM5" i="15"/>
  <c r="EJ5" i="15"/>
  <c r="EI5" i="15"/>
  <c r="EC44" i="15"/>
  <c r="DZ44" i="15"/>
  <c r="ED44" i="15"/>
  <c r="EA44" i="15"/>
  <c r="EE44" i="15"/>
  <c r="EB44" i="15"/>
  <c r="EF44" i="15"/>
  <c r="EC60" i="15"/>
  <c r="DZ60" i="15"/>
  <c r="ED60" i="15"/>
  <c r="EA60" i="15"/>
  <c r="EE60" i="15"/>
  <c r="EB60" i="15"/>
  <c r="EF60" i="15"/>
  <c r="EO5" i="15"/>
  <c r="ES5" i="15"/>
  <c r="EQ5" i="15"/>
  <c r="ER5" i="15"/>
  <c r="EP5" i="15"/>
  <c r="ET5" i="15"/>
  <c r="EN5" i="15"/>
  <c r="EB35" i="15"/>
  <c r="EF35" i="15"/>
  <c r="EC35" i="15"/>
  <c r="EA35" i="15"/>
  <c r="ED35" i="15"/>
  <c r="EE35" i="15"/>
  <c r="DZ35" i="15"/>
  <c r="DZ51" i="15"/>
  <c r="ED51" i="15"/>
  <c r="EA51" i="15"/>
  <c r="EE51" i="15"/>
  <c r="EB51" i="15"/>
  <c r="EF51" i="15"/>
  <c r="EC51" i="15"/>
  <c r="EG68" i="15"/>
  <c r="EK68" i="15"/>
  <c r="EH68" i="15"/>
  <c r="EL68" i="15"/>
  <c r="EI68" i="15"/>
  <c r="EM68" i="15"/>
  <c r="EJ68" i="15"/>
  <c r="EP8" i="15"/>
  <c r="ET8" i="15"/>
  <c r="ER8" i="15"/>
  <c r="EN8" i="15"/>
  <c r="ES8" i="15"/>
  <c r="EQ8" i="15"/>
  <c r="EO8" i="15"/>
  <c r="DU13" i="15"/>
  <c r="ES13" i="15"/>
  <c r="ER13" i="15"/>
  <c r="EP12" i="15"/>
  <c r="ET12" i="15"/>
  <c r="EN12" i="15"/>
  <c r="ES12" i="15"/>
  <c r="EO12" i="15"/>
  <c r="ER12" i="15"/>
  <c r="EQ12" i="15"/>
  <c r="EQ28" i="15"/>
  <c r="EO28" i="15"/>
  <c r="ET28" i="15"/>
  <c r="EP28" i="15"/>
  <c r="ES28" i="15"/>
  <c r="EN28" i="15"/>
  <c r="ER28" i="15"/>
  <c r="EC34" i="15"/>
  <c r="DZ34" i="15"/>
  <c r="ED34" i="15"/>
  <c r="EF34" i="15"/>
  <c r="EA34" i="15"/>
  <c r="EB34" i="15"/>
  <c r="EE34" i="15"/>
  <c r="EH39" i="15"/>
  <c r="EL39" i="15"/>
  <c r="EI39" i="15"/>
  <c r="EM39" i="15"/>
  <c r="EJ39" i="15"/>
  <c r="EK39" i="15"/>
  <c r="EG39" i="15"/>
  <c r="EO44" i="15"/>
  <c r="ES44" i="15"/>
  <c r="EP44" i="15"/>
  <c r="ET44" i="15"/>
  <c r="EQ44" i="15"/>
  <c r="ER44" i="15"/>
  <c r="EN44" i="15"/>
  <c r="EA50" i="15"/>
  <c r="EE50" i="15"/>
  <c r="EB50" i="15"/>
  <c r="EF50" i="15"/>
  <c r="EC50" i="15"/>
  <c r="DZ50" i="15"/>
  <c r="ED50" i="15"/>
  <c r="EO56" i="15"/>
  <c r="ES56" i="15"/>
  <c r="EP56" i="15"/>
  <c r="ET56" i="15"/>
  <c r="EQ56" i="15"/>
  <c r="EN56" i="15"/>
  <c r="ER56" i="15"/>
  <c r="EA62" i="15"/>
  <c r="EE62" i="15"/>
  <c r="EB62" i="15"/>
  <c r="EF62" i="15"/>
  <c r="EC62" i="15"/>
  <c r="DZ62" i="15"/>
  <c r="ED62" i="15"/>
  <c r="EH67" i="15"/>
  <c r="EL67" i="15"/>
  <c r="EI67" i="15"/>
  <c r="EM67" i="15"/>
  <c r="EJ67" i="15"/>
  <c r="EG67" i="15"/>
  <c r="EK67" i="15"/>
  <c r="EO72" i="15"/>
  <c r="ES72" i="15"/>
  <c r="EP72" i="15"/>
  <c r="ET72" i="15"/>
  <c r="EQ72" i="15"/>
  <c r="EN72" i="15"/>
  <c r="ER72" i="15"/>
  <c r="EQ7" i="15"/>
  <c r="ER7" i="15"/>
  <c r="EN7" i="15"/>
  <c r="ES7" i="15"/>
  <c r="EP7" i="15"/>
  <c r="ET7" i="15"/>
  <c r="EO7" i="15"/>
  <c r="DZ33" i="15"/>
  <c r="ED33" i="15"/>
  <c r="EA33" i="15"/>
  <c r="EE33" i="15"/>
  <c r="EC33" i="15"/>
  <c r="EF33" i="15"/>
  <c r="EB33" i="15"/>
  <c r="EI38" i="15"/>
  <c r="EM38" i="15"/>
  <c r="EJ38" i="15"/>
  <c r="EG38" i="15"/>
  <c r="EK38" i="15"/>
  <c r="EH38" i="15"/>
  <c r="EL38" i="15"/>
  <c r="EP43" i="15"/>
  <c r="ET43" i="15"/>
  <c r="EQ43" i="15"/>
  <c r="EN43" i="15"/>
  <c r="ER43" i="15"/>
  <c r="EO43" i="15"/>
  <c r="ES43" i="15"/>
  <c r="EB49" i="15"/>
  <c r="EF49" i="15"/>
  <c r="EC49" i="15"/>
  <c r="DZ49" i="15"/>
  <c r="ED49" i="15"/>
  <c r="EA49" i="15"/>
  <c r="EE49" i="15"/>
  <c r="EI54" i="15"/>
  <c r="EM54" i="15"/>
  <c r="EJ54" i="15"/>
  <c r="EG54" i="15"/>
  <c r="EK54" i="15"/>
  <c r="EH54" i="15"/>
  <c r="EL54" i="15"/>
  <c r="EP59" i="15"/>
  <c r="ET59" i="15"/>
  <c r="EQ59" i="15"/>
  <c r="EN59" i="15"/>
  <c r="ER59" i="15"/>
  <c r="EO59" i="15"/>
  <c r="ES59" i="15"/>
  <c r="EB65" i="15"/>
  <c r="EF65" i="15"/>
  <c r="EC65" i="15"/>
  <c r="DZ65" i="15"/>
  <c r="ED65" i="15"/>
  <c r="EA65" i="15"/>
  <c r="EE65" i="15"/>
  <c r="EI70" i="15"/>
  <c r="EM70" i="15"/>
  <c r="EJ70" i="15"/>
  <c r="EG70" i="15"/>
  <c r="EK70" i="15"/>
  <c r="EH70" i="15"/>
  <c r="EL70" i="15"/>
  <c r="EQ11" i="15"/>
  <c r="EN11" i="15"/>
  <c r="ES11" i="15"/>
  <c r="EO11" i="15"/>
  <c r="ET11" i="15"/>
  <c r="ER11" i="15"/>
  <c r="EP11" i="15"/>
  <c r="DZ8" i="15"/>
  <c r="ED8" i="15"/>
  <c r="EB8" i="15"/>
  <c r="EC8" i="15"/>
  <c r="EF8" i="15"/>
  <c r="EA8" i="15"/>
  <c r="EE8" i="15"/>
  <c r="EN14" i="15"/>
  <c r="ER14" i="15"/>
  <c r="EO14" i="15"/>
  <c r="ET14" i="15"/>
  <c r="EP14" i="15"/>
  <c r="ES14" i="15"/>
  <c r="EQ14" i="15"/>
  <c r="EO30" i="15"/>
  <c r="ES30" i="15"/>
  <c r="EP30" i="15"/>
  <c r="EQ30" i="15"/>
  <c r="ET30" i="15"/>
  <c r="EN30" i="15"/>
  <c r="ER30" i="15"/>
  <c r="EA36" i="15"/>
  <c r="EB36" i="15"/>
  <c r="EF36" i="15"/>
  <c r="ED36" i="15"/>
  <c r="EE36" i="15"/>
  <c r="DZ36" i="15"/>
  <c r="EC36" i="15"/>
  <c r="EJ41" i="15"/>
  <c r="EG41" i="15"/>
  <c r="EK41" i="15"/>
  <c r="EH41" i="15"/>
  <c r="EL41" i="15"/>
  <c r="EI41" i="15"/>
  <c r="EM41" i="15"/>
  <c r="EN46" i="15"/>
  <c r="ER46" i="15"/>
  <c r="EO46" i="15"/>
  <c r="ET46" i="15"/>
  <c r="EP46" i="15"/>
  <c r="EQ46" i="15"/>
  <c r="ES46" i="15"/>
  <c r="EJ57" i="15"/>
  <c r="EG57" i="15"/>
  <c r="EK57" i="15"/>
  <c r="EH57" i="15"/>
  <c r="EL57" i="15"/>
  <c r="EI57" i="15"/>
  <c r="EM57" i="15"/>
  <c r="EQ62" i="15"/>
  <c r="EN62" i="15"/>
  <c r="ER62" i="15"/>
  <c r="EO62" i="15"/>
  <c r="ES62" i="15"/>
  <c r="EP62" i="15"/>
  <c r="ET62" i="15"/>
  <c r="EC68" i="15"/>
  <c r="DZ68" i="15"/>
  <c r="ED68" i="15"/>
  <c r="EA68" i="15"/>
  <c r="EE68" i="15"/>
  <c r="EB68" i="15"/>
  <c r="EF68" i="15"/>
  <c r="EJ73" i="15"/>
  <c r="EG73" i="15"/>
  <c r="EK73" i="15"/>
  <c r="EL73" i="15"/>
  <c r="EM73" i="15"/>
  <c r="EH73" i="15"/>
  <c r="EI73" i="15"/>
  <c r="EQ3" i="15"/>
  <c r="EP3" i="15"/>
  <c r="ER3" i="15"/>
  <c r="EN3" i="15"/>
  <c r="EO3" i="15"/>
  <c r="ET3" i="15"/>
  <c r="ES3" i="15"/>
  <c r="EA3" i="15"/>
  <c r="EE3" i="15"/>
  <c r="DZ3" i="15"/>
  <c r="EF3" i="15"/>
  <c r="EB3" i="15"/>
  <c r="EC3" i="15"/>
  <c r="ED3" i="15"/>
  <c r="EH8" i="15"/>
  <c r="EL8" i="15"/>
  <c r="EG8" i="15"/>
  <c r="EM8" i="15"/>
  <c r="EI8" i="15"/>
  <c r="EJ8" i="15"/>
  <c r="EK8" i="15"/>
  <c r="EI32" i="15"/>
  <c r="EM32" i="15"/>
  <c r="EJ32" i="15"/>
  <c r="EH32" i="15"/>
  <c r="EK32" i="15"/>
  <c r="EL32" i="15"/>
  <c r="EG32" i="15"/>
  <c r="EN37" i="15"/>
  <c r="ER37" i="15"/>
  <c r="EO37" i="15"/>
  <c r="ES37" i="15"/>
  <c r="EP37" i="15"/>
  <c r="ET37" i="15"/>
  <c r="EQ37" i="15"/>
  <c r="DZ43" i="15"/>
  <c r="ED43" i="15"/>
  <c r="EA43" i="15"/>
  <c r="EE43" i="15"/>
  <c r="EB43" i="15"/>
  <c r="EF43" i="15"/>
  <c r="EC43" i="15"/>
  <c r="EG48" i="15"/>
  <c r="EK48" i="15"/>
  <c r="EH48" i="15"/>
  <c r="EL48" i="15"/>
  <c r="EI48" i="15"/>
  <c r="EM48" i="15"/>
  <c r="EJ48" i="15"/>
  <c r="DZ55" i="15"/>
  <c r="ED55" i="15"/>
  <c r="EA55" i="15"/>
  <c r="EE55" i="15"/>
  <c r="EB55" i="15"/>
  <c r="EF55" i="15"/>
  <c r="EC55" i="15"/>
  <c r="EG60" i="15"/>
  <c r="EK60" i="15"/>
  <c r="EH60" i="15"/>
  <c r="EL60" i="15"/>
  <c r="EI60" i="15"/>
  <c r="EM60" i="15"/>
  <c r="EJ60" i="15"/>
  <c r="EN65" i="15"/>
  <c r="ER65" i="15"/>
  <c r="EO65" i="15"/>
  <c r="ES65" i="15"/>
  <c r="EP65" i="15"/>
  <c r="ET65" i="15"/>
  <c r="EQ65" i="15"/>
  <c r="DZ71" i="15"/>
  <c r="ED71" i="15"/>
  <c r="EA71" i="15"/>
  <c r="EE71" i="15"/>
  <c r="EB71" i="15"/>
  <c r="EF71" i="15"/>
  <c r="EC71" i="15"/>
  <c r="EB6" i="15"/>
  <c r="EF6" i="15"/>
  <c r="EA6" i="15"/>
  <c r="EC6" i="15"/>
  <c r="DZ6" i="15"/>
  <c r="EE6" i="15"/>
  <c r="ED6" i="15"/>
  <c r="EB14" i="15"/>
  <c r="EF14" i="15"/>
  <c r="ED14" i="15"/>
  <c r="DZ14" i="15"/>
  <c r="EE14" i="15"/>
  <c r="EA14" i="15"/>
  <c r="EC14" i="15"/>
  <c r="EC30" i="15"/>
  <c r="DZ30" i="15"/>
  <c r="EE30" i="15"/>
  <c r="EA30" i="15"/>
  <c r="EF30" i="15"/>
  <c r="EB30" i="15"/>
  <c r="ED30" i="15"/>
  <c r="EJ35" i="15"/>
  <c r="EG35" i="15"/>
  <c r="EK35" i="15"/>
  <c r="EI35" i="15"/>
  <c r="EL35" i="15"/>
  <c r="EM35" i="15"/>
  <c r="EH35" i="15"/>
  <c r="EO40" i="15"/>
  <c r="ES40" i="15"/>
  <c r="EP40" i="15"/>
  <c r="ET40" i="15"/>
  <c r="EQ40" i="15"/>
  <c r="EN40" i="15"/>
  <c r="ER40" i="15"/>
  <c r="EB46" i="15"/>
  <c r="EF46" i="15"/>
  <c r="ED46" i="15"/>
  <c r="DZ46" i="15"/>
  <c r="EE46" i="15"/>
  <c r="EA46" i="15"/>
  <c r="EC46" i="15"/>
  <c r="EH51" i="15"/>
  <c r="EL51" i="15"/>
  <c r="EI51" i="15"/>
  <c r="EM51" i="15"/>
  <c r="EJ51" i="15"/>
  <c r="EG51" i="15"/>
  <c r="EK51" i="15"/>
  <c r="EA58" i="15"/>
  <c r="EE58" i="15"/>
  <c r="EB58" i="15"/>
  <c r="EF58" i="15"/>
  <c r="EC58" i="15"/>
  <c r="ED58" i="15"/>
  <c r="DZ58" i="15"/>
  <c r="EH63" i="15"/>
  <c r="EL63" i="15"/>
  <c r="EI63" i="15"/>
  <c r="EM63" i="15"/>
  <c r="EJ63" i="15"/>
  <c r="EK63" i="15"/>
  <c r="EG63" i="15"/>
  <c r="EO68" i="15"/>
  <c r="ES68" i="15"/>
  <c r="EP68" i="15"/>
  <c r="ET68" i="15"/>
  <c r="EQ68" i="15"/>
  <c r="ER68" i="15"/>
  <c r="EN68" i="15"/>
  <c r="EA74" i="15"/>
  <c r="EE74" i="15"/>
  <c r="EB74" i="15"/>
  <c r="EF74" i="15"/>
  <c r="DZ74" i="15"/>
  <c r="EC74" i="15"/>
  <c r="ED74" i="15"/>
  <c r="EJ10" i="15"/>
  <c r="EH10" i="15"/>
  <c r="EM10" i="15"/>
  <c r="EI10" i="15"/>
  <c r="EG10" i="15"/>
  <c r="EK10" i="15"/>
  <c r="EL10" i="15"/>
  <c r="DZ29" i="15"/>
  <c r="ED29" i="15"/>
  <c r="EE29" i="15"/>
  <c r="EA29" i="15"/>
  <c r="EF29" i="15"/>
  <c r="EB29" i="15"/>
  <c r="EC29" i="15"/>
  <c r="EG34" i="15"/>
  <c r="EK34" i="15"/>
  <c r="EH34" i="15"/>
  <c r="EL34" i="15"/>
  <c r="EI34" i="15"/>
  <c r="EJ34" i="15"/>
  <c r="EM34" i="15"/>
  <c r="EP39" i="15"/>
  <c r="ET39" i="15"/>
  <c r="EQ39" i="15"/>
  <c r="EN39" i="15"/>
  <c r="ER39" i="15"/>
  <c r="EO39" i="15"/>
  <c r="ES39" i="15"/>
  <c r="EB45" i="15"/>
  <c r="EF45" i="15"/>
  <c r="EC45" i="15"/>
  <c r="DZ45" i="15"/>
  <c r="ED45" i="15"/>
  <c r="EA45" i="15"/>
  <c r="EE45" i="15"/>
  <c r="EI50" i="15"/>
  <c r="EM50" i="15"/>
  <c r="EJ50" i="15"/>
  <c r="EG50" i="15"/>
  <c r="EK50" i="15"/>
  <c r="EL50" i="15"/>
  <c r="EH50" i="15"/>
  <c r="EP55" i="15"/>
  <c r="ET55" i="15"/>
  <c r="EQ55" i="15"/>
  <c r="EN55" i="15"/>
  <c r="ER55" i="15"/>
  <c r="ES55" i="15"/>
  <c r="EO55" i="15"/>
  <c r="EB61" i="15"/>
  <c r="EF61" i="15"/>
  <c r="EC61" i="15"/>
  <c r="DZ61" i="15"/>
  <c r="ED61" i="15"/>
  <c r="EE61" i="15"/>
  <c r="EA61" i="15"/>
  <c r="EI66" i="15"/>
  <c r="EM66" i="15"/>
  <c r="EJ66" i="15"/>
  <c r="EG66" i="15"/>
  <c r="EK66" i="15"/>
  <c r="EL66" i="15"/>
  <c r="EH66" i="15"/>
  <c r="EP71" i="15"/>
  <c r="ET71" i="15"/>
  <c r="EQ71" i="15"/>
  <c r="EN71" i="15"/>
  <c r="ER71" i="15"/>
  <c r="ES71" i="15"/>
  <c r="EO71" i="15"/>
  <c r="DZ4" i="15"/>
  <c r="ED4" i="15"/>
  <c r="EA4" i="15"/>
  <c r="EF4" i="15"/>
  <c r="EB4" i="15"/>
  <c r="EE4" i="15"/>
  <c r="EC4" i="15"/>
  <c r="EA32" i="15"/>
  <c r="DZ32" i="15"/>
  <c r="EE32" i="15"/>
  <c r="EB32" i="15"/>
  <c r="EF32" i="15"/>
  <c r="EC32" i="15"/>
  <c r="ED32" i="15"/>
  <c r="EI37" i="15"/>
  <c r="EJ37" i="15"/>
  <c r="EK37" i="15"/>
  <c r="EG37" i="15"/>
  <c r="EL37" i="15"/>
  <c r="EH37" i="15"/>
  <c r="EM37" i="15"/>
  <c r="EC48" i="15"/>
  <c r="DZ48" i="15"/>
  <c r="ED48" i="15"/>
  <c r="EA48" i="15"/>
  <c r="EE48" i="15"/>
  <c r="EF48" i="15"/>
  <c r="EB48" i="15"/>
  <c r="EJ53" i="15"/>
  <c r="EG53" i="15"/>
  <c r="EK53" i="15"/>
  <c r="EH53" i="15"/>
  <c r="EL53" i="15"/>
  <c r="EM53" i="15"/>
  <c r="EI53" i="15"/>
  <c r="EQ58" i="15"/>
  <c r="EN58" i="15"/>
  <c r="ER58" i="15"/>
  <c r="EO58" i="15"/>
  <c r="ES58" i="15"/>
  <c r="ET58" i="15"/>
  <c r="EP58" i="15"/>
  <c r="EC64" i="15"/>
  <c r="DZ64" i="15"/>
  <c r="ED64" i="15"/>
  <c r="EA64" i="15"/>
  <c r="EE64" i="15"/>
  <c r="EF64" i="15"/>
  <c r="EB64" i="15"/>
  <c r="EJ69" i="15"/>
  <c r="EG69" i="15"/>
  <c r="EK69" i="15"/>
  <c r="EH69" i="15"/>
  <c r="EL69" i="15"/>
  <c r="EM69" i="15"/>
  <c r="EI69" i="15"/>
  <c r="EO74" i="15"/>
  <c r="ES74" i="15"/>
  <c r="EP74" i="15"/>
  <c r="ET74" i="15"/>
  <c r="EQ74" i="15"/>
  <c r="EN74" i="15"/>
  <c r="ER74" i="15"/>
  <c r="EH4" i="15"/>
  <c r="EL4" i="15"/>
  <c r="EK4" i="15"/>
  <c r="EG4" i="15"/>
  <c r="EM4" i="15"/>
  <c r="EJ4" i="15"/>
  <c r="EI4" i="15"/>
  <c r="EI28" i="15"/>
  <c r="EM28" i="15"/>
  <c r="EJ28" i="15"/>
  <c r="EK28" i="15"/>
  <c r="EH28" i="15"/>
  <c r="EL28" i="15"/>
  <c r="EG28" i="15"/>
  <c r="EP33" i="15"/>
  <c r="ET33" i="15"/>
  <c r="EQ33" i="15"/>
  <c r="ES33" i="15"/>
  <c r="EN33" i="15"/>
  <c r="EO33" i="15"/>
  <c r="ER33" i="15"/>
  <c r="DZ39" i="15"/>
  <c r="ED39" i="15"/>
  <c r="EA39" i="15"/>
  <c r="EE39" i="15"/>
  <c r="EB39" i="15"/>
  <c r="EF39" i="15"/>
  <c r="EC39" i="15"/>
  <c r="EG44" i="15"/>
  <c r="EK44" i="15"/>
  <c r="EH44" i="15"/>
  <c r="EL44" i="15"/>
  <c r="EI44" i="15"/>
  <c r="EM44" i="15"/>
  <c r="EJ44" i="15"/>
  <c r="EN49" i="15"/>
  <c r="ER49" i="15"/>
  <c r="EO49" i="15"/>
  <c r="ES49" i="15"/>
  <c r="EP49" i="15"/>
  <c r="ET49" i="15"/>
  <c r="EQ49" i="15"/>
  <c r="EG56" i="15"/>
  <c r="EK56" i="15"/>
  <c r="EH56" i="15"/>
  <c r="EL56" i="15"/>
  <c r="EI56" i="15"/>
  <c r="EM56" i="15"/>
  <c r="EJ56" i="15"/>
  <c r="EN61" i="15"/>
  <c r="ER61" i="15"/>
  <c r="EO61" i="15"/>
  <c r="ES61" i="15"/>
  <c r="EP61" i="15"/>
  <c r="ET61" i="15"/>
  <c r="EQ61" i="15"/>
  <c r="DZ67" i="15"/>
  <c r="ED67" i="15"/>
  <c r="EA67" i="15"/>
  <c r="EE67" i="15"/>
  <c r="EB67" i="15"/>
  <c r="EF67" i="15"/>
  <c r="EC67" i="15"/>
  <c r="EG72" i="15"/>
  <c r="EK72" i="15"/>
  <c r="EH72" i="15"/>
  <c r="EL72" i="15"/>
  <c r="EI72" i="15"/>
  <c r="EM72" i="15"/>
  <c r="EJ72" i="15"/>
  <c r="EI7" i="15"/>
  <c r="EM7" i="15"/>
  <c r="EG7" i="15"/>
  <c r="EL7" i="15"/>
  <c r="EH7" i="15"/>
  <c r="EK7" i="15"/>
  <c r="EJ7" i="15"/>
  <c r="CH52" i="15"/>
  <c r="CL52" i="15" s="1"/>
  <c r="CP52" i="15" s="1"/>
  <c r="DS52" i="15" s="1"/>
  <c r="C343" i="15" s="1"/>
  <c r="F343" i="15" s="1"/>
  <c r="G371" i="15"/>
  <c r="DV42" i="15"/>
  <c r="EQ42" i="15"/>
  <c r="EN42" i="15"/>
  <c r="ER42" i="15"/>
  <c r="EO42" i="15"/>
  <c r="ES42" i="15"/>
  <c r="EP42" i="15"/>
  <c r="ET42" i="15"/>
  <c r="DZ26" i="15"/>
  <c r="ED26" i="15"/>
  <c r="EA26" i="15"/>
  <c r="EE26" i="15"/>
  <c r="EB26" i="15"/>
  <c r="EC26" i="15"/>
  <c r="EF26" i="15"/>
  <c r="EP22" i="15"/>
  <c r="ET22" i="15"/>
  <c r="EQ22" i="15"/>
  <c r="EN22" i="15"/>
  <c r="ES22" i="15"/>
  <c r="EO22" i="15"/>
  <c r="ER22" i="15"/>
  <c r="DZ22" i="15"/>
  <c r="ED22" i="15"/>
  <c r="EA22" i="15"/>
  <c r="EE22" i="15"/>
  <c r="EF22" i="15"/>
  <c r="EC22" i="15"/>
  <c r="EB22" i="15"/>
  <c r="EG27" i="15"/>
  <c r="EK27" i="15"/>
  <c r="EH27" i="15"/>
  <c r="EL27" i="15"/>
  <c r="EM27" i="15"/>
  <c r="EI27" i="15"/>
  <c r="EJ27" i="15"/>
  <c r="EH26" i="15"/>
  <c r="EL26" i="15"/>
  <c r="EI26" i="15"/>
  <c r="EM26" i="15"/>
  <c r="EJ26" i="15"/>
  <c r="EK26" i="15"/>
  <c r="EG26" i="15"/>
  <c r="EH22" i="15"/>
  <c r="EL22" i="15"/>
  <c r="EI22" i="15"/>
  <c r="EM22" i="15"/>
  <c r="EG22" i="15"/>
  <c r="EJ22" i="15"/>
  <c r="EK22" i="15"/>
  <c r="EP18" i="15"/>
  <c r="ET18" i="15"/>
  <c r="EQ18" i="15"/>
  <c r="ER18" i="15"/>
  <c r="ES18" i="15"/>
  <c r="EO18" i="15"/>
  <c r="EN18" i="15"/>
  <c r="EB24" i="15"/>
  <c r="EF24" i="15"/>
  <c r="EC24" i="15"/>
  <c r="ED24" i="15"/>
  <c r="EE24" i="15"/>
  <c r="DZ24" i="15"/>
  <c r="EA24" i="15"/>
  <c r="EJ20" i="15"/>
  <c r="EG20" i="15"/>
  <c r="EK20" i="15"/>
  <c r="EH20" i="15"/>
  <c r="EI20" i="15"/>
  <c r="EM20" i="15"/>
  <c r="EL20" i="15"/>
  <c r="EQ25" i="15"/>
  <c r="EN25" i="15"/>
  <c r="ER25" i="15"/>
  <c r="EO25" i="15"/>
  <c r="ET25" i="15"/>
  <c r="EP25" i="15"/>
  <c r="ES25" i="15"/>
  <c r="G361" i="15"/>
  <c r="H361" i="15" s="1"/>
  <c r="EA25" i="15"/>
  <c r="EE25" i="15"/>
  <c r="EB25" i="15"/>
  <c r="EF25" i="15"/>
  <c r="DZ25" i="15"/>
  <c r="EC25" i="15"/>
  <c r="ED25" i="15"/>
  <c r="EJ24" i="15"/>
  <c r="EG24" i="15"/>
  <c r="EK24" i="15"/>
  <c r="EL24" i="15"/>
  <c r="EM24" i="15"/>
  <c r="EI24" i="15"/>
  <c r="EH24" i="15"/>
  <c r="EH18" i="15"/>
  <c r="EL18" i="15"/>
  <c r="EI18" i="15"/>
  <c r="EM18" i="15"/>
  <c r="EJ18" i="15"/>
  <c r="EK18" i="15"/>
  <c r="EG18" i="15"/>
  <c r="EO27" i="15"/>
  <c r="ES27" i="15"/>
  <c r="EP27" i="15"/>
  <c r="ET27" i="15"/>
  <c r="EN27" i="15"/>
  <c r="ER27" i="15"/>
  <c r="EQ27" i="15"/>
  <c r="EB20" i="15"/>
  <c r="EF20" i="15"/>
  <c r="EC20" i="15"/>
  <c r="DZ20" i="15"/>
  <c r="EA20" i="15"/>
  <c r="ED20" i="15"/>
  <c r="EE20" i="15"/>
  <c r="EI25" i="15"/>
  <c r="EM25" i="15"/>
  <c r="EJ25" i="15"/>
  <c r="EG25" i="15"/>
  <c r="EH25" i="15"/>
  <c r="EL25" i="15"/>
  <c r="EK25" i="15"/>
  <c r="EQ21" i="15"/>
  <c r="EN21" i="15"/>
  <c r="ER21" i="15"/>
  <c r="ES21" i="15"/>
  <c r="ET21" i="15"/>
  <c r="EP21" i="15"/>
  <c r="EO21" i="15"/>
  <c r="EC27" i="15"/>
  <c r="DZ27" i="15"/>
  <c r="ED27" i="15"/>
  <c r="EE27" i="15"/>
  <c r="EB27" i="15"/>
  <c r="EF27" i="15"/>
  <c r="EA27" i="15"/>
  <c r="EN20" i="15"/>
  <c r="ER20" i="15"/>
  <c r="EO20" i="15"/>
  <c r="ES20" i="15"/>
  <c r="EP20" i="15"/>
  <c r="EQ20" i="15"/>
  <c r="ET20" i="15"/>
  <c r="EO19" i="15"/>
  <c r="ES19" i="15"/>
  <c r="EP19" i="15"/>
  <c r="ET19" i="15"/>
  <c r="ER19" i="15"/>
  <c r="EN19" i="15"/>
  <c r="EQ19" i="15"/>
  <c r="EG19" i="15"/>
  <c r="EK19" i="15"/>
  <c r="EH19" i="15"/>
  <c r="EL19" i="15"/>
  <c r="EM19" i="15"/>
  <c r="EJ19" i="15"/>
  <c r="EI19" i="15"/>
  <c r="EN24" i="15"/>
  <c r="ER24" i="15"/>
  <c r="EO24" i="15"/>
  <c r="ES24" i="15"/>
  <c r="ET24" i="15"/>
  <c r="EQ24" i="15"/>
  <c r="EP24" i="15"/>
  <c r="EA21" i="15"/>
  <c r="EE21" i="15"/>
  <c r="EB21" i="15"/>
  <c r="EF21" i="15"/>
  <c r="EC21" i="15"/>
  <c r="DZ21" i="15"/>
  <c r="ED21" i="15"/>
  <c r="EI21" i="15"/>
  <c r="EM21" i="15"/>
  <c r="EJ21" i="15"/>
  <c r="EK21" i="15"/>
  <c r="EL21" i="15"/>
  <c r="EG21" i="15"/>
  <c r="EH21" i="15"/>
  <c r="EP26" i="15"/>
  <c r="ET26" i="15"/>
  <c r="EQ26" i="15"/>
  <c r="ER26" i="15"/>
  <c r="ES26" i="15"/>
  <c r="EO26" i="15"/>
  <c r="EN26" i="15"/>
  <c r="CI23" i="15"/>
  <c r="CM23" i="15" s="1"/>
  <c r="CQ23" i="15" s="1"/>
  <c r="DT23" i="15" s="1"/>
  <c r="DW23" i="15" s="1"/>
  <c r="EG16" i="15"/>
  <c r="EK16" i="15"/>
  <c r="EH16" i="15"/>
  <c r="EL16" i="15"/>
  <c r="EI16" i="15"/>
  <c r="EM16" i="15"/>
  <c r="EJ16" i="15"/>
  <c r="EC16" i="15"/>
  <c r="DZ16" i="15"/>
  <c r="ED16" i="15"/>
  <c r="EA16" i="15"/>
  <c r="EE16" i="15"/>
  <c r="EB16" i="15"/>
  <c r="EF16" i="15"/>
  <c r="EO16" i="15"/>
  <c r="ES16" i="15"/>
  <c r="EP16" i="15"/>
  <c r="ET16" i="15"/>
  <c r="EQ16" i="15"/>
  <c r="EN16" i="15"/>
  <c r="ER16" i="15"/>
  <c r="EP15" i="15"/>
  <c r="ET15" i="15"/>
  <c r="EQ15" i="15"/>
  <c r="EN15" i="15"/>
  <c r="ER15" i="15"/>
  <c r="EO15" i="15"/>
  <c r="ES15" i="15"/>
  <c r="BH120" i="15"/>
  <c r="N134" i="15"/>
  <c r="BG103" i="15"/>
  <c r="BE113" i="15"/>
  <c r="G366" i="15"/>
  <c r="H366" i="15" s="1"/>
  <c r="BF111" i="15"/>
  <c r="O121" i="15"/>
  <c r="BG111" i="15"/>
  <c r="O120" i="15"/>
  <c r="N124" i="15"/>
  <c r="DX14" i="15"/>
  <c r="DY14" i="15"/>
  <c r="DX30" i="15"/>
  <c r="DY30" i="15"/>
  <c r="DX46" i="15"/>
  <c r="DY46" i="15"/>
  <c r="DY58" i="15"/>
  <c r="DX58" i="15"/>
  <c r="DY74" i="15"/>
  <c r="DX74" i="15"/>
  <c r="DY21" i="15"/>
  <c r="DX21" i="15"/>
  <c r="DY29" i="15"/>
  <c r="DX29" i="15"/>
  <c r="DY45" i="15"/>
  <c r="DX45" i="15"/>
  <c r="DY61" i="15"/>
  <c r="DX61" i="15"/>
  <c r="DY89" i="15"/>
  <c r="DX89" i="15"/>
  <c r="DY4" i="15"/>
  <c r="DX4" i="15"/>
  <c r="DY16" i="15"/>
  <c r="DX16" i="15"/>
  <c r="DY32" i="15"/>
  <c r="DX32" i="15"/>
  <c r="DY48" i="15"/>
  <c r="DX48" i="15"/>
  <c r="DY64" i="15"/>
  <c r="DX64" i="15"/>
  <c r="DX80" i="15"/>
  <c r="DY80" i="15"/>
  <c r="DX39" i="15"/>
  <c r="DY39" i="15"/>
  <c r="DY67" i="15"/>
  <c r="DX67" i="15"/>
  <c r="DX79" i="15"/>
  <c r="DY79" i="15"/>
  <c r="DY10" i="15"/>
  <c r="DX10" i="15"/>
  <c r="DY26" i="15"/>
  <c r="DX26" i="15"/>
  <c r="DX54" i="15"/>
  <c r="DY54" i="15"/>
  <c r="DX70" i="15"/>
  <c r="DY70" i="15"/>
  <c r="DY25" i="15"/>
  <c r="DX25" i="15"/>
  <c r="DY41" i="15"/>
  <c r="DX41" i="15"/>
  <c r="DY57" i="15"/>
  <c r="DX57" i="15"/>
  <c r="DY73" i="15"/>
  <c r="DX73" i="15"/>
  <c r="DX88" i="15"/>
  <c r="DY88" i="15"/>
  <c r="DY44" i="15"/>
  <c r="DX44" i="15"/>
  <c r="DY60" i="15"/>
  <c r="DX60" i="15"/>
  <c r="DY35" i="15"/>
  <c r="DX35" i="15"/>
  <c r="DX40" i="15"/>
  <c r="DY40" i="15"/>
  <c r="DY51" i="15"/>
  <c r="DX51" i="15"/>
  <c r="DX63" i="15"/>
  <c r="DY63" i="15"/>
  <c r="DX22" i="15"/>
  <c r="DY22" i="15"/>
  <c r="DY66" i="15"/>
  <c r="DX66" i="15"/>
  <c r="DY82" i="15"/>
  <c r="DX82" i="15"/>
  <c r="DY5" i="15"/>
  <c r="DX5" i="15"/>
  <c r="DY37" i="15"/>
  <c r="DX37" i="15"/>
  <c r="DY53" i="15"/>
  <c r="DX53" i="15"/>
  <c r="DY69" i="15"/>
  <c r="DX69" i="15"/>
  <c r="DY12" i="15"/>
  <c r="DX12" i="15"/>
  <c r="DY24" i="15"/>
  <c r="DX24" i="15"/>
  <c r="DY56" i="15"/>
  <c r="DX56" i="15"/>
  <c r="DY72" i="15"/>
  <c r="DX72" i="15"/>
  <c r="DY84" i="15"/>
  <c r="DX84" i="15"/>
  <c r="DX7" i="15"/>
  <c r="DY7" i="15"/>
  <c r="DX31" i="15"/>
  <c r="DY31" i="15"/>
  <c r="DX47" i="15"/>
  <c r="DY47" i="15"/>
  <c r="DY59" i="15"/>
  <c r="DX59" i="15"/>
  <c r="DY83" i="15"/>
  <c r="DX83" i="15"/>
  <c r="DY93" i="15"/>
  <c r="DX93" i="15"/>
  <c r="DY34" i="15"/>
  <c r="DX34" i="15"/>
  <c r="DY50" i="15"/>
  <c r="DX50" i="15"/>
  <c r="DX62" i="15"/>
  <c r="DY62" i="15"/>
  <c r="DY33" i="15"/>
  <c r="DX33" i="15"/>
  <c r="DX38" i="15"/>
  <c r="DY38" i="15"/>
  <c r="DY49" i="15"/>
  <c r="DX49" i="15"/>
  <c r="DY65" i="15"/>
  <c r="DX65" i="15"/>
  <c r="DY92" i="15"/>
  <c r="DX92" i="15"/>
  <c r="DX11" i="15"/>
  <c r="DY11" i="15"/>
  <c r="DY8" i="15"/>
  <c r="DX8" i="15"/>
  <c r="DY20" i="15"/>
  <c r="DX20" i="15"/>
  <c r="DY36" i="15"/>
  <c r="DX36" i="15"/>
  <c r="DY68" i="15"/>
  <c r="DX68" i="15"/>
  <c r="DY3" i="15"/>
  <c r="DX3" i="15"/>
  <c r="DY27" i="15"/>
  <c r="DX27" i="15"/>
  <c r="DY43" i="15"/>
  <c r="DX43" i="15"/>
  <c r="DX55" i="15"/>
  <c r="DY55" i="15"/>
  <c r="DX71" i="15"/>
  <c r="DY71" i="15"/>
  <c r="DX6" i="15"/>
  <c r="DY6" i="15"/>
  <c r="D241" i="15"/>
  <c r="G241" i="15" s="1"/>
  <c r="DW52" i="15"/>
  <c r="AF151" i="15"/>
  <c r="DR87" i="15"/>
  <c r="DU87" i="15" s="1"/>
  <c r="S230" i="15"/>
  <c r="DR81" i="15"/>
  <c r="DU81" i="15" s="1"/>
  <c r="S227" i="15"/>
  <c r="B254" i="15"/>
  <c r="D296" i="15"/>
  <c r="G296" i="15" s="1"/>
  <c r="BF164" i="15"/>
  <c r="CH81" i="15"/>
  <c r="CL81" i="15" s="1"/>
  <c r="CP81" i="15" s="1"/>
  <c r="DW85" i="15"/>
  <c r="DW76" i="15"/>
  <c r="DV13" i="15"/>
  <c r="C340" i="15"/>
  <c r="F340" i="15" s="1"/>
  <c r="DR2" i="15"/>
  <c r="DU2" i="15" s="1"/>
  <c r="S219" i="15"/>
  <c r="AF117" i="15"/>
  <c r="CI9" i="15"/>
  <c r="CM9" i="15" s="1"/>
  <c r="CQ9" i="15" s="1"/>
  <c r="DT9" i="15" s="1"/>
  <c r="DW9" i="15" s="1"/>
  <c r="AC113" i="15"/>
  <c r="AF107" i="15"/>
  <c r="O125" i="15"/>
  <c r="AF210" i="15"/>
  <c r="BE111" i="15"/>
  <c r="BE134" i="15"/>
  <c r="E147" i="15"/>
  <c r="BE147" i="15" s="1"/>
  <c r="DV23" i="15"/>
  <c r="DU76" i="15"/>
  <c r="DV85" i="15"/>
  <c r="DW75" i="15"/>
  <c r="DV77" i="15"/>
  <c r="DU9" i="15"/>
  <c r="DW17" i="15"/>
  <c r="DV75" i="15"/>
  <c r="D249" i="15"/>
  <c r="DU23" i="15"/>
  <c r="CI90" i="15"/>
  <c r="CM90" i="15" s="1"/>
  <c r="CQ90" i="15" s="1"/>
  <c r="DT90" i="15" s="1"/>
  <c r="DW90" i="15" s="1"/>
  <c r="D333" i="15"/>
  <c r="G333" i="15" s="1"/>
  <c r="M117" i="15"/>
  <c r="DV17" i="15"/>
  <c r="G369" i="15"/>
  <c r="H369" i="15" s="1"/>
  <c r="DV15" i="15"/>
  <c r="DR19" i="15"/>
  <c r="DU19" i="15" s="1"/>
  <c r="S222" i="15"/>
  <c r="BG104" i="15"/>
  <c r="AF189" i="15"/>
  <c r="D362" i="15"/>
  <c r="H362" i="15" s="1"/>
  <c r="D371" i="15"/>
  <c r="DR42" i="15"/>
  <c r="DU42" i="15" s="1"/>
  <c r="AF138" i="15"/>
  <c r="AF121" i="15"/>
  <c r="AF206" i="15"/>
  <c r="CB94" i="16"/>
  <c r="CC13" i="16"/>
  <c r="CF13" i="16"/>
  <c r="BG100" i="15"/>
  <c r="BD107" i="15"/>
  <c r="CI81" i="15"/>
  <c r="CM81" i="15" s="1"/>
  <c r="CQ81" i="15" s="1"/>
  <c r="AF196" i="15"/>
  <c r="CH94" i="15"/>
  <c r="CL94" i="15" s="1"/>
  <c r="CP94" i="15" s="1"/>
  <c r="AC181" i="15"/>
  <c r="AF100" i="15"/>
  <c r="BE100" i="15"/>
  <c r="D181" i="15"/>
  <c r="BD181" i="15" s="1"/>
  <c r="AF214" i="15"/>
  <c r="AF162" i="15"/>
  <c r="BI117" i="15"/>
  <c r="BH117" i="15"/>
  <c r="BI197" i="15"/>
  <c r="AC215" i="15"/>
  <c r="AC130" i="15"/>
  <c r="AK96" i="14"/>
  <c r="F113" i="15"/>
  <c r="F215" i="15"/>
  <c r="BF215" i="15" s="1"/>
  <c r="AC164" i="15"/>
  <c r="F181" i="15"/>
  <c r="BF181" i="15" s="1"/>
  <c r="BH125" i="15"/>
  <c r="F130" i="15"/>
  <c r="BF130" i="15" s="1"/>
  <c r="BH130" i="15" s="1"/>
  <c r="AC198" i="15"/>
  <c r="BD113" i="15"/>
  <c r="AF188" i="15"/>
  <c r="DC77" i="15"/>
  <c r="E215" i="15"/>
  <c r="BE215" i="15" s="1"/>
  <c r="AF134" i="15"/>
  <c r="D198" i="15"/>
  <c r="BD198" i="15" s="1"/>
  <c r="M134" i="15"/>
  <c r="O100" i="15"/>
  <c r="E198" i="15"/>
  <c r="BE198" i="15" s="1"/>
  <c r="BD151" i="15"/>
  <c r="BD164" i="15"/>
  <c r="BE168" i="15"/>
  <c r="E181" i="15"/>
  <c r="BE181" i="15" s="1"/>
  <c r="BF134" i="15"/>
  <c r="BF147" i="15"/>
  <c r="L146" i="14"/>
  <c r="O146" i="14" s="1"/>
  <c r="H148" i="14"/>
  <c r="C148" i="14"/>
  <c r="C163" i="14" s="1"/>
  <c r="M143" i="14"/>
  <c r="P143" i="14" s="1"/>
  <c r="E158" i="14"/>
  <c r="B157" i="14"/>
  <c r="L142" i="14"/>
  <c r="O142" i="14" s="1"/>
  <c r="B148" i="14"/>
  <c r="B163" i="14" s="1"/>
  <c r="M139" i="14"/>
  <c r="P139" i="14" s="1"/>
  <c r="E154" i="14"/>
  <c r="N139" i="14"/>
  <c r="Q139" i="14" s="1"/>
  <c r="H154" i="14"/>
  <c r="L139" i="14"/>
  <c r="O139" i="14" s="1"/>
  <c r="B154" i="14"/>
  <c r="L138" i="14"/>
  <c r="O138" i="14" s="1"/>
  <c r="N138" i="14"/>
  <c r="Q138" i="14" s="1"/>
  <c r="M138" i="14"/>
  <c r="P138" i="14" s="1"/>
  <c r="F150" i="14"/>
  <c r="D150" i="14"/>
  <c r="D148" i="14"/>
  <c r="G148" i="14"/>
  <c r="G163" i="14" s="1"/>
  <c r="G150" i="14"/>
  <c r="J150" i="14"/>
  <c r="J148" i="14"/>
  <c r="J163" i="14" s="1"/>
  <c r="H150" i="14"/>
  <c r="N135" i="14"/>
  <c r="Q135" i="14" s="1"/>
  <c r="E150" i="14"/>
  <c r="M135" i="14"/>
  <c r="P135" i="14" s="1"/>
  <c r="I148" i="14"/>
  <c r="I163" i="14" s="1"/>
  <c r="I150" i="14"/>
  <c r="L135" i="14"/>
  <c r="O135" i="14" s="1"/>
  <c r="F288" i="15"/>
  <c r="C301" i="15"/>
  <c r="F301" i="15" s="1"/>
  <c r="E322" i="15"/>
  <c r="I322" i="15"/>
  <c r="K322" i="15" s="1"/>
  <c r="B335" i="15"/>
  <c r="J322" i="15"/>
  <c r="E329" i="15"/>
  <c r="J329" i="15"/>
  <c r="I329" i="15"/>
  <c r="K329" i="15" s="1"/>
  <c r="E309" i="15"/>
  <c r="J309" i="15"/>
  <c r="I309" i="15"/>
  <c r="K309" i="15" s="1"/>
  <c r="F271" i="15"/>
  <c r="C284" i="15"/>
  <c r="F284" i="15" s="1"/>
  <c r="G254" i="15"/>
  <c r="D267" i="15"/>
  <c r="G267" i="15" s="1"/>
  <c r="E248" i="15"/>
  <c r="I248" i="15"/>
  <c r="K248" i="15" s="1"/>
  <c r="J248" i="15"/>
  <c r="E298" i="15"/>
  <c r="I298" i="15"/>
  <c r="K298" i="15" s="1"/>
  <c r="J298" i="15"/>
  <c r="F237" i="15"/>
  <c r="C250" i="15"/>
  <c r="F250" i="15" s="1"/>
  <c r="F305" i="15"/>
  <c r="C318" i="15"/>
  <c r="F318" i="15" s="1"/>
  <c r="E295" i="15"/>
  <c r="J295" i="15"/>
  <c r="I295" i="15"/>
  <c r="K295" i="15" s="1"/>
  <c r="E275" i="15"/>
  <c r="I275" i="15"/>
  <c r="K275" i="15" s="1"/>
  <c r="J275" i="15"/>
  <c r="E245" i="15"/>
  <c r="J245" i="15"/>
  <c r="I245" i="15"/>
  <c r="K245" i="15" s="1"/>
  <c r="E312" i="15"/>
  <c r="J312" i="15"/>
  <c r="I312" i="15"/>
  <c r="K312" i="15" s="1"/>
  <c r="E292" i="15"/>
  <c r="J292" i="15"/>
  <c r="I292" i="15"/>
  <c r="K292" i="15" s="1"/>
  <c r="F254" i="15"/>
  <c r="C267" i="15"/>
  <c r="E241" i="15"/>
  <c r="E272" i="15"/>
  <c r="J272" i="15"/>
  <c r="I272" i="15"/>
  <c r="K272" i="15" s="1"/>
  <c r="E323" i="15"/>
  <c r="I323" i="15"/>
  <c r="K323" i="15" s="1"/>
  <c r="J323" i="15"/>
  <c r="E345" i="15"/>
  <c r="J345" i="15"/>
  <c r="E288" i="15"/>
  <c r="B301" i="15"/>
  <c r="I288" i="15"/>
  <c r="K288" i="15" s="1"/>
  <c r="J288" i="15"/>
  <c r="E315" i="15"/>
  <c r="J315" i="15"/>
  <c r="I315" i="15"/>
  <c r="K315" i="15" s="1"/>
  <c r="E297" i="15"/>
  <c r="I297" i="15"/>
  <c r="K297" i="15" s="1"/>
  <c r="J297" i="15"/>
  <c r="E244" i="15"/>
  <c r="I244" i="15"/>
  <c r="K244" i="15" s="1"/>
  <c r="J244" i="15"/>
  <c r="E325" i="15"/>
  <c r="J325" i="15"/>
  <c r="I325" i="15"/>
  <c r="K325" i="15" s="1"/>
  <c r="E282" i="15"/>
  <c r="I282" i="15"/>
  <c r="K282" i="15" s="1"/>
  <c r="J282" i="15"/>
  <c r="E238" i="15"/>
  <c r="J238" i="15"/>
  <c r="I238" i="15"/>
  <c r="K238" i="15" s="1"/>
  <c r="G322" i="15"/>
  <c r="E330" i="15"/>
  <c r="J330" i="15"/>
  <c r="I330" i="15"/>
  <c r="K330" i="15" s="1"/>
  <c r="E274" i="15"/>
  <c r="I274" i="15"/>
  <c r="K274" i="15" s="1"/>
  <c r="J274" i="15"/>
  <c r="E305" i="15"/>
  <c r="J305" i="15"/>
  <c r="B318" i="15"/>
  <c r="I305" i="15"/>
  <c r="K305" i="15" s="1"/>
  <c r="E291" i="15"/>
  <c r="J291" i="15"/>
  <c r="I291" i="15"/>
  <c r="K291" i="15" s="1"/>
  <c r="E278" i="15"/>
  <c r="I278" i="15"/>
  <c r="K278" i="15" s="1"/>
  <c r="J278" i="15"/>
  <c r="E258" i="15"/>
  <c r="J258" i="15"/>
  <c r="I258" i="15"/>
  <c r="K258" i="15" s="1"/>
  <c r="G288" i="15"/>
  <c r="E296" i="15"/>
  <c r="E313" i="15"/>
  <c r="J313" i="15"/>
  <c r="I313" i="15"/>
  <c r="K313" i="15" s="1"/>
  <c r="E289" i="15"/>
  <c r="I289" i="15"/>
  <c r="K289" i="15" s="1"/>
  <c r="J289" i="15"/>
  <c r="E255" i="15"/>
  <c r="J255" i="15"/>
  <c r="I255" i="15"/>
  <c r="K255" i="15" s="1"/>
  <c r="E299" i="15"/>
  <c r="J299" i="15"/>
  <c r="I299" i="15"/>
  <c r="K299" i="15" s="1"/>
  <c r="E265" i="15"/>
  <c r="J265" i="15"/>
  <c r="I265" i="15"/>
  <c r="K265" i="15" s="1"/>
  <c r="E333" i="15"/>
  <c r="E254" i="15"/>
  <c r="J254" i="15"/>
  <c r="I254" i="15"/>
  <c r="K254" i="15" s="1"/>
  <c r="E271" i="15"/>
  <c r="J271" i="15"/>
  <c r="B284" i="15"/>
  <c r="I271" i="15"/>
  <c r="K271" i="15" s="1"/>
  <c r="E262" i="15"/>
  <c r="I262" i="15"/>
  <c r="K262" i="15" s="1"/>
  <c r="J262" i="15"/>
  <c r="E237" i="15"/>
  <c r="I237" i="15"/>
  <c r="K237" i="15" s="1"/>
  <c r="B250" i="15"/>
  <c r="J237" i="15"/>
  <c r="E326" i="15"/>
  <c r="J326" i="15"/>
  <c r="I326" i="15"/>
  <c r="K326" i="15" s="1"/>
  <c r="E306" i="15"/>
  <c r="J306" i="15"/>
  <c r="I306" i="15"/>
  <c r="K306" i="15" s="1"/>
  <c r="E316" i="15"/>
  <c r="J316" i="15"/>
  <c r="I316" i="15"/>
  <c r="K316" i="15" s="1"/>
  <c r="G271" i="15"/>
  <c r="D284" i="15"/>
  <c r="G284" i="15" s="1"/>
  <c r="E279" i="15"/>
  <c r="I279" i="15"/>
  <c r="K279" i="15" s="1"/>
  <c r="J279" i="15"/>
  <c r="E240" i="15"/>
  <c r="I240" i="15"/>
  <c r="K240" i="15" s="1"/>
  <c r="J240" i="15"/>
  <c r="E308" i="15"/>
  <c r="J308" i="15"/>
  <c r="I308" i="15"/>
  <c r="K308" i="15" s="1"/>
  <c r="E314" i="15"/>
  <c r="J314" i="15"/>
  <c r="I314" i="15"/>
  <c r="K314" i="15" s="1"/>
  <c r="F322" i="15"/>
  <c r="C335" i="15"/>
  <c r="F335" i="15" s="1"/>
  <c r="G305" i="15"/>
  <c r="D318" i="15"/>
  <c r="G318" i="15" s="1"/>
  <c r="E257" i="15"/>
  <c r="I257" i="15"/>
  <c r="K257" i="15" s="1"/>
  <c r="J257" i="15"/>
  <c r="G237" i="15"/>
  <c r="D343" i="15"/>
  <c r="G343" i="15" s="1"/>
  <c r="D340" i="15"/>
  <c r="G340" i="15" s="1"/>
  <c r="D342" i="15"/>
  <c r="G342" i="15" s="1"/>
  <c r="B347" i="15"/>
  <c r="C339" i="15"/>
  <c r="C346" i="15"/>
  <c r="F346" i="15" s="1"/>
  <c r="C350" i="15"/>
  <c r="F350" i="15" s="1"/>
  <c r="C342" i="15"/>
  <c r="F342" i="15" s="1"/>
  <c r="AD229" i="15"/>
  <c r="AG229" i="15"/>
  <c r="AC229" i="15"/>
  <c r="AJ229" i="15"/>
  <c r="AI229" i="15"/>
  <c r="AE229" i="15"/>
  <c r="AI230" i="15"/>
  <c r="AI228" i="15"/>
  <c r="AE228" i="15"/>
  <c r="AD228" i="15"/>
  <c r="AG228" i="15"/>
  <c r="AC228" i="15"/>
  <c r="AJ228" i="15"/>
  <c r="AH221" i="15"/>
  <c r="AD221" i="15"/>
  <c r="AG221" i="15"/>
  <c r="AC221" i="15"/>
  <c r="AJ221" i="15"/>
  <c r="AI221" i="15"/>
  <c r="AE221" i="15"/>
  <c r="AD224" i="15"/>
  <c r="AI231" i="15"/>
  <c r="AC231" i="15"/>
  <c r="AD225" i="15"/>
  <c r="AG225" i="15"/>
  <c r="AC225" i="15"/>
  <c r="AJ225" i="15"/>
  <c r="AI225" i="15"/>
  <c r="AE225" i="15"/>
  <c r="AI222" i="15"/>
  <c r="AJ219" i="15"/>
  <c r="AI219" i="15"/>
  <c r="AE219" i="15"/>
  <c r="AH219" i="15"/>
  <c r="AD219" i="15"/>
  <c r="AG219" i="15"/>
  <c r="AC219" i="15"/>
  <c r="AI220" i="15"/>
  <c r="AG220" i="15"/>
  <c r="AG126" i="10"/>
  <c r="O126" i="10"/>
  <c r="BE228" i="15"/>
  <c r="H228" i="15"/>
  <c r="Y222" i="15"/>
  <c r="D222" i="15"/>
  <c r="BD222" i="15" s="1"/>
  <c r="V222" i="15"/>
  <c r="J222" i="15"/>
  <c r="G222" i="15"/>
  <c r="U223" i="15"/>
  <c r="I223" i="15"/>
  <c r="I225" i="15"/>
  <c r="BF225" i="15"/>
  <c r="BF220" i="15"/>
  <c r="I220" i="15"/>
  <c r="BE221" i="15"/>
  <c r="H221" i="15"/>
  <c r="Y223" i="15"/>
  <c r="V225" i="15"/>
  <c r="J225" i="15"/>
  <c r="D225" i="15"/>
  <c r="BD225" i="15" s="1"/>
  <c r="Y225" i="15"/>
  <c r="G225" i="15"/>
  <c r="I229" i="15"/>
  <c r="BF229" i="15"/>
  <c r="I226" i="15"/>
  <c r="U226" i="15"/>
  <c r="V229" i="15"/>
  <c r="J229" i="15"/>
  <c r="Y229" i="15"/>
  <c r="D229" i="15"/>
  <c r="BD229" i="15" s="1"/>
  <c r="G229" i="15"/>
  <c r="T219" i="15"/>
  <c r="H219" i="15"/>
  <c r="I221" i="15"/>
  <c r="BF221" i="15"/>
  <c r="BE225" i="15"/>
  <c r="H225" i="15"/>
  <c r="Y230" i="15"/>
  <c r="J230" i="15"/>
  <c r="G230" i="15"/>
  <c r="V230" i="15"/>
  <c r="D230" i="15"/>
  <c r="BD230" i="15" s="1"/>
  <c r="T222" i="15"/>
  <c r="H222" i="15"/>
  <c r="BE222" i="15"/>
  <c r="G228" i="15"/>
  <c r="V228" i="15"/>
  <c r="D228" i="15"/>
  <c r="BD228" i="15" s="1"/>
  <c r="J228" i="15"/>
  <c r="M228" i="15" s="1"/>
  <c r="Y228" i="15"/>
  <c r="D219" i="15"/>
  <c r="Y219" i="15"/>
  <c r="J219" i="15"/>
  <c r="G219" i="15"/>
  <c r="V219" i="15"/>
  <c r="T226" i="15"/>
  <c r="BE226" i="15"/>
  <c r="H226" i="15"/>
  <c r="T230" i="15"/>
  <c r="H230" i="15"/>
  <c r="J220" i="15"/>
  <c r="BE224" i="15"/>
  <c r="H224" i="15"/>
  <c r="U219" i="15"/>
  <c r="I219" i="15"/>
  <c r="H220" i="15"/>
  <c r="BE220" i="15"/>
  <c r="BF224" i="15"/>
  <c r="I224" i="15"/>
  <c r="D227" i="15"/>
  <c r="BD227" i="15" s="1"/>
  <c r="Y227" i="15"/>
  <c r="J227" i="15"/>
  <c r="G227" i="15"/>
  <c r="V227" i="15"/>
  <c r="H229" i="15"/>
  <c r="BE229" i="15"/>
  <c r="I231" i="15"/>
  <c r="BF231" i="15"/>
  <c r="V221" i="15"/>
  <c r="J221" i="15"/>
  <c r="M221" i="15" s="1"/>
  <c r="Y221" i="15"/>
  <c r="G221" i="15"/>
  <c r="D221" i="15"/>
  <c r="BD221" i="15" s="1"/>
  <c r="Y224" i="15"/>
  <c r="BF228" i="15"/>
  <c r="I228" i="15"/>
  <c r="D231" i="15"/>
  <c r="BD231" i="15" s="1"/>
  <c r="G231" i="15"/>
  <c r="V231" i="15"/>
  <c r="Y231" i="15"/>
  <c r="J231" i="15"/>
  <c r="E149" i="14"/>
  <c r="E164" i="14" s="1"/>
  <c r="E163" i="14"/>
  <c r="H163" i="14"/>
  <c r="K115" i="14"/>
  <c r="O115" i="14"/>
  <c r="G115" i="14"/>
  <c r="P110" i="14"/>
  <c r="E115" i="14"/>
  <c r="P106" i="14"/>
  <c r="Q106" i="14" s="1"/>
  <c r="P103" i="14"/>
  <c r="L115" i="14"/>
  <c r="J115" i="14"/>
  <c r="H115" i="14"/>
  <c r="M115" i="14"/>
  <c r="B115" i="14"/>
  <c r="D115" i="14"/>
  <c r="P105" i="14"/>
  <c r="Q105" i="14" s="1"/>
  <c r="C115" i="14"/>
  <c r="Q102" i="14"/>
  <c r="F115" i="14"/>
  <c r="R102" i="14"/>
  <c r="N115" i="14"/>
  <c r="I115" i="14"/>
  <c r="P102" i="14"/>
  <c r="P109" i="14"/>
  <c r="Q109" i="14" s="1"/>
  <c r="P113" i="14"/>
  <c r="AH137" i="10"/>
  <c r="AJ137" i="10"/>
  <c r="AE139" i="10"/>
  <c r="S139" i="10"/>
  <c r="AG132" i="10"/>
  <c r="AB130" i="10"/>
  <c r="AD130" i="10" s="1"/>
  <c r="AJ139" i="10"/>
  <c r="O129" i="10"/>
  <c r="P137" i="10"/>
  <c r="Q133" i="10"/>
  <c r="U139" i="10"/>
  <c r="T139" i="10"/>
  <c r="AI139" i="10"/>
  <c r="AD138" i="10"/>
  <c r="AC138" i="10"/>
  <c r="AF134" i="10"/>
  <c r="AB134" i="10"/>
  <c r="AH134" i="10"/>
  <c r="AJ134" i="10"/>
  <c r="AE134" i="10"/>
  <c r="AJ130" i="10"/>
  <c r="AC137" i="10"/>
  <c r="AF130" i="10"/>
  <c r="S137" i="10"/>
  <c r="S133" i="10"/>
  <c r="U130" i="10"/>
  <c r="S45" i="10" s="1"/>
  <c r="Q138" i="10"/>
  <c r="R138" i="10" s="1"/>
  <c r="P139" i="10"/>
  <c r="Q139" i="10"/>
  <c r="S138" i="10"/>
  <c r="T130" i="10"/>
  <c r="U138" i="10"/>
  <c r="S95" i="10" s="1"/>
  <c r="W138" i="10" s="1"/>
  <c r="Y138" i="10" s="1"/>
  <c r="Z138" i="10" s="1"/>
  <c r="U137" i="10"/>
  <c r="S89" i="10" s="1"/>
  <c r="AF139" i="10"/>
  <c r="AH139" i="10"/>
  <c r="AD136" i="10"/>
  <c r="AC136" i="10"/>
  <c r="AG138" i="10"/>
  <c r="AJ135" i="10"/>
  <c r="AE135" i="10"/>
  <c r="AH135" i="10"/>
  <c r="AK135" i="10"/>
  <c r="AB135" i="10"/>
  <c r="AF135" i="10"/>
  <c r="AG135" i="10" s="1"/>
  <c r="AJ133" i="10"/>
  <c r="AE133" i="10"/>
  <c r="AF133" i="10"/>
  <c r="AB133" i="10"/>
  <c r="AH133" i="10"/>
  <c r="AH130" i="10"/>
  <c r="AE130" i="10"/>
  <c r="AD132" i="10"/>
  <c r="AC132" i="10"/>
  <c r="S130" i="10"/>
  <c r="U133" i="10"/>
  <c r="S79" i="10" s="1"/>
  <c r="P130" i="10"/>
  <c r="R130" i="10" s="1"/>
  <c r="Q130" i="10"/>
  <c r="V135" i="10"/>
  <c r="V138" i="10"/>
  <c r="AE137" i="10"/>
  <c r="AG137" i="10" s="1"/>
  <c r="AG129" i="10"/>
  <c r="AD128" i="10"/>
  <c r="AC128" i="10"/>
  <c r="AG128" i="10"/>
  <c r="AC126" i="10"/>
  <c r="AD126" i="10"/>
  <c r="AD127" i="10"/>
  <c r="AC127" i="10"/>
  <c r="O127" i="10"/>
  <c r="S17" i="10"/>
  <c r="W127" i="10" s="1"/>
  <c r="Y127" i="10" s="1"/>
  <c r="Z127" i="10" s="1"/>
  <c r="S88" i="10"/>
  <c r="S90" i="10"/>
  <c r="S84" i="10"/>
  <c r="S82" i="10"/>
  <c r="S85" i="10"/>
  <c r="S83" i="10"/>
  <c r="S7" i="10"/>
  <c r="S11" i="10"/>
  <c r="S15" i="10"/>
  <c r="S5" i="10"/>
  <c r="S13" i="10"/>
  <c r="S4" i="10"/>
  <c r="S8" i="10"/>
  <c r="S12" i="10"/>
  <c r="S6" i="10"/>
  <c r="S9" i="10"/>
  <c r="S10" i="10"/>
  <c r="S14" i="10"/>
  <c r="S70" i="10"/>
  <c r="S75" i="10"/>
  <c r="R137" i="10"/>
  <c r="S19" i="10"/>
  <c r="S23" i="10"/>
  <c r="S21" i="10"/>
  <c r="S25" i="10"/>
  <c r="S20" i="10"/>
  <c r="S28" i="10"/>
  <c r="S22" i="10"/>
  <c r="S26" i="10"/>
  <c r="R133" i="10"/>
  <c r="R126" i="10"/>
  <c r="R134" i="10"/>
  <c r="R129" i="10"/>
  <c r="C139" i="10"/>
  <c r="O131" i="10"/>
  <c r="O130" i="10"/>
  <c r="O134" i="10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5" i="9"/>
  <c r="B92" i="9"/>
  <c r="C149" i="9"/>
  <c r="C148" i="9"/>
  <c r="E148" i="9"/>
  <c r="D148" i="9"/>
  <c r="D147" i="9"/>
  <c r="E147" i="9"/>
  <c r="G147" i="9"/>
  <c r="C147" i="9"/>
  <c r="B146" i="9"/>
  <c r="B147" i="9" s="1"/>
  <c r="F146" i="9"/>
  <c r="F148" i="9" s="1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D143" i="9"/>
  <c r="D139" i="10"/>
  <c r="M227" i="15" l="1"/>
  <c r="M231" i="15"/>
  <c r="M230" i="15"/>
  <c r="M222" i="15"/>
  <c r="EJ87" i="15"/>
  <c r="EH87" i="15"/>
  <c r="EC91" i="15"/>
  <c r="EA91" i="15"/>
  <c r="O224" i="15"/>
  <c r="L222" i="15"/>
  <c r="BI222" i="15"/>
  <c r="EF91" i="15"/>
  <c r="ED91" i="15"/>
  <c r="BI231" i="15"/>
  <c r="O228" i="15"/>
  <c r="O221" i="15"/>
  <c r="N222" i="15"/>
  <c r="Q219" i="15"/>
  <c r="DY91" i="15"/>
  <c r="O231" i="15"/>
  <c r="R219" i="15"/>
  <c r="O220" i="15"/>
  <c r="O225" i="15"/>
  <c r="BI227" i="15"/>
  <c r="Q223" i="15"/>
  <c r="BH230" i="15"/>
  <c r="X230" i="15"/>
  <c r="J224" i="15"/>
  <c r="D220" i="15"/>
  <c r="BD220" i="15" s="1"/>
  <c r="M225" i="15"/>
  <c r="J223" i="15"/>
  <c r="AJ224" i="15"/>
  <c r="AD223" i="15"/>
  <c r="D339" i="15"/>
  <c r="DT77" i="15"/>
  <c r="AA226" i="15"/>
  <c r="R226" i="15"/>
  <c r="L226" i="15"/>
  <c r="O226" i="15" s="1"/>
  <c r="F226" i="15"/>
  <c r="BF226" i="15" s="1"/>
  <c r="X226" i="15"/>
  <c r="EO87" i="15"/>
  <c r="ET87" i="15"/>
  <c r="EQ2" i="15"/>
  <c r="EO2" i="15"/>
  <c r="AA219" i="15"/>
  <c r="N230" i="15"/>
  <c r="N220" i="15"/>
  <c r="DR94" i="15"/>
  <c r="P231" i="15"/>
  <c r="N226" i="15"/>
  <c r="E223" i="15"/>
  <c r="BE223" i="15" s="1"/>
  <c r="Z223" i="15"/>
  <c r="BI230" i="15"/>
  <c r="N225" i="15"/>
  <c r="BH219" i="15"/>
  <c r="R222" i="15"/>
  <c r="L230" i="15"/>
  <c r="DR18" i="15"/>
  <c r="P222" i="15"/>
  <c r="E219" i="15"/>
  <c r="Z219" i="15"/>
  <c r="N229" i="15"/>
  <c r="DT81" i="15"/>
  <c r="X227" i="15"/>
  <c r="F227" i="15"/>
  <c r="BF227" i="15" s="1"/>
  <c r="AA227" i="15"/>
  <c r="R227" i="15"/>
  <c r="L227" i="15"/>
  <c r="CO77" i="15"/>
  <c r="BI226" i="15"/>
  <c r="BH226" i="15"/>
  <c r="DR28" i="15"/>
  <c r="DU28" i="15" s="1"/>
  <c r="P223" i="15"/>
  <c r="DR75" i="15"/>
  <c r="P224" i="15"/>
  <c r="BI232" i="15"/>
  <c r="DR15" i="15"/>
  <c r="P220" i="15"/>
  <c r="V224" i="15"/>
  <c r="V220" i="15"/>
  <c r="V223" i="15"/>
  <c r="AJ220" i="15"/>
  <c r="AH220" i="15"/>
  <c r="AC224" i="15"/>
  <c r="AI224" i="15"/>
  <c r="AJ223" i="15"/>
  <c r="AF229" i="15"/>
  <c r="DS94" i="15"/>
  <c r="C351" i="15" s="1"/>
  <c r="F351" i="15" s="1"/>
  <c r="Z231" i="15"/>
  <c r="Q231" i="15"/>
  <c r="K231" i="15"/>
  <c r="W231" i="15"/>
  <c r="E231" i="15"/>
  <c r="E232" i="15" s="1"/>
  <c r="BE232" i="15" s="1"/>
  <c r="DW86" i="15"/>
  <c r="DW94" i="15"/>
  <c r="DV86" i="15"/>
  <c r="DS81" i="15"/>
  <c r="C347" i="15" s="1"/>
  <c r="F347" i="15" s="1"/>
  <c r="Z227" i="15"/>
  <c r="Q227" i="15"/>
  <c r="K227" i="15"/>
  <c r="W227" i="15"/>
  <c r="E227" i="15"/>
  <c r="ER87" i="15"/>
  <c r="EP87" i="15"/>
  <c r="EN2" i="15"/>
  <c r="ER2" i="15"/>
  <c r="F219" i="15"/>
  <c r="BH223" i="15"/>
  <c r="DR86" i="15"/>
  <c r="P229" i="15"/>
  <c r="N228" i="15"/>
  <c r="W223" i="15"/>
  <c r="BH232" i="15"/>
  <c r="F222" i="15"/>
  <c r="AA222" i="15"/>
  <c r="R230" i="15"/>
  <c r="O223" i="15"/>
  <c r="W219" i="15"/>
  <c r="D224" i="15"/>
  <c r="BD224" i="15" s="1"/>
  <c r="G224" i="15"/>
  <c r="Y220" i="15"/>
  <c r="G220" i="15"/>
  <c r="M220" i="15" s="1"/>
  <c r="M229" i="15"/>
  <c r="G223" i="15"/>
  <c r="D223" i="15"/>
  <c r="BD223" i="15" s="1"/>
  <c r="AC220" i="15"/>
  <c r="AE220" i="15"/>
  <c r="AG224" i="15"/>
  <c r="B339" i="15"/>
  <c r="I339" i="15" s="1"/>
  <c r="K339" i="15" s="1"/>
  <c r="D250" i="15"/>
  <c r="G250" i="15" s="1"/>
  <c r="I345" i="15"/>
  <c r="K345" i="15" s="1"/>
  <c r="J241" i="15"/>
  <c r="DV76" i="15"/>
  <c r="EL76" i="15" s="1"/>
  <c r="EP2" i="15"/>
  <c r="L219" i="15"/>
  <c r="O219" i="15" s="1"/>
  <c r="X219" i="15"/>
  <c r="BI223" i="15"/>
  <c r="N221" i="15"/>
  <c r="DR85" i="15"/>
  <c r="P228" i="15"/>
  <c r="N224" i="15"/>
  <c r="BH231" i="15"/>
  <c r="BH227" i="15"/>
  <c r="K223" i="15"/>
  <c r="O229" i="15"/>
  <c r="DR17" i="15"/>
  <c r="P221" i="15"/>
  <c r="BI219" i="15"/>
  <c r="X222" i="15"/>
  <c r="F230" i="15"/>
  <c r="AA230" i="15"/>
  <c r="BH222" i="15"/>
  <c r="K219" i="15"/>
  <c r="N219" i="15" s="1"/>
  <c r="S57" i="10"/>
  <c r="AG127" i="10"/>
  <c r="S24" i="10"/>
  <c r="S29" i="10"/>
  <c r="S38" i="10"/>
  <c r="S41" i="10"/>
  <c r="S44" i="10"/>
  <c r="S63" i="10"/>
  <c r="AB139" i="10"/>
  <c r="AD139" i="10" s="1"/>
  <c r="S43" i="10"/>
  <c r="S60" i="10"/>
  <c r="S54" i="10"/>
  <c r="S73" i="10"/>
  <c r="R139" i="10"/>
  <c r="S81" i="10"/>
  <c r="AD129" i="10"/>
  <c r="AC129" i="10"/>
  <c r="BE227" i="15"/>
  <c r="AG227" i="15"/>
  <c r="EB2" i="15"/>
  <c r="EF2" i="15"/>
  <c r="EC2" i="15"/>
  <c r="DZ2" i="15"/>
  <c r="ED2" i="15"/>
  <c r="EA2" i="15"/>
  <c r="EE2" i="15"/>
  <c r="EP13" i="15"/>
  <c r="EO13" i="15"/>
  <c r="AI227" i="15"/>
  <c r="ET13" i="15"/>
  <c r="I296" i="15"/>
  <c r="K296" i="15" s="1"/>
  <c r="DV52" i="15"/>
  <c r="EH52" i="15" s="1"/>
  <c r="EQ13" i="15"/>
  <c r="H231" i="15"/>
  <c r="AG231" i="15"/>
  <c r="AJ231" i="15"/>
  <c r="AD231" i="15"/>
  <c r="EP94" i="15"/>
  <c r="ET94" i="15"/>
  <c r="EQ94" i="15"/>
  <c r="EN94" i="15"/>
  <c r="ER94" i="15"/>
  <c r="EO94" i="15"/>
  <c r="ES94" i="15"/>
  <c r="AE231" i="15"/>
  <c r="AF231" i="15" s="1"/>
  <c r="DV94" i="15"/>
  <c r="DZ87" i="15"/>
  <c r="ED87" i="15"/>
  <c r="EA87" i="15"/>
  <c r="EE87" i="15"/>
  <c r="EB87" i="15"/>
  <c r="EF87" i="15"/>
  <c r="EC87" i="15"/>
  <c r="EP91" i="15"/>
  <c r="ET91" i="15"/>
  <c r="EQ91" i="15"/>
  <c r="EN91" i="15"/>
  <c r="ER91" i="15"/>
  <c r="EO91" i="15"/>
  <c r="ES91" i="15"/>
  <c r="B350" i="15"/>
  <c r="E350" i="15" s="1"/>
  <c r="EQ90" i="15"/>
  <c r="EN90" i="15"/>
  <c r="ER90" i="15"/>
  <c r="EO90" i="15"/>
  <c r="ES90" i="15"/>
  <c r="EP90" i="15"/>
  <c r="ET90" i="15"/>
  <c r="DX91" i="15"/>
  <c r="EH91" i="15"/>
  <c r="EL91" i="15"/>
  <c r="EI91" i="15"/>
  <c r="EM91" i="15"/>
  <c r="EJ91" i="15"/>
  <c r="EG91" i="15"/>
  <c r="EK91" i="15"/>
  <c r="EP86" i="15"/>
  <c r="ET86" i="15"/>
  <c r="EQ86" i="15"/>
  <c r="EN86" i="15"/>
  <c r="ER86" i="15"/>
  <c r="EO86" i="15"/>
  <c r="ES86" i="15"/>
  <c r="EH86" i="15"/>
  <c r="EL86" i="15"/>
  <c r="EI86" i="15"/>
  <c r="EM86" i="15"/>
  <c r="EJ86" i="15"/>
  <c r="EG86" i="15"/>
  <c r="EK86" i="15"/>
  <c r="EH85" i="15"/>
  <c r="EL85" i="15"/>
  <c r="EI85" i="15"/>
  <c r="EM85" i="15"/>
  <c r="EJ85" i="15"/>
  <c r="EG85" i="15"/>
  <c r="EK85" i="15"/>
  <c r="EP85" i="15"/>
  <c r="ET85" i="15"/>
  <c r="EQ85" i="15"/>
  <c r="EN85" i="15"/>
  <c r="ER85" i="15"/>
  <c r="EO85" i="15"/>
  <c r="ES85" i="15"/>
  <c r="DZ81" i="15"/>
  <c r="ED81" i="15"/>
  <c r="EA81" i="15"/>
  <c r="EE81" i="15"/>
  <c r="EB81" i="15"/>
  <c r="EF81" i="15"/>
  <c r="EC81" i="15"/>
  <c r="H371" i="15"/>
  <c r="EH77" i="15"/>
  <c r="EL77" i="15"/>
  <c r="EI77" i="15"/>
  <c r="EM77" i="15"/>
  <c r="EJ77" i="15"/>
  <c r="EG77" i="15"/>
  <c r="EK77" i="15"/>
  <c r="EH76" i="15"/>
  <c r="EM76" i="15"/>
  <c r="EJ76" i="15"/>
  <c r="DZ76" i="15"/>
  <c r="ED76" i="15"/>
  <c r="EA76" i="15"/>
  <c r="EE76" i="15"/>
  <c r="EB76" i="15"/>
  <c r="EF76" i="15"/>
  <c r="EC76" i="15"/>
  <c r="EP76" i="15"/>
  <c r="ET76" i="15"/>
  <c r="EQ76" i="15"/>
  <c r="EN76" i="15"/>
  <c r="ER76" i="15"/>
  <c r="EO76" i="15"/>
  <c r="ES76" i="15"/>
  <c r="EH75" i="15"/>
  <c r="EL75" i="15"/>
  <c r="EI75" i="15"/>
  <c r="EM75" i="15"/>
  <c r="EJ75" i="15"/>
  <c r="EG75" i="15"/>
  <c r="EK75" i="15"/>
  <c r="EP75" i="15"/>
  <c r="ET75" i="15"/>
  <c r="EQ75" i="15"/>
  <c r="EN75" i="15"/>
  <c r="ER75" i="15"/>
  <c r="EO75" i="15"/>
  <c r="ES75" i="15"/>
  <c r="EA42" i="15"/>
  <c r="EE42" i="15"/>
  <c r="EB42" i="15"/>
  <c r="EF42" i="15"/>
  <c r="EC42" i="15"/>
  <c r="DZ42" i="15"/>
  <c r="ED42" i="15"/>
  <c r="EK52" i="15"/>
  <c r="EM52" i="15"/>
  <c r="U222" i="15"/>
  <c r="T223" i="15"/>
  <c r="AD222" i="15"/>
  <c r="AJ222" i="15"/>
  <c r="AH223" i="15"/>
  <c r="EO52" i="15"/>
  <c r="ES52" i="15"/>
  <c r="EP52" i="15"/>
  <c r="ET52" i="15"/>
  <c r="EQ52" i="15"/>
  <c r="ER52" i="15"/>
  <c r="EN52" i="15"/>
  <c r="EI42" i="15"/>
  <c r="EM42" i="15"/>
  <c r="EJ42" i="15"/>
  <c r="EG42" i="15"/>
  <c r="EK42" i="15"/>
  <c r="EL42" i="15"/>
  <c r="EH42" i="15"/>
  <c r="EC52" i="15"/>
  <c r="DZ52" i="15"/>
  <c r="ED52" i="15"/>
  <c r="EA52" i="15"/>
  <c r="EE52" i="15"/>
  <c r="EB52" i="15"/>
  <c r="EF52" i="15"/>
  <c r="EC9" i="15"/>
  <c r="EB9" i="15"/>
  <c r="ED9" i="15"/>
  <c r="EF9" i="15"/>
  <c r="DZ9" i="15"/>
  <c r="EA9" i="15"/>
  <c r="EE9" i="15"/>
  <c r="H223" i="15"/>
  <c r="AH222" i="15"/>
  <c r="AC222" i="15"/>
  <c r="AC223" i="15"/>
  <c r="AE223" i="15"/>
  <c r="EO9" i="15"/>
  <c r="ES9" i="15"/>
  <c r="ER9" i="15"/>
  <c r="EN9" i="15"/>
  <c r="ET9" i="15"/>
  <c r="EQ9" i="15"/>
  <c r="EP9" i="15"/>
  <c r="EC13" i="15"/>
  <c r="ED13" i="15"/>
  <c r="DZ13" i="15"/>
  <c r="EE13" i="15"/>
  <c r="EA13" i="15"/>
  <c r="EB13" i="15"/>
  <c r="EF13" i="15"/>
  <c r="BF222" i="15"/>
  <c r="I222" i="15"/>
  <c r="O222" i="15" s="1"/>
  <c r="AE222" i="15"/>
  <c r="AF222" i="15" s="1"/>
  <c r="AG222" i="15"/>
  <c r="AG223" i="15"/>
  <c r="AI223" i="15"/>
  <c r="B343" i="15"/>
  <c r="E343" i="15" s="1"/>
  <c r="I241" i="15"/>
  <c r="K241" i="15" s="1"/>
  <c r="DY13" i="15"/>
  <c r="EG13" i="15"/>
  <c r="EK13" i="15"/>
  <c r="EI13" i="15"/>
  <c r="EJ13" i="15"/>
  <c r="EH13" i="15"/>
  <c r="EL13" i="15"/>
  <c r="EM13" i="15"/>
  <c r="EC23" i="15"/>
  <c r="DZ23" i="15"/>
  <c r="ED23" i="15"/>
  <c r="EA23" i="15"/>
  <c r="EB23" i="15"/>
  <c r="EF23" i="15"/>
  <c r="EE23" i="15"/>
  <c r="EO23" i="15"/>
  <c r="ES23" i="15"/>
  <c r="EP23" i="15"/>
  <c r="ET23" i="15"/>
  <c r="EQ23" i="15"/>
  <c r="EN23" i="15"/>
  <c r="ER23" i="15"/>
  <c r="EC19" i="15"/>
  <c r="DZ19" i="15"/>
  <c r="ED19" i="15"/>
  <c r="EE19" i="15"/>
  <c r="EB19" i="15"/>
  <c r="EF19" i="15"/>
  <c r="EA19" i="15"/>
  <c r="EG23" i="15"/>
  <c r="EK23" i="15"/>
  <c r="EH23" i="15"/>
  <c r="EL23" i="15"/>
  <c r="EI23" i="15"/>
  <c r="EJ23" i="15"/>
  <c r="EM23" i="15"/>
  <c r="AF221" i="15"/>
  <c r="EH17" i="15"/>
  <c r="EL17" i="15"/>
  <c r="EI17" i="15"/>
  <c r="EM17" i="15"/>
  <c r="EJ17" i="15"/>
  <c r="EG17" i="15"/>
  <c r="EK17" i="15"/>
  <c r="EP17" i="15"/>
  <c r="ET17" i="15"/>
  <c r="EQ17" i="15"/>
  <c r="EN17" i="15"/>
  <c r="ER17" i="15"/>
  <c r="EO17" i="15"/>
  <c r="ES17" i="15"/>
  <c r="EH15" i="15"/>
  <c r="EL15" i="15"/>
  <c r="EI15" i="15"/>
  <c r="EM15" i="15"/>
  <c r="EJ15" i="15"/>
  <c r="EG15" i="15"/>
  <c r="EK15" i="15"/>
  <c r="I333" i="15"/>
  <c r="K333" i="15" s="1"/>
  <c r="D335" i="15"/>
  <c r="G335" i="15" s="1"/>
  <c r="J333" i="15"/>
  <c r="DX90" i="15"/>
  <c r="DY90" i="15"/>
  <c r="DY9" i="15"/>
  <c r="DX9" i="15"/>
  <c r="DY42" i="15"/>
  <c r="DX42" i="15"/>
  <c r="I227" i="15"/>
  <c r="H227" i="15"/>
  <c r="BF230" i="15"/>
  <c r="AD227" i="15"/>
  <c r="AJ227" i="15"/>
  <c r="AD230" i="15"/>
  <c r="AJ230" i="15"/>
  <c r="J296" i="15"/>
  <c r="G249" i="15"/>
  <c r="J249" i="15"/>
  <c r="I249" i="15"/>
  <c r="K249" i="15" s="1"/>
  <c r="DX2" i="15"/>
  <c r="DY2" i="15"/>
  <c r="DX87" i="15"/>
  <c r="DY87" i="15"/>
  <c r="DX52" i="15"/>
  <c r="T227" i="15"/>
  <c r="I230" i="15"/>
  <c r="AH227" i="15"/>
  <c r="AH230" i="15"/>
  <c r="AC230" i="15"/>
  <c r="DX23" i="15"/>
  <c r="DY23" i="15"/>
  <c r="DY76" i="15"/>
  <c r="DX76" i="15"/>
  <c r="DX13" i="15"/>
  <c r="U230" i="15"/>
  <c r="AC227" i="15"/>
  <c r="AE227" i="15"/>
  <c r="AE230" i="15"/>
  <c r="AF230" i="15" s="1"/>
  <c r="AG230" i="15"/>
  <c r="D350" i="15"/>
  <c r="G350" i="15" s="1"/>
  <c r="D301" i="15"/>
  <c r="G301" i="15" s="1"/>
  <c r="DY19" i="15"/>
  <c r="DX19" i="15"/>
  <c r="BF113" i="15"/>
  <c r="BI113" i="15" s="1"/>
  <c r="BI130" i="15"/>
  <c r="BI215" i="15"/>
  <c r="BF219" i="15"/>
  <c r="BD219" i="15"/>
  <c r="BE219" i="15"/>
  <c r="N148" i="14"/>
  <c r="Q148" i="14" s="1"/>
  <c r="H149" i="14"/>
  <c r="H164" i="14" s="1"/>
  <c r="M148" i="14"/>
  <c r="P148" i="14" s="1"/>
  <c r="D163" i="14"/>
  <c r="B149" i="14"/>
  <c r="B164" i="14" s="1"/>
  <c r="L148" i="14"/>
  <c r="O149" i="14" s="1"/>
  <c r="E127" i="9"/>
  <c r="F127" i="9" s="1"/>
  <c r="E125" i="9"/>
  <c r="F125" i="9" s="1"/>
  <c r="BI225" i="15"/>
  <c r="G339" i="15"/>
  <c r="E301" i="15"/>
  <c r="J339" i="15"/>
  <c r="F339" i="15"/>
  <c r="E347" i="15"/>
  <c r="E318" i="15"/>
  <c r="J318" i="15"/>
  <c r="I318" i="15"/>
  <c r="K318" i="15" s="1"/>
  <c r="J267" i="15"/>
  <c r="F267" i="15"/>
  <c r="I267" i="15"/>
  <c r="K267" i="15" s="1"/>
  <c r="J284" i="15"/>
  <c r="I284" i="15"/>
  <c r="K284" i="15" s="1"/>
  <c r="E284" i="15"/>
  <c r="E250" i="15"/>
  <c r="J250" i="15"/>
  <c r="I250" i="15"/>
  <c r="K250" i="15" s="1"/>
  <c r="E335" i="15"/>
  <c r="AF219" i="15"/>
  <c r="AF224" i="15"/>
  <c r="AF223" i="15"/>
  <c r="AF225" i="15"/>
  <c r="AF220" i="15"/>
  <c r="AF228" i="15"/>
  <c r="M219" i="15"/>
  <c r="P115" i="14"/>
  <c r="R105" i="14"/>
  <c r="AG139" i="10"/>
  <c r="S92" i="10"/>
  <c r="S91" i="10"/>
  <c r="S93" i="10"/>
  <c r="S94" i="10"/>
  <c r="S78" i="10"/>
  <c r="S80" i="10"/>
  <c r="AC130" i="10"/>
  <c r="S68" i="10"/>
  <c r="S52" i="10"/>
  <c r="S36" i="10"/>
  <c r="S71" i="10"/>
  <c r="S62" i="10"/>
  <c r="S46" i="10"/>
  <c r="S30" i="10"/>
  <c r="S51" i="10"/>
  <c r="S35" i="10"/>
  <c r="S65" i="10"/>
  <c r="S49" i="10"/>
  <c r="S33" i="10"/>
  <c r="S72" i="10"/>
  <c r="S56" i="10"/>
  <c r="S40" i="10"/>
  <c r="S55" i="10"/>
  <c r="S66" i="10"/>
  <c r="S50" i="10"/>
  <c r="S34" i="10"/>
  <c r="S59" i="10"/>
  <c r="S39" i="10"/>
  <c r="S69" i="10"/>
  <c r="S53" i="10"/>
  <c r="S37" i="10"/>
  <c r="S64" i="10"/>
  <c r="S48" i="10"/>
  <c r="S32" i="10"/>
  <c r="S74" i="10"/>
  <c r="S58" i="10"/>
  <c r="S42" i="10"/>
  <c r="S67" i="10"/>
  <c r="S47" i="10"/>
  <c r="S31" i="10"/>
  <c r="S61" i="10"/>
  <c r="AG134" i="10"/>
  <c r="AC135" i="10"/>
  <c r="AD135" i="10"/>
  <c r="AC139" i="10"/>
  <c r="AC133" i="10"/>
  <c r="AD133" i="10"/>
  <c r="AG133" i="10"/>
  <c r="AD134" i="10"/>
  <c r="AC134" i="10"/>
  <c r="AG130" i="10"/>
  <c r="W126" i="10"/>
  <c r="Y126" i="10" s="1"/>
  <c r="W129" i="10"/>
  <c r="Y129" i="10" s="1"/>
  <c r="Z129" i="10" s="1"/>
  <c r="W134" i="10"/>
  <c r="Y134" i="10" s="1"/>
  <c r="Z134" i="10" s="1"/>
  <c r="O139" i="10"/>
  <c r="Q59" i="10"/>
  <c r="Q38" i="10"/>
  <c r="Q16" i="10"/>
  <c r="Q33" i="10"/>
  <c r="Q95" i="10"/>
  <c r="Q50" i="10"/>
  <c r="Q35" i="10"/>
  <c r="Q32" i="10"/>
  <c r="Q55" i="10"/>
  <c r="Q23" i="10"/>
  <c r="Q49" i="10"/>
  <c r="Q13" i="10"/>
  <c r="Q21" i="10"/>
  <c r="Q57" i="10"/>
  <c r="Q67" i="10"/>
  <c r="Q44" i="10"/>
  <c r="Q52" i="10"/>
  <c r="Q34" i="10"/>
  <c r="Q48" i="10"/>
  <c r="Q15" i="10"/>
  <c r="Q71" i="10"/>
  <c r="Q75" i="10"/>
  <c r="Q83" i="10"/>
  <c r="Q24" i="10"/>
  <c r="Q42" i="10"/>
  <c r="Q45" i="10"/>
  <c r="Q36" i="10"/>
  <c r="Q37" i="10"/>
  <c r="Q41" i="10"/>
  <c r="Q8" i="10"/>
  <c r="Q20" i="10"/>
  <c r="Q28" i="10"/>
  <c r="Q40" i="10"/>
  <c r="Q76" i="10"/>
  <c r="Q80" i="10"/>
  <c r="Q84" i="10"/>
  <c r="Q88" i="10"/>
  <c r="Q92" i="10"/>
  <c r="Q11" i="10"/>
  <c r="Q31" i="10"/>
  <c r="Q63" i="10"/>
  <c r="Q87" i="10"/>
  <c r="Q9" i="10"/>
  <c r="Q27" i="10"/>
  <c r="Q43" i="10"/>
  <c r="Q46" i="10"/>
  <c r="Q51" i="10"/>
  <c r="Q6" i="10"/>
  <c r="Q17" i="10"/>
  <c r="Q25" i="10"/>
  <c r="Q29" i="10"/>
  <c r="Q53" i="10"/>
  <c r="Q61" i="10"/>
  <c r="Q69" i="10"/>
  <c r="Q73" i="10"/>
  <c r="Q85" i="10"/>
  <c r="Q93" i="10"/>
  <c r="Q19" i="10"/>
  <c r="Q91" i="10"/>
  <c r="Q79" i="10"/>
  <c r="Q39" i="10"/>
  <c r="Q5" i="10"/>
  <c r="Q18" i="10"/>
  <c r="Q54" i="10"/>
  <c r="Q58" i="10"/>
  <c r="Q62" i="10"/>
  <c r="Q66" i="10"/>
  <c r="Q70" i="10"/>
  <c r="Q78" i="10"/>
  <c r="Q82" i="10"/>
  <c r="Q86" i="10"/>
  <c r="Q94" i="10"/>
  <c r="Q56" i="10"/>
  <c r="Q68" i="10"/>
  <c r="Q77" i="10"/>
  <c r="Q7" i="10"/>
  <c r="Q90" i="10"/>
  <c r="Q12" i="10"/>
  <c r="Q72" i="10"/>
  <c r="Q22" i="10"/>
  <c r="Q10" i="10"/>
  <c r="Q26" i="10"/>
  <c r="Q30" i="10"/>
  <c r="Q65" i="10"/>
  <c r="Q60" i="10"/>
  <c r="Q64" i="10"/>
  <c r="Q81" i="10"/>
  <c r="Q89" i="10"/>
  <c r="Q14" i="10"/>
  <c r="Q74" i="10"/>
  <c r="Q47" i="10"/>
  <c r="E143" i="9"/>
  <c r="F143" i="9" s="1"/>
  <c r="E142" i="9"/>
  <c r="F142" i="9" s="1"/>
  <c r="E138" i="9"/>
  <c r="F138" i="9" s="1"/>
  <c r="E134" i="9"/>
  <c r="F134" i="9" s="1"/>
  <c r="E130" i="9"/>
  <c r="F130" i="9" s="1"/>
  <c r="E126" i="9"/>
  <c r="F126" i="9" s="1"/>
  <c r="E141" i="9"/>
  <c r="F141" i="9" s="1"/>
  <c r="E137" i="9"/>
  <c r="F137" i="9" s="1"/>
  <c r="E133" i="9"/>
  <c r="F133" i="9" s="1"/>
  <c r="E129" i="9"/>
  <c r="F129" i="9" s="1"/>
  <c r="E140" i="9"/>
  <c r="F140" i="9" s="1"/>
  <c r="E136" i="9"/>
  <c r="F136" i="9" s="1"/>
  <c r="E132" i="9"/>
  <c r="F132" i="9" s="1"/>
  <c r="E128" i="9"/>
  <c r="F128" i="9" s="1"/>
  <c r="E139" i="9"/>
  <c r="F139" i="9" s="1"/>
  <c r="E135" i="9"/>
  <c r="F135" i="9" s="1"/>
  <c r="E131" i="9"/>
  <c r="F131" i="9" s="1"/>
  <c r="F147" i="9"/>
  <c r="EI52" i="15" l="1"/>
  <c r="EG52" i="15"/>
  <c r="EL52" i="15"/>
  <c r="DY52" i="15"/>
  <c r="EK76" i="15"/>
  <c r="EI76" i="15"/>
  <c r="AF227" i="15"/>
  <c r="EJ52" i="15"/>
  <c r="EG76" i="15"/>
  <c r="O230" i="15"/>
  <c r="N223" i="15"/>
  <c r="BE231" i="15"/>
  <c r="B348" i="15"/>
  <c r="DU85" i="15"/>
  <c r="N227" i="15"/>
  <c r="EE28" i="15"/>
  <c r="EB28" i="15"/>
  <c r="EA28" i="15"/>
  <c r="ED28" i="15"/>
  <c r="EC28" i="15"/>
  <c r="DZ28" i="15"/>
  <c r="DY28" i="15"/>
  <c r="EF28" i="15"/>
  <c r="DX28" i="15"/>
  <c r="O227" i="15"/>
  <c r="B351" i="15"/>
  <c r="DU94" i="15"/>
  <c r="M224" i="15"/>
  <c r="B349" i="15"/>
  <c r="DU86" i="15"/>
  <c r="P226" i="15"/>
  <c r="AJ226" i="15"/>
  <c r="AD226" i="15"/>
  <c r="V226" i="15"/>
  <c r="Y226" i="15"/>
  <c r="DR77" i="15"/>
  <c r="AI226" i="15"/>
  <c r="G226" i="15"/>
  <c r="AC226" i="15"/>
  <c r="AC232" i="15" s="1"/>
  <c r="AH226" i="15"/>
  <c r="S226" i="15"/>
  <c r="AG226" i="15"/>
  <c r="AE226" i="15"/>
  <c r="AF226" i="15" s="1"/>
  <c r="D226" i="15"/>
  <c r="BD226" i="15" s="1"/>
  <c r="J226" i="15"/>
  <c r="M226" i="15" s="1"/>
  <c r="C352" i="15"/>
  <c r="F352" i="15" s="1"/>
  <c r="E339" i="15"/>
  <c r="D232" i="15"/>
  <c r="BD232" i="15" s="1"/>
  <c r="DV81" i="15"/>
  <c r="B341" i="15"/>
  <c r="DU17" i="15"/>
  <c r="N231" i="15"/>
  <c r="DW81" i="15"/>
  <c r="D347" i="15"/>
  <c r="G347" i="15" s="1"/>
  <c r="D346" i="15"/>
  <c r="G346" i="15" s="1"/>
  <c r="DW77" i="15"/>
  <c r="M223" i="15"/>
  <c r="DU15" i="15"/>
  <c r="B340" i="15"/>
  <c r="B344" i="15"/>
  <c r="DU75" i="15"/>
  <c r="DU18" i="15"/>
  <c r="B342" i="15"/>
  <c r="W133" i="10"/>
  <c r="Y133" i="10" s="1"/>
  <c r="Z133" i="10" s="1"/>
  <c r="W137" i="10"/>
  <c r="Y137" i="10" s="1"/>
  <c r="Z137" i="10" s="1"/>
  <c r="EH94" i="15"/>
  <c r="EL94" i="15"/>
  <c r="EI94" i="15"/>
  <c r="EM94" i="15"/>
  <c r="EJ94" i="15"/>
  <c r="EG94" i="15"/>
  <c r="EK94" i="15"/>
  <c r="EH81" i="15"/>
  <c r="EH95" i="15" s="1"/>
  <c r="EL81" i="15"/>
  <c r="EL95" i="15" s="1"/>
  <c r="EI81" i="15"/>
  <c r="EI95" i="15" s="1"/>
  <c r="EM81" i="15"/>
  <c r="EJ81" i="15"/>
  <c r="EJ95" i="15" s="1"/>
  <c r="EG81" i="15"/>
  <c r="EG95" i="15" s="1"/>
  <c r="EK81" i="15"/>
  <c r="EK95" i="15" s="1"/>
  <c r="J335" i="15"/>
  <c r="I335" i="15"/>
  <c r="K335" i="15" s="1"/>
  <c r="J343" i="15"/>
  <c r="I343" i="15"/>
  <c r="K343" i="15" s="1"/>
  <c r="J350" i="15"/>
  <c r="I350" i="15"/>
  <c r="K350" i="15" s="1"/>
  <c r="J301" i="15"/>
  <c r="F232" i="15"/>
  <c r="BF232" i="15" s="1"/>
  <c r="I301" i="15"/>
  <c r="K301" i="15" s="1"/>
  <c r="K164" i="14"/>
  <c r="W139" i="10"/>
  <c r="Y139" i="10" s="1"/>
  <c r="Z139" i="10" s="1"/>
  <c r="W130" i="10"/>
  <c r="Y130" i="10" s="1"/>
  <c r="Z130" i="10" s="1"/>
  <c r="Z126" i="10"/>
  <c r="I344" i="15" l="1"/>
  <c r="K344" i="15" s="1"/>
  <c r="E344" i="15"/>
  <c r="J344" i="15"/>
  <c r="I341" i="15"/>
  <c r="K341" i="15" s="1"/>
  <c r="J341" i="15"/>
  <c r="E341" i="15"/>
  <c r="DZ94" i="15"/>
  <c r="EB94" i="15"/>
  <c r="DX94" i="15"/>
  <c r="ED94" i="15"/>
  <c r="EF94" i="15"/>
  <c r="DY94" i="15"/>
  <c r="EA94" i="15"/>
  <c r="EC94" i="15"/>
  <c r="EE94" i="15"/>
  <c r="J342" i="15"/>
  <c r="E342" i="15"/>
  <c r="I342" i="15"/>
  <c r="K342" i="15" s="1"/>
  <c r="EN81" i="15"/>
  <c r="EP81" i="15"/>
  <c r="ER81" i="15"/>
  <c r="ET81" i="15"/>
  <c r="EO81" i="15"/>
  <c r="EQ81" i="15"/>
  <c r="ES81" i="15"/>
  <c r="DY81" i="15"/>
  <c r="DX81" i="15"/>
  <c r="EA86" i="15"/>
  <c r="EC86" i="15"/>
  <c r="EE86" i="15"/>
  <c r="DY86" i="15"/>
  <c r="DX86" i="15"/>
  <c r="ED86" i="15"/>
  <c r="DZ86" i="15"/>
  <c r="EB86" i="15"/>
  <c r="EF86" i="15"/>
  <c r="E351" i="15"/>
  <c r="J351" i="15"/>
  <c r="I351" i="15"/>
  <c r="K351" i="15" s="1"/>
  <c r="DZ85" i="15"/>
  <c r="EB85" i="15"/>
  <c r="DY85" i="15"/>
  <c r="ED85" i="15"/>
  <c r="EF85" i="15"/>
  <c r="DX85" i="15"/>
  <c r="EA85" i="15"/>
  <c r="EC85" i="15"/>
  <c r="EE85" i="15"/>
  <c r="EE15" i="15"/>
  <c r="DZ15" i="15"/>
  <c r="EB15" i="15"/>
  <c r="EA15" i="15"/>
  <c r="EC15" i="15"/>
  <c r="ED15" i="15"/>
  <c r="EF15" i="15"/>
  <c r="DX15" i="15"/>
  <c r="DY15" i="15"/>
  <c r="D352" i="15"/>
  <c r="G352" i="15" s="1"/>
  <c r="EA18" i="15"/>
  <c r="EF18" i="15"/>
  <c r="EC18" i="15"/>
  <c r="EE18" i="15"/>
  <c r="DY18" i="15"/>
  <c r="ED18" i="15"/>
  <c r="DZ18" i="15"/>
  <c r="EB18" i="15"/>
  <c r="DX18" i="15"/>
  <c r="I347" i="15"/>
  <c r="K347" i="15" s="1"/>
  <c r="EQ77" i="15"/>
  <c r="EQ95" i="15" s="1"/>
  <c r="ES77" i="15"/>
  <c r="ES95" i="15" s="1"/>
  <c r="EN77" i="15"/>
  <c r="EN95" i="15" s="1"/>
  <c r="ET77" i="15"/>
  <c r="EP77" i="15"/>
  <c r="EP95" i="15" s="1"/>
  <c r="ER77" i="15"/>
  <c r="ER95" i="15" s="1"/>
  <c r="EO77" i="15"/>
  <c r="EO95" i="15" s="1"/>
  <c r="J347" i="15"/>
  <c r="J349" i="15"/>
  <c r="I349" i="15"/>
  <c r="K349" i="15" s="1"/>
  <c r="E349" i="15"/>
  <c r="J348" i="15"/>
  <c r="I348" i="15"/>
  <c r="K348" i="15" s="1"/>
  <c r="E348" i="15"/>
  <c r="DZ75" i="15"/>
  <c r="EB75" i="15"/>
  <c r="DY75" i="15"/>
  <c r="EE75" i="15"/>
  <c r="ED75" i="15"/>
  <c r="EF75" i="15"/>
  <c r="DX75" i="15"/>
  <c r="EA75" i="15"/>
  <c r="EC75" i="15"/>
  <c r="J340" i="15"/>
  <c r="E340" i="15"/>
  <c r="I340" i="15"/>
  <c r="K340" i="15" s="1"/>
  <c r="EA17" i="15"/>
  <c r="EC17" i="15"/>
  <c r="DX17" i="15"/>
  <c r="EE17" i="15"/>
  <c r="DZ17" i="15"/>
  <c r="EB17" i="15"/>
  <c r="ED17" i="15"/>
  <c r="EF17" i="15"/>
  <c r="DY17" i="15"/>
  <c r="B346" i="15"/>
  <c r="B352" i="15" s="1"/>
  <c r="E352" i="15" s="1"/>
  <c r="DU77" i="15"/>
  <c r="EM95" i="15"/>
  <c r="EJ96" i="15" s="1"/>
  <c r="XFD126" i="10"/>
  <c r="EP107" i="1"/>
  <c r="EP106" i="1"/>
  <c r="EP146" i="1"/>
  <c r="EQ146" i="1"/>
  <c r="ER146" i="1"/>
  <c r="EP145" i="1"/>
  <c r="EP101" i="1"/>
  <c r="EP102" i="1"/>
  <c r="EP103" i="1"/>
  <c r="EP104" i="1"/>
  <c r="EP105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00" i="1"/>
  <c r="ED77" i="15" l="1"/>
  <c r="EF77" i="15"/>
  <c r="DY77" i="15"/>
  <c r="EA77" i="15"/>
  <c r="EC77" i="15"/>
  <c r="DZ77" i="15"/>
  <c r="EE77" i="15"/>
  <c r="EB77" i="15"/>
  <c r="DX77" i="15"/>
  <c r="I352" i="15"/>
  <c r="K352" i="15" s="1"/>
  <c r="J352" i="15"/>
  <c r="J346" i="15"/>
  <c r="E346" i="15"/>
  <c r="I346" i="15"/>
  <c r="K346" i="15" s="1"/>
  <c r="ET95" i="15"/>
  <c r="EQ96" i="15" s="1"/>
  <c r="B5" i="9"/>
  <c r="C5" i="9"/>
  <c r="D5" i="9"/>
  <c r="B6" i="9"/>
  <c r="C6" i="9"/>
  <c r="D6" i="9"/>
  <c r="B7" i="9"/>
  <c r="C7" i="9"/>
  <c r="D7" i="9"/>
  <c r="B8" i="9"/>
  <c r="C8" i="9"/>
  <c r="D8" i="9"/>
  <c r="B9" i="9"/>
  <c r="C9" i="9"/>
  <c r="D9" i="9"/>
  <c r="B10" i="9"/>
  <c r="C10" i="9"/>
  <c r="D10" i="9"/>
  <c r="B11" i="9"/>
  <c r="C11" i="9"/>
  <c r="D11" i="9"/>
  <c r="B12" i="9"/>
  <c r="C12" i="9"/>
  <c r="D12" i="9"/>
  <c r="B13" i="9"/>
  <c r="C13" i="9"/>
  <c r="D13" i="9"/>
  <c r="B14" i="9"/>
  <c r="C14" i="9"/>
  <c r="D14" i="9"/>
  <c r="B15" i="9"/>
  <c r="C15" i="9"/>
  <c r="D15" i="9"/>
  <c r="B16" i="9"/>
  <c r="C16" i="9"/>
  <c r="D16" i="9"/>
  <c r="B17" i="9"/>
  <c r="C17" i="9"/>
  <c r="D17" i="9"/>
  <c r="B18" i="9"/>
  <c r="C18" i="9"/>
  <c r="D18" i="9"/>
  <c r="B19" i="9"/>
  <c r="C19" i="9"/>
  <c r="D19" i="9"/>
  <c r="B20" i="9"/>
  <c r="C20" i="9"/>
  <c r="D20" i="9"/>
  <c r="B21" i="9"/>
  <c r="C21" i="9"/>
  <c r="D21" i="9"/>
  <c r="B22" i="9"/>
  <c r="C22" i="9"/>
  <c r="D22" i="9"/>
  <c r="B23" i="9"/>
  <c r="C23" i="9"/>
  <c r="D23" i="9"/>
  <c r="B24" i="9"/>
  <c r="C24" i="9"/>
  <c r="D24" i="9"/>
  <c r="B25" i="9"/>
  <c r="C25" i="9"/>
  <c r="D25" i="9"/>
  <c r="B26" i="9"/>
  <c r="C26" i="9"/>
  <c r="D26" i="9"/>
  <c r="B27" i="9"/>
  <c r="C27" i="9"/>
  <c r="D27" i="9"/>
  <c r="B28" i="9"/>
  <c r="C28" i="9"/>
  <c r="B29" i="9"/>
  <c r="C29" i="9"/>
  <c r="D29" i="9"/>
  <c r="B30" i="9"/>
  <c r="C30" i="9"/>
  <c r="D30" i="9"/>
  <c r="B31" i="9"/>
  <c r="C31" i="9"/>
  <c r="D31" i="9"/>
  <c r="B32" i="9"/>
  <c r="C32" i="9"/>
  <c r="D32" i="9"/>
  <c r="B33" i="9"/>
  <c r="C33" i="9"/>
  <c r="D33" i="9"/>
  <c r="B34" i="9"/>
  <c r="C34" i="9"/>
  <c r="D34" i="9"/>
  <c r="B35" i="9"/>
  <c r="C35" i="9"/>
  <c r="D35" i="9"/>
  <c r="B36" i="9"/>
  <c r="C36" i="9"/>
  <c r="D36" i="9"/>
  <c r="B37" i="9"/>
  <c r="C37" i="9"/>
  <c r="D37" i="9"/>
  <c r="B38" i="9"/>
  <c r="C38" i="9"/>
  <c r="D38" i="9"/>
  <c r="B39" i="9"/>
  <c r="C39" i="9"/>
  <c r="D39" i="9"/>
  <c r="B40" i="9"/>
  <c r="C40" i="9"/>
  <c r="D40" i="9"/>
  <c r="B41" i="9"/>
  <c r="C41" i="9"/>
  <c r="D41" i="9"/>
  <c r="B42" i="9"/>
  <c r="C42" i="9"/>
  <c r="D42" i="9"/>
  <c r="B43" i="9"/>
  <c r="C43" i="9"/>
  <c r="D43" i="9"/>
  <c r="B44" i="9"/>
  <c r="C44" i="9"/>
  <c r="D44" i="9"/>
  <c r="B45" i="9"/>
  <c r="C45" i="9"/>
  <c r="D45" i="9"/>
  <c r="B46" i="9"/>
  <c r="C46" i="9"/>
  <c r="D46" i="9"/>
  <c r="B47" i="9"/>
  <c r="C47" i="9"/>
  <c r="D47" i="9"/>
  <c r="B48" i="9"/>
  <c r="C48" i="9"/>
  <c r="D48" i="9"/>
  <c r="B49" i="9"/>
  <c r="C49" i="9"/>
  <c r="D49" i="9"/>
  <c r="B50" i="9"/>
  <c r="C50" i="9"/>
  <c r="D50" i="9"/>
  <c r="B51" i="9"/>
  <c r="C51" i="9"/>
  <c r="D51" i="9"/>
  <c r="B52" i="9"/>
  <c r="C52" i="9"/>
  <c r="D52" i="9"/>
  <c r="B53" i="9"/>
  <c r="C53" i="9"/>
  <c r="D53" i="9"/>
  <c r="B54" i="9"/>
  <c r="C54" i="9"/>
  <c r="D54" i="9"/>
  <c r="B55" i="9"/>
  <c r="C55" i="9"/>
  <c r="D55" i="9"/>
  <c r="B56" i="9"/>
  <c r="C56" i="9"/>
  <c r="D56" i="9"/>
  <c r="B57" i="9"/>
  <c r="C57" i="9"/>
  <c r="D57" i="9"/>
  <c r="B58" i="9"/>
  <c r="C58" i="9"/>
  <c r="D58" i="9"/>
  <c r="B59" i="9"/>
  <c r="C59" i="9"/>
  <c r="D59" i="9"/>
  <c r="B60" i="9"/>
  <c r="C60" i="9"/>
  <c r="D60" i="9"/>
  <c r="B61" i="9"/>
  <c r="C61" i="9"/>
  <c r="D61" i="9"/>
  <c r="B62" i="9"/>
  <c r="C62" i="9"/>
  <c r="D62" i="9"/>
  <c r="B63" i="9"/>
  <c r="C63" i="9"/>
  <c r="D63" i="9"/>
  <c r="B64" i="9"/>
  <c r="C64" i="9"/>
  <c r="D64" i="9"/>
  <c r="B65" i="9"/>
  <c r="C65" i="9"/>
  <c r="D65" i="9"/>
  <c r="B66" i="9"/>
  <c r="C66" i="9"/>
  <c r="D66" i="9"/>
  <c r="B67" i="9"/>
  <c r="C67" i="9"/>
  <c r="D67" i="9"/>
  <c r="B68" i="9"/>
  <c r="C68" i="9"/>
  <c r="D68" i="9"/>
  <c r="B69" i="9"/>
  <c r="D69" i="9"/>
  <c r="B70" i="9"/>
  <c r="C70" i="9"/>
  <c r="D70" i="9"/>
  <c r="B71" i="9"/>
  <c r="C71" i="9"/>
  <c r="D71" i="9"/>
  <c r="B72" i="9"/>
  <c r="C72" i="9"/>
  <c r="D72" i="9"/>
  <c r="B73" i="9"/>
  <c r="C73" i="9"/>
  <c r="D73" i="9"/>
  <c r="B74" i="9"/>
  <c r="C74" i="9"/>
  <c r="D74" i="9"/>
  <c r="B75" i="9"/>
  <c r="C75" i="9"/>
  <c r="D75" i="9"/>
  <c r="B76" i="9"/>
  <c r="C76" i="9"/>
  <c r="D76" i="9"/>
  <c r="B77" i="9"/>
  <c r="C77" i="9"/>
  <c r="D77" i="9"/>
  <c r="B78" i="9"/>
  <c r="C78" i="9"/>
  <c r="D78" i="9"/>
  <c r="B79" i="9"/>
  <c r="C79" i="9"/>
  <c r="D79" i="9"/>
  <c r="B80" i="9"/>
  <c r="C80" i="9"/>
  <c r="D80" i="9"/>
  <c r="B81" i="9"/>
  <c r="C81" i="9"/>
  <c r="D81" i="9"/>
  <c r="B82" i="9"/>
  <c r="C82" i="9"/>
  <c r="D82" i="9"/>
  <c r="B83" i="9"/>
  <c r="C83" i="9"/>
  <c r="D83" i="9"/>
  <c r="B84" i="9"/>
  <c r="C84" i="9"/>
  <c r="D84" i="9"/>
  <c r="B85" i="9"/>
  <c r="C85" i="9"/>
  <c r="D85" i="9"/>
  <c r="B86" i="9"/>
  <c r="C86" i="9"/>
  <c r="D86" i="9"/>
  <c r="B87" i="9"/>
  <c r="C87" i="9"/>
  <c r="D87" i="9"/>
  <c r="B88" i="9"/>
  <c r="C88" i="9"/>
  <c r="D88" i="9"/>
  <c r="B89" i="9"/>
  <c r="C89" i="9"/>
  <c r="D89" i="9"/>
  <c r="B90" i="9"/>
  <c r="C90" i="9"/>
  <c r="D90" i="9"/>
  <c r="B91" i="9"/>
  <c r="C91" i="9"/>
  <c r="D91" i="9"/>
  <c r="C92" i="9"/>
  <c r="D92" i="9"/>
  <c r="B93" i="9"/>
  <c r="C93" i="9"/>
  <c r="D93" i="9"/>
  <c r="B94" i="9"/>
  <c r="C94" i="9"/>
  <c r="D94" i="9"/>
  <c r="B95" i="9"/>
  <c r="C95" i="9"/>
  <c r="D95" i="9"/>
  <c r="A92" i="9"/>
  <c r="A93" i="9"/>
  <c r="A94" i="9"/>
  <c r="A95" i="9"/>
  <c r="C3" i="9" l="1"/>
  <c r="F3" i="9"/>
  <c r="B3" i="9"/>
  <c r="C106" i="10" l="1" a="1"/>
  <c r="F4" i="9"/>
  <c r="G9" i="9" s="1"/>
  <c r="J3" i="9" a="1"/>
  <c r="C4" i="9"/>
  <c r="C96" i="9" s="1"/>
  <c r="B4" i="9"/>
  <c r="B96" i="9" s="1"/>
  <c r="EL39" i="1"/>
  <c r="BW39" i="1"/>
  <c r="F96" i="9" l="1"/>
  <c r="G3" i="9" s="1"/>
  <c r="G7" i="9"/>
  <c r="G5" i="9"/>
  <c r="G11" i="9"/>
  <c r="J3" i="9"/>
  <c r="J15" i="9"/>
  <c r="J11" i="9"/>
  <c r="J8" i="9"/>
  <c r="J6" i="9"/>
  <c r="J14" i="9"/>
  <c r="J4" i="9"/>
  <c r="J7" i="9"/>
  <c r="J17" i="9"/>
  <c r="J13" i="9"/>
  <c r="J10" i="9"/>
  <c r="J5" i="9"/>
  <c r="J16" i="9"/>
  <c r="J12" i="9"/>
  <c r="J9" i="9"/>
  <c r="C106" i="10"/>
  <c r="C115" i="10"/>
  <c r="C113" i="10"/>
  <c r="C109" i="10"/>
  <c r="C117" i="10"/>
  <c r="C112" i="10"/>
  <c r="C116" i="10"/>
  <c r="C110" i="10"/>
  <c r="C114" i="10"/>
  <c r="C118" i="10"/>
  <c r="C119" i="10"/>
  <c r="C120" i="10"/>
  <c r="C108" i="10"/>
  <c r="C107" i="10"/>
  <c r="C111" i="10"/>
  <c r="Q3" i="10"/>
  <c r="U3" i="10" s="1"/>
  <c r="D107" i="10" l="1"/>
  <c r="E107" i="10" s="1"/>
  <c r="D106" i="10"/>
  <c r="E106" i="10" s="1"/>
  <c r="Q4" i="10"/>
  <c r="AW51" i="1" l="1"/>
  <c r="BX85" i="1"/>
  <c r="AT85" i="1"/>
  <c r="AK85" i="1"/>
  <c r="EG85" i="1"/>
  <c r="GQ85" i="1"/>
  <c r="GK85" i="1"/>
  <c r="GH85" i="1"/>
  <c r="GP85" i="1"/>
  <c r="GJ85" i="1"/>
  <c r="GG85" i="1"/>
  <c r="GO85" i="1"/>
  <c r="GI85" i="1"/>
  <c r="GF85" i="1"/>
  <c r="GP75" i="1"/>
  <c r="GP84" i="1"/>
  <c r="GJ75" i="1"/>
  <c r="GJ84" i="1"/>
  <c r="GG75" i="1"/>
  <c r="GG84" i="1"/>
  <c r="GQ74" i="1"/>
  <c r="GQ75" i="1"/>
  <c r="GQ84" i="1"/>
  <c r="GK74" i="1"/>
  <c r="GK75" i="1"/>
  <c r="GK84" i="1"/>
  <c r="GH74" i="1"/>
  <c r="GH75" i="1"/>
  <c r="GH84" i="1"/>
  <c r="GO74" i="1"/>
  <c r="GO75" i="1"/>
  <c r="GO84" i="1"/>
  <c r="GI74" i="1"/>
  <c r="GI75" i="1"/>
  <c r="GI84" i="1"/>
  <c r="GF74" i="1"/>
  <c r="GF75" i="1"/>
  <c r="GF84" i="1"/>
  <c r="GQ76" i="1"/>
  <c r="GQ15" i="1"/>
  <c r="GQ94" i="1"/>
  <c r="GQ28" i="1"/>
  <c r="GK76" i="1"/>
  <c r="GK15" i="1"/>
  <c r="GK94" i="1"/>
  <c r="GK28" i="1"/>
  <c r="GH76" i="1"/>
  <c r="GH15" i="1"/>
  <c r="GH94" i="1"/>
  <c r="GH28" i="1"/>
  <c r="GP76" i="1"/>
  <c r="GP15" i="1"/>
  <c r="GP94" i="1"/>
  <c r="GP28" i="1"/>
  <c r="GP74" i="1"/>
  <c r="GJ76" i="1"/>
  <c r="GJ15" i="1"/>
  <c r="GJ94" i="1"/>
  <c r="GJ28" i="1"/>
  <c r="GJ74" i="1"/>
  <c r="GG76" i="1"/>
  <c r="GG15" i="1"/>
  <c r="GG94" i="1"/>
  <c r="GG28" i="1"/>
  <c r="GG74" i="1"/>
  <c r="GO73" i="1"/>
  <c r="GO76" i="1"/>
  <c r="GO15" i="1"/>
  <c r="GO94" i="1"/>
  <c r="GO28" i="1"/>
  <c r="GI73" i="1"/>
  <c r="GI76" i="1"/>
  <c r="GI15" i="1"/>
  <c r="GI94" i="1"/>
  <c r="GI28" i="1"/>
  <c r="GF73" i="1"/>
  <c r="GF76" i="1"/>
  <c r="GF15" i="1"/>
  <c r="GF94" i="1"/>
  <c r="GF28" i="1"/>
  <c r="AW72" i="1"/>
  <c r="ED71" i="1"/>
  <c r="BA71" i="1"/>
  <c r="Z71" i="1"/>
  <c r="GQ70" i="1"/>
  <c r="GQ71" i="1"/>
  <c r="GQ72" i="1"/>
  <c r="GQ73" i="1"/>
  <c r="GK70" i="1"/>
  <c r="GK71" i="1"/>
  <c r="GK72" i="1"/>
  <c r="GK73" i="1"/>
  <c r="GH70" i="1"/>
  <c r="GH71" i="1"/>
  <c r="GH72" i="1"/>
  <c r="GH73" i="1"/>
  <c r="EG70" i="1"/>
  <c r="AU70" i="1"/>
  <c r="GP69" i="1"/>
  <c r="GP70" i="1"/>
  <c r="GP71" i="1"/>
  <c r="GP72" i="1"/>
  <c r="GP73" i="1"/>
  <c r="GJ69" i="1"/>
  <c r="GJ70" i="1"/>
  <c r="GJ71" i="1"/>
  <c r="GJ72" i="1"/>
  <c r="GJ73" i="1"/>
  <c r="GG69" i="1"/>
  <c r="GG70" i="1"/>
  <c r="GG71" i="1"/>
  <c r="GG72" i="1"/>
  <c r="GG73" i="1"/>
  <c r="GQ66" i="1"/>
  <c r="GQ67" i="1"/>
  <c r="GQ68" i="1"/>
  <c r="GQ69" i="1"/>
  <c r="GK66" i="1"/>
  <c r="GK67" i="1"/>
  <c r="GK68" i="1"/>
  <c r="GK69" i="1"/>
  <c r="GH66" i="1"/>
  <c r="GH67" i="1"/>
  <c r="GH68" i="1"/>
  <c r="GH69" i="1"/>
  <c r="GO66" i="1"/>
  <c r="GO67" i="1"/>
  <c r="GO68" i="1"/>
  <c r="GO69" i="1"/>
  <c r="GO70" i="1"/>
  <c r="GO71" i="1"/>
  <c r="GO72" i="1"/>
  <c r="GI66" i="1"/>
  <c r="GI67" i="1"/>
  <c r="GI68" i="1"/>
  <c r="GI69" i="1"/>
  <c r="GI70" i="1"/>
  <c r="GI71" i="1"/>
  <c r="GI72" i="1"/>
  <c r="GF66" i="1"/>
  <c r="GF67" i="1"/>
  <c r="GF68" i="1"/>
  <c r="GF69" i="1"/>
  <c r="GF70" i="1"/>
  <c r="GF71" i="1"/>
  <c r="GF72" i="1"/>
  <c r="EH65" i="1"/>
  <c r="AV65" i="1"/>
  <c r="DR65" i="1"/>
  <c r="ES65" i="1"/>
  <c r="BP65" i="1"/>
  <c r="EO64" i="1"/>
  <c r="GP64" i="1"/>
  <c r="GP65" i="1"/>
  <c r="GP66" i="1"/>
  <c r="GP67" i="1"/>
  <c r="GP68" i="1"/>
  <c r="EN64" i="1"/>
  <c r="GJ64" i="1"/>
  <c r="GJ65" i="1"/>
  <c r="GJ66" i="1"/>
  <c r="GJ67" i="1"/>
  <c r="GJ68" i="1"/>
  <c r="GG64" i="1"/>
  <c r="GG65" i="1"/>
  <c r="GG66" i="1"/>
  <c r="GG67" i="1"/>
  <c r="GG68" i="1"/>
  <c r="GO63" i="1"/>
  <c r="GO64" i="1"/>
  <c r="GO65" i="1"/>
  <c r="GI63" i="1"/>
  <c r="GI64" i="1"/>
  <c r="GF63" i="1"/>
  <c r="GF64" i="1"/>
  <c r="GQ60" i="1"/>
  <c r="GQ61" i="1"/>
  <c r="GQ62" i="1"/>
  <c r="GQ63" i="1"/>
  <c r="GQ64" i="1"/>
  <c r="GQ65" i="1"/>
  <c r="GK60" i="1"/>
  <c r="GK61" i="1"/>
  <c r="GK62" i="1"/>
  <c r="GK63" i="1"/>
  <c r="GK64" i="1"/>
  <c r="GK65" i="1"/>
  <c r="GH60" i="1"/>
  <c r="GH61" i="1"/>
  <c r="GH62" i="1"/>
  <c r="GH63" i="1"/>
  <c r="GH64" i="1"/>
  <c r="GH65" i="1"/>
  <c r="GP58" i="1"/>
  <c r="GP59" i="1"/>
  <c r="GP60" i="1"/>
  <c r="GP61" i="1"/>
  <c r="GP62" i="1"/>
  <c r="GP63" i="1"/>
  <c r="GJ58" i="1"/>
  <c r="GJ59" i="1"/>
  <c r="GJ60" i="1"/>
  <c r="GJ61" i="1"/>
  <c r="GJ62" i="1"/>
  <c r="GJ63" i="1"/>
  <c r="GG58" i="1"/>
  <c r="GG59" i="1"/>
  <c r="GG60" i="1"/>
  <c r="GG61" i="1"/>
  <c r="GG62" i="1"/>
  <c r="GG63" i="1"/>
  <c r="GO55" i="1"/>
  <c r="GO56" i="1"/>
  <c r="GO57" i="1"/>
  <c r="GO58" i="1"/>
  <c r="GO59" i="1"/>
  <c r="GO60" i="1"/>
  <c r="GO61" i="1"/>
  <c r="GO62" i="1"/>
  <c r="GI56" i="1"/>
  <c r="GI57" i="1"/>
  <c r="GI58" i="1"/>
  <c r="GI59" i="1"/>
  <c r="GI60" i="1"/>
  <c r="GI61" i="1"/>
  <c r="GI62" i="1"/>
  <c r="GF56" i="1"/>
  <c r="GF57" i="1"/>
  <c r="GF58" i="1"/>
  <c r="GF59" i="1"/>
  <c r="GF60" i="1"/>
  <c r="GF61" i="1"/>
  <c r="GF62" i="1"/>
  <c r="GQ55" i="1"/>
  <c r="GQ56" i="1"/>
  <c r="GQ57" i="1"/>
  <c r="GQ58" i="1"/>
  <c r="GQ59" i="1"/>
  <c r="GK56" i="1"/>
  <c r="GK57" i="1"/>
  <c r="GK58" i="1"/>
  <c r="GK59" i="1"/>
  <c r="GH56" i="1"/>
  <c r="GH57" i="1"/>
  <c r="GH58" i="1"/>
  <c r="GN58" i="1" s="1"/>
  <c r="GH59" i="1"/>
  <c r="AS54" i="1"/>
  <c r="R54" i="1"/>
  <c r="EU26" i="1"/>
  <c r="GP26" i="1"/>
  <c r="GP27" i="1"/>
  <c r="GP51" i="1"/>
  <c r="GP52" i="1"/>
  <c r="GP53" i="1"/>
  <c r="GP54" i="1"/>
  <c r="GP55" i="1"/>
  <c r="GP56" i="1"/>
  <c r="GP57" i="1"/>
  <c r="GJ26" i="1"/>
  <c r="GJ27" i="1"/>
  <c r="GJ51" i="1"/>
  <c r="GJ52" i="1"/>
  <c r="GJ53" i="1"/>
  <c r="GJ54" i="1"/>
  <c r="GJ55" i="1"/>
  <c r="GJ56" i="1"/>
  <c r="GJ57" i="1"/>
  <c r="GG26" i="1"/>
  <c r="GG27" i="1"/>
  <c r="GG51" i="1"/>
  <c r="GG52" i="1"/>
  <c r="GG53" i="1"/>
  <c r="GG54" i="1"/>
  <c r="GG55" i="1"/>
  <c r="GG56" i="1"/>
  <c r="GG57" i="1"/>
  <c r="EF25" i="1"/>
  <c r="GI55" i="1"/>
  <c r="GO25" i="1"/>
  <c r="GO26" i="1"/>
  <c r="GO27" i="1"/>
  <c r="GO51" i="1"/>
  <c r="GO52" i="1"/>
  <c r="GO53" i="1"/>
  <c r="GO54" i="1"/>
  <c r="GI25" i="1"/>
  <c r="GI26" i="1"/>
  <c r="GI27" i="1"/>
  <c r="GI51" i="1"/>
  <c r="GI52" i="1"/>
  <c r="GI53" i="1"/>
  <c r="GI54" i="1"/>
  <c r="GF25" i="1"/>
  <c r="GF26" i="1"/>
  <c r="GF27" i="1"/>
  <c r="GF51" i="1"/>
  <c r="GF52" i="1"/>
  <c r="GF53" i="1"/>
  <c r="GF54" i="1"/>
  <c r="GF55" i="1"/>
  <c r="AU25" i="1"/>
  <c r="AR25" i="1"/>
  <c r="GQ18" i="1"/>
  <c r="GQ24" i="1"/>
  <c r="GQ25" i="1"/>
  <c r="GQ26" i="1"/>
  <c r="GQ27" i="1"/>
  <c r="GQ51" i="1"/>
  <c r="GQ52" i="1"/>
  <c r="GQ53" i="1"/>
  <c r="GQ54" i="1"/>
  <c r="GK18" i="1"/>
  <c r="GK24" i="1"/>
  <c r="GK25" i="1"/>
  <c r="GK26" i="1"/>
  <c r="GK27" i="1"/>
  <c r="GK51" i="1"/>
  <c r="GK52" i="1"/>
  <c r="GK53" i="1"/>
  <c r="GK54" i="1"/>
  <c r="GK55" i="1"/>
  <c r="GH18" i="1"/>
  <c r="GH24" i="1"/>
  <c r="GH25" i="1"/>
  <c r="GH26" i="1"/>
  <c r="GH27" i="1"/>
  <c r="GH51" i="1"/>
  <c r="GH52" i="1"/>
  <c r="GH53" i="1"/>
  <c r="GH54" i="1"/>
  <c r="GH55" i="1"/>
  <c r="GP13" i="1"/>
  <c r="GP14" i="1"/>
  <c r="GP18" i="1"/>
  <c r="GP24" i="1"/>
  <c r="GP25" i="1"/>
  <c r="GJ13" i="1"/>
  <c r="GJ14" i="1"/>
  <c r="GJ18" i="1"/>
  <c r="GJ24" i="1"/>
  <c r="GJ25" i="1"/>
  <c r="GG13" i="1"/>
  <c r="GG14" i="1"/>
  <c r="GG18" i="1"/>
  <c r="GG24" i="1"/>
  <c r="GG25" i="1"/>
  <c r="GO12" i="1"/>
  <c r="GO13" i="1"/>
  <c r="GO14" i="1"/>
  <c r="GO18" i="1"/>
  <c r="GO24" i="1"/>
  <c r="GI12" i="1"/>
  <c r="GI13" i="1"/>
  <c r="GI14" i="1"/>
  <c r="GI18" i="1"/>
  <c r="GI24" i="1"/>
  <c r="GF11" i="1"/>
  <c r="GF12" i="1"/>
  <c r="GF13" i="1"/>
  <c r="GF14" i="1"/>
  <c r="GF18" i="1"/>
  <c r="GF24" i="1"/>
  <c r="GQ11" i="1"/>
  <c r="GQ93" i="1"/>
  <c r="GQ10" i="1"/>
  <c r="GQ12" i="1"/>
  <c r="GQ13" i="1"/>
  <c r="GQ14" i="1"/>
  <c r="GK93" i="1"/>
  <c r="GK10" i="1"/>
  <c r="GK11" i="1"/>
  <c r="GK12" i="1"/>
  <c r="GK13" i="1"/>
  <c r="GK14" i="1"/>
  <c r="GH93" i="1"/>
  <c r="GH10" i="1"/>
  <c r="GH11" i="1"/>
  <c r="GH12" i="1"/>
  <c r="GH13" i="1"/>
  <c r="GH14" i="1"/>
  <c r="GP93" i="1"/>
  <c r="GP10" i="1"/>
  <c r="GP11" i="1"/>
  <c r="GP12" i="1"/>
  <c r="GJ93" i="1"/>
  <c r="GJ10" i="1"/>
  <c r="GJ11" i="1"/>
  <c r="GJ12" i="1"/>
  <c r="GG93" i="1"/>
  <c r="GG10" i="1"/>
  <c r="GG11" i="1"/>
  <c r="GG12" i="1"/>
  <c r="EF81" i="1"/>
  <c r="AW81" i="1"/>
  <c r="AB81" i="1"/>
  <c r="EE81" i="1"/>
  <c r="AV81" i="1"/>
  <c r="AA81" i="1"/>
  <c r="U81" i="1"/>
  <c r="GO81" i="1"/>
  <c r="GO93" i="1"/>
  <c r="GO10" i="1"/>
  <c r="GO11" i="1"/>
  <c r="GI81" i="1"/>
  <c r="GI93" i="1"/>
  <c r="GI10" i="1"/>
  <c r="GI11" i="1"/>
  <c r="GF81" i="1"/>
  <c r="GF93" i="1"/>
  <c r="GF10" i="1"/>
  <c r="ED81" i="1"/>
  <c r="Z81" i="1"/>
  <c r="T81" i="1"/>
  <c r="DU92" i="1"/>
  <c r="BO50" i="1"/>
  <c r="DU50" i="1"/>
  <c r="EJ50" i="1"/>
  <c r="BS50" i="1"/>
  <c r="AZ17" i="1"/>
  <c r="AB17" i="1"/>
  <c r="V17" i="1"/>
  <c r="AY17" i="1"/>
  <c r="AJ17" i="1"/>
  <c r="U17" i="1"/>
  <c r="T17" i="1"/>
  <c r="AI17" i="1"/>
  <c r="GQ8" i="1"/>
  <c r="GQ9" i="1"/>
  <c r="GQ17" i="1"/>
  <c r="GQ50" i="1"/>
  <c r="GQ86" i="1"/>
  <c r="GQ92" i="1"/>
  <c r="GQ81" i="1"/>
  <c r="GK8" i="1"/>
  <c r="GK9" i="1"/>
  <c r="GK17" i="1"/>
  <c r="GK50" i="1"/>
  <c r="GK86" i="1"/>
  <c r="GK92" i="1"/>
  <c r="GK81" i="1"/>
  <c r="GH8" i="1"/>
  <c r="GH9" i="1"/>
  <c r="GH17" i="1"/>
  <c r="GH50" i="1"/>
  <c r="GH86" i="1"/>
  <c r="GH92" i="1"/>
  <c r="GH81" i="1"/>
  <c r="EU8" i="1"/>
  <c r="BC8" i="1"/>
  <c r="GP8" i="1"/>
  <c r="GP9" i="1"/>
  <c r="GP17" i="1"/>
  <c r="GP50" i="1"/>
  <c r="GP86" i="1"/>
  <c r="GP92" i="1"/>
  <c r="GP81" i="1"/>
  <c r="GJ8" i="1"/>
  <c r="GJ9" i="1"/>
  <c r="GJ17" i="1"/>
  <c r="GJ50" i="1"/>
  <c r="GJ86" i="1"/>
  <c r="GJ92" i="1"/>
  <c r="GJ81" i="1"/>
  <c r="GG8" i="1"/>
  <c r="GG9" i="1"/>
  <c r="GG17" i="1"/>
  <c r="GG50" i="1"/>
  <c r="GG86" i="1"/>
  <c r="GG92" i="1"/>
  <c r="GG81" i="1"/>
  <c r="GO8" i="1"/>
  <c r="GO9" i="1"/>
  <c r="GO17" i="1"/>
  <c r="GO50" i="1"/>
  <c r="GO86" i="1"/>
  <c r="GO92" i="1"/>
  <c r="GI8" i="1"/>
  <c r="GI9" i="1"/>
  <c r="GI17" i="1"/>
  <c r="GI50" i="1"/>
  <c r="GI86" i="1"/>
  <c r="GI92" i="1"/>
  <c r="GF8" i="1"/>
  <c r="GF9" i="1"/>
  <c r="GF17" i="1"/>
  <c r="GF50" i="1"/>
  <c r="GF86" i="1"/>
  <c r="GF92" i="1"/>
  <c r="AR49" i="1"/>
  <c r="GQ91" i="1"/>
  <c r="GQ49" i="1"/>
  <c r="GK91" i="1"/>
  <c r="GK49" i="1"/>
  <c r="GH91" i="1"/>
  <c r="GH49" i="1"/>
  <c r="GP91" i="1"/>
  <c r="GP49" i="1"/>
  <c r="GJ91" i="1"/>
  <c r="GJ49" i="1"/>
  <c r="GG91" i="1"/>
  <c r="GG49" i="1"/>
  <c r="GO90" i="1"/>
  <c r="GO91" i="1"/>
  <c r="GO49" i="1"/>
  <c r="GI90" i="1"/>
  <c r="GI91" i="1"/>
  <c r="GI49" i="1"/>
  <c r="GF90" i="1"/>
  <c r="GF91" i="1"/>
  <c r="GF49" i="1"/>
  <c r="AT83" i="1"/>
  <c r="AS83" i="1"/>
  <c r="AU83" i="1"/>
  <c r="ET48" i="1"/>
  <c r="GQ47" i="1"/>
  <c r="GQ48" i="1"/>
  <c r="GQ80" i="1"/>
  <c r="GQ83" i="1"/>
  <c r="GQ90" i="1"/>
  <c r="GK47" i="1"/>
  <c r="GK48" i="1"/>
  <c r="GK80" i="1"/>
  <c r="GK83" i="1"/>
  <c r="GK90" i="1"/>
  <c r="GH47" i="1"/>
  <c r="GH48" i="1"/>
  <c r="GH80" i="1"/>
  <c r="GH83" i="1"/>
  <c r="GH90" i="1"/>
  <c r="GP45" i="1"/>
  <c r="GP46" i="1"/>
  <c r="GP47" i="1"/>
  <c r="GP48" i="1"/>
  <c r="GP80" i="1"/>
  <c r="GP83" i="1"/>
  <c r="GP90" i="1"/>
  <c r="GJ45" i="1"/>
  <c r="GJ46" i="1"/>
  <c r="GJ47" i="1"/>
  <c r="GJ48" i="1"/>
  <c r="GJ80" i="1"/>
  <c r="GJ83" i="1"/>
  <c r="GJ90" i="1"/>
  <c r="GG45" i="1"/>
  <c r="GG46" i="1"/>
  <c r="GG47" i="1"/>
  <c r="GG48" i="1"/>
  <c r="GG80" i="1"/>
  <c r="GG83" i="1"/>
  <c r="GG90" i="1"/>
  <c r="GO45" i="1"/>
  <c r="GO46" i="1"/>
  <c r="GO47" i="1"/>
  <c r="GO48" i="1"/>
  <c r="GO80" i="1"/>
  <c r="GO83" i="1"/>
  <c r="GI45" i="1"/>
  <c r="GI46" i="1"/>
  <c r="GI47" i="1"/>
  <c r="GI48" i="1"/>
  <c r="GI80" i="1"/>
  <c r="GI83" i="1"/>
  <c r="GF45" i="1"/>
  <c r="GF46" i="1"/>
  <c r="GF47" i="1"/>
  <c r="GF48" i="1"/>
  <c r="GF80" i="1"/>
  <c r="GF83" i="1"/>
  <c r="GQ23" i="1"/>
  <c r="GQ45" i="1"/>
  <c r="GQ46" i="1"/>
  <c r="GK23" i="1"/>
  <c r="GK45" i="1"/>
  <c r="GK46" i="1"/>
  <c r="GH23" i="1"/>
  <c r="GH45" i="1"/>
  <c r="GH46" i="1"/>
  <c r="GP23" i="1"/>
  <c r="GJ23" i="1"/>
  <c r="GG23" i="1"/>
  <c r="GO23" i="1"/>
  <c r="GI23" i="1"/>
  <c r="GF23" i="1"/>
  <c r="GQ89" i="1"/>
  <c r="GQ95" i="1"/>
  <c r="EN95" i="1"/>
  <c r="GO89" i="1"/>
  <c r="GO95" i="1"/>
  <c r="GI89" i="1"/>
  <c r="GI95" i="1"/>
  <c r="GF89" i="1"/>
  <c r="GF95" i="1"/>
  <c r="GP79" i="1"/>
  <c r="GP89" i="1"/>
  <c r="GP95" i="1"/>
  <c r="GJ79" i="1"/>
  <c r="GJ89" i="1"/>
  <c r="GJ95" i="1"/>
  <c r="GG79" i="1"/>
  <c r="GG89" i="1"/>
  <c r="GG95" i="1"/>
  <c r="EI88" i="1"/>
  <c r="EH88" i="1"/>
  <c r="EJ88" i="1"/>
  <c r="GO88" i="1"/>
  <c r="GO79" i="1"/>
  <c r="GI88" i="1"/>
  <c r="GI79" i="1"/>
  <c r="GF88" i="1"/>
  <c r="GF79" i="1"/>
  <c r="GP78" i="1"/>
  <c r="GP87" i="1"/>
  <c r="GP88" i="1"/>
  <c r="GJ78" i="1"/>
  <c r="GJ87" i="1"/>
  <c r="GJ88" i="1"/>
  <c r="GG78" i="1"/>
  <c r="GG87" i="1"/>
  <c r="GG88" i="1"/>
  <c r="GO77" i="1"/>
  <c r="GO78" i="1"/>
  <c r="GO87" i="1"/>
  <c r="GI77" i="1"/>
  <c r="GI78" i="1"/>
  <c r="GI87" i="1"/>
  <c r="GF77" i="1"/>
  <c r="GF78" i="1"/>
  <c r="GF87" i="1"/>
  <c r="ER43" i="1"/>
  <c r="EO43" i="1"/>
  <c r="GQ43" i="1"/>
  <c r="GQ44" i="1"/>
  <c r="GQ77" i="1"/>
  <c r="GQ78" i="1"/>
  <c r="GQ87" i="1"/>
  <c r="GQ88" i="1"/>
  <c r="GQ79" i="1"/>
  <c r="GK43" i="1"/>
  <c r="GK44" i="1"/>
  <c r="GK77" i="1"/>
  <c r="GK78" i="1"/>
  <c r="GK87" i="1"/>
  <c r="GK88" i="1"/>
  <c r="GK79" i="1"/>
  <c r="GK89" i="1"/>
  <c r="GK95" i="1"/>
  <c r="GH43" i="1"/>
  <c r="GH44" i="1"/>
  <c r="GH77" i="1"/>
  <c r="GH78" i="1"/>
  <c r="GH87" i="1"/>
  <c r="GH88" i="1"/>
  <c r="GH79" i="1"/>
  <c r="GH89" i="1"/>
  <c r="GH95" i="1"/>
  <c r="GP42" i="1"/>
  <c r="GP43" i="1"/>
  <c r="GP44" i="1"/>
  <c r="GP77" i="1"/>
  <c r="GJ42" i="1"/>
  <c r="GJ43" i="1"/>
  <c r="GJ44" i="1"/>
  <c r="GJ77" i="1"/>
  <c r="GG42" i="1"/>
  <c r="GG43" i="1"/>
  <c r="GG44" i="1"/>
  <c r="GG77" i="1"/>
  <c r="Q37" i="1"/>
  <c r="GI37" i="1"/>
  <c r="GI38" i="1"/>
  <c r="GI39" i="1"/>
  <c r="GI40" i="1"/>
  <c r="GI41" i="1"/>
  <c r="GI42" i="1"/>
  <c r="GI43" i="1"/>
  <c r="GI44" i="1"/>
  <c r="GF37" i="1"/>
  <c r="GF38" i="1"/>
  <c r="GF39" i="1"/>
  <c r="GF40" i="1"/>
  <c r="GF41" i="1"/>
  <c r="GF42" i="1"/>
  <c r="GF43" i="1"/>
  <c r="GF44" i="1"/>
  <c r="GF29" i="1"/>
  <c r="GF30" i="1"/>
  <c r="GF31" i="1"/>
  <c r="GF32" i="1"/>
  <c r="GF33" i="1"/>
  <c r="GF34" i="1"/>
  <c r="GF35" i="1"/>
  <c r="GP3" i="1"/>
  <c r="GP4" i="1"/>
  <c r="GP5" i="1"/>
  <c r="GP6" i="1"/>
  <c r="GP7" i="1"/>
  <c r="GP82" i="1"/>
  <c r="GP16" i="1"/>
  <c r="GP19" i="1"/>
  <c r="GP20" i="1"/>
  <c r="GP21" i="1"/>
  <c r="GP22" i="1"/>
  <c r="GP29" i="1"/>
  <c r="GP30" i="1"/>
  <c r="GP31" i="1"/>
  <c r="GP32" i="1"/>
  <c r="GP33" i="1"/>
  <c r="GP34" i="1"/>
  <c r="GP35" i="1"/>
  <c r="GO4" i="1"/>
  <c r="GO5" i="1"/>
  <c r="GO6" i="1"/>
  <c r="GO7" i="1"/>
  <c r="GO82" i="1"/>
  <c r="GO16" i="1"/>
  <c r="GO19" i="1"/>
  <c r="GO20" i="1"/>
  <c r="GO21" i="1"/>
  <c r="GO22" i="1"/>
  <c r="GO29" i="1"/>
  <c r="GO30" i="1"/>
  <c r="GO31" i="1"/>
  <c r="GO32" i="1"/>
  <c r="GO33" i="1"/>
  <c r="GO34" i="1"/>
  <c r="GO35" i="1"/>
  <c r="GO36" i="1"/>
  <c r="GO37" i="1"/>
  <c r="GO38" i="1"/>
  <c r="GO39" i="1"/>
  <c r="GO40" i="1"/>
  <c r="GO41" i="1"/>
  <c r="GO42" i="1"/>
  <c r="GO43" i="1"/>
  <c r="GO44" i="1"/>
  <c r="GO3" i="1"/>
  <c r="GQ4" i="1"/>
  <c r="GQ5" i="1"/>
  <c r="GQ6" i="1"/>
  <c r="GQ7" i="1"/>
  <c r="GQ82" i="1"/>
  <c r="GQ16" i="1"/>
  <c r="GQ19" i="1"/>
  <c r="GQ20" i="1"/>
  <c r="GQ21" i="1"/>
  <c r="GQ22" i="1"/>
  <c r="GQ29" i="1"/>
  <c r="GQ30" i="1"/>
  <c r="GQ31" i="1"/>
  <c r="GQ32" i="1"/>
  <c r="GQ33" i="1"/>
  <c r="GQ34" i="1"/>
  <c r="GQ35" i="1"/>
  <c r="GQ36" i="1"/>
  <c r="GQ37" i="1"/>
  <c r="GQ38" i="1"/>
  <c r="GQ39" i="1"/>
  <c r="GQ40" i="1"/>
  <c r="GQ41" i="1"/>
  <c r="GQ42" i="1"/>
  <c r="GQ3" i="1"/>
  <c r="GN35" i="1"/>
  <c r="GK34" i="1"/>
  <c r="GK35" i="1"/>
  <c r="GK36" i="1"/>
  <c r="GK37" i="1"/>
  <c r="GK38" i="1"/>
  <c r="GK39" i="1"/>
  <c r="GK40" i="1"/>
  <c r="GK41" i="1"/>
  <c r="GK42" i="1"/>
  <c r="GH34" i="1"/>
  <c r="GH35" i="1"/>
  <c r="GH36" i="1"/>
  <c r="GH37" i="1"/>
  <c r="GH38" i="1"/>
  <c r="GH39" i="1"/>
  <c r="GH40" i="1"/>
  <c r="GH41" i="1"/>
  <c r="GH42" i="1"/>
  <c r="GP36" i="1"/>
  <c r="GP37" i="1"/>
  <c r="GP38" i="1"/>
  <c r="GP39" i="1"/>
  <c r="GP40" i="1"/>
  <c r="GP41" i="1"/>
  <c r="GJ35" i="1"/>
  <c r="GJ36" i="1"/>
  <c r="GJ37" i="1"/>
  <c r="GJ38" i="1"/>
  <c r="GJ39" i="1"/>
  <c r="GJ40" i="1"/>
  <c r="GJ41" i="1"/>
  <c r="GG35" i="1"/>
  <c r="GG36" i="1"/>
  <c r="GG37" i="1"/>
  <c r="GG38" i="1"/>
  <c r="GG39" i="1"/>
  <c r="GG40" i="1"/>
  <c r="GG41" i="1"/>
  <c r="GK30" i="1"/>
  <c r="GK31" i="1"/>
  <c r="GK32" i="1"/>
  <c r="GK33" i="1"/>
  <c r="GH30" i="1"/>
  <c r="GH31" i="1"/>
  <c r="GH32" i="1"/>
  <c r="GH33" i="1"/>
  <c r="GI35" i="1"/>
  <c r="GI36" i="1"/>
  <c r="GF36" i="1"/>
  <c r="GI29" i="1"/>
  <c r="GI30" i="1"/>
  <c r="GI31" i="1"/>
  <c r="GI32" i="1"/>
  <c r="GI33" i="1"/>
  <c r="GI34" i="1"/>
  <c r="BW22" i="1"/>
  <c r="BX21" i="1"/>
  <c r="BW21" i="1"/>
  <c r="GK19" i="1"/>
  <c r="GK20" i="1"/>
  <c r="GK21" i="1"/>
  <c r="GK22" i="1"/>
  <c r="GK29" i="1"/>
  <c r="GH19" i="1"/>
  <c r="GH20" i="1"/>
  <c r="GH21" i="1"/>
  <c r="GH22" i="1"/>
  <c r="GH29" i="1"/>
  <c r="BX20" i="1"/>
  <c r="GG21" i="1"/>
  <c r="GG22" i="1"/>
  <c r="GG29" i="1"/>
  <c r="GG30" i="1"/>
  <c r="GG31" i="1"/>
  <c r="GG32" i="1"/>
  <c r="GG33" i="1"/>
  <c r="GG34" i="1"/>
  <c r="GJ19" i="1"/>
  <c r="GJ20" i="1"/>
  <c r="GJ21" i="1"/>
  <c r="GJ22" i="1"/>
  <c r="GJ29" i="1"/>
  <c r="GJ30" i="1"/>
  <c r="GJ31" i="1"/>
  <c r="GJ32" i="1"/>
  <c r="GJ33" i="1"/>
  <c r="GJ34" i="1"/>
  <c r="GG19" i="1"/>
  <c r="GG20" i="1"/>
  <c r="BW20" i="1"/>
  <c r="GI19" i="1"/>
  <c r="GI20" i="1"/>
  <c r="GI21" i="1"/>
  <c r="GI22" i="1"/>
  <c r="GF19" i="1"/>
  <c r="GF20" i="1"/>
  <c r="GF21" i="1"/>
  <c r="GF22" i="1"/>
  <c r="GK16" i="1"/>
  <c r="GH16" i="1"/>
  <c r="GJ16" i="1"/>
  <c r="GG16" i="1"/>
  <c r="GI16" i="1"/>
  <c r="GF16" i="1"/>
  <c r="GK82" i="1"/>
  <c r="GH82" i="1"/>
  <c r="BX82" i="1"/>
  <c r="GJ82" i="1"/>
  <c r="GG82" i="1"/>
  <c r="BW82" i="1"/>
  <c r="GI82" i="1"/>
  <c r="GF82" i="1"/>
  <c r="ES82" i="1"/>
  <c r="GK7" i="1"/>
  <c r="GH7" i="1"/>
  <c r="GJ7" i="1"/>
  <c r="GG7" i="1"/>
  <c r="GI7" i="1"/>
  <c r="GF7" i="1"/>
  <c r="CY6" i="1"/>
  <c r="BX6" i="1"/>
  <c r="BW6" i="1"/>
  <c r="BZ5" i="1"/>
  <c r="GN4" i="1"/>
  <c r="GK4" i="1"/>
  <c r="GH4" i="1"/>
  <c r="GJ4" i="1"/>
  <c r="GG4" i="1"/>
  <c r="GL4" i="1"/>
  <c r="GI4" i="1"/>
  <c r="GF4" i="1"/>
  <c r="BT5" i="1" l="1"/>
  <c r="D28" i="9"/>
  <c r="AW83" i="1"/>
  <c r="AR71" i="1"/>
  <c r="AU71" i="1" s="1"/>
  <c r="AU49" i="1"/>
  <c r="AV83" i="1"/>
  <c r="GF65" i="1"/>
  <c r="GM95" i="1"/>
  <c r="GN10" i="1"/>
  <c r="GL75" i="1"/>
  <c r="GN15" i="1"/>
  <c r="GN13" i="1"/>
  <c r="GN14" i="1"/>
  <c r="GN94" i="1"/>
  <c r="GN45" i="1"/>
  <c r="GN44" i="1"/>
  <c r="GN87" i="1"/>
  <c r="GL42" i="1"/>
  <c r="AA17" i="1"/>
  <c r="Z17" i="1"/>
  <c r="GI65" i="1"/>
  <c r="S81" i="1"/>
  <c r="ED70" i="1"/>
  <c r="EF88" i="1"/>
  <c r="GL82" i="1"/>
  <c r="GN12" i="1"/>
  <c r="GN59" i="1"/>
  <c r="GN22" i="1"/>
  <c r="ED88" i="1"/>
  <c r="GN29" i="1"/>
  <c r="GN70" i="1"/>
  <c r="GN9" i="1"/>
  <c r="GM7" i="1"/>
  <c r="GL29" i="1"/>
  <c r="GL69" i="1"/>
  <c r="GM74" i="1"/>
  <c r="GM28" i="1"/>
  <c r="GM75" i="1"/>
  <c r="GN7" i="1"/>
  <c r="GN30" i="1"/>
  <c r="GL11" i="1"/>
  <c r="GM49" i="1"/>
  <c r="GM91" i="1"/>
  <c r="GN68" i="1"/>
  <c r="GM82" i="1"/>
  <c r="GN16" i="1"/>
  <c r="GM20" i="1"/>
  <c r="GN40" i="1"/>
  <c r="GN39" i="1"/>
  <c r="GM50" i="1"/>
  <c r="GN27" i="1"/>
  <c r="GN24" i="1"/>
  <c r="GL51" i="1"/>
  <c r="GL70" i="1"/>
  <c r="GM69" i="1"/>
  <c r="GL74" i="1"/>
  <c r="GN84" i="1"/>
  <c r="GN74" i="1"/>
  <c r="GM84" i="1"/>
  <c r="GN33" i="1"/>
  <c r="GM16" i="1"/>
  <c r="GL47" i="1"/>
  <c r="GN47" i="1"/>
  <c r="GM93" i="1"/>
  <c r="GM13" i="1"/>
  <c r="GN69" i="1"/>
  <c r="GN92" i="1"/>
  <c r="GL13" i="1"/>
  <c r="GL58" i="1"/>
  <c r="GM42" i="1"/>
  <c r="GL23" i="1"/>
  <c r="GL37" i="1"/>
  <c r="GL88" i="1"/>
  <c r="GL45" i="1"/>
  <c r="GN53" i="1"/>
  <c r="GL67" i="1"/>
  <c r="GN66" i="1"/>
  <c r="GL20" i="1"/>
  <c r="GL95" i="1"/>
  <c r="GL89" i="1"/>
  <c r="GL48" i="1"/>
  <c r="GM92" i="1"/>
  <c r="Q81" i="1"/>
  <c r="GL81" i="1"/>
  <c r="GN54" i="1"/>
  <c r="GN51" i="1"/>
  <c r="GL55" i="1"/>
  <c r="GM57" i="1"/>
  <c r="GM55" i="1"/>
  <c r="GM53" i="1"/>
  <c r="GL59" i="1"/>
  <c r="GL57" i="1"/>
  <c r="GL63" i="1"/>
  <c r="GL73" i="1"/>
  <c r="GM15" i="1"/>
  <c r="GM76" i="1"/>
  <c r="GN76" i="1"/>
  <c r="GN20" i="1"/>
  <c r="GM89" i="1"/>
  <c r="GL91" i="1"/>
  <c r="GL25" i="1"/>
  <c r="GL66" i="1"/>
  <c r="GL84" i="1"/>
  <c r="GL7" i="1"/>
  <c r="GL16" i="1"/>
  <c r="GL21" i="1"/>
  <c r="GL77" i="1"/>
  <c r="GN79" i="1"/>
  <c r="GN82" i="1"/>
  <c r="GL19" i="1"/>
  <c r="GM38" i="1"/>
  <c r="GL44" i="1"/>
  <c r="GM23" i="1"/>
  <c r="GM45" i="1"/>
  <c r="GL86" i="1"/>
  <c r="GM8" i="1"/>
  <c r="GN8" i="1"/>
  <c r="GM41" i="1"/>
  <c r="GM37" i="1"/>
  <c r="GM35" i="1"/>
  <c r="GM39" i="1"/>
  <c r="GL39" i="1"/>
  <c r="GM43" i="1"/>
  <c r="GM78" i="1"/>
  <c r="GM79" i="1"/>
  <c r="GN23" i="1"/>
  <c r="GN90" i="1"/>
  <c r="GN83" i="1"/>
  <c r="GN91" i="1"/>
  <c r="GL35" i="1"/>
  <c r="GM77" i="1"/>
  <c r="GL90" i="1"/>
  <c r="GL18" i="1"/>
  <c r="GN60" i="1"/>
  <c r="R81" i="1"/>
  <c r="GN55" i="1"/>
  <c r="GL53" i="1"/>
  <c r="GM52" i="1"/>
  <c r="GL61" i="1"/>
  <c r="GM58" i="1"/>
  <c r="GM64" i="1"/>
  <c r="GN73" i="1"/>
  <c r="GN85" i="1"/>
  <c r="GN93" i="1"/>
  <c r="GM54" i="1"/>
  <c r="GM73" i="1"/>
  <c r="GM71" i="1"/>
  <c r="GL85" i="1"/>
  <c r="GN19" i="1"/>
  <c r="GM19" i="1"/>
  <c r="GN56" i="1"/>
  <c r="GM56" i="1"/>
  <c r="GL56" i="1"/>
  <c r="GN34" i="1"/>
  <c r="GM34" i="1"/>
  <c r="GL34" i="1"/>
  <c r="GM85" i="1"/>
  <c r="GN75" i="1"/>
  <c r="GN28" i="1"/>
  <c r="GL28" i="1"/>
  <c r="GM94" i="1"/>
  <c r="GL94" i="1"/>
  <c r="GL15" i="1"/>
  <c r="GL76" i="1"/>
  <c r="GN72" i="1"/>
  <c r="GM72" i="1"/>
  <c r="GL72" i="1"/>
  <c r="GN71" i="1"/>
  <c r="GL71" i="1"/>
  <c r="GM70" i="1"/>
  <c r="GM68" i="1"/>
  <c r="GL68" i="1"/>
  <c r="GN67" i="1"/>
  <c r="GM67" i="1"/>
  <c r="GM66" i="1"/>
  <c r="GN65" i="1"/>
  <c r="GM65" i="1"/>
  <c r="GN46" i="1"/>
  <c r="GM33" i="1"/>
  <c r="GM29" i="1"/>
  <c r="GN95" i="1"/>
  <c r="GN89" i="1"/>
  <c r="GN88" i="1"/>
  <c r="GN43" i="1"/>
  <c r="GL14" i="1"/>
  <c r="GL12" i="1"/>
  <c r="GN36" i="1"/>
  <c r="GM87" i="1"/>
  <c r="GM12" i="1"/>
  <c r="GN18" i="1"/>
  <c r="GM51" i="1"/>
  <c r="GM26" i="1"/>
  <c r="GN37" i="1"/>
  <c r="GN77" i="1"/>
  <c r="GL49" i="1"/>
  <c r="GN57" i="1"/>
  <c r="GM9" i="1"/>
  <c r="GM60" i="1"/>
  <c r="GM11" i="1"/>
  <c r="GM14" i="1"/>
  <c r="GL92" i="1"/>
  <c r="GM18" i="1"/>
  <c r="GL52" i="1"/>
  <c r="GL27" i="1"/>
  <c r="GM59" i="1"/>
  <c r="GN17" i="1"/>
  <c r="GL26" i="1"/>
  <c r="GM27" i="1"/>
  <c r="GL60" i="1"/>
  <c r="GN64" i="1"/>
  <c r="GL64" i="1"/>
  <c r="GN63" i="1"/>
  <c r="GM63" i="1"/>
  <c r="GN62" i="1"/>
  <c r="GM62" i="1"/>
  <c r="GL62" i="1"/>
  <c r="GN61" i="1"/>
  <c r="GM61" i="1"/>
  <c r="GL54" i="1"/>
  <c r="GN52" i="1"/>
  <c r="GN26" i="1"/>
  <c r="GN25" i="1"/>
  <c r="GM25" i="1"/>
  <c r="GM24" i="1"/>
  <c r="GL24" i="1"/>
  <c r="GN11" i="1"/>
  <c r="GM10" i="1"/>
  <c r="GL10" i="1"/>
  <c r="GL93" i="1"/>
  <c r="GN81" i="1"/>
  <c r="GM81" i="1"/>
  <c r="GN86" i="1"/>
  <c r="GM86" i="1"/>
  <c r="GN50" i="1"/>
  <c r="GL50" i="1"/>
  <c r="GM17" i="1"/>
  <c r="GL17" i="1"/>
  <c r="GL9" i="1"/>
  <c r="GL8" i="1"/>
  <c r="GN49" i="1"/>
  <c r="GM90" i="1"/>
  <c r="GM83" i="1"/>
  <c r="GL83" i="1"/>
  <c r="GN80" i="1"/>
  <c r="GM80" i="1"/>
  <c r="GL80" i="1"/>
  <c r="GN48" i="1"/>
  <c r="GM48" i="1"/>
  <c r="GM47" i="1"/>
  <c r="GM46" i="1"/>
  <c r="GL46" i="1"/>
  <c r="GL79" i="1"/>
  <c r="GM88" i="1"/>
  <c r="GL87" i="1"/>
  <c r="GN78" i="1"/>
  <c r="GL78" i="1"/>
  <c r="GM44" i="1"/>
  <c r="GL43" i="1"/>
  <c r="GN42" i="1"/>
  <c r="GM40" i="1"/>
  <c r="GN41" i="1"/>
  <c r="GL41" i="1"/>
  <c r="GN38" i="1"/>
  <c r="GL40" i="1"/>
  <c r="GL38" i="1"/>
  <c r="GM36" i="1"/>
  <c r="GL36" i="1"/>
  <c r="GL33" i="1"/>
  <c r="GN32" i="1"/>
  <c r="GM32" i="1"/>
  <c r="GL32" i="1"/>
  <c r="GN31" i="1"/>
  <c r="GM31" i="1"/>
  <c r="GL31" i="1"/>
  <c r="GM30" i="1"/>
  <c r="GL30" i="1"/>
  <c r="GM22" i="1"/>
  <c r="GL22" i="1"/>
  <c r="GN21" i="1"/>
  <c r="GM21" i="1"/>
  <c r="D3" i="9" l="1"/>
  <c r="GL65" i="1"/>
  <c r="D4" i="9" l="1"/>
  <c r="D96" i="9" s="1"/>
  <c r="BD147" i="15" l="1"/>
  <c r="EC96" i="15"/>
  <c r="EE106" i="15" l="1"/>
  <c r="EI106" i="15"/>
  <c r="EF107" i="15"/>
  <c r="EJ107" i="15"/>
  <c r="EH105" i="15"/>
  <c r="ED113" i="15"/>
  <c r="EE108" i="15"/>
  <c r="EI108" i="15"/>
  <c r="EF106" i="15"/>
  <c r="EJ106" i="15"/>
  <c r="EG107" i="15"/>
  <c r="EE105" i="15"/>
  <c r="EI105" i="15"/>
  <c r="ED114" i="15"/>
  <c r="EF108" i="15"/>
  <c r="EJ108" i="15"/>
  <c r="EG106" i="15"/>
  <c r="ED107" i="15"/>
  <c r="EH107" i="15"/>
  <c r="EF105" i="15"/>
  <c r="EJ105" i="15"/>
  <c r="EH113" i="15"/>
  <c r="ED112" i="15"/>
  <c r="EG108" i="15"/>
  <c r="ED108" i="15"/>
  <c r="ED106" i="15"/>
  <c r="EH106" i="15"/>
  <c r="EE107" i="15"/>
  <c r="EI107" i="15"/>
  <c r="EG105" i="15"/>
  <c r="ED105" i="15"/>
  <c r="EG112" i="15"/>
  <c r="EH114" i="15"/>
  <c r="EG114" i="15"/>
  <c r="EH108" i="15"/>
  <c r="EH112" i="15"/>
  <c r="EG113" i="15"/>
  <c r="BD141" i="15"/>
  <c r="N141" i="15" l="1"/>
  <c r="L124" i="15"/>
  <c r="O124" i="15" s="1"/>
  <c r="S141" i="15"/>
  <c r="G141" i="15"/>
  <c r="AI141" i="15"/>
  <c r="AJ141" i="15"/>
  <c r="BM78" i="15"/>
  <c r="AG141" i="15"/>
  <c r="AC141" i="15"/>
  <c r="V141" i="15"/>
  <c r="AD141" i="15"/>
  <c r="AH141" i="15"/>
  <c r="DC78" i="15"/>
  <c r="DU78" i="15" s="1"/>
  <c r="AE141" i="15"/>
  <c r="J141" i="15"/>
  <c r="M141" i="15" s="1"/>
  <c r="B261" i="15" l="1"/>
  <c r="E261" i="15" s="1"/>
  <c r="BI141" i="15"/>
  <c r="BI147" i="15"/>
  <c r="BH147" i="15"/>
  <c r="BH141" i="15"/>
  <c r="AF141" i="15"/>
  <c r="EC78" i="15"/>
  <c r="ED78" i="15"/>
  <c r="EA78" i="15"/>
  <c r="DY78" i="15"/>
  <c r="EB78" i="15"/>
  <c r="EF78" i="15"/>
  <c r="DX78" i="15"/>
  <c r="DZ78" i="15"/>
  <c r="DZ96" i="15" s="1"/>
  <c r="EE78" i="15"/>
  <c r="J261" i="15"/>
  <c r="I261" i="15"/>
  <c r="K261" i="15" s="1"/>
  <c r="BX2" i="18" l="1"/>
  <c r="BX95" i="18" s="1"/>
</calcChain>
</file>

<file path=xl/sharedStrings.xml><?xml version="1.0" encoding="utf-8"?>
<sst xmlns="http://schemas.openxmlformats.org/spreadsheetml/2006/main" count="6781" uniqueCount="723">
  <si>
    <t>Klub</t>
  </si>
  <si>
    <t>c_memb</t>
  </si>
  <si>
    <t>member6y</t>
  </si>
  <si>
    <t>member15y</t>
  </si>
  <si>
    <t>member19y</t>
  </si>
  <si>
    <t>member30y</t>
  </si>
  <si>
    <t>member50y</t>
  </si>
  <si>
    <t>member50yplus</t>
  </si>
  <si>
    <t>sport</t>
  </si>
  <si>
    <t>mainpurpose</t>
  </si>
  <si>
    <t>enoughfin</t>
  </si>
  <si>
    <t>share_memfee</t>
  </si>
  <si>
    <t>share_subs</t>
  </si>
  <si>
    <t>share_spons</t>
  </si>
  <si>
    <t>share_other</t>
  </si>
  <si>
    <t>income</t>
  </si>
  <si>
    <t>Uveďte prosím počet členů vašeho klubu.</t>
  </si>
  <si>
    <t>Uveďte prosím u vybraných věkových skupin vašich členů přibližný procentní podíl členské základny. [do 6 let]</t>
  </si>
  <si>
    <t>Uveďte prosím u vybraných věkových skupin vašich členů přibližný procentní podíl členské základny. [7 - 15 let]</t>
  </si>
  <si>
    <t>Uveďte prosím u vybraných věkových skupin vašich členů přibližný procentní podíl členské základny. [16 - 19 let]</t>
  </si>
  <si>
    <t>Uveďte prosím u vybraných věkových skupin vašich členů přibližný procentní podíl členské základny. [20 - 30 let]</t>
  </si>
  <si>
    <t>Uveďte prosím u vybraných věkových skupin vašich členů přibližný procentní podíl členské základny. [31- 50 let]</t>
  </si>
  <si>
    <t>Uveďte prosím u vybraných věkových skupin vašich členů přibližný procentní podíl členské základny. [50 a více let]</t>
  </si>
  <si>
    <t>V jakém sportovním odvětví působí váš klub-</t>
  </si>
  <si>
    <t>Zabýváme se především</t>
  </si>
  <si>
    <t>Interní prostředí (je reprezentováno vlivy, které přicházejí zevnitř organizace) [V rámci našeho klubu máme dostatek finančních zdrojů.]</t>
  </si>
  <si>
    <t>Uveďte prosím procentní podíl finančních zdrojů vašeho klubu u následujících zdrojů [Členské příspěvky]</t>
  </si>
  <si>
    <t>Uveďte prosím procentní podíl finančních zdrojů vašeho klubu u následujících zdrojů [Dotace, příspěvky od státu, krajů, měst a sportovních svazů]</t>
  </si>
  <si>
    <t>Uveďte prosím procentní podíl finančních zdrojů vašeho klubu u následujících zdrojů [Sponsoring a dary]</t>
  </si>
  <si>
    <t>Uveďte prosím procentní podíl finančních zdrojů vašeho klubu u následujících zdrojů [Ostatní činnost]</t>
  </si>
  <si>
    <t>Kontrola strategie - Vyberte prosím na 7-mi bodové Likertově škále, do jaké míry souhlasíte či nesouhlasíte s danými tvrzeními. (1- rozhodně nesouhlasím, 7 - rozhodně souhlasím)   [Příjmy našeho klubu bez problémů pokrývají jeho provoz.]</t>
  </si>
  <si>
    <t>Atletika</t>
  </si>
  <si>
    <t>Výchovou mládeže</t>
  </si>
  <si>
    <t>Výkonnostním sportem</t>
  </si>
  <si>
    <t>Plavání</t>
  </si>
  <si>
    <t>Sportem pro všechny</t>
  </si>
  <si>
    <t>Biatlon</t>
  </si>
  <si>
    <t>Florbal</t>
  </si>
  <si>
    <t>Fotbal</t>
  </si>
  <si>
    <t>Horolozectví</t>
  </si>
  <si>
    <t>Jezdectví</t>
  </si>
  <si>
    <t>Kanoistika</t>
  </si>
  <si>
    <t>Triatlon</t>
  </si>
  <si>
    <t>Veslování</t>
  </si>
  <si>
    <t>Volejbal</t>
  </si>
  <si>
    <t>Zápas</t>
  </si>
  <si>
    <t>Curling</t>
  </si>
  <si>
    <t>Akrobatický rock and roll</t>
  </si>
  <si>
    <t>Athletic club Mariánské Lázně, o.s.</t>
  </si>
  <si>
    <t>AK Chemopetrol Litvínov</t>
  </si>
  <si>
    <t>PSK Olymp Praha</t>
  </si>
  <si>
    <t>TJ Sokol Kolín-atletika</t>
  </si>
  <si>
    <t>TJ Vodní stavby Tábor</t>
  </si>
  <si>
    <t>TJ Dukla Praha</t>
  </si>
  <si>
    <t>KB Vyškov</t>
  </si>
  <si>
    <t>Black Angels</t>
  </si>
  <si>
    <t>FBK Kobra Tatran Hostinné</t>
  </si>
  <si>
    <t>SK Bivoj Litvínov</t>
  </si>
  <si>
    <t>Hippos Žďár n/S.</t>
  </si>
  <si>
    <t>TJ Slavoj Dubá</t>
  </si>
  <si>
    <t>FOTBALOVÝ KLUB LETY</t>
  </si>
  <si>
    <t>Sportovní klub OTAVA Katovice o.s.</t>
  </si>
  <si>
    <t>KMS JUVENTUS Bruntál, o.s.</t>
  </si>
  <si>
    <t>FK Jakartovice</t>
  </si>
  <si>
    <t>FC Odra Petřkovice</t>
  </si>
  <si>
    <t>SK Slavia Jesenice</t>
  </si>
  <si>
    <t>FK Český lev Těchlovice</t>
  </si>
  <si>
    <t>SK Řetězárna</t>
  </si>
  <si>
    <t>Tělovýchovná jednota TJ KLIMKOVICE</t>
  </si>
  <si>
    <t>Tělocvičná jednota Sokol Klášterec nad Orlicí</t>
  </si>
  <si>
    <t>Tělovýchovná jednota Poličná</t>
  </si>
  <si>
    <t>Tělovýchovná jednota SOKOL Klecany</t>
  </si>
  <si>
    <t>FC Sporting Mladá Boleslav</t>
  </si>
  <si>
    <t>Tělovýchovná jednota Svitavy</t>
  </si>
  <si>
    <t>Tělovýchovná jednota Tatran Míčov</t>
  </si>
  <si>
    <t>Jezd.stáj Wagrann-Dita Harvanová</t>
  </si>
  <si>
    <t>Loko Trutnov</t>
  </si>
  <si>
    <t>Veslařský klub Přerov</t>
  </si>
  <si>
    <t>SK Volejbal Kolín</t>
  </si>
  <si>
    <t>Otava Strakonice</t>
  </si>
  <si>
    <t>TJ Sokol Dědice</t>
  </si>
  <si>
    <t>T.J. Sokol Vítkovice</t>
  </si>
  <si>
    <t>FBC Lutín</t>
  </si>
  <si>
    <t>SK Chrlice</t>
  </si>
  <si>
    <t>Tělovýchovná jednota Žichovice</t>
  </si>
  <si>
    <t>TJ Sokol Zdíkov, o.s.</t>
  </si>
  <si>
    <t>SK Lišany</t>
  </si>
  <si>
    <t>TJ Kaplice</t>
  </si>
  <si>
    <t>SK Slavia Praha</t>
  </si>
  <si>
    <t>SK Volejbal Ústí nad Labem</t>
  </si>
  <si>
    <t>TJ Spartak Kaplice</t>
  </si>
  <si>
    <t>Tělovýchovná jednota AFK Hořín</t>
  </si>
  <si>
    <t>AK Šternberk</t>
  </si>
  <si>
    <t>TJ VTŽ Chomutov</t>
  </si>
  <si>
    <t>KB Střelka Brno</t>
  </si>
  <si>
    <t>Tělovýchovná jednota Sokol Dolní Počernice</t>
  </si>
  <si>
    <t>Tri Club Vajgar Jindřichův Hradec</t>
  </si>
  <si>
    <t>TJ Sokol Chrudim</t>
  </si>
  <si>
    <t>SK Veselí nad Moravou</t>
  </si>
  <si>
    <t>TJ Sokol Plotiště nad Labem</t>
  </si>
  <si>
    <t>TJ Spartak Přerov</t>
  </si>
  <si>
    <t>TJ Nové Město na Moravě</t>
  </si>
  <si>
    <t>Jihočeský klub maratonců</t>
  </si>
  <si>
    <t>SKP Nymburk</t>
  </si>
  <si>
    <t>TJ Kralupy</t>
  </si>
  <si>
    <t>CC RIPER</t>
  </si>
  <si>
    <t>TJ Šumavan Vimperk</t>
  </si>
  <si>
    <t>FBC Slavia Praha</t>
  </si>
  <si>
    <t>Fbc Orel Nové Město na Moravě</t>
  </si>
  <si>
    <t>FBC Vipers Most</t>
  </si>
  <si>
    <t>Tělovýchovná jednota sportovní klub Hřebeč</t>
  </si>
  <si>
    <t>FK SVATÁ</t>
  </si>
  <si>
    <t>SPORTOVNÍ KLUBY PRAHA 4</t>
  </si>
  <si>
    <t>TJ Sokol Daleké Dušníky</t>
  </si>
  <si>
    <t>SK Lhota</t>
  </si>
  <si>
    <t>Sportovní klub Nepoměřice</t>
  </si>
  <si>
    <t>TJ Sokol Hvozdná</t>
  </si>
  <si>
    <t>Tělovýchovná jednota Sokol Štěpánkovice</t>
  </si>
  <si>
    <t>Tělovýchovná jednota Dolany u Jaroměře /o.Náchod/</t>
  </si>
  <si>
    <t>Sportovní klub Slaný</t>
  </si>
  <si>
    <t>Tělovýchovná jednota Sokol Březová n.Svit.</t>
  </si>
  <si>
    <t>Sportovní klub Doubravan Újezd</t>
  </si>
  <si>
    <t>Tělovýchovná jednota Sokol Čistá</t>
  </si>
  <si>
    <t>TJ Sokol Žilina</t>
  </si>
  <si>
    <t>TJ TIS, o.s.</t>
  </si>
  <si>
    <t>Tělovýchovná jednota Police</t>
  </si>
  <si>
    <t>Sportovní klub MFC Svoboda</t>
  </si>
  <si>
    <t>SK Velké Přítočno</t>
  </si>
  <si>
    <t>Tělovýchovná jednota SLAVOJ ÚŠTĚK</t>
  </si>
  <si>
    <t>Atleticko-Fotbalový Klub Loděnice</t>
  </si>
  <si>
    <t>Sportovní fotbalový klub Meziboří</t>
  </si>
  <si>
    <t>TJ Union Děčín, o.s.</t>
  </si>
  <si>
    <t>TJ Sokol Srbeč</t>
  </si>
  <si>
    <t>HO Atlas Opava</t>
  </si>
  <si>
    <t>SKP NYMBURK</t>
  </si>
  <si>
    <t>SPORT KLUB Náchod</t>
  </si>
  <si>
    <t>T.B.C. Králův Dvůr</t>
  </si>
  <si>
    <t>SK Lipová - lázně</t>
  </si>
  <si>
    <t>Tělovýchovná jednota Sokol  M a r t i n i c e</t>
  </si>
  <si>
    <t>Klub plav.sportů Ostrava</t>
  </si>
  <si>
    <t>Sport.plavecký klub Liberec</t>
  </si>
  <si>
    <t>2015 - Dlouhodobý majetek celkem</t>
  </si>
  <si>
    <t>2015 - Aktiva celkem</t>
  </si>
  <si>
    <t>2016 - Aktiva celkem</t>
  </si>
  <si>
    <t>2017 - Aktiva celkem</t>
  </si>
  <si>
    <t>2016 - Dlouhodobý majetek celkem</t>
  </si>
  <si>
    <t>2017 - Dlouhodobý majetek celkem</t>
  </si>
  <si>
    <t>2015 - Krátkodobý majetek</t>
  </si>
  <si>
    <t>2016 - Krátkodobý majetek</t>
  </si>
  <si>
    <t>2017 - Krátkodobý majetek</t>
  </si>
  <si>
    <t>2015 - Zásoby</t>
  </si>
  <si>
    <t>2016 - Zásoby</t>
  </si>
  <si>
    <t>2017 - Zásoby</t>
  </si>
  <si>
    <t>2015 - Pohledávky</t>
  </si>
  <si>
    <t>2016 - Pohledávky</t>
  </si>
  <si>
    <t>2017 - Pohledávky</t>
  </si>
  <si>
    <t>2015 - Krátkodobý finanční majetek</t>
  </si>
  <si>
    <t>2016 - Krátkodobý finanční majetek</t>
  </si>
  <si>
    <t>2017 - Krátkodobý finanční majetek</t>
  </si>
  <si>
    <t>2015 - Jiná aktiva celkem</t>
  </si>
  <si>
    <t>2016 - Jiná aktiva celkem</t>
  </si>
  <si>
    <t>2017 - Jiná aktiva celkem</t>
  </si>
  <si>
    <t>2016 - Pasiva celkem</t>
  </si>
  <si>
    <t>2016 - Vlastní zdroje</t>
  </si>
  <si>
    <t>2016 - Jmění celkem</t>
  </si>
  <si>
    <t>2016 - Výsledek hospodaření celkem</t>
  </si>
  <si>
    <t>2016 - Cizí zdroje celkem</t>
  </si>
  <si>
    <t>2016 - Rezervy</t>
  </si>
  <si>
    <t>2016 - Dlouhodobé závazky</t>
  </si>
  <si>
    <t>2016 - Krátkodobé závakzky</t>
  </si>
  <si>
    <t>2016 - Jiná pasiva</t>
  </si>
  <si>
    <t>2015 - Náklady celkem - hlavní činnost</t>
  </si>
  <si>
    <t>2015 - Spotřebované nákupy celkem - hlavní činnost</t>
  </si>
  <si>
    <t>2015 - Služby celkem - hlavní činnost</t>
  </si>
  <si>
    <t>2015 - Osobní náklady celkem - hlavní činnost</t>
  </si>
  <si>
    <t>2015 - Daně a poplatky - hlavní činnost</t>
  </si>
  <si>
    <t>2015 - Ostatní náklady  - hlavní činnost</t>
  </si>
  <si>
    <t>2015 - Odpisy,prodaný majetek - hlavní činnost</t>
  </si>
  <si>
    <t>2015 - Poskytnuté příspěvky - hlavní činnost</t>
  </si>
  <si>
    <t>2015 - Daň z příjmu - hlavní činnost</t>
  </si>
  <si>
    <t>2016 - Náklady celkem - hlavní činnost</t>
  </si>
  <si>
    <t>2016 - Spotřebované nákupy celkem - hlavní činnost</t>
  </si>
  <si>
    <t>2016 - Služby celkem - hlavní činnost</t>
  </si>
  <si>
    <t>2016 - Osobní náklady celkem - hlavní činnost</t>
  </si>
  <si>
    <t>2016 - Daně a poplatky - hlavní činnost</t>
  </si>
  <si>
    <t>2016 - Ostatní náklady  - hlavní činnost</t>
  </si>
  <si>
    <t>2016 - Odpisy,prodaný majetek - hlavní činnost</t>
  </si>
  <si>
    <t>2016 - Poskytnuté příspěvky - hlavní činnost</t>
  </si>
  <si>
    <t>2016 - Daň z příjmu - hlavní činnost</t>
  </si>
  <si>
    <t>2016  - Náklady celkem - hospodářská činnost</t>
  </si>
  <si>
    <t>2016  - Spotřebované nákupy celkem- hospodářská činnost</t>
  </si>
  <si>
    <t>2016  - Služby celkem- hospodářská činnost</t>
  </si>
  <si>
    <t>2016  - Osobní náklady celkem- hospodářská činnost</t>
  </si>
  <si>
    <t>2016  - Daně a poplatky- hospodářská činnost</t>
  </si>
  <si>
    <t>2016  - Ostatní náklady - hospodářská činnost</t>
  </si>
  <si>
    <t>2016  - Odpisy,prodaný majetek- hospodářská činnost</t>
  </si>
  <si>
    <t>2016  - Poskytnuté příspěvky- hospodářská činnost</t>
  </si>
  <si>
    <t>2016  - Daň z příjmu- hospodářská činnost</t>
  </si>
  <si>
    <t>2016  - Výnosy celkem - hlavní činnost</t>
  </si>
  <si>
    <t>2016  - Tržby za vlastní výkony a zboží - hlavní činnost</t>
  </si>
  <si>
    <t>2016  - Ostatní výnosy  - hlavní činnost</t>
  </si>
  <si>
    <t>2016  - Přijaté příspěvky celkem - hlavní činnost</t>
  </si>
  <si>
    <t>2016  - Přijaté příspěvky zůčtov. Mezi org - hlavní činnost</t>
  </si>
  <si>
    <t>2016  - Přijaté přispěvky-dary - hlavní činnost</t>
  </si>
  <si>
    <t>2016  - Přijaté členské příspěvky - hlavní činnost</t>
  </si>
  <si>
    <t>2016  - Provozní dotace - hlavní činnost</t>
  </si>
  <si>
    <t>2016  - Výsledek hospodaření před zdaněním - hlavní činnost</t>
  </si>
  <si>
    <t>2016  - Výsledek hospodaření po zdaněním - hlavní činnost</t>
  </si>
  <si>
    <t>2016  - Výnosy celkem - hospodářská činnost</t>
  </si>
  <si>
    <t>2016  - Tržby za vlastní výkony a zboží  - hospodářská činnost</t>
  </si>
  <si>
    <t>2016  - Ostatní výnosy   - hospodářská činnost</t>
  </si>
  <si>
    <t>2016  - Tržby z prodeje maetku  - hospodářská činnost</t>
  </si>
  <si>
    <t>2016  - Přijaté příspěvky celkem  - hospodářská činnost</t>
  </si>
  <si>
    <r>
      <t xml:space="preserve">2016  - Přijaté příspěvky zůčtov. Mezi org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- hospodářská činnost</t>
    </r>
  </si>
  <si>
    <t>2016  - Přijaté přispěvky-dary  - hospodářská činnost</t>
  </si>
  <si>
    <t>2016  - Přijaté členské příspěvky  - hospodářská činnost</t>
  </si>
  <si>
    <t>2016  - Provozní dotace  - hospodářská činnost</t>
  </si>
  <si>
    <t>2016  - Výsledek hospodaření před zdaněním  - hospodářská činnost</t>
  </si>
  <si>
    <t>2016  - Výsledek hospodaření po zdaněním - hospodářská činnost</t>
  </si>
  <si>
    <t>2016  - Náklady celkem</t>
  </si>
  <si>
    <r>
      <rPr>
        <sz val="12"/>
        <color theme="1"/>
        <rFont val="Calibri"/>
        <family val="2"/>
        <scheme val="minor"/>
      </rPr>
      <t>2016  - Výnosy</t>
    </r>
    <r>
      <rPr>
        <sz val="12"/>
        <color theme="1"/>
        <rFont val="Calibri"/>
        <family val="2"/>
        <charset val="238"/>
        <scheme val="minor"/>
      </rPr>
      <t xml:space="preserve"> celkem</t>
    </r>
  </si>
  <si>
    <t>2016  - Výsledek hospodaření před zdaněním celkem</t>
  </si>
  <si>
    <t>2016  - Výsledek hospodaření po zdanění celkem</t>
  </si>
  <si>
    <t>2017 - Pasiva celkem</t>
  </si>
  <si>
    <t>2017 - Vlastní zdroje</t>
  </si>
  <si>
    <t>2017 - Jmění celkem</t>
  </si>
  <si>
    <t>2017 - Výsledek hospodaření celkem</t>
  </si>
  <si>
    <t>2017 - Cizí zdroje celkem</t>
  </si>
  <si>
    <t>2017 - Rezervy</t>
  </si>
  <si>
    <t>2017 - Dlouhodobé závazky</t>
  </si>
  <si>
    <t>2017 - Krátkodobé závakzky</t>
  </si>
  <si>
    <t>2017 - Jiná pasiva</t>
  </si>
  <si>
    <t>2017 - Náklady celkem - hlavní činnost</t>
  </si>
  <si>
    <t>2017 - Spotřebované nákupy celkem - hlavní činnost</t>
  </si>
  <si>
    <t>2017 - Služby celkem - hlavní činnost</t>
  </si>
  <si>
    <t>2017 - Osobní náklady celkem - hlavní činnost</t>
  </si>
  <si>
    <t>2017 - Daně a poplatky - hlavní činnost</t>
  </si>
  <si>
    <t>2017 - Ostatní náklady  - hlavní činnost</t>
  </si>
  <si>
    <t>2017 - Odpisy,prodaný majetek - hlavní činnost</t>
  </si>
  <si>
    <t>2017 - Poskytnuté příspěvky - hlavní činnost</t>
  </si>
  <si>
    <t>2017 - Daň z příjmu - hlavní činnost</t>
  </si>
  <si>
    <t>2017  - Náklady celkem - hospodářská činnost</t>
  </si>
  <si>
    <t>2017  - Spotřebované nákupy celkem- hospodářská činnost</t>
  </si>
  <si>
    <t>2017  - Služby celkem- hospodářská činnost</t>
  </si>
  <si>
    <t>2017  - Osobní náklady celkem- hospodářská činnost</t>
  </si>
  <si>
    <t>2017  - Daně a poplatky- hospodářská činnost</t>
  </si>
  <si>
    <t>2017  - Ostatní náklady - hospodářská činnost</t>
  </si>
  <si>
    <t>2017  - Odpisy,prodaný majetek- hospodářská činnost</t>
  </si>
  <si>
    <t>2017  - Poskytnuté příspěvky- hospodářská činnost</t>
  </si>
  <si>
    <t>2017  - Daň z příjmu- hospodářská činnost</t>
  </si>
  <si>
    <t>2017  - Výnosy celkem - hlavní činnost</t>
  </si>
  <si>
    <t>2017  - Tržby za vlastní výkony a zboží - hlavní činnost</t>
  </si>
  <si>
    <t>2017  - Ostatní výnosy  - hlavní činnost</t>
  </si>
  <si>
    <t>2017  - Přijaté příspěvky celkem - hlavní činnost</t>
  </si>
  <si>
    <t>2017  - Přijaté příspěvky zůčtov. Mezi org - hlavní činnost</t>
  </si>
  <si>
    <t>2017  - Přijaté přispěvky-dary - hlavní činnost</t>
  </si>
  <si>
    <t>2017  - Přijaté členské příspěvky - hlavní činnost</t>
  </si>
  <si>
    <t>2017  - Provozní dotace - hlavní činnost</t>
  </si>
  <si>
    <t>2017  - Výsledek hospodaření před zdaněním - hlavní činnost</t>
  </si>
  <si>
    <t>2017  - Výsledek hospodaření po zdaněním - hlavní činnost</t>
  </si>
  <si>
    <t>2017  - Výnosy celkem - hospodářská činnost</t>
  </si>
  <si>
    <t>2017  - Tržby za vlastní výkony a zboží  - hospodářská činnost</t>
  </si>
  <si>
    <t>2017  - Ostatní výnosy   - hospodářská činnost</t>
  </si>
  <si>
    <t>2017  - Tržby z prodeje maetku  - hospodářská činnost</t>
  </si>
  <si>
    <t>2017  - Přijaté příspěvky celkem  - hospodářská činnost</t>
  </si>
  <si>
    <r>
      <t xml:space="preserve">2017  - Přijaté příspěvky zůčtov. Mezi org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- hospodářská činnost</t>
    </r>
  </si>
  <si>
    <t>2017  - Přijaté přispěvky-dary  - hospodářská činnost</t>
  </si>
  <si>
    <t>2017  - Přijaté členské příspěvky  - hospodářská činnost</t>
  </si>
  <si>
    <t>2017  - Provozní dotace  - hospodářská činnost</t>
  </si>
  <si>
    <t>2017 - Výsledek hospodaření před zdaněním  - hospodářská činnost</t>
  </si>
  <si>
    <t>2017  - Výsledek hospodaření po zdaněním - hospodářská činnost</t>
  </si>
  <si>
    <t>2017  - Náklady celkem</t>
  </si>
  <si>
    <r>
      <t>2017  - Výnosy</t>
    </r>
    <r>
      <rPr>
        <sz val="12"/>
        <color theme="1"/>
        <rFont val="Calibri"/>
        <family val="2"/>
        <charset val="238"/>
        <scheme val="minor"/>
      </rPr>
      <t xml:space="preserve"> celkem</t>
    </r>
  </si>
  <si>
    <t>2017  - Výsledek hospodaření před zdaněním celkem</t>
  </si>
  <si>
    <t>2017  - Výsledek hospodaření po zdanění celkem</t>
  </si>
  <si>
    <t>2015 - Náklady celkem</t>
  </si>
  <si>
    <t>2015 - Výnosy celkem</t>
  </si>
  <si>
    <t>2015 - Výsledek hospodaření před zdaněním celkem</t>
  </si>
  <si>
    <t>2015 - Výsledek hospodaření po zdanění celkem</t>
  </si>
  <si>
    <t>2015 - Výnosy celkem - hospodářská činnost</t>
  </si>
  <si>
    <t>2015 - Tržby za vlastní výkony a zboží  - hospodářská činnost</t>
  </si>
  <si>
    <t>2015 - Ostatní výnosy   - hospodářská činnost</t>
  </si>
  <si>
    <t>2015 - Přijaté příspěvky celkem  - hospodářská činnost</t>
  </si>
  <si>
    <r>
      <t xml:space="preserve">2015 - Přijaté příspěvky zůčtov. Mezi org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- hospodářská činnost</t>
    </r>
  </si>
  <si>
    <t>2015 - Přijaté přispěvky-dary  - hospodářská činnost</t>
  </si>
  <si>
    <t>2015 - Přijaté členské příspěvky  - hospodářská činnost</t>
  </si>
  <si>
    <t>2015 - Provozní dotace  - hospodářská činnost</t>
  </si>
  <si>
    <t>2015 - Výsledek hospodaření před zdaněním  - hospodářská činnost</t>
  </si>
  <si>
    <t>2015 - Výsledek hospodaření po zdaněním - hospodářská činnost</t>
  </si>
  <si>
    <t>2015 - Výnosy celkem - hlavní činnost</t>
  </si>
  <si>
    <t>2015 - Tržby za vlastní výkony a zboží - hlavní činnost</t>
  </si>
  <si>
    <t>2015 - Ostatní výnosy  - hlavní činnost</t>
  </si>
  <si>
    <t>2015 - Přijaté příspěvky celkem - hlavní činnost</t>
  </si>
  <si>
    <t>2015 - Přijaté příspěvky zůčtov. Mezi org - hlavní činnost</t>
  </si>
  <si>
    <t>2015 - Přijaté přispěvky-dary - hlavní činnost</t>
  </si>
  <si>
    <t>2015 - Přijaté členské příspěvky - hlavní činnost</t>
  </si>
  <si>
    <t>2015 - Provozní dotace - hlavní činnost</t>
  </si>
  <si>
    <t>2015 - Výsledek hospodaření před zdaněním - hlavní činnost</t>
  </si>
  <si>
    <t>2015 - Výsledek hospodaření po zdaněním - hlavní činnost</t>
  </si>
  <si>
    <t>2015 - Náklady celkem - hospodářská činnost</t>
  </si>
  <si>
    <t>2015 - Spotřebované nákupy celkem- hospodářská činnost</t>
  </si>
  <si>
    <t>2015 - Služby celkem- hospodářská činnost</t>
  </si>
  <si>
    <t>2015 - Osobní náklady celkem- hospodářská činnost</t>
  </si>
  <si>
    <t>2015 - Daně a poplatky- hospodářská činnost</t>
  </si>
  <si>
    <t>2015 - Ostatní náklady - hospodářská činnost</t>
  </si>
  <si>
    <t>2015 - Odpisy,prodaný majetek- hospodářská činnost</t>
  </si>
  <si>
    <t>2015 - Poskytnuté příspěvky- hospodářská činnost</t>
  </si>
  <si>
    <t>2015 - Daň z příjmu- hospodářská činnost</t>
  </si>
  <si>
    <t>2015 - Pasiva celkem</t>
  </si>
  <si>
    <t>2015 - Vlastní zdroje</t>
  </si>
  <si>
    <t>2015 - Jmění celkem</t>
  </si>
  <si>
    <t>2015 - Výsledek hospodaření celkem</t>
  </si>
  <si>
    <t>2015 - Cizí zdroje celkem</t>
  </si>
  <si>
    <t>2015 - Rezervy</t>
  </si>
  <si>
    <t>2015 - Dlouhodobé závazky</t>
  </si>
  <si>
    <t>2015 - Krátkodobé závakzky</t>
  </si>
  <si>
    <t>2015 - Jiná pasiva</t>
  </si>
  <si>
    <t>2015 - Oprávky k dl. Majetku</t>
  </si>
  <si>
    <t>Poznámky 2015</t>
  </si>
  <si>
    <t>v příloze počet členů,</t>
  </si>
  <si>
    <t>2016 - Oprávky k dl. Majetku</t>
  </si>
  <si>
    <t>2017 - Oprávky k dl. Majetku</t>
  </si>
  <si>
    <t>v přiloze dotace</t>
  </si>
  <si>
    <t>v příloze rozlišení dotací</t>
  </si>
  <si>
    <t>příloha</t>
  </si>
  <si>
    <t>v rozvaze 2015 vysvetleno</t>
  </si>
  <si>
    <t>priloha</t>
  </si>
  <si>
    <t>2015 - Tržby z prodeje majetku  - hospodářská činnost</t>
  </si>
  <si>
    <t>2015 - % podíl dotací na celkových příjmech</t>
  </si>
  <si>
    <t>2016 - % podíl dotací na celkových příjmech</t>
  </si>
  <si>
    <t>2017 - % podíl dotací na celkových příjmech</t>
  </si>
  <si>
    <t>2015 - % podíl Celkových příspěvků na celkových výnosech</t>
  </si>
  <si>
    <t>2016 - % podíl Celkových příspěvků na celkových výnosech</t>
  </si>
  <si>
    <t>2017 - % podíl Celkových příspěvků na celkových výnosech</t>
  </si>
  <si>
    <t>2015 - % podíl příspěvků zůčtov. Mezi org na celkových výnosech</t>
  </si>
  <si>
    <t>2016 - % podíl příspěvků zůčtov. Mezi org na celkových výnosech</t>
  </si>
  <si>
    <t>2017 - % podíl příspěvků zůčtov. Mezi org na celkových výnosech</t>
  </si>
  <si>
    <t>2015 - % podíl příspěvků - darů- na celkových výnosech</t>
  </si>
  <si>
    <t>2016 - % podíl příspěvků - darů- na celkových výnosech</t>
  </si>
  <si>
    <t>2017 - % podíl příspěvků - darů- na celkových výnosech</t>
  </si>
  <si>
    <t>2015 - % podíl členských příspěvků na celkových výnosech</t>
  </si>
  <si>
    <t>2016 - % podíl členských příspěvků na celkových výnosech</t>
  </si>
  <si>
    <t>2017 - % podíl členských příspěvků na celkových výnosech</t>
  </si>
  <si>
    <t>2015 - % podíl tržeb za vlastní výkony a zboží - hlavní činnost - na celkových výnosech</t>
  </si>
  <si>
    <t>2016 - % podíl tržeb za vlastní výkony a zboží - hlavní činnost - na celkových výnosech</t>
  </si>
  <si>
    <t>2017 - % podíl tržeb za vlastní výkony a zboží - hlavní činnost - na celkových výnosech</t>
  </si>
  <si>
    <t>2015 - % podíl ostatních výnosů - hlavní činnost - na celkových výnosech</t>
  </si>
  <si>
    <t>2016 - % podíl ostatních výnosů - hlavní činnost - na celkových výnosech</t>
  </si>
  <si>
    <t>2017 - % podíl ostatních výnosů - hlavní činnost - na celkových výnosech</t>
  </si>
  <si>
    <t>2015 - Tržby z prodeje majetku - hlavní činnost</t>
  </si>
  <si>
    <t>2016  - Tržby z prodeje majetku - hlavní činnost</t>
  </si>
  <si>
    <t>2017  - Tržby z prodeje majetku - hlavní činnost</t>
  </si>
  <si>
    <t>2015 - % podíl výnosů z hospodářské činnosti na celkových výnosech</t>
  </si>
  <si>
    <t>2016 - % podíl výnosů z hospodářské činnosti na celkových výnosech</t>
  </si>
  <si>
    <t>2017 - % podíl výnosů z hospodářské činnosti na celkových výnosech</t>
  </si>
  <si>
    <t>2015 - Přepočet dotace na 1 člena v tis.</t>
  </si>
  <si>
    <t>2016 - Přepočet dotace na 1 člena v tis.</t>
  </si>
  <si>
    <t>2017 - Přepočet dotace na 1 člena v tis.</t>
  </si>
  <si>
    <t>2015 - Autarkie hlavní činnosti na bázi výnosů a nákladů</t>
  </si>
  <si>
    <t>2016 - Autarkie hlavní činnosti na bázi výnosů a nákladů</t>
  </si>
  <si>
    <t>2017 - Autarkie hlavní činnosti na bázi výnosů a nákladů</t>
  </si>
  <si>
    <t xml:space="preserve">2015 - Celková Autarkie </t>
  </si>
  <si>
    <t xml:space="preserve">2016 - Celková Autarkie </t>
  </si>
  <si>
    <t xml:space="preserve">2017 - Celková Autarkie </t>
  </si>
  <si>
    <t>2015 - Rentabilita nákladů doplňkové činnosti</t>
  </si>
  <si>
    <t>2016 - Rentabilita nákladů doplňkové činnosti</t>
  </si>
  <si>
    <t>2017 - Rentabilita nákladů doplňkové činnosti</t>
  </si>
  <si>
    <t>2015 - Míra pokrytí ztráty z hlavní činnosti ziskem z činnosti doplňkové</t>
  </si>
  <si>
    <t>2016 - Míra pokrytí ztráty z hlavní činnosti ziskem z činnosti doplňkové</t>
  </si>
  <si>
    <t>2017 - Míra pokrytí ztráty z hlavní činnosti ziskem z činnosti doplňkové</t>
  </si>
  <si>
    <t>Popisky řádků</t>
  </si>
  <si>
    <t>Celkový součet</t>
  </si>
  <si>
    <t>Název klubu</t>
  </si>
  <si>
    <t>Počet z Název klubu</t>
  </si>
  <si>
    <t xml:space="preserve">Rozdělení podle odvětví </t>
  </si>
  <si>
    <t>Průměr</t>
  </si>
  <si>
    <t>Celkem</t>
  </si>
  <si>
    <t>Čerpání dotací</t>
  </si>
  <si>
    <t xml:space="preserve">2015 - Celková rentabilita </t>
  </si>
  <si>
    <t xml:space="preserve">2016 - Celková rentabilita </t>
  </si>
  <si>
    <t xml:space="preserve">2017 - Celková rentabilita </t>
  </si>
  <si>
    <t>2015 - Rentabilita nákladů hlavní činnosti</t>
  </si>
  <si>
    <t>2016 - Rentabilita nákladů hlavní činnosti</t>
  </si>
  <si>
    <t>2017 - Rentabilita nákladů hlavní činnosti</t>
  </si>
  <si>
    <t>nesouhlasím</t>
  </si>
  <si>
    <t>rozhodně nesouhlasím</t>
  </si>
  <si>
    <t>spíše nesouhlasím</t>
  </si>
  <si>
    <t>nevím</t>
  </si>
  <si>
    <t>spíše souhlasím</t>
  </si>
  <si>
    <t>souhlasím</t>
  </si>
  <si>
    <t>rozhodně souhlasím</t>
  </si>
  <si>
    <t>Badminton</t>
  </si>
  <si>
    <t>Lakros</t>
  </si>
  <si>
    <t>Rychlobruslení</t>
  </si>
  <si>
    <t>Taekwon-Do ITF</t>
  </si>
  <si>
    <t>Počet emailu</t>
  </si>
  <si>
    <t>Záporná odpověď</t>
  </si>
  <si>
    <t>Kladná odpověď</t>
  </si>
  <si>
    <t xml:space="preserve">Bez odpovědi </t>
  </si>
  <si>
    <t>Uvedené v rejstříku</t>
  </si>
  <si>
    <t xml:space="preserve">Kopletní data </t>
  </si>
  <si>
    <t xml:space="preserve">Variační rozpětí </t>
  </si>
  <si>
    <t xml:space="preserve">Odvětví </t>
  </si>
  <si>
    <t>Počet klubů</t>
  </si>
  <si>
    <t>Podíl z celkového počtu</t>
  </si>
  <si>
    <t>Celkový počet klubů</t>
  </si>
  <si>
    <t xml:space="preserve">Kompletní data </t>
  </si>
  <si>
    <t>Podíl s kompletními daty</t>
  </si>
  <si>
    <t>Počet členů</t>
  </si>
  <si>
    <t>Medián</t>
  </si>
  <si>
    <t>Modus</t>
  </si>
  <si>
    <t>100-150</t>
  </si>
  <si>
    <t>Minimum</t>
  </si>
  <si>
    <t>Maximum</t>
  </si>
  <si>
    <t>0-50</t>
  </si>
  <si>
    <t>50-100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</si>
  <si>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</si>
  <si>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</si>
  <si>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</si>
  <si>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</si>
  <si>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</si>
  <si>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</si>
  <si>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</si>
  <si>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</si>
  <si>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</si>
  <si>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</si>
  <si>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</si>
  <si>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</si>
  <si>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Intervaly</t>
  </si>
  <si>
    <t>Intervaly - četnost</t>
  </si>
  <si>
    <t>Minimun</t>
  </si>
  <si>
    <t>Median</t>
  </si>
  <si>
    <t>Počet klubů v odvětví</t>
  </si>
  <si>
    <t>Členská základna</t>
  </si>
  <si>
    <t>Název</t>
  </si>
  <si>
    <t>2016  - Výnosy celkem</t>
  </si>
  <si>
    <t>2017  - Výnosy celkem</t>
  </si>
  <si>
    <t>x</t>
  </si>
  <si>
    <t>Popisky sloupců</t>
  </si>
  <si>
    <t>Počet dětí do 19ti let</t>
  </si>
  <si>
    <t>Rozptyl</t>
  </si>
  <si>
    <t>Směrodatná odchylka</t>
  </si>
  <si>
    <t xml:space="preserve">Průměrný počet členů na klub </t>
  </si>
  <si>
    <t>Horní hranice</t>
  </si>
  <si>
    <t>počet klubů</t>
  </si>
  <si>
    <t>Průměr na klub</t>
  </si>
  <si>
    <t>Procentuelní podíl</t>
  </si>
  <si>
    <t xml:space="preserve">Celkem dětí od 0-19 </t>
  </si>
  <si>
    <t>variační rozpětí</t>
  </si>
  <si>
    <t>Aritmetický průměr</t>
  </si>
  <si>
    <t>(Aritm.průměr - hodnota)2</t>
  </si>
  <si>
    <t>Suma hodnot k rozptylu</t>
  </si>
  <si>
    <t>Odmocnina rozptylu- Směr. Odchylka</t>
  </si>
  <si>
    <t xml:space="preserve">Celkem dospělí </t>
  </si>
  <si>
    <t>Column1</t>
  </si>
  <si>
    <t>Mean</t>
  </si>
  <si>
    <t>Standard Error</t>
  </si>
  <si>
    <t>Mode</t>
  </si>
  <si>
    <t>Standard Deviation</t>
  </si>
  <si>
    <t>Sample Variance</t>
  </si>
  <si>
    <t>Kurtosis</t>
  </si>
  <si>
    <t>Skewness</t>
  </si>
  <si>
    <t>Range</t>
  </si>
  <si>
    <t>Sum</t>
  </si>
  <si>
    <t>Count</t>
  </si>
  <si>
    <t>Largest(3)</t>
  </si>
  <si>
    <t>Smallest(3)</t>
  </si>
  <si>
    <t>Confidence Level(95,0%)</t>
  </si>
  <si>
    <t>V rámci našeho klubu máme dostatek finančních zdrojů</t>
  </si>
  <si>
    <t>Příjmy našeho klubu bez problémů pokrývají jeho provoz</t>
  </si>
  <si>
    <t>Podíl 1</t>
  </si>
  <si>
    <t>Podíl 2</t>
  </si>
  <si>
    <t>Podíl</t>
  </si>
  <si>
    <t>Možnosti</t>
  </si>
  <si>
    <t>Kladný VH</t>
  </si>
  <si>
    <t>Záporný VH</t>
  </si>
  <si>
    <t>Nulový VH</t>
  </si>
  <si>
    <t>Kladný</t>
  </si>
  <si>
    <t>Záporný</t>
  </si>
  <si>
    <t>Nula</t>
  </si>
  <si>
    <t>+</t>
  </si>
  <si>
    <t>-</t>
  </si>
  <si>
    <t>SUM 2015</t>
  </si>
  <si>
    <t>SUM 2016</t>
  </si>
  <si>
    <t>SUM 2017</t>
  </si>
  <si>
    <t>Largest(1)</t>
  </si>
  <si>
    <t>Smallest(1)</t>
  </si>
  <si>
    <t>Dotace</t>
  </si>
  <si>
    <t>Celkem příspěvky</t>
  </si>
  <si>
    <t>Příspěvky mezi org</t>
  </si>
  <si>
    <t>Dary</t>
  </si>
  <si>
    <t>Členské příspěvky</t>
  </si>
  <si>
    <t xml:space="preserve">Tržby z hlavní činnosti </t>
  </si>
  <si>
    <t>Hospodářská činnost</t>
  </si>
  <si>
    <t>Ostatní příjmy</t>
  </si>
  <si>
    <t>Průměr 60%</t>
  </si>
  <si>
    <t xml:space="preserve">2015 -  ostatní výnosy - hlavní činnost </t>
  </si>
  <si>
    <t xml:space="preserve">2016 -  ostatní výnosy - hlavní činnost </t>
  </si>
  <si>
    <t xml:space="preserve">2017 -  ostatní výnosy - hlavní činnost </t>
  </si>
  <si>
    <t>Celkem 2015</t>
  </si>
  <si>
    <t>Celkem 2016</t>
  </si>
  <si>
    <t>Celkem 2017</t>
  </si>
  <si>
    <t>Příspěvky celkem</t>
  </si>
  <si>
    <t xml:space="preserve">Dotace </t>
  </si>
  <si>
    <t xml:space="preserve">Třžby z hlavní činnosti </t>
  </si>
  <si>
    <t xml:space="preserve">Ostatní příjmy </t>
  </si>
  <si>
    <t xml:space="preserve">Dotace - 2015 </t>
  </si>
  <si>
    <t>Dotace - 2016</t>
  </si>
  <si>
    <t>Dotace - 2017</t>
  </si>
  <si>
    <t>Příspěvky mezi org - 2015</t>
  </si>
  <si>
    <t>Příspěvky mezi org - 2016</t>
  </si>
  <si>
    <t>Příspěvky mezi org - 2017</t>
  </si>
  <si>
    <t>Dary - 2015</t>
  </si>
  <si>
    <t>Dary - 2016</t>
  </si>
  <si>
    <t>Dary - 2017</t>
  </si>
  <si>
    <t>Členské příspěvky -  2015</t>
  </si>
  <si>
    <t>Členské příspěvky -  2016</t>
  </si>
  <si>
    <t>Členské příspěvky -  2017</t>
  </si>
  <si>
    <t>Tržby - 2015</t>
  </si>
  <si>
    <t>Tržby - 2016</t>
  </si>
  <si>
    <t>Tržby - 2017</t>
  </si>
  <si>
    <t>Hospod.výnosy 2015</t>
  </si>
  <si>
    <t>Hospod.výnosy 2016</t>
  </si>
  <si>
    <t>Hospod.výnosy 2017</t>
  </si>
  <si>
    <t>Ostatní výnosy - 2015</t>
  </si>
  <si>
    <t>Ostatní výnosy - 2016</t>
  </si>
  <si>
    <t>Ostatní výnosy - 2017</t>
  </si>
  <si>
    <t>Podíl - 2015</t>
  </si>
  <si>
    <t>Podíl - 2016</t>
  </si>
  <si>
    <t>Podíl - 2017</t>
  </si>
  <si>
    <t>Celkem klubů</t>
  </si>
  <si>
    <t>%</t>
  </si>
  <si>
    <t>Podíl na výnosech 2015</t>
  </si>
  <si>
    <t>Podíl na výnosech 2016</t>
  </si>
  <si>
    <t>Podíl na výnosech 2017</t>
  </si>
  <si>
    <t>Výnosy celkem 2015</t>
  </si>
  <si>
    <t>Výnosy celkem 2016</t>
  </si>
  <si>
    <t>Výnosy celkem 2017</t>
  </si>
  <si>
    <t>Výnosy průměr</t>
  </si>
  <si>
    <t>Průměrný podíl</t>
  </si>
  <si>
    <t xml:space="preserve">Členské </t>
  </si>
  <si>
    <t>tržby</t>
  </si>
  <si>
    <t>hospo</t>
  </si>
  <si>
    <t>ostatní</t>
  </si>
  <si>
    <t xml:space="preserve"> Přijaté příspěvky zůčtov. Mezi org </t>
  </si>
  <si>
    <t>Zdroj</t>
  </si>
  <si>
    <t>Celkem členů</t>
  </si>
  <si>
    <t>Míra pokrytí Kladné 2015</t>
  </si>
  <si>
    <t>Míra pokrytí Kladné 2016</t>
  </si>
  <si>
    <t>Míra pokrytí Kladné 2017</t>
  </si>
  <si>
    <t>Míra pokrytí chyba 2016</t>
  </si>
  <si>
    <t>Míra pokrytí chyba 2017</t>
  </si>
  <si>
    <t>Míra pokrytí Záporný HV hlavní 2015</t>
  </si>
  <si>
    <t>Míra pokrytí Záporný HV hlavní 2016</t>
  </si>
  <si>
    <t>Míra pokrytí Záporný HV hlavní 2017</t>
  </si>
  <si>
    <t>Míra pokrytí Nula Hospodářský HV 2015</t>
  </si>
  <si>
    <t>Míra pokrytí Nula Hospodářský HV 2016</t>
  </si>
  <si>
    <t>Míra pokrytí Nula Hospodářský HV 2017</t>
  </si>
  <si>
    <t xml:space="preserve">Míra pokrytí chyba - záporný HV hlavní 2015 </t>
  </si>
  <si>
    <t>k</t>
  </si>
  <si>
    <t xml:space="preserve">Dotace na člena </t>
  </si>
  <si>
    <t>Prům počet členů</t>
  </si>
  <si>
    <t xml:space="preserve">Prlměrný přepočet </t>
  </si>
  <si>
    <t>počet zdrojů 2015</t>
  </si>
  <si>
    <t>počet zdrojů 2016</t>
  </si>
  <si>
    <t>počet zdrojů 2017</t>
  </si>
  <si>
    <t>Odchylka</t>
  </si>
  <si>
    <t>Počet zdrojů</t>
  </si>
  <si>
    <t>Plavání 2015</t>
  </si>
  <si>
    <t xml:space="preserve">Atletika </t>
  </si>
  <si>
    <t xml:space="preserve">Florbal </t>
  </si>
  <si>
    <t>Kánoistika</t>
  </si>
  <si>
    <t xml:space="preserve">Volejbal </t>
  </si>
  <si>
    <t xml:space="preserve">Rentabilita nákladů hosp činnosti </t>
  </si>
  <si>
    <t>Celková rentabilita</t>
  </si>
  <si>
    <t xml:space="preserve">Rentabilita nakladu hlavni </t>
  </si>
  <si>
    <t>Horolezectví</t>
  </si>
  <si>
    <t xml:space="preserve">Rentabilita nákladů hlavní činnosti </t>
  </si>
  <si>
    <t>Míra pokrytí ztráty z hlavní činnosti ziskem z činnosti doplňkové</t>
  </si>
  <si>
    <t>c</t>
  </si>
  <si>
    <t>2+B135016</t>
  </si>
  <si>
    <t>celkem</t>
  </si>
  <si>
    <t>plavání</t>
  </si>
  <si>
    <t xml:space="preserve"> Autarkie hlavní činnosti na bázi výnosů a nákladů</t>
  </si>
  <si>
    <t>Autarkie hlavní činnosti</t>
  </si>
  <si>
    <t>Autarkie celková</t>
  </si>
  <si>
    <t>Standartní chyba</t>
  </si>
  <si>
    <t>Standartní odchylka</t>
  </si>
  <si>
    <t>Interval spolehlivosti</t>
  </si>
  <si>
    <t>ccc</t>
  </si>
  <si>
    <t>0-100</t>
  </si>
  <si>
    <t>100-200</t>
  </si>
  <si>
    <t>200-300</t>
  </si>
  <si>
    <r>
      <t>VO</t>
    </r>
    <r>
      <rPr>
        <i/>
        <vertAlign val="subscript"/>
        <sz val="11.5"/>
        <color theme="1"/>
        <rFont val="Cambria"/>
        <family val="1"/>
      </rPr>
      <t>1</t>
    </r>
    <r>
      <rPr>
        <i/>
        <sz val="11.5"/>
        <color theme="1"/>
        <rFont val="Cambria"/>
        <family val="1"/>
      </rPr>
      <t>: Jakou měrou se dotace podílí na celkových výnosech organizace?</t>
    </r>
  </si>
  <si>
    <r>
      <t>VO</t>
    </r>
    <r>
      <rPr>
        <i/>
        <vertAlign val="subscript"/>
        <sz val="11.5"/>
        <color theme="1"/>
        <rFont val="Cambria"/>
        <family val="1"/>
      </rPr>
      <t>2</t>
    </r>
    <r>
      <rPr>
        <i/>
        <sz val="11.5"/>
        <color theme="1"/>
        <rFont val="Cambria"/>
        <family val="1"/>
      </rPr>
      <t>: Má poskytnutí dotace klubu vliv na jeho ziskovost?</t>
    </r>
  </si>
  <si>
    <r>
      <t>VO</t>
    </r>
    <r>
      <rPr>
        <i/>
        <vertAlign val="subscript"/>
        <sz val="11.5"/>
        <color theme="1"/>
        <rFont val="Cambria"/>
        <family val="1"/>
      </rPr>
      <t>3</t>
    </r>
    <r>
      <rPr>
        <i/>
        <sz val="11.5"/>
        <color theme="1"/>
        <rFont val="Cambria"/>
        <family val="1"/>
      </rPr>
      <t>: Jaký byl vývoj výše dotací za sledované období?</t>
    </r>
  </si>
  <si>
    <r>
      <t>VO</t>
    </r>
    <r>
      <rPr>
        <i/>
        <vertAlign val="subscript"/>
        <sz val="11.5"/>
        <color theme="1"/>
        <rFont val="Cambria"/>
        <family val="1"/>
      </rPr>
      <t>4</t>
    </r>
    <r>
      <rPr>
        <i/>
        <sz val="11.5"/>
        <color theme="1"/>
        <rFont val="Cambria"/>
        <family val="1"/>
      </rPr>
      <t>: Existuje souvislost mezi výší dotace a složením členské základny?</t>
    </r>
  </si>
  <si>
    <r>
      <t>VO</t>
    </r>
    <r>
      <rPr>
        <i/>
        <vertAlign val="subscript"/>
        <sz val="11.5"/>
        <color theme="1"/>
        <rFont val="Cambria"/>
        <family val="1"/>
      </rPr>
      <t>5</t>
    </r>
    <r>
      <rPr>
        <i/>
        <sz val="11.5"/>
        <color theme="1"/>
        <rFont val="Cambria"/>
        <family val="1"/>
      </rPr>
      <t>: Potýkají se české sportovní kluby s finančními problémy?</t>
    </r>
  </si>
  <si>
    <t>% podíl dotací na celkových příjmech</t>
  </si>
  <si>
    <t>% podíl příspěvků zůčtov. Mezi org na celkových výnosech</t>
  </si>
  <si>
    <t xml:space="preserve"> % podíl příspěvků - darů- na celkových výnosech</t>
  </si>
  <si>
    <t>% podíl členských příspěvků na celkových výnosech</t>
  </si>
  <si>
    <t xml:space="preserve"> % podíl tržeb za vlastní výkony a zboží - hlavní činnost - na celkových výnosech</t>
  </si>
  <si>
    <t>% podíl výnosů z hospodářské činnosti na celkových výnosech</t>
  </si>
  <si>
    <t>% podíl ostatních výnosů - hlavní činnost - na celkových výnosech</t>
  </si>
  <si>
    <t>DOTACE</t>
  </si>
  <si>
    <t>2015-Dotace ANO</t>
  </si>
  <si>
    <t>2016-Dotace ANO</t>
  </si>
  <si>
    <t>2017-Dotace ANO</t>
  </si>
  <si>
    <t>2017-Zisk ANO</t>
  </si>
  <si>
    <t>2015-Zisk ANO</t>
  </si>
  <si>
    <t>2016-Zisk ANO</t>
  </si>
  <si>
    <t>Dotace + Kladný HV2015</t>
  </si>
  <si>
    <t>Dotace + Kladný HV2016</t>
  </si>
  <si>
    <t>Dotace + Kladný HV2017</t>
  </si>
  <si>
    <t>2015-Zisk Mínus</t>
  </si>
  <si>
    <t>2016-Zisk Mínus</t>
  </si>
  <si>
    <t>2017-Zisk Mínus</t>
  </si>
  <si>
    <t>Dotace + Záporný HV2015</t>
  </si>
  <si>
    <t>Dotace + Záporný HV2016</t>
  </si>
  <si>
    <t>Dotace + Záporný HV2017</t>
  </si>
  <si>
    <t>2015-Zisk Nula</t>
  </si>
  <si>
    <t>2016-Zisk Nula</t>
  </si>
  <si>
    <t>2017-Zisk Nula</t>
  </si>
  <si>
    <t>Dotace + Nulový HV2015</t>
  </si>
  <si>
    <t>Dotace + Nulový HV2016</t>
  </si>
  <si>
    <t>Dotace + Nulový HV2017</t>
  </si>
  <si>
    <t>Dotace + Kladný HV</t>
  </si>
  <si>
    <t>Dotace + Záporný HV</t>
  </si>
  <si>
    <t>Dotace + Nulový HV</t>
  </si>
  <si>
    <t>y</t>
  </si>
  <si>
    <t>x*y</t>
  </si>
  <si>
    <t>x2</t>
  </si>
  <si>
    <t>pprumer x na druhou</t>
  </si>
  <si>
    <t>b1</t>
  </si>
  <si>
    <t>výsledek</t>
  </si>
  <si>
    <t>b0</t>
  </si>
  <si>
    <t>ANOVA</t>
  </si>
  <si>
    <t>SS</t>
  </si>
  <si>
    <t>MS</t>
  </si>
  <si>
    <t>F</t>
  </si>
  <si>
    <t>t Stat</t>
  </si>
  <si>
    <t xml:space="preserve">Prům. výše dotace </t>
  </si>
  <si>
    <t>SUMMARY OUTPUT</t>
  </si>
  <si>
    <t>Regression Statistics</t>
  </si>
  <si>
    <t>Multiple R</t>
  </si>
  <si>
    <t>R Square</t>
  </si>
  <si>
    <t>Adjusted R Square</t>
  </si>
  <si>
    <t>Observations</t>
  </si>
  <si>
    <t>Regression</t>
  </si>
  <si>
    <t>Residual</t>
  </si>
  <si>
    <t>Total</t>
  </si>
  <si>
    <t>Intercept</t>
  </si>
  <si>
    <t>df</t>
  </si>
  <si>
    <t>Significance F</t>
  </si>
  <si>
    <t>Coefficients</t>
  </si>
  <si>
    <t>P-value</t>
  </si>
  <si>
    <t>Lower 95%</t>
  </si>
  <si>
    <t>Upper 95%</t>
  </si>
  <si>
    <t>Lower 95,0%</t>
  </si>
  <si>
    <t>Upper 95,0%</t>
  </si>
  <si>
    <t>RESIDUAL OUTPUT</t>
  </si>
  <si>
    <t>Observation</t>
  </si>
  <si>
    <t>Residuals</t>
  </si>
  <si>
    <t>Standard Residuals</t>
  </si>
  <si>
    <t xml:space="preserve">Predicted Prům. výše dotace </t>
  </si>
  <si>
    <t>Predicted y</t>
  </si>
  <si>
    <t>Predicted 2015 - Výsledek hospodaření před zdaněním celkem</t>
  </si>
  <si>
    <t xml:space="preserve">Sportem pro všechny </t>
  </si>
  <si>
    <t>Mládež</t>
  </si>
  <si>
    <t>Výkon</t>
  </si>
  <si>
    <t>Nečerpalo</t>
  </si>
  <si>
    <t>Čerpalo</t>
  </si>
  <si>
    <t xml:space="preserve">Pro všechny </t>
  </si>
  <si>
    <t>Pozitivní hodnocení</t>
  </si>
  <si>
    <t>Podíl klubů</t>
  </si>
  <si>
    <t>Výše dotace celkem</t>
  </si>
  <si>
    <t xml:space="preserve">Podíl na celkových dotací </t>
  </si>
  <si>
    <t>záporný</t>
  </si>
  <si>
    <t>nula</t>
  </si>
  <si>
    <t>2015 - Bez Dotace + kladný</t>
  </si>
  <si>
    <t>2016 - Bez Dotace + kladný</t>
  </si>
  <si>
    <t>2017 - Bez Dotace + kladný</t>
  </si>
  <si>
    <t>2015 - Bez Dotace + Záporný</t>
  </si>
  <si>
    <t>2016 - Bez Dotace + Záporný</t>
  </si>
  <si>
    <t>2017 - Bez Dotace + Záporný</t>
  </si>
  <si>
    <t>2015 - Bez Dotace + Nula</t>
  </si>
  <si>
    <t>2016 - Bez Dotace + Nula</t>
  </si>
  <si>
    <t>2017 - Bez Dotace + Nula</t>
  </si>
  <si>
    <t>Dotace NE</t>
  </si>
  <si>
    <t>SUM Kladny</t>
  </si>
  <si>
    <t>SUM Zapor</t>
  </si>
  <si>
    <t>SUM Nula</t>
  </si>
  <si>
    <t>Bez dotací + Kladný HV</t>
  </si>
  <si>
    <t>Bez dotací  + Záporný HV</t>
  </si>
  <si>
    <t>Bez dotací  + Nulový HV</t>
  </si>
  <si>
    <t>Odpovědi</t>
  </si>
  <si>
    <t>PROBABILITY OUTPUT</t>
  </si>
  <si>
    <t>Percentile</t>
  </si>
  <si>
    <t>Výsledek hospodaření</t>
  </si>
  <si>
    <t xml:space="preserve">Predicted Výsledek hospodaření </t>
  </si>
  <si>
    <t>Počet dětí</t>
  </si>
  <si>
    <t>Pozitivní HV</t>
  </si>
  <si>
    <t>Podíl dotací</t>
  </si>
  <si>
    <t>Podíl org. Příspěvků</t>
  </si>
  <si>
    <t>Podíl darů</t>
  </si>
  <si>
    <t>Podíl členských příspěvků</t>
  </si>
  <si>
    <t>Podíl tržeb</t>
  </si>
  <si>
    <t>Podíl hosp. výnosů</t>
  </si>
  <si>
    <t>Podíl ostatních výnosů</t>
  </si>
  <si>
    <t>Rentabilita hosp. nákladů</t>
  </si>
  <si>
    <t>Míra krytí ztráty</t>
  </si>
  <si>
    <t>Autarkie hl. činnosti</t>
  </si>
  <si>
    <t>Míra krytí</t>
  </si>
  <si>
    <t>Column2</t>
  </si>
  <si>
    <t>Column3</t>
  </si>
  <si>
    <t>Skutečnost</t>
  </si>
  <si>
    <t>Dostatek financí</t>
  </si>
  <si>
    <t>Nedostatek financí</t>
  </si>
  <si>
    <t>Předpoklad</t>
  </si>
  <si>
    <t>Dostatek</t>
  </si>
  <si>
    <t>Nedostatek</t>
  </si>
  <si>
    <t xml:space="preserve">Celkem dětí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</si>
</sst>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00"/>
    <numFmt numFmtId="166" formatCode="0.0"/>
    <numFmt numFmtId="167" formatCode="0.0%"/>
    <numFmt numFmtId="168" formatCode="0.00000"/>
    <numFmt numFmtId="173" formatCode="0.0000000"/>
  </numFmts>
  <fonts count="19"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0"/>
      <color rgb="FF000000"/>
      <name val="Cambria"/>
      <family val="1"/>
    </font>
    <font>
      <i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0"/>
      <color rgb="FF000000"/>
      <name val="Cambria"/>
      <family val="1"/>
      <charset val="238"/>
    </font>
    <font>
      <sz val="10"/>
      <color theme="1"/>
      <name val="Cambria"/>
      <family val="1"/>
      <charset val="238"/>
    </font>
    <font>
      <sz val="12"/>
      <color theme="1"/>
      <name val="Times New Roman"/>
      <family val="1"/>
      <charset val="238"/>
    </font>
    <font>
      <i/>
      <sz val="11.5"/>
      <color theme="1"/>
      <name val="Cambria"/>
      <family val="1"/>
    </font>
    <font>
      <i/>
      <vertAlign val="subscript"/>
      <sz val="11.5"/>
      <color theme="1"/>
      <name val="Cambria"/>
      <family val="1"/>
    </font>
    <font>
      <sz val="12"/>
      <name val="Calibri"/>
      <family val="2"/>
      <charset val="238"/>
      <scheme val="minor"/>
    </font>
    <font>
      <sz val="10"/>
      <color theme="1"/>
      <name val="Cambria"/>
      <family val="1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3A2EB"/>
        <bgColor indexed="64"/>
      </patternFill>
    </fill>
    <fill>
      <patternFill patternType="solid">
        <fgColor rgb="FFE6CFEB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A2B4"/>
        <bgColor indexed="64"/>
      </patternFill>
    </fill>
    <fill>
      <patternFill patternType="solid">
        <fgColor rgb="FFFFCCF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DE7EA"/>
        <bgColor indexed="64"/>
      </patternFill>
    </fill>
    <fill>
      <patternFill patternType="solid">
        <fgColor rgb="FFA446EB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DE6EA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12"/>
      </right>
      <top/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430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49" fontId="0" fillId="0" borderId="0" xfId="0" applyNumberFormat="1"/>
    <xf numFmtId="0" fontId="0" fillId="0" borderId="0" xfId="0" applyFill="1"/>
    <xf numFmtId="0" fontId="0" fillId="0" borderId="0" xfId="0" applyFill="1" applyAlignment="1">
      <alignment wrapText="1"/>
    </xf>
    <xf numFmtId="2" fontId="0" fillId="0" borderId="0" xfId="0" applyNumberFormat="1"/>
    <xf numFmtId="0" fontId="0" fillId="0" borderId="0" xfId="0" applyNumberFormat="1"/>
    <xf numFmtId="0" fontId="5" fillId="2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3" borderId="0" xfId="0" applyFill="1"/>
    <xf numFmtId="0" fontId="0" fillId="0" borderId="0" xfId="0" applyFont="1" applyFill="1" applyAlignment="1">
      <alignment wrapText="1"/>
    </xf>
    <xf numFmtId="0" fontId="5" fillId="2" borderId="2" xfId="0" applyFont="1" applyFill="1" applyBorder="1"/>
    <xf numFmtId="165" fontId="0" fillId="0" borderId="0" xfId="0" applyNumberFormat="1"/>
    <xf numFmtId="2" fontId="7" fillId="0" borderId="0" xfId="0" applyNumberFormat="1" applyFont="1"/>
    <xf numFmtId="2" fontId="8" fillId="0" borderId="0" xfId="0" applyNumberFormat="1" applyFont="1"/>
    <xf numFmtId="166" fontId="0" fillId="0" borderId="0" xfId="0" applyNumberFormat="1"/>
    <xf numFmtId="9" fontId="0" fillId="0" borderId="0" xfId="1" applyFont="1"/>
    <xf numFmtId="167" fontId="0" fillId="0" borderId="0" xfId="1" applyNumberFormat="1" applyFont="1"/>
    <xf numFmtId="167" fontId="0" fillId="0" borderId="0" xfId="0" applyNumberFormat="1"/>
    <xf numFmtId="0" fontId="5" fillId="2" borderId="0" xfId="0" applyFont="1" applyFill="1" applyBorder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/>
    <xf numFmtId="0" fontId="9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/>
    <xf numFmtId="1" fontId="0" fillId="4" borderId="0" xfId="0" applyNumberFormat="1" applyFill="1"/>
    <xf numFmtId="0" fontId="0" fillId="5" borderId="0" xfId="0" applyFill="1"/>
    <xf numFmtId="1" fontId="0" fillId="5" borderId="0" xfId="0" applyNumberFormat="1" applyFill="1"/>
    <xf numFmtId="0" fontId="0" fillId="6" borderId="0" xfId="0" applyFill="1"/>
    <xf numFmtId="1" fontId="0" fillId="6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8" borderId="0" xfId="0" applyFill="1"/>
    <xf numFmtId="1" fontId="0" fillId="8" borderId="0" xfId="0" applyNumberFormat="1" applyFill="1"/>
    <xf numFmtId="0" fontId="0" fillId="9" borderId="0" xfId="0" applyFill="1"/>
    <xf numFmtId="1" fontId="0" fillId="9" borderId="0" xfId="0" applyNumberFormat="1" applyFill="1"/>
    <xf numFmtId="0" fontId="0" fillId="10" borderId="0" xfId="0" applyFill="1"/>
    <xf numFmtId="1" fontId="0" fillId="10" borderId="0" xfId="0" applyNumberFormat="1" applyFill="1"/>
    <xf numFmtId="1" fontId="0" fillId="3" borderId="0" xfId="0" applyNumberFormat="1" applyFill="1"/>
    <xf numFmtId="0" fontId="0" fillId="11" borderId="0" xfId="0" applyFill="1"/>
    <xf numFmtId="1" fontId="0" fillId="11" borderId="0" xfId="0" applyNumberFormat="1" applyFill="1"/>
    <xf numFmtId="0" fontId="0" fillId="12" borderId="0" xfId="0" applyFill="1"/>
    <xf numFmtId="1" fontId="0" fillId="12" borderId="0" xfId="0" applyNumberFormat="1" applyFill="1"/>
    <xf numFmtId="0" fontId="0" fillId="13" borderId="0" xfId="0" applyFill="1"/>
    <xf numFmtId="1" fontId="0" fillId="13" borderId="0" xfId="0" applyNumberFormat="1" applyFill="1"/>
    <xf numFmtId="1" fontId="0" fillId="0" borderId="0" xfId="0" applyNumberFormat="1" applyAlignment="1">
      <alignment horizontal="center"/>
    </xf>
    <xf numFmtId="2" fontId="0" fillId="5" borderId="0" xfId="0" applyNumberFormat="1" applyFill="1"/>
    <xf numFmtId="0" fontId="0" fillId="5" borderId="0" xfId="0" applyFill="1" applyAlignment="1">
      <alignment horizontal="left"/>
    </xf>
    <xf numFmtId="0" fontId="0" fillId="5" borderId="0" xfId="0" applyNumberFormat="1" applyFill="1"/>
    <xf numFmtId="0" fontId="0" fillId="5" borderId="0" xfId="0" applyFill="1" applyAlignment="1">
      <alignment horizontal="center"/>
    </xf>
    <xf numFmtId="1" fontId="0" fillId="5" borderId="0" xfId="0" applyNumberFormat="1" applyFill="1" applyAlignment="1">
      <alignment horizontal="center"/>
    </xf>
    <xf numFmtId="167" fontId="0" fillId="5" borderId="0" xfId="1" applyNumberFormat="1" applyFont="1" applyFill="1"/>
    <xf numFmtId="167" fontId="0" fillId="0" borderId="0" xfId="1" applyNumberFormat="1" applyFont="1" applyAlignment="1">
      <alignment horizontal="center"/>
    </xf>
    <xf numFmtId="167" fontId="0" fillId="5" borderId="0" xfId="1" applyNumberFormat="1" applyFont="1" applyFill="1" applyAlignment="1">
      <alignment horizontal="center"/>
    </xf>
    <xf numFmtId="0" fontId="0" fillId="0" borderId="0" xfId="0" applyFill="1" applyBorder="1" applyAlignment="1"/>
    <xf numFmtId="0" fontId="0" fillId="0" borderId="5" xfId="0" applyFill="1" applyBorder="1" applyAlignment="1"/>
    <xf numFmtId="0" fontId="10" fillId="0" borderId="6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Continuous"/>
    </xf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5" borderId="7" xfId="0" applyFill="1" applyBorder="1"/>
    <xf numFmtId="0" fontId="0" fillId="6" borderId="7" xfId="0" applyFill="1" applyBorder="1"/>
    <xf numFmtId="0" fontId="0" fillId="12" borderId="7" xfId="0" applyFill="1" applyBorder="1"/>
    <xf numFmtId="0" fontId="0" fillId="14" borderId="7" xfId="0" applyFill="1" applyBorder="1"/>
    <xf numFmtId="0" fontId="0" fillId="16" borderId="7" xfId="0" applyFill="1" applyBorder="1"/>
    <xf numFmtId="0" fontId="0" fillId="3" borderId="7" xfId="0" applyFill="1" applyBorder="1"/>
    <xf numFmtId="0" fontId="0" fillId="17" borderId="7" xfId="0" applyFill="1" applyBorder="1"/>
    <xf numFmtId="0" fontId="0" fillId="19" borderId="7" xfId="0" applyFill="1" applyBorder="1"/>
    <xf numFmtId="0" fontId="0" fillId="20" borderId="7" xfId="0" applyFill="1" applyBorder="1"/>
    <xf numFmtId="0" fontId="0" fillId="21" borderId="7" xfId="0" applyFill="1" applyBorder="1"/>
    <xf numFmtId="0" fontId="0" fillId="22" borderId="7" xfId="0" applyFill="1" applyBorder="1"/>
    <xf numFmtId="0" fontId="0" fillId="23" borderId="7" xfId="0" applyFill="1" applyBorder="1"/>
    <xf numFmtId="0" fontId="0" fillId="0" borderId="0" xfId="0" applyBorder="1"/>
    <xf numFmtId="0" fontId="0" fillId="23" borderId="0" xfId="0" applyFill="1" applyBorder="1"/>
    <xf numFmtId="0" fontId="0" fillId="0" borderId="8" xfId="0" applyBorder="1"/>
    <xf numFmtId="0" fontId="0" fillId="23" borderId="8" xfId="0" applyFill="1" applyBorder="1"/>
    <xf numFmtId="0" fontId="1" fillId="0" borderId="8" xfId="0" applyFont="1" applyBorder="1"/>
    <xf numFmtId="0" fontId="0" fillId="0" borderId="9" xfId="0" applyBorder="1"/>
    <xf numFmtId="0" fontId="0" fillId="23" borderId="9" xfId="0" applyFill="1" applyBorder="1"/>
    <xf numFmtId="0" fontId="1" fillId="0" borderId="9" xfId="0" applyFont="1" applyBorder="1"/>
    <xf numFmtId="0" fontId="0" fillId="0" borderId="10" xfId="0" applyBorder="1"/>
    <xf numFmtId="0" fontId="0" fillId="23" borderId="10" xfId="0" applyFill="1" applyBorder="1"/>
    <xf numFmtId="0" fontId="1" fillId="0" borderId="10" xfId="0" applyFont="1" applyBorder="1"/>
    <xf numFmtId="0" fontId="0" fillId="0" borderId="11" xfId="0" applyFill="1" applyBorder="1"/>
    <xf numFmtId="10" fontId="0" fillId="0" borderId="0" xfId="0" applyNumberFormat="1"/>
    <xf numFmtId="0" fontId="0" fillId="0" borderId="0" xfId="0" applyNumberFormat="1" applyAlignment="1">
      <alignment horizontal="center"/>
    </xf>
    <xf numFmtId="0" fontId="0" fillId="24" borderId="0" xfId="0" applyFill="1" applyAlignment="1">
      <alignment wrapText="1"/>
    </xf>
    <xf numFmtId="0" fontId="0" fillId="24" borderId="7" xfId="0" applyFill="1" applyBorder="1" applyAlignment="1">
      <alignment wrapText="1"/>
    </xf>
    <xf numFmtId="0" fontId="0" fillId="18" borderId="0" xfId="0" applyFill="1" applyAlignment="1">
      <alignment wrapText="1"/>
    </xf>
    <xf numFmtId="0" fontId="0" fillId="5" borderId="0" xfId="0" applyFill="1" applyBorder="1"/>
    <xf numFmtId="0" fontId="0" fillId="6" borderId="0" xfId="0" applyFill="1" applyBorder="1"/>
    <xf numFmtId="0" fontId="0" fillId="12" borderId="0" xfId="0" applyFill="1" applyBorder="1"/>
    <xf numFmtId="0" fontId="0" fillId="14" borderId="0" xfId="0" applyFill="1" applyBorder="1"/>
    <xf numFmtId="0" fontId="0" fillId="16" borderId="0" xfId="0" applyFill="1" applyBorder="1"/>
    <xf numFmtId="0" fontId="0" fillId="3" borderId="0" xfId="0" applyFill="1" applyBorder="1"/>
    <xf numFmtId="0" fontId="0" fillId="17" borderId="0" xfId="0" applyFill="1" applyBorder="1"/>
    <xf numFmtId="0" fontId="0" fillId="19" borderId="0" xfId="0" applyFill="1" applyBorder="1"/>
    <xf numFmtId="0" fontId="0" fillId="20" borderId="0" xfId="0" applyFill="1" applyBorder="1"/>
    <xf numFmtId="0" fontId="0" fillId="21" borderId="0" xfId="0" applyFill="1" applyBorder="1"/>
    <xf numFmtId="0" fontId="0" fillId="22" borderId="0" xfId="0" applyFill="1" applyBorder="1"/>
    <xf numFmtId="0" fontId="0" fillId="5" borderId="14" xfId="0" applyFill="1" applyBorder="1"/>
    <xf numFmtId="0" fontId="0" fillId="6" borderId="14" xfId="0" applyFill="1" applyBorder="1"/>
    <xf numFmtId="0" fontId="0" fillId="12" borderId="14" xfId="0" applyFill="1" applyBorder="1"/>
    <xf numFmtId="0" fontId="0" fillId="14" borderId="14" xfId="0" applyFill="1" applyBorder="1"/>
    <xf numFmtId="0" fontId="0" fillId="16" borderId="14" xfId="0" applyFill="1" applyBorder="1"/>
    <xf numFmtId="0" fontId="0" fillId="3" borderId="14" xfId="0" applyFill="1" applyBorder="1"/>
    <xf numFmtId="0" fontId="0" fillId="17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0" fillId="22" borderId="14" xfId="0" applyFill="1" applyBorder="1"/>
    <xf numFmtId="0" fontId="0" fillId="23" borderId="14" xfId="0" applyFill="1" applyBorder="1"/>
    <xf numFmtId="167" fontId="0" fillId="0" borderId="0" xfId="1" applyNumberFormat="1" applyFont="1" applyBorder="1"/>
    <xf numFmtId="167" fontId="0" fillId="0" borderId="7" xfId="1" applyNumberFormat="1" applyFont="1" applyBorder="1"/>
    <xf numFmtId="167" fontId="0" fillId="4" borderId="0" xfId="1" applyNumberFormat="1" applyFont="1" applyFill="1" applyBorder="1"/>
    <xf numFmtId="167" fontId="0" fillId="9" borderId="0" xfId="1" applyNumberFormat="1" applyFont="1" applyFill="1" applyBorder="1"/>
    <xf numFmtId="167" fontId="0" fillId="22" borderId="7" xfId="1" applyNumberFormat="1" applyFont="1" applyFill="1" applyBorder="1"/>
    <xf numFmtId="167" fontId="0" fillId="0" borderId="14" xfId="1" applyNumberFormat="1" applyFont="1" applyBorder="1"/>
    <xf numFmtId="167" fontId="0" fillId="4" borderId="14" xfId="1" applyNumberFormat="1" applyFont="1" applyFill="1" applyBorder="1"/>
    <xf numFmtId="0" fontId="0" fillId="0" borderId="14" xfId="0" applyBorder="1"/>
    <xf numFmtId="2" fontId="0" fillId="22" borderId="0" xfId="0" applyNumberFormat="1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1" fontId="0" fillId="22" borderId="0" xfId="0" applyNumberFormat="1" applyFill="1"/>
    <xf numFmtId="164" fontId="0" fillId="22" borderId="0" xfId="0" applyNumberFormat="1" applyFill="1"/>
    <xf numFmtId="1" fontId="0" fillId="15" borderId="0" xfId="0" applyNumberFormat="1" applyFill="1"/>
    <xf numFmtId="0" fontId="10" fillId="0" borderId="0" xfId="0" applyFont="1" applyFill="1" applyBorder="1" applyAlignment="1">
      <alignment horizontal="center"/>
    </xf>
    <xf numFmtId="0" fontId="0" fillId="0" borderId="15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6" xfId="0" applyBorder="1" applyAlignment="1">
      <alignment wrapText="1"/>
    </xf>
    <xf numFmtId="0" fontId="0" fillId="22" borderId="17" xfId="0" applyFill="1" applyBorder="1"/>
    <xf numFmtId="0" fontId="0" fillId="22" borderId="18" xfId="0" applyFill="1" applyBorder="1"/>
    <xf numFmtId="2" fontId="0" fillId="22" borderId="17" xfId="0" applyNumberFormat="1" applyFill="1" applyBorder="1"/>
    <xf numFmtId="2" fontId="0" fillId="22" borderId="0" xfId="0" applyNumberFormat="1" applyFill="1" applyBorder="1"/>
    <xf numFmtId="2" fontId="0" fillId="22" borderId="18" xfId="0" applyNumberFormat="1" applyFill="1" applyBorder="1"/>
    <xf numFmtId="0" fontId="0" fillId="5" borderId="17" xfId="0" applyFill="1" applyBorder="1"/>
    <xf numFmtId="0" fontId="0" fillId="5" borderId="18" xfId="0" applyFill="1" applyBorder="1"/>
    <xf numFmtId="0" fontId="0" fillId="4" borderId="17" xfId="0" applyFill="1" applyBorder="1"/>
    <xf numFmtId="0" fontId="0" fillId="4" borderId="0" xfId="0" applyFill="1" applyBorder="1"/>
    <xf numFmtId="0" fontId="0" fillId="4" borderId="18" xfId="0" applyFill="1" applyBorder="1"/>
    <xf numFmtId="0" fontId="0" fillId="25" borderId="17" xfId="0" applyFill="1" applyBorder="1"/>
    <xf numFmtId="0" fontId="0" fillId="25" borderId="0" xfId="0" applyFill="1" applyBorder="1"/>
    <xf numFmtId="0" fontId="0" fillId="25" borderId="18" xfId="0" applyFill="1" applyBorder="1"/>
    <xf numFmtId="0" fontId="0" fillId="15" borderId="17" xfId="0" applyFill="1" applyBorder="1"/>
    <xf numFmtId="0" fontId="0" fillId="15" borderId="0" xfId="0" applyFill="1" applyBorder="1"/>
    <xf numFmtId="0" fontId="0" fillId="15" borderId="18" xfId="0" applyFill="1" applyBorder="1"/>
    <xf numFmtId="0" fontId="0" fillId="6" borderId="17" xfId="0" applyFill="1" applyBorder="1"/>
    <xf numFmtId="0" fontId="0" fillId="6" borderId="18" xfId="0" applyFill="1" applyBorder="1"/>
    <xf numFmtId="0" fontId="0" fillId="26" borderId="17" xfId="0" applyFill="1" applyBorder="1"/>
    <xf numFmtId="0" fontId="0" fillId="26" borderId="0" xfId="0" applyFill="1" applyBorder="1"/>
    <xf numFmtId="0" fontId="0" fillId="26" borderId="18" xfId="0" applyFill="1" applyBorder="1"/>
    <xf numFmtId="0" fontId="0" fillId="19" borderId="17" xfId="0" applyFill="1" applyBorder="1"/>
    <xf numFmtId="0" fontId="0" fillId="19" borderId="18" xfId="0" applyFill="1" applyBorder="1"/>
    <xf numFmtId="0" fontId="0" fillId="12" borderId="17" xfId="0" applyFill="1" applyBorder="1"/>
    <xf numFmtId="0" fontId="0" fillId="12" borderId="18" xfId="0" applyFill="1" applyBorder="1"/>
    <xf numFmtId="0" fontId="0" fillId="21" borderId="17" xfId="0" applyFill="1" applyBorder="1"/>
    <xf numFmtId="0" fontId="0" fillId="21" borderId="18" xfId="0" applyFill="1" applyBorder="1"/>
    <xf numFmtId="0" fontId="0" fillId="13" borderId="17" xfId="0" applyFill="1" applyBorder="1"/>
    <xf numFmtId="0" fontId="0" fillId="13" borderId="0" xfId="0" applyFill="1" applyBorder="1"/>
    <xf numFmtId="0" fontId="0" fillId="13" borderId="18" xfId="0" applyFill="1" applyBorder="1"/>
    <xf numFmtId="0" fontId="0" fillId="16" borderId="17" xfId="0" applyFill="1" applyBorder="1"/>
    <xf numFmtId="0" fontId="0" fillId="16" borderId="18" xfId="0" applyFill="1" applyBorder="1"/>
    <xf numFmtId="165" fontId="0" fillId="0" borderId="0" xfId="0" applyNumberFormat="1" applyBorder="1"/>
    <xf numFmtId="165" fontId="0" fillId="0" borderId="0" xfId="0" applyNumberFormat="1" applyFill="1" applyBorder="1" applyAlignment="1"/>
    <xf numFmtId="2" fontId="0" fillId="0" borderId="0" xfId="0" applyNumberFormat="1" applyBorder="1"/>
    <xf numFmtId="2" fontId="0" fillId="0" borderId="0" xfId="0" applyNumberFormat="1" applyFill="1" applyBorder="1" applyAlignment="1"/>
    <xf numFmtId="0" fontId="0" fillId="0" borderId="0" xfId="0" applyBorder="1" applyAlignment="1">
      <alignment wrapText="1"/>
    </xf>
    <xf numFmtId="0" fontId="0" fillId="27" borderId="0" xfId="0" applyFill="1" applyBorder="1"/>
    <xf numFmtId="0" fontId="10" fillId="0" borderId="0" xfId="0" applyFont="1" applyFill="1" applyBorder="1" applyAlignment="1">
      <alignment horizontal="centerContinuous"/>
    </xf>
    <xf numFmtId="0" fontId="0" fillId="27" borderId="17" xfId="0" applyFill="1" applyBorder="1"/>
    <xf numFmtId="0" fontId="0" fillId="27" borderId="18" xfId="0" applyFill="1" applyBorder="1"/>
    <xf numFmtId="0" fontId="0" fillId="0" borderId="17" xfId="0" applyBorder="1"/>
    <xf numFmtId="0" fontId="0" fillId="0" borderId="18" xfId="0" applyBorder="1"/>
    <xf numFmtId="0" fontId="0" fillId="0" borderId="21" xfId="0" applyBorder="1" applyAlignment="1">
      <alignment wrapText="1"/>
    </xf>
    <xf numFmtId="0" fontId="0" fillId="0" borderId="22" xfId="0" applyBorder="1"/>
    <xf numFmtId="0" fontId="11" fillId="0" borderId="0" xfId="0" applyFont="1"/>
    <xf numFmtId="9" fontId="0" fillId="0" borderId="0" xfId="1" applyFont="1" applyBorder="1"/>
    <xf numFmtId="167" fontId="0" fillId="0" borderId="0" xfId="1" applyNumberFormat="1" applyFont="1" applyFill="1" applyBorder="1" applyAlignment="1"/>
    <xf numFmtId="1" fontId="0" fillId="0" borderId="0" xfId="0" applyNumberFormat="1" applyBorder="1"/>
    <xf numFmtId="1" fontId="0" fillId="0" borderId="0" xfId="0" applyNumberFormat="1" applyFill="1" applyBorder="1" applyAlignment="1"/>
    <xf numFmtId="165" fontId="0" fillId="0" borderId="5" xfId="0" applyNumberFormat="1" applyFill="1" applyBorder="1" applyAlignment="1"/>
    <xf numFmtId="2" fontId="0" fillId="0" borderId="5" xfId="0" applyNumberFormat="1" applyFill="1" applyBorder="1" applyAlignment="1"/>
    <xf numFmtId="0" fontId="0" fillId="0" borderId="0" xfId="0" applyFill="1" applyBorder="1"/>
    <xf numFmtId="0" fontId="5" fillId="0" borderId="0" xfId="0" applyFont="1" applyFill="1" applyBorder="1"/>
    <xf numFmtId="1" fontId="0" fillId="0" borderId="0" xfId="0" applyNumberFormat="1" applyFill="1" applyBorder="1"/>
    <xf numFmtId="0" fontId="5" fillId="0" borderId="0" xfId="0" applyNumberFormat="1" applyFont="1" applyFill="1" applyBorder="1"/>
    <xf numFmtId="0" fontId="0" fillId="0" borderId="23" xfId="0" applyBorder="1"/>
    <xf numFmtId="0" fontId="0" fillId="0" borderId="24" xfId="0" applyBorder="1"/>
    <xf numFmtId="0" fontId="9" fillId="28" borderId="25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1" fontId="0" fillId="14" borderId="0" xfId="0" applyNumberFormat="1" applyFill="1"/>
    <xf numFmtId="1" fontId="0" fillId="16" borderId="0" xfId="0" applyNumberFormat="1" applyFill="1"/>
    <xf numFmtId="1" fontId="0" fillId="19" borderId="0" xfId="0" applyNumberFormat="1" applyFill="1"/>
    <xf numFmtId="1" fontId="0" fillId="22" borderId="0" xfId="0" applyNumberFormat="1" applyFill="1" applyBorder="1"/>
    <xf numFmtId="1" fontId="0" fillId="25" borderId="0" xfId="0" applyNumberFormat="1" applyFill="1"/>
    <xf numFmtId="1" fontId="0" fillId="23" borderId="0" xfId="0" applyNumberFormat="1" applyFill="1"/>
    <xf numFmtId="1" fontId="0" fillId="27" borderId="0" xfId="0" applyNumberFormat="1" applyFill="1"/>
    <xf numFmtId="1" fontId="10" fillId="0" borderId="0" xfId="0" applyNumberFormat="1" applyFont="1" applyFill="1" applyBorder="1" applyAlignment="1">
      <alignment horizontal="center"/>
    </xf>
    <xf numFmtId="1" fontId="0" fillId="22" borderId="17" xfId="0" applyNumberFormat="1" applyFill="1" applyBorder="1"/>
    <xf numFmtId="1" fontId="0" fillId="22" borderId="18" xfId="0" applyNumberFormat="1" applyFill="1" applyBorder="1"/>
    <xf numFmtId="2" fontId="0" fillId="0" borderId="17" xfId="0" applyNumberFormat="1" applyBorder="1"/>
    <xf numFmtId="1" fontId="0" fillId="0" borderId="17" xfId="0" applyNumberFormat="1" applyBorder="1"/>
    <xf numFmtId="9" fontId="0" fillId="0" borderId="0" xfId="0" applyNumberFormat="1" applyBorder="1"/>
    <xf numFmtId="2" fontId="0" fillId="0" borderId="18" xfId="0" applyNumberFormat="1" applyBorder="1"/>
    <xf numFmtId="0" fontId="11" fillId="0" borderId="0" xfId="0" applyFont="1" applyBorder="1"/>
    <xf numFmtId="2" fontId="0" fillId="0" borderId="17" xfId="0" applyNumberFormat="1" applyFill="1" applyBorder="1" applyAlignment="1"/>
    <xf numFmtId="0" fontId="0" fillId="0" borderId="17" xfId="0" applyFill="1" applyBorder="1" applyAlignment="1"/>
    <xf numFmtId="1" fontId="0" fillId="26" borderId="0" xfId="0" applyNumberFormat="1" applyFill="1"/>
    <xf numFmtId="1" fontId="0" fillId="21" borderId="0" xfId="0" applyNumberFormat="1" applyFill="1"/>
    <xf numFmtId="0" fontId="0" fillId="16" borderId="26" xfId="0" applyFill="1" applyBorder="1"/>
    <xf numFmtId="0" fontId="0" fillId="16" borderId="27" xfId="0" applyFill="1" applyBorder="1"/>
    <xf numFmtId="0" fontId="0" fillId="16" borderId="28" xfId="0" applyFill="1" applyBorder="1"/>
    <xf numFmtId="1" fontId="0" fillId="0" borderId="0" xfId="0" applyNumberFormat="1" applyAlignment="1">
      <alignment wrapText="1"/>
    </xf>
    <xf numFmtId="0" fontId="0" fillId="0" borderId="26" xfId="0" applyBorder="1"/>
    <xf numFmtId="0" fontId="0" fillId="0" borderId="27" xfId="0" applyBorder="1"/>
    <xf numFmtId="0" fontId="0" fillId="0" borderId="0" xfId="1" applyNumberFormat="1" applyFont="1"/>
    <xf numFmtId="0" fontId="0" fillId="0" borderId="15" xfId="0" applyBorder="1"/>
    <xf numFmtId="0" fontId="0" fillId="0" borderId="4" xfId="0" applyBorder="1"/>
    <xf numFmtId="0" fontId="0" fillId="0" borderId="16" xfId="0" applyBorder="1"/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Fill="1" applyBorder="1"/>
    <xf numFmtId="0" fontId="0" fillId="0" borderId="18" xfId="0" applyFill="1" applyBorder="1"/>
    <xf numFmtId="0" fontId="10" fillId="0" borderId="29" xfId="0" applyFont="1" applyFill="1" applyBorder="1" applyAlignment="1">
      <alignment horizontal="center"/>
    </xf>
    <xf numFmtId="0" fontId="10" fillId="0" borderId="30" xfId="0" applyFont="1" applyFill="1" applyBorder="1" applyAlignment="1">
      <alignment horizontal="center"/>
    </xf>
    <xf numFmtId="0" fontId="0" fillId="0" borderId="18" xfId="0" applyFill="1" applyBorder="1" applyAlignment="1"/>
    <xf numFmtId="0" fontId="0" fillId="0" borderId="19" xfId="0" applyFill="1" applyBorder="1" applyAlignment="1"/>
    <xf numFmtId="0" fontId="4" fillId="0" borderId="15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16" xfId="0" applyFont="1" applyFill="1" applyBorder="1" applyAlignment="1">
      <alignment wrapText="1"/>
    </xf>
    <xf numFmtId="0" fontId="0" fillId="0" borderId="20" xfId="0" applyFill="1" applyBorder="1" applyAlignment="1"/>
    <xf numFmtId="0" fontId="10" fillId="0" borderId="29" xfId="0" applyFont="1" applyFill="1" applyBorder="1" applyAlignment="1">
      <alignment horizontal="centerContinuous"/>
    </xf>
    <xf numFmtId="0" fontId="10" fillId="0" borderId="30" xfId="0" applyFont="1" applyFill="1" applyBorder="1" applyAlignment="1">
      <alignment horizontal="centerContinuous"/>
    </xf>
    <xf numFmtId="165" fontId="0" fillId="0" borderId="18" xfId="0" applyNumberFormat="1" applyFill="1" applyBorder="1" applyAlignment="1"/>
    <xf numFmtId="165" fontId="0" fillId="0" borderId="20" xfId="0" applyNumberFormat="1" applyFill="1" applyBorder="1" applyAlignment="1"/>
    <xf numFmtId="2" fontId="0" fillId="0" borderId="18" xfId="0" applyNumberFormat="1" applyFill="1" applyBorder="1" applyAlignment="1"/>
    <xf numFmtId="2" fontId="0" fillId="0" borderId="20" xfId="0" applyNumberFormat="1" applyFill="1" applyBorder="1" applyAlignment="1"/>
    <xf numFmtId="1" fontId="10" fillId="0" borderId="6" xfId="0" applyNumberFormat="1" applyFont="1" applyFill="1" applyBorder="1" applyAlignment="1">
      <alignment horizontal="centerContinuous"/>
    </xf>
    <xf numFmtId="1" fontId="10" fillId="0" borderId="6" xfId="0" applyNumberFormat="1" applyFont="1" applyFill="1" applyBorder="1" applyAlignment="1">
      <alignment horizontal="center"/>
    </xf>
    <xf numFmtId="165" fontId="0" fillId="0" borderId="17" xfId="0" applyNumberFormat="1" applyFill="1" applyBorder="1" applyAlignment="1"/>
    <xf numFmtId="165" fontId="0" fillId="0" borderId="17" xfId="0" applyNumberFormat="1" applyBorder="1"/>
    <xf numFmtId="165" fontId="0" fillId="0" borderId="18" xfId="0" applyNumberFormat="1" applyBorder="1"/>
    <xf numFmtId="165" fontId="0" fillId="0" borderId="19" xfId="0" applyNumberFormat="1" applyFill="1" applyBorder="1" applyAlignment="1"/>
    <xf numFmtId="0" fontId="0" fillId="0" borderId="0" xfId="0" applyFont="1" applyAlignment="1">
      <alignment wrapText="1"/>
    </xf>
    <xf numFmtId="0" fontId="0" fillId="0" borderId="21" xfId="0" applyFont="1" applyBorder="1" applyAlignment="1">
      <alignment wrapText="1"/>
    </xf>
    <xf numFmtId="0" fontId="0" fillId="22" borderId="0" xfId="0" applyFont="1" applyFill="1"/>
    <xf numFmtId="1" fontId="0" fillId="22" borderId="0" xfId="0" applyNumberFormat="1" applyFont="1" applyFill="1"/>
    <xf numFmtId="166" fontId="0" fillId="22" borderId="0" xfId="0" applyNumberFormat="1" applyFont="1" applyFill="1"/>
    <xf numFmtId="0" fontId="0" fillId="5" borderId="0" xfId="0" applyFont="1" applyFill="1"/>
    <xf numFmtId="1" fontId="0" fillId="5" borderId="0" xfId="0" applyNumberFormat="1" applyFont="1" applyFill="1"/>
    <xf numFmtId="166" fontId="0" fillId="5" borderId="0" xfId="0" applyNumberFormat="1" applyFont="1" applyFill="1"/>
    <xf numFmtId="0" fontId="0" fillId="4" borderId="0" xfId="0" applyFont="1" applyFill="1"/>
    <xf numFmtId="1" fontId="0" fillId="4" borderId="0" xfId="0" applyNumberFormat="1" applyFont="1" applyFill="1"/>
    <xf numFmtId="166" fontId="0" fillId="4" borderId="0" xfId="0" applyNumberFormat="1" applyFont="1" applyFill="1"/>
    <xf numFmtId="0" fontId="0" fillId="25" borderId="0" xfId="0" applyFont="1" applyFill="1"/>
    <xf numFmtId="1" fontId="0" fillId="25" borderId="0" xfId="0" applyNumberFormat="1" applyFont="1" applyFill="1"/>
    <xf numFmtId="166" fontId="0" fillId="25" borderId="0" xfId="0" applyNumberFormat="1" applyFont="1" applyFill="1"/>
    <xf numFmtId="0" fontId="0" fillId="15" borderId="0" xfId="0" applyFont="1" applyFill="1"/>
    <xf numFmtId="1" fontId="0" fillId="15" borderId="0" xfId="0" applyNumberFormat="1" applyFont="1" applyFill="1"/>
    <xf numFmtId="166" fontId="0" fillId="15" borderId="0" xfId="0" applyNumberFormat="1" applyFont="1" applyFill="1"/>
    <xf numFmtId="0" fontId="0" fillId="6" borderId="0" xfId="0" applyFont="1" applyFill="1"/>
    <xf numFmtId="1" fontId="0" fillId="6" borderId="0" xfId="0" applyNumberFormat="1" applyFont="1" applyFill="1"/>
    <xf numFmtId="166" fontId="0" fillId="6" borderId="0" xfId="0" applyNumberFormat="1" applyFont="1" applyFill="1"/>
    <xf numFmtId="0" fontId="0" fillId="26" borderId="0" xfId="0" applyFont="1" applyFill="1"/>
    <xf numFmtId="1" fontId="0" fillId="26" borderId="0" xfId="0" applyNumberFormat="1" applyFont="1" applyFill="1"/>
    <xf numFmtId="166" fontId="0" fillId="26" borderId="0" xfId="0" applyNumberFormat="1" applyFont="1" applyFill="1"/>
    <xf numFmtId="0" fontId="0" fillId="19" borderId="0" xfId="0" applyFont="1" applyFill="1"/>
    <xf numFmtId="1" fontId="0" fillId="19" borderId="0" xfId="0" applyNumberFormat="1" applyFont="1" applyFill="1"/>
    <xf numFmtId="166" fontId="0" fillId="19" borderId="0" xfId="0" applyNumberFormat="1" applyFont="1" applyFill="1"/>
    <xf numFmtId="0" fontId="0" fillId="12" borderId="0" xfId="0" applyFont="1" applyFill="1"/>
    <xf numFmtId="1" fontId="0" fillId="12" borderId="0" xfId="0" applyNumberFormat="1" applyFont="1" applyFill="1"/>
    <xf numFmtId="166" fontId="0" fillId="12" borderId="0" xfId="0" applyNumberFormat="1" applyFont="1" applyFill="1"/>
    <xf numFmtId="0" fontId="0" fillId="21" borderId="0" xfId="0" applyFont="1" applyFill="1"/>
    <xf numFmtId="1" fontId="0" fillId="21" borderId="0" xfId="0" applyNumberFormat="1" applyFont="1" applyFill="1"/>
    <xf numFmtId="166" fontId="0" fillId="21" borderId="0" xfId="0" applyNumberFormat="1" applyFont="1" applyFill="1"/>
    <xf numFmtId="0" fontId="0" fillId="13" borderId="0" xfId="0" applyFont="1" applyFill="1"/>
    <xf numFmtId="1" fontId="0" fillId="13" borderId="0" xfId="0" applyNumberFormat="1" applyFont="1" applyFill="1"/>
    <xf numFmtId="166" fontId="0" fillId="13" borderId="0" xfId="0" applyNumberFormat="1" applyFont="1" applyFill="1"/>
    <xf numFmtId="0" fontId="0" fillId="16" borderId="0" xfId="0" applyFont="1" applyFill="1"/>
    <xf numFmtId="1" fontId="0" fillId="16" borderId="0" xfId="0" applyNumberFormat="1" applyFont="1" applyFill="1"/>
    <xf numFmtId="166" fontId="0" fillId="16" borderId="0" xfId="0" applyNumberFormat="1" applyFont="1" applyFill="1"/>
    <xf numFmtId="0" fontId="0" fillId="27" borderId="0" xfId="0" applyFont="1" applyFill="1"/>
    <xf numFmtId="1" fontId="0" fillId="27" borderId="0" xfId="0" applyNumberFormat="1" applyFont="1" applyFill="1"/>
    <xf numFmtId="166" fontId="0" fillId="27" borderId="0" xfId="0" applyNumberFormat="1" applyFont="1" applyFill="1"/>
    <xf numFmtId="0" fontId="0" fillId="0" borderId="0" xfId="0" applyFont="1"/>
    <xf numFmtId="0" fontId="0" fillId="0" borderId="22" xfId="0" applyFont="1" applyBorder="1"/>
    <xf numFmtId="0" fontId="0" fillId="0" borderId="6" xfId="0" applyFont="1" applyFill="1" applyBorder="1" applyAlignment="1">
      <alignment horizontal="centerContinuous"/>
    </xf>
    <xf numFmtId="0" fontId="0" fillId="0" borderId="0" xfId="0" applyFont="1" applyFill="1" applyBorder="1" applyAlignment="1"/>
    <xf numFmtId="2" fontId="0" fillId="0" borderId="0" xfId="0" applyNumberFormat="1" applyFont="1"/>
    <xf numFmtId="2" fontId="0" fillId="15" borderId="0" xfId="0" applyNumberFormat="1" applyFont="1" applyFill="1"/>
    <xf numFmtId="0" fontId="12" fillId="0" borderId="0" xfId="0" applyFont="1" applyFill="1" applyBorder="1" applyAlignment="1">
      <alignment horizontal="justify" vertical="center"/>
    </xf>
    <xf numFmtId="2" fontId="0" fillId="0" borderId="0" xfId="0" applyNumberFormat="1" applyFont="1" applyFill="1" applyBorder="1" applyAlignment="1"/>
    <xf numFmtId="0" fontId="0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Font="1" applyAlignment="1"/>
    <xf numFmtId="0" fontId="11" fillId="0" borderId="0" xfId="0" applyFont="1" applyFill="1" applyBorder="1" applyAlignment="1">
      <alignment horizontal="justify" vertical="center"/>
    </xf>
    <xf numFmtId="0" fontId="11" fillId="0" borderId="0" xfId="0" applyFont="1" applyBorder="1" applyAlignment="1">
      <alignment horizontal="justify" vertic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Continuous"/>
    </xf>
    <xf numFmtId="0" fontId="0" fillId="0" borderId="31" xfId="0" applyFont="1" applyBorder="1"/>
    <xf numFmtId="0" fontId="11" fillId="0" borderId="31" xfId="0" applyFont="1" applyBorder="1" applyAlignment="1">
      <alignment horizontal="justify" vertical="center"/>
    </xf>
    <xf numFmtId="2" fontId="0" fillId="0" borderId="31" xfId="0" applyNumberFormat="1" applyFont="1" applyFill="1" applyBorder="1" applyAlignment="1"/>
    <xf numFmtId="2" fontId="0" fillId="0" borderId="31" xfId="0" applyNumberFormat="1" applyFont="1" applyBorder="1"/>
    <xf numFmtId="0" fontId="0" fillId="0" borderId="31" xfId="0" applyFont="1" applyFill="1" applyBorder="1" applyAlignment="1"/>
    <xf numFmtId="166" fontId="0" fillId="0" borderId="0" xfId="0" applyNumberFormat="1" applyFont="1"/>
    <xf numFmtId="0" fontId="15" fillId="0" borderId="0" xfId="0" applyFont="1" applyAlignment="1">
      <alignment vertical="center"/>
    </xf>
    <xf numFmtId="2" fontId="0" fillId="0" borderId="16" xfId="0" applyNumberFormat="1" applyBorder="1"/>
    <xf numFmtId="2" fontId="0" fillId="0" borderId="20" xfId="0" applyNumberFormat="1" applyBorder="1"/>
    <xf numFmtId="2" fontId="17" fillId="0" borderId="0" xfId="0" applyNumberFormat="1" applyFont="1" applyBorder="1"/>
    <xf numFmtId="167" fontId="0" fillId="0" borderId="17" xfId="1" applyNumberFormat="1" applyFont="1" applyBorder="1"/>
    <xf numFmtId="167" fontId="0" fillId="0" borderId="19" xfId="1" applyNumberFormat="1" applyFont="1" applyBorder="1"/>
    <xf numFmtId="1" fontId="0" fillId="25" borderId="0" xfId="0" applyNumberFormat="1" applyFill="1" applyBorder="1"/>
    <xf numFmtId="1" fontId="0" fillId="15" borderId="0" xfId="0" applyNumberFormat="1" applyFill="1" applyBorder="1"/>
    <xf numFmtId="1" fontId="0" fillId="19" borderId="0" xfId="0" applyNumberFormat="1" applyFill="1" applyBorder="1"/>
    <xf numFmtId="1" fontId="0" fillId="12" borderId="0" xfId="0" applyNumberFormat="1" applyFill="1" applyBorder="1"/>
    <xf numFmtId="1" fontId="0" fillId="16" borderId="0" xfId="0" applyNumberFormat="1" applyFill="1" applyBorder="1"/>
    <xf numFmtId="1" fontId="0" fillId="27" borderId="0" xfId="0" applyNumberFormat="1" applyFill="1" applyBorder="1"/>
    <xf numFmtId="9" fontId="0" fillId="0" borderId="15" xfId="1" applyFont="1" applyBorder="1"/>
    <xf numFmtId="165" fontId="0" fillId="0" borderId="0" xfId="1" applyNumberFormat="1" applyFont="1" applyFill="1" applyBorder="1" applyAlignment="1"/>
    <xf numFmtId="165" fontId="0" fillId="0" borderId="5" xfId="1" applyNumberFormat="1" applyFont="1" applyFill="1" applyBorder="1" applyAlignment="1"/>
    <xf numFmtId="0" fontId="0" fillId="15" borderId="15" xfId="0" applyFill="1" applyBorder="1" applyAlignment="1">
      <alignment wrapText="1"/>
    </xf>
    <xf numFmtId="0" fontId="0" fillId="15" borderId="4" xfId="0" applyFill="1" applyBorder="1" applyAlignment="1">
      <alignment wrapText="1"/>
    </xf>
    <xf numFmtId="0" fontId="0" fillId="15" borderId="16" xfId="0" applyFill="1" applyBorder="1" applyAlignment="1">
      <alignment wrapText="1"/>
    </xf>
    <xf numFmtId="0" fontId="0" fillId="15" borderId="17" xfId="0" applyFill="1" applyBorder="1" applyAlignment="1"/>
    <xf numFmtId="0" fontId="0" fillId="15" borderId="0" xfId="0" applyFill="1" applyBorder="1" applyAlignment="1"/>
    <xf numFmtId="0" fontId="0" fillId="15" borderId="18" xfId="0" applyFill="1" applyBorder="1" applyAlignment="1"/>
    <xf numFmtId="0" fontId="0" fillId="16" borderId="15" xfId="0" applyFill="1" applyBorder="1" applyAlignment="1">
      <alignment wrapText="1"/>
    </xf>
    <xf numFmtId="0" fontId="0" fillId="16" borderId="4" xfId="0" applyFill="1" applyBorder="1" applyAlignment="1">
      <alignment wrapText="1"/>
    </xf>
    <xf numFmtId="0" fontId="0" fillId="16" borderId="16" xfId="0" applyFill="1" applyBorder="1" applyAlignment="1">
      <alignment wrapText="1"/>
    </xf>
    <xf numFmtId="0" fontId="0" fillId="16" borderId="17" xfId="0" applyFill="1" applyBorder="1" applyAlignment="1"/>
    <xf numFmtId="0" fontId="0" fillId="16" borderId="0" xfId="0" applyFill="1" applyBorder="1" applyAlignment="1"/>
    <xf numFmtId="0" fontId="0" fillId="16" borderId="18" xfId="0" applyFill="1" applyBorder="1" applyAlignment="1"/>
    <xf numFmtId="0" fontId="0" fillId="22" borderId="15" xfId="0" applyFill="1" applyBorder="1" applyAlignment="1">
      <alignment wrapText="1"/>
    </xf>
    <xf numFmtId="0" fontId="0" fillId="22" borderId="4" xfId="0" applyFill="1" applyBorder="1" applyAlignment="1">
      <alignment wrapText="1"/>
    </xf>
    <xf numFmtId="0" fontId="0" fillId="22" borderId="16" xfId="0" applyFill="1" applyBorder="1" applyAlignment="1">
      <alignment wrapText="1"/>
    </xf>
    <xf numFmtId="0" fontId="0" fillId="22" borderId="17" xfId="0" applyFill="1" applyBorder="1" applyAlignment="1"/>
    <xf numFmtId="0" fontId="0" fillId="22" borderId="0" xfId="0" applyFill="1" applyBorder="1" applyAlignment="1"/>
    <xf numFmtId="0" fontId="0" fillId="22" borderId="18" xfId="0" applyFill="1" applyBorder="1" applyAlignment="1"/>
    <xf numFmtId="165" fontId="0" fillId="0" borderId="0" xfId="0" applyNumberFormat="1" applyAlignment="1"/>
    <xf numFmtId="0" fontId="10" fillId="0" borderId="6" xfId="0" applyFont="1" applyFill="1" applyBorder="1" applyAlignment="1">
      <alignment horizontal="center"/>
    </xf>
    <xf numFmtId="0" fontId="0" fillId="22" borderId="26" xfId="0" applyFill="1" applyBorder="1"/>
    <xf numFmtId="0" fontId="0" fillId="22" borderId="27" xfId="0" applyFill="1" applyBorder="1"/>
    <xf numFmtId="0" fontId="0" fillId="22" borderId="28" xfId="0" applyFill="1" applyBorder="1"/>
    <xf numFmtId="168" fontId="0" fillId="0" borderId="0" xfId="0" applyNumberFormat="1" applyFill="1" applyBorder="1" applyAlignment="1"/>
    <xf numFmtId="0" fontId="18" fillId="0" borderId="3" xfId="0" applyFont="1" applyBorder="1" applyAlignment="1">
      <alignment vertical="center"/>
    </xf>
    <xf numFmtId="0" fontId="18" fillId="0" borderId="32" xfId="0" applyFont="1" applyBorder="1" applyAlignment="1">
      <alignment vertical="center"/>
    </xf>
    <xf numFmtId="0" fontId="18" fillId="0" borderId="25" xfId="0" applyFont="1" applyBorder="1" applyAlignment="1">
      <alignment vertical="center"/>
    </xf>
    <xf numFmtId="0" fontId="9" fillId="0" borderId="34" xfId="0" applyFont="1" applyBorder="1" applyAlignment="1">
      <alignment horizontal="center" vertical="center"/>
    </xf>
    <xf numFmtId="0" fontId="9" fillId="0" borderId="25" xfId="0" applyFont="1" applyBorder="1" applyAlignment="1">
      <alignment horizontal="left" vertical="center"/>
    </xf>
    <xf numFmtId="0" fontId="9" fillId="28" borderId="34" xfId="0" applyFont="1" applyFill="1" applyBorder="1" applyAlignment="1">
      <alignment horizontal="center" vertical="center"/>
    </xf>
    <xf numFmtId="9" fontId="9" fillId="28" borderId="34" xfId="0" applyNumberFormat="1" applyFont="1" applyFill="1" applyBorder="1" applyAlignment="1">
      <alignment horizontal="center" vertical="center"/>
    </xf>
    <xf numFmtId="9" fontId="9" fillId="0" borderId="34" xfId="0" applyNumberFormat="1" applyFont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165" fontId="0" fillId="16" borderId="0" xfId="0" applyNumberFormat="1" applyFill="1" applyBorder="1" applyAlignment="1"/>
    <xf numFmtId="168" fontId="0" fillId="0" borderId="5" xfId="0" applyNumberFormat="1" applyFill="1" applyBorder="1" applyAlignment="1"/>
    <xf numFmtId="1" fontId="0" fillId="0" borderId="5" xfId="0" applyNumberFormat="1" applyFill="1" applyBorder="1" applyAlignment="1"/>
    <xf numFmtId="0" fontId="10" fillId="0" borderId="6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ill="1" applyAlignment="1"/>
    <xf numFmtId="0" fontId="0" fillId="29" borderId="17" xfId="0" applyFill="1" applyBorder="1" applyAlignment="1"/>
    <xf numFmtId="0" fontId="0" fillId="29" borderId="0" xfId="0" applyFill="1" applyAlignment="1"/>
    <xf numFmtId="0" fontId="0" fillId="29" borderId="0" xfId="0" applyFill="1" applyBorder="1" applyAlignment="1"/>
    <xf numFmtId="0" fontId="0" fillId="30" borderId="0" xfId="0" applyFill="1" applyBorder="1" applyAlignment="1">
      <alignment wrapText="1"/>
    </xf>
    <xf numFmtId="0" fontId="0" fillId="30" borderId="0" xfId="0" applyFill="1" applyAlignment="1"/>
    <xf numFmtId="0" fontId="0" fillId="30" borderId="0" xfId="0" applyFill="1"/>
    <xf numFmtId="0" fontId="0" fillId="21" borderId="0" xfId="0" applyFill="1" applyBorder="1" applyAlignment="1">
      <alignment wrapText="1"/>
    </xf>
    <xf numFmtId="0" fontId="0" fillId="21" borderId="0" xfId="0" applyFill="1" applyBorder="1" applyAlignment="1"/>
    <xf numFmtId="0" fontId="0" fillId="29" borderId="0" xfId="0" applyFill="1"/>
    <xf numFmtId="1" fontId="0" fillId="0" borderId="0" xfId="1" applyNumberFormat="1" applyFont="1"/>
    <xf numFmtId="167" fontId="0" fillId="0" borderId="5" xfId="1" applyNumberFormat="1" applyFont="1" applyFill="1" applyBorder="1" applyAlignment="1"/>
    <xf numFmtId="0" fontId="9" fillId="0" borderId="3" xfId="0" applyFont="1" applyBorder="1" applyAlignment="1">
      <alignment horizontal="justify" vertical="center"/>
    </xf>
    <xf numFmtId="0" fontId="9" fillId="0" borderId="25" xfId="0" applyFont="1" applyBorder="1" applyAlignment="1">
      <alignment horizontal="justify" vertical="center"/>
    </xf>
    <xf numFmtId="0" fontId="9" fillId="31" borderId="34" xfId="0" applyFont="1" applyFill="1" applyBorder="1" applyAlignment="1">
      <alignment horizontal="center" vertical="center"/>
    </xf>
    <xf numFmtId="10" fontId="9" fillId="31" borderId="34" xfId="0" applyNumberFormat="1" applyFont="1" applyFill="1" applyBorder="1" applyAlignment="1">
      <alignment horizontal="center" vertical="center"/>
    </xf>
    <xf numFmtId="10" fontId="9" fillId="0" borderId="34" xfId="0" applyNumberFormat="1" applyFont="1" applyBorder="1" applyAlignment="1">
      <alignment horizontal="center" vertical="center"/>
    </xf>
    <xf numFmtId="0" fontId="0" fillId="0" borderId="0" xfId="0" applyNumberFormat="1" applyFill="1" applyBorder="1" applyAlignment="1"/>
    <xf numFmtId="0" fontId="0" fillId="0" borderId="0" xfId="1" applyNumberFormat="1" applyFont="1" applyBorder="1"/>
    <xf numFmtId="0" fontId="0" fillId="0" borderId="0" xfId="0" applyNumberFormat="1" applyBorder="1"/>
    <xf numFmtId="0" fontId="9" fillId="0" borderId="32" xfId="0" applyFont="1" applyBorder="1" applyAlignment="1">
      <alignment horizontal="center" vertical="center"/>
    </xf>
    <xf numFmtId="9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67" fontId="0" fillId="0" borderId="0" xfId="1" applyNumberFormat="1" applyFont="1" applyAlignment="1">
      <alignment horizontal="center"/>
    </xf>
    <xf numFmtId="0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24" borderId="0" xfId="0" applyFill="1" applyAlignment="1">
      <alignment horizontal="center"/>
    </xf>
    <xf numFmtId="0" fontId="0" fillId="18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0" fontId="12" fillId="0" borderId="0" xfId="0" applyFont="1" applyFill="1" applyBorder="1" applyAlignment="1">
      <alignment horizontal="justify" vertical="center"/>
    </xf>
    <xf numFmtId="0" fontId="14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9" fillId="31" borderId="37" xfId="0" applyFont="1" applyFill="1" applyBorder="1" applyAlignment="1">
      <alignment horizontal="center" vertical="center"/>
    </xf>
    <xf numFmtId="0" fontId="9" fillId="31" borderId="38" xfId="0" applyFont="1" applyFill="1" applyBorder="1" applyAlignment="1">
      <alignment horizontal="center" vertical="center"/>
    </xf>
    <xf numFmtId="0" fontId="9" fillId="31" borderId="25" xfId="0" applyFont="1" applyFill="1" applyBorder="1" applyAlignment="1">
      <alignment horizontal="center" vertical="center"/>
    </xf>
    <xf numFmtId="10" fontId="9" fillId="31" borderId="37" xfId="0" applyNumberFormat="1" applyFont="1" applyFill="1" applyBorder="1" applyAlignment="1">
      <alignment horizontal="center" vertical="center"/>
    </xf>
    <xf numFmtId="10" fontId="9" fillId="31" borderId="38" xfId="0" applyNumberFormat="1" applyFont="1" applyFill="1" applyBorder="1" applyAlignment="1">
      <alignment horizontal="center" vertical="center"/>
    </xf>
    <xf numFmtId="10" fontId="9" fillId="31" borderId="25" xfId="0" applyNumberFormat="1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173" fontId="0" fillId="0" borderId="0" xfId="0" applyNumberFormat="1" applyFill="1" applyBorder="1" applyAlignment="1"/>
  </cellXfs>
  <cellStyles count="2">
    <cellStyle name="Normální" xfId="0" builtinId="0"/>
    <cellStyle name="Procenta" xfId="1" builtinId="5"/>
  </cellStyles>
  <dxfs count="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</dxfs>
  <tableStyles count="0" defaultTableStyle="TableStyleMedium2" defaultPivotStyle="PivotStyleLight16"/>
  <colors>
    <mruColors>
      <color rgb="FFA446EB"/>
      <color rgb="FFFFA2B4"/>
      <color rgb="FFE6CFEB"/>
      <color rgb="FFFFCCF7"/>
      <color rgb="FFD3A2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'Výsledek hospodaření '!$B$174</c:f>
              <c:strCache>
                <c:ptCount val="1"/>
                <c:pt idx="0">
                  <c:v>Kladný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'Výsledek hospodaření '!$A$175:$A$187</c:f>
              <c:strCache>
                <c:ptCount val="13"/>
                <c:pt idx="0">
                  <c:v>Atletika</c:v>
                </c:pt>
                <c:pt idx="1">
                  <c:v>Biatlon</c:v>
                </c:pt>
                <c:pt idx="2">
                  <c:v>Curling</c:v>
                </c:pt>
                <c:pt idx="3">
                  <c:v>Florbal</c:v>
                </c:pt>
                <c:pt idx="4">
                  <c:v>Fotbal</c:v>
                </c:pt>
                <c:pt idx="5">
                  <c:v>Horolozectví</c:v>
                </c:pt>
                <c:pt idx="6">
                  <c:v>Jezdectví</c:v>
                </c:pt>
                <c:pt idx="7">
                  <c:v>Kanoistika</c:v>
                </c:pt>
                <c:pt idx="8">
                  <c:v>Plavání</c:v>
                </c:pt>
                <c:pt idx="9">
                  <c:v>Triatlon</c:v>
                </c:pt>
                <c:pt idx="10">
                  <c:v>Veslování</c:v>
                </c:pt>
                <c:pt idx="11">
                  <c:v>Volejbal</c:v>
                </c:pt>
                <c:pt idx="12">
                  <c:v>Zápas</c:v>
                </c:pt>
              </c:strCache>
            </c:strRef>
          </c:cat>
          <c:val>
            <c:numRef>
              <c:f>'Výsledek hospodaření '!$B$175:$B$187</c:f>
              <c:numCache>
                <c:formatCode>General</c:formatCode>
                <c:ptCount val="13"/>
                <c:pt idx="0">
                  <c:v>24</c:v>
                </c:pt>
                <c:pt idx="1">
                  <c:v>1</c:v>
                </c:pt>
                <c:pt idx="2">
                  <c:v>2</c:v>
                </c:pt>
                <c:pt idx="3">
                  <c:v>19</c:v>
                </c:pt>
                <c:pt idx="4">
                  <c:v>90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0-5142-BE74-CA7C982DD1DE}"/>
            </c:ext>
          </c:extLst>
        </c:ser>
        <c:ser>
          <c:idx val="1"/>
          <c:order val="1"/>
          <c:tx>
            <c:strRef>
              <c:f>'Výsledek hospodaření '!$C$174</c:f>
              <c:strCache>
                <c:ptCount val="1"/>
                <c:pt idx="0">
                  <c:v>Záporný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'Výsledek hospodaření '!$A$175:$A$187</c:f>
              <c:strCache>
                <c:ptCount val="13"/>
                <c:pt idx="0">
                  <c:v>Atletika</c:v>
                </c:pt>
                <c:pt idx="1">
                  <c:v>Biatlon</c:v>
                </c:pt>
                <c:pt idx="2">
                  <c:v>Curling</c:v>
                </c:pt>
                <c:pt idx="3">
                  <c:v>Florbal</c:v>
                </c:pt>
                <c:pt idx="4">
                  <c:v>Fotbal</c:v>
                </c:pt>
                <c:pt idx="5">
                  <c:v>Horolozectví</c:v>
                </c:pt>
                <c:pt idx="6">
                  <c:v>Jezdectví</c:v>
                </c:pt>
                <c:pt idx="7">
                  <c:v>Kanoistika</c:v>
                </c:pt>
                <c:pt idx="8">
                  <c:v>Plavání</c:v>
                </c:pt>
                <c:pt idx="9">
                  <c:v>Triatlon</c:v>
                </c:pt>
                <c:pt idx="10">
                  <c:v>Veslování</c:v>
                </c:pt>
                <c:pt idx="11">
                  <c:v>Volejbal</c:v>
                </c:pt>
                <c:pt idx="12">
                  <c:v>Zápas</c:v>
                </c:pt>
              </c:strCache>
            </c:strRef>
          </c:cat>
          <c:val>
            <c:numRef>
              <c:f>'Výsledek hospodaření '!$C$175:$C$187</c:f>
              <c:numCache>
                <c:formatCode>General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1</c:v>
                </c:pt>
                <c:pt idx="3">
                  <c:v>10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0-5142-BE74-CA7C982DD1DE}"/>
            </c:ext>
          </c:extLst>
        </c:ser>
        <c:ser>
          <c:idx val="2"/>
          <c:order val="2"/>
          <c:tx>
            <c:strRef>
              <c:f>'Výsledek hospodaření '!$D$174</c:f>
              <c:strCache>
                <c:ptCount val="1"/>
                <c:pt idx="0">
                  <c:v>Nula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'Výsledek hospodaření '!$A$175:$A$187</c:f>
              <c:strCache>
                <c:ptCount val="13"/>
                <c:pt idx="0">
                  <c:v>Atletika</c:v>
                </c:pt>
                <c:pt idx="1">
                  <c:v>Biatlon</c:v>
                </c:pt>
                <c:pt idx="2">
                  <c:v>Curling</c:v>
                </c:pt>
                <c:pt idx="3">
                  <c:v>Florbal</c:v>
                </c:pt>
                <c:pt idx="4">
                  <c:v>Fotbal</c:v>
                </c:pt>
                <c:pt idx="5">
                  <c:v>Horolozectví</c:v>
                </c:pt>
                <c:pt idx="6">
                  <c:v>Jezdectví</c:v>
                </c:pt>
                <c:pt idx="7">
                  <c:v>Kanoistika</c:v>
                </c:pt>
                <c:pt idx="8">
                  <c:v>Plavání</c:v>
                </c:pt>
                <c:pt idx="9">
                  <c:v>Triatlon</c:v>
                </c:pt>
                <c:pt idx="10">
                  <c:v>Veslování</c:v>
                </c:pt>
                <c:pt idx="11">
                  <c:v>Volejbal</c:v>
                </c:pt>
                <c:pt idx="12">
                  <c:v>Zápas</c:v>
                </c:pt>
              </c:strCache>
            </c:strRef>
          </c:cat>
          <c:val>
            <c:numRef>
              <c:f>'Výsledek hospodaření '!$D$175:$D$187</c:f>
              <c:numCache>
                <c:formatCode>General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0-5142-BE74-CA7C982D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614040"/>
        <c:axId val="508614368"/>
      </c:radarChart>
      <c:catAx>
        <c:axId val="50861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368"/>
        <c:crosses val="autoZero"/>
        <c:auto val="1"/>
        <c:lblAlgn val="ctr"/>
        <c:lblOffset val="100"/>
        <c:noMultiLvlLbl val="0"/>
      </c:catAx>
      <c:valAx>
        <c:axId val="5086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 1,3,4,5'!$L$2:$L$94</c:f>
              <c:numCache>
                <c:formatCode>General</c:formatCode>
                <c:ptCount val="93"/>
                <c:pt idx="0">
                  <c:v>42.5</c:v>
                </c:pt>
                <c:pt idx="1">
                  <c:v>116.48</c:v>
                </c:pt>
                <c:pt idx="2">
                  <c:v>140</c:v>
                </c:pt>
                <c:pt idx="3">
                  <c:v>456</c:v>
                </c:pt>
                <c:pt idx="4">
                  <c:v>369</c:v>
                </c:pt>
                <c:pt idx="5">
                  <c:v>327.25</c:v>
                </c:pt>
                <c:pt idx="6">
                  <c:v>252.2</c:v>
                </c:pt>
                <c:pt idx="7">
                  <c:v>3</c:v>
                </c:pt>
                <c:pt idx="8">
                  <c:v>140.80000000000001</c:v>
                </c:pt>
                <c:pt idx="9">
                  <c:v>5.85</c:v>
                </c:pt>
                <c:pt idx="10">
                  <c:v>316.8</c:v>
                </c:pt>
                <c:pt idx="11">
                  <c:v>3.75</c:v>
                </c:pt>
                <c:pt idx="12">
                  <c:v>225</c:v>
                </c:pt>
                <c:pt idx="13">
                  <c:v>7.15</c:v>
                </c:pt>
                <c:pt idx="14">
                  <c:v>44</c:v>
                </c:pt>
                <c:pt idx="15">
                  <c:v>6.3000000000000007</c:v>
                </c:pt>
                <c:pt idx="16">
                  <c:v>360</c:v>
                </c:pt>
                <c:pt idx="17">
                  <c:v>60</c:v>
                </c:pt>
                <c:pt idx="18">
                  <c:v>267.18</c:v>
                </c:pt>
                <c:pt idx="19">
                  <c:v>140</c:v>
                </c:pt>
                <c:pt idx="20">
                  <c:v>30</c:v>
                </c:pt>
                <c:pt idx="21">
                  <c:v>2.85</c:v>
                </c:pt>
                <c:pt idx="22">
                  <c:v>28</c:v>
                </c:pt>
                <c:pt idx="23">
                  <c:v>78.400000000000006</c:v>
                </c:pt>
                <c:pt idx="24">
                  <c:v>127.5</c:v>
                </c:pt>
                <c:pt idx="25">
                  <c:v>174.79999999999998</c:v>
                </c:pt>
                <c:pt idx="26">
                  <c:v>54.45</c:v>
                </c:pt>
                <c:pt idx="27">
                  <c:v>47.25</c:v>
                </c:pt>
                <c:pt idx="28">
                  <c:v>81</c:v>
                </c:pt>
                <c:pt idx="29">
                  <c:v>281.2</c:v>
                </c:pt>
                <c:pt idx="30">
                  <c:v>26.860000000000003</c:v>
                </c:pt>
                <c:pt idx="31">
                  <c:v>205</c:v>
                </c:pt>
                <c:pt idx="32">
                  <c:v>85.84</c:v>
                </c:pt>
                <c:pt idx="33">
                  <c:v>0</c:v>
                </c:pt>
                <c:pt idx="34">
                  <c:v>175.5</c:v>
                </c:pt>
                <c:pt idx="35">
                  <c:v>96.25</c:v>
                </c:pt>
                <c:pt idx="36">
                  <c:v>95</c:v>
                </c:pt>
                <c:pt idx="37">
                  <c:v>42.25</c:v>
                </c:pt>
                <c:pt idx="38">
                  <c:v>108</c:v>
                </c:pt>
                <c:pt idx="39">
                  <c:v>180</c:v>
                </c:pt>
                <c:pt idx="40">
                  <c:v>193.8</c:v>
                </c:pt>
                <c:pt idx="41">
                  <c:v>20</c:v>
                </c:pt>
                <c:pt idx="42">
                  <c:v>81</c:v>
                </c:pt>
                <c:pt idx="43">
                  <c:v>36</c:v>
                </c:pt>
                <c:pt idx="44">
                  <c:v>40</c:v>
                </c:pt>
                <c:pt idx="45">
                  <c:v>12.5</c:v>
                </c:pt>
                <c:pt idx="46">
                  <c:v>17.5</c:v>
                </c:pt>
                <c:pt idx="47">
                  <c:v>153</c:v>
                </c:pt>
                <c:pt idx="48">
                  <c:v>115</c:v>
                </c:pt>
                <c:pt idx="49">
                  <c:v>147</c:v>
                </c:pt>
                <c:pt idx="50">
                  <c:v>37.5</c:v>
                </c:pt>
                <c:pt idx="51">
                  <c:v>47</c:v>
                </c:pt>
                <c:pt idx="52">
                  <c:v>52.65</c:v>
                </c:pt>
                <c:pt idx="53">
                  <c:v>6.7200000000000006</c:v>
                </c:pt>
                <c:pt idx="54">
                  <c:v>71.5</c:v>
                </c:pt>
                <c:pt idx="55">
                  <c:v>87.89</c:v>
                </c:pt>
                <c:pt idx="56">
                  <c:v>24.75</c:v>
                </c:pt>
                <c:pt idx="57">
                  <c:v>159.6</c:v>
                </c:pt>
                <c:pt idx="58">
                  <c:v>57.2</c:v>
                </c:pt>
                <c:pt idx="59">
                  <c:v>31.749999999999996</c:v>
                </c:pt>
                <c:pt idx="60">
                  <c:v>67.61999999999999</c:v>
                </c:pt>
                <c:pt idx="61">
                  <c:v>17.001000000000001</c:v>
                </c:pt>
                <c:pt idx="62">
                  <c:v>60</c:v>
                </c:pt>
                <c:pt idx="63">
                  <c:v>25.3</c:v>
                </c:pt>
                <c:pt idx="64">
                  <c:v>22.8</c:v>
                </c:pt>
                <c:pt idx="65">
                  <c:v>39.960000000000008</c:v>
                </c:pt>
                <c:pt idx="66">
                  <c:v>57.75</c:v>
                </c:pt>
                <c:pt idx="67">
                  <c:v>131.21599999999998</c:v>
                </c:pt>
                <c:pt idx="68">
                  <c:v>82.799999999999983</c:v>
                </c:pt>
                <c:pt idx="69">
                  <c:v>47.25</c:v>
                </c:pt>
                <c:pt idx="70">
                  <c:v>43.400000000000006</c:v>
                </c:pt>
                <c:pt idx="71">
                  <c:v>41.4</c:v>
                </c:pt>
                <c:pt idx="72">
                  <c:v>51</c:v>
                </c:pt>
                <c:pt idx="73">
                  <c:v>57</c:v>
                </c:pt>
                <c:pt idx="74">
                  <c:v>40</c:v>
                </c:pt>
                <c:pt idx="75">
                  <c:v>16</c:v>
                </c:pt>
                <c:pt idx="76">
                  <c:v>13.5</c:v>
                </c:pt>
                <c:pt idx="77">
                  <c:v>48</c:v>
                </c:pt>
                <c:pt idx="78">
                  <c:v>13.950000000000001</c:v>
                </c:pt>
                <c:pt idx="79">
                  <c:v>130.19999999999999</c:v>
                </c:pt>
                <c:pt idx="80">
                  <c:v>140.4</c:v>
                </c:pt>
                <c:pt idx="81">
                  <c:v>301</c:v>
                </c:pt>
                <c:pt idx="82">
                  <c:v>186.9</c:v>
                </c:pt>
                <c:pt idx="83">
                  <c:v>62.56</c:v>
                </c:pt>
                <c:pt idx="84">
                  <c:v>73.5</c:v>
                </c:pt>
                <c:pt idx="85">
                  <c:v>166.45999999999998</c:v>
                </c:pt>
                <c:pt idx="86">
                  <c:v>36</c:v>
                </c:pt>
                <c:pt idx="87">
                  <c:v>177.45</c:v>
                </c:pt>
                <c:pt idx="88">
                  <c:v>13</c:v>
                </c:pt>
                <c:pt idx="89">
                  <c:v>3.15</c:v>
                </c:pt>
                <c:pt idx="90">
                  <c:v>210.48999999999998</c:v>
                </c:pt>
                <c:pt idx="91">
                  <c:v>139.88</c:v>
                </c:pt>
                <c:pt idx="92">
                  <c:v>52.5</c:v>
                </c:pt>
              </c:numCache>
            </c:numRef>
          </c:xVal>
          <c:yVal>
            <c:numRef>
              <c:f>'VO 1,3,4,5'!$M$2:$M$94</c:f>
              <c:numCache>
                <c:formatCode>0.000</c:formatCode>
                <c:ptCount val="93"/>
                <c:pt idx="0">
                  <c:v>165.66666666666666</c:v>
                </c:pt>
                <c:pt idx="1">
                  <c:v>390.33333333333331</c:v>
                </c:pt>
                <c:pt idx="2">
                  <c:v>287.33333333333331</c:v>
                </c:pt>
                <c:pt idx="3">
                  <c:v>2131.6666666666665</c:v>
                </c:pt>
                <c:pt idx="4">
                  <c:v>1692.6666666666667</c:v>
                </c:pt>
                <c:pt idx="5">
                  <c:v>1215.3333333333333</c:v>
                </c:pt>
                <c:pt idx="6">
                  <c:v>1901.3333333333333</c:v>
                </c:pt>
                <c:pt idx="7">
                  <c:v>1.6875</c:v>
                </c:pt>
                <c:pt idx="8">
                  <c:v>504.66666666666669</c:v>
                </c:pt>
                <c:pt idx="9">
                  <c:v>61</c:v>
                </c:pt>
                <c:pt idx="10">
                  <c:v>964</c:v>
                </c:pt>
                <c:pt idx="11">
                  <c:v>69.25</c:v>
                </c:pt>
                <c:pt idx="12">
                  <c:v>964</c:v>
                </c:pt>
                <c:pt idx="13">
                  <c:v>12</c:v>
                </c:pt>
                <c:pt idx="14">
                  <c:v>655</c:v>
                </c:pt>
                <c:pt idx="15">
                  <c:v>0</c:v>
                </c:pt>
                <c:pt idx="16">
                  <c:v>495.66666666666669</c:v>
                </c:pt>
                <c:pt idx="17">
                  <c:v>257.04672897196264</c:v>
                </c:pt>
                <c:pt idx="18">
                  <c:v>530.66666666666663</c:v>
                </c:pt>
                <c:pt idx="19">
                  <c:v>377.33333333333331</c:v>
                </c:pt>
                <c:pt idx="20">
                  <c:v>71.333333333333329</c:v>
                </c:pt>
                <c:pt idx="21">
                  <c:v>17.46523517382413</c:v>
                </c:pt>
                <c:pt idx="22">
                  <c:v>41.333333333333336</c:v>
                </c:pt>
                <c:pt idx="23">
                  <c:v>195.33333333333334</c:v>
                </c:pt>
                <c:pt idx="24">
                  <c:v>70</c:v>
                </c:pt>
                <c:pt idx="25">
                  <c:v>867</c:v>
                </c:pt>
                <c:pt idx="26">
                  <c:v>204</c:v>
                </c:pt>
                <c:pt idx="27">
                  <c:v>165</c:v>
                </c:pt>
                <c:pt idx="28">
                  <c:v>214</c:v>
                </c:pt>
                <c:pt idx="29">
                  <c:v>521</c:v>
                </c:pt>
                <c:pt idx="30">
                  <c:v>264.66666666666669</c:v>
                </c:pt>
                <c:pt idx="31">
                  <c:v>1647.6666666666667</c:v>
                </c:pt>
                <c:pt idx="32">
                  <c:v>632.66666666666663</c:v>
                </c:pt>
                <c:pt idx="33">
                  <c:v>88</c:v>
                </c:pt>
                <c:pt idx="34">
                  <c:v>889</c:v>
                </c:pt>
                <c:pt idx="35">
                  <c:v>145</c:v>
                </c:pt>
                <c:pt idx="36">
                  <c:v>250.66666666666666</c:v>
                </c:pt>
                <c:pt idx="37">
                  <c:v>103.33333333333333</c:v>
                </c:pt>
                <c:pt idx="38">
                  <c:v>0</c:v>
                </c:pt>
                <c:pt idx="39">
                  <c:v>264.66666666666669</c:v>
                </c:pt>
                <c:pt idx="40">
                  <c:v>1293.0133333333333</c:v>
                </c:pt>
                <c:pt idx="41">
                  <c:v>20</c:v>
                </c:pt>
                <c:pt idx="42">
                  <c:v>736.33333333333337</c:v>
                </c:pt>
                <c:pt idx="43">
                  <c:v>121.33333333333333</c:v>
                </c:pt>
                <c:pt idx="44">
                  <c:v>219</c:v>
                </c:pt>
                <c:pt idx="45">
                  <c:v>81.666666666666671</c:v>
                </c:pt>
                <c:pt idx="46">
                  <c:v>139.33333333333334</c:v>
                </c:pt>
                <c:pt idx="47">
                  <c:v>612</c:v>
                </c:pt>
                <c:pt idx="48">
                  <c:v>231.33333333333334</c:v>
                </c:pt>
                <c:pt idx="49">
                  <c:v>18.666666666666668</c:v>
                </c:pt>
                <c:pt idx="50">
                  <c:v>107.14814814814814</c:v>
                </c:pt>
                <c:pt idx="51">
                  <c:v>82</c:v>
                </c:pt>
                <c:pt idx="52">
                  <c:v>154.66666666666666</c:v>
                </c:pt>
                <c:pt idx="53">
                  <c:v>0</c:v>
                </c:pt>
                <c:pt idx="54">
                  <c:v>184</c:v>
                </c:pt>
                <c:pt idx="55">
                  <c:v>308.66666666666669</c:v>
                </c:pt>
                <c:pt idx="56">
                  <c:v>140</c:v>
                </c:pt>
                <c:pt idx="57">
                  <c:v>2175.3333333333335</c:v>
                </c:pt>
                <c:pt idx="58">
                  <c:v>186.66666666666666</c:v>
                </c:pt>
                <c:pt idx="59">
                  <c:v>91.666666666666671</c:v>
                </c:pt>
                <c:pt idx="60">
                  <c:v>156.33333333333334</c:v>
                </c:pt>
                <c:pt idx="61">
                  <c:v>104</c:v>
                </c:pt>
                <c:pt idx="62">
                  <c:v>236.66666666666666</c:v>
                </c:pt>
                <c:pt idx="63">
                  <c:v>93</c:v>
                </c:pt>
                <c:pt idx="64">
                  <c:v>59.333333333333336</c:v>
                </c:pt>
                <c:pt idx="65">
                  <c:v>104.33333333333333</c:v>
                </c:pt>
                <c:pt idx="66">
                  <c:v>199</c:v>
                </c:pt>
                <c:pt idx="67">
                  <c:v>171.66666666666666</c:v>
                </c:pt>
                <c:pt idx="68">
                  <c:v>740.33333333333337</c:v>
                </c:pt>
                <c:pt idx="69">
                  <c:v>150</c:v>
                </c:pt>
                <c:pt idx="70">
                  <c:v>51.666666666666664</c:v>
                </c:pt>
                <c:pt idx="71">
                  <c:v>484.66666666666669</c:v>
                </c:pt>
                <c:pt idx="72">
                  <c:v>204</c:v>
                </c:pt>
                <c:pt idx="73">
                  <c:v>179.33333333333334</c:v>
                </c:pt>
                <c:pt idx="74">
                  <c:v>0</c:v>
                </c:pt>
                <c:pt idx="75">
                  <c:v>181.28322329439649</c:v>
                </c:pt>
                <c:pt idx="76">
                  <c:v>162.33333333333334</c:v>
                </c:pt>
                <c:pt idx="77">
                  <c:v>140</c:v>
                </c:pt>
                <c:pt idx="78">
                  <c:v>55</c:v>
                </c:pt>
                <c:pt idx="79">
                  <c:v>445.14000000000004</c:v>
                </c:pt>
                <c:pt idx="80">
                  <c:v>660.33333333333337</c:v>
                </c:pt>
                <c:pt idx="81">
                  <c:v>2002.6666666666667</c:v>
                </c:pt>
                <c:pt idx="82">
                  <c:v>567.33333333333337</c:v>
                </c:pt>
                <c:pt idx="83">
                  <c:v>270</c:v>
                </c:pt>
                <c:pt idx="84">
                  <c:v>453.33333333333331</c:v>
                </c:pt>
                <c:pt idx="85">
                  <c:v>95.333333333333329</c:v>
                </c:pt>
                <c:pt idx="86">
                  <c:v>210.33333333333334</c:v>
                </c:pt>
                <c:pt idx="87">
                  <c:v>5442.666666666667</c:v>
                </c:pt>
                <c:pt idx="88">
                  <c:v>94.553333333333327</c:v>
                </c:pt>
                <c:pt idx="89">
                  <c:v>53.11944444444444</c:v>
                </c:pt>
                <c:pt idx="90">
                  <c:v>46</c:v>
                </c:pt>
                <c:pt idx="91">
                  <c:v>617.33333333333337</c:v>
                </c:pt>
                <c:pt idx="92">
                  <c:v>291.60360360360363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E-D144-9261-8962FABDD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5336064"/>
        <c:axId val="1935598096"/>
      </c:scatterChart>
      <c:valAx>
        <c:axId val="1965336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35598096"/>
        <c:crosses val="autoZero"/>
        <c:crossBetween val="midCat"/>
      </c:valAx>
      <c:valAx>
        <c:axId val="193559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65336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1,3,4,5'!$CL$2:$CL$280</c:f>
              <c:numCache>
                <c:formatCode>General</c:formatCode>
                <c:ptCount val="279"/>
                <c:pt idx="0">
                  <c:v>26</c:v>
                </c:pt>
                <c:pt idx="1">
                  <c:v>-40</c:v>
                </c:pt>
                <c:pt idx="2">
                  <c:v>-20</c:v>
                </c:pt>
                <c:pt idx="3">
                  <c:v>267</c:v>
                </c:pt>
                <c:pt idx="4">
                  <c:v>92</c:v>
                </c:pt>
                <c:pt idx="5">
                  <c:v>-71</c:v>
                </c:pt>
                <c:pt idx="6">
                  <c:v>356</c:v>
                </c:pt>
                <c:pt idx="7">
                  <c:v>-23.900000000000002</c:v>
                </c:pt>
                <c:pt idx="8">
                  <c:v>45</c:v>
                </c:pt>
                <c:pt idx="9">
                  <c:v>0</c:v>
                </c:pt>
                <c:pt idx="10">
                  <c:v>587</c:v>
                </c:pt>
                <c:pt idx="11">
                  <c:v>-9.0681818181818183</c:v>
                </c:pt>
                <c:pt idx="12">
                  <c:v>587</c:v>
                </c:pt>
                <c:pt idx="13">
                  <c:v>-1</c:v>
                </c:pt>
                <c:pt idx="14">
                  <c:v>-714</c:v>
                </c:pt>
                <c:pt idx="15">
                  <c:v>44</c:v>
                </c:pt>
                <c:pt idx="16">
                  <c:v>-84</c:v>
                </c:pt>
                <c:pt idx="17">
                  <c:v>14.355140186915886</c:v>
                </c:pt>
                <c:pt idx="18">
                  <c:v>-358</c:v>
                </c:pt>
                <c:pt idx="19">
                  <c:v>-25</c:v>
                </c:pt>
                <c:pt idx="20">
                  <c:v>35</c:v>
                </c:pt>
                <c:pt idx="21">
                  <c:v>1.8650306748466259</c:v>
                </c:pt>
                <c:pt idx="22">
                  <c:v>-118</c:v>
                </c:pt>
                <c:pt idx="23">
                  <c:v>78</c:v>
                </c:pt>
                <c:pt idx="24">
                  <c:v>105</c:v>
                </c:pt>
                <c:pt idx="25">
                  <c:v>-256</c:v>
                </c:pt>
                <c:pt idx="26">
                  <c:v>-54</c:v>
                </c:pt>
                <c:pt idx="27">
                  <c:v>92</c:v>
                </c:pt>
                <c:pt idx="28">
                  <c:v>14</c:v>
                </c:pt>
                <c:pt idx="29">
                  <c:v>11</c:v>
                </c:pt>
                <c:pt idx="30">
                  <c:v>95</c:v>
                </c:pt>
                <c:pt idx="31">
                  <c:v>-175</c:v>
                </c:pt>
                <c:pt idx="32">
                  <c:v>77</c:v>
                </c:pt>
                <c:pt idx="33">
                  <c:v>19</c:v>
                </c:pt>
                <c:pt idx="34">
                  <c:v>-375</c:v>
                </c:pt>
                <c:pt idx="35">
                  <c:v>95</c:v>
                </c:pt>
                <c:pt idx="36">
                  <c:v>-784</c:v>
                </c:pt>
                <c:pt idx="37">
                  <c:v>-26</c:v>
                </c:pt>
                <c:pt idx="38">
                  <c:v>-302</c:v>
                </c:pt>
                <c:pt idx="39">
                  <c:v>44</c:v>
                </c:pt>
                <c:pt idx="40">
                  <c:v>-18.43</c:v>
                </c:pt>
                <c:pt idx="41">
                  <c:v>33</c:v>
                </c:pt>
                <c:pt idx="42">
                  <c:v>-133</c:v>
                </c:pt>
                <c:pt idx="43">
                  <c:v>1</c:v>
                </c:pt>
                <c:pt idx="44">
                  <c:v>-22</c:v>
                </c:pt>
                <c:pt idx="45">
                  <c:v>0</c:v>
                </c:pt>
                <c:pt idx="46">
                  <c:v>109</c:v>
                </c:pt>
                <c:pt idx="47">
                  <c:v>572</c:v>
                </c:pt>
                <c:pt idx="48">
                  <c:v>0</c:v>
                </c:pt>
                <c:pt idx="49">
                  <c:v>32</c:v>
                </c:pt>
                <c:pt idx="50">
                  <c:v>144.22222222222223</c:v>
                </c:pt>
                <c:pt idx="51">
                  <c:v>100</c:v>
                </c:pt>
                <c:pt idx="52">
                  <c:v>55</c:v>
                </c:pt>
                <c:pt idx="53">
                  <c:v>6</c:v>
                </c:pt>
                <c:pt idx="54">
                  <c:v>-277</c:v>
                </c:pt>
                <c:pt idx="55">
                  <c:v>64</c:v>
                </c:pt>
                <c:pt idx="56">
                  <c:v>0</c:v>
                </c:pt>
                <c:pt idx="57">
                  <c:v>23</c:v>
                </c:pt>
                <c:pt idx="58">
                  <c:v>53</c:v>
                </c:pt>
                <c:pt idx="59">
                  <c:v>-5</c:v>
                </c:pt>
                <c:pt idx="60">
                  <c:v>59</c:v>
                </c:pt>
                <c:pt idx="61">
                  <c:v>-20</c:v>
                </c:pt>
                <c:pt idx="62">
                  <c:v>-270</c:v>
                </c:pt>
                <c:pt idx="63">
                  <c:v>30</c:v>
                </c:pt>
                <c:pt idx="64">
                  <c:v>-34</c:v>
                </c:pt>
                <c:pt idx="65">
                  <c:v>-19</c:v>
                </c:pt>
                <c:pt idx="66">
                  <c:v>-66</c:v>
                </c:pt>
                <c:pt idx="67">
                  <c:v>27</c:v>
                </c:pt>
                <c:pt idx="68">
                  <c:v>117</c:v>
                </c:pt>
                <c:pt idx="69">
                  <c:v>1869</c:v>
                </c:pt>
                <c:pt idx="70">
                  <c:v>13</c:v>
                </c:pt>
                <c:pt idx="71">
                  <c:v>6</c:v>
                </c:pt>
                <c:pt idx="72">
                  <c:v>94</c:v>
                </c:pt>
                <c:pt idx="73">
                  <c:v>119</c:v>
                </c:pt>
                <c:pt idx="74">
                  <c:v>11</c:v>
                </c:pt>
                <c:pt idx="75">
                  <c:v>-2.4581005586592179</c:v>
                </c:pt>
                <c:pt idx="76">
                  <c:v>-23</c:v>
                </c:pt>
                <c:pt idx="77">
                  <c:v>59</c:v>
                </c:pt>
                <c:pt idx="78">
                  <c:v>0</c:v>
                </c:pt>
                <c:pt idx="79">
                  <c:v>-105.3</c:v>
                </c:pt>
                <c:pt idx="80">
                  <c:v>78</c:v>
                </c:pt>
                <c:pt idx="81">
                  <c:v>143</c:v>
                </c:pt>
                <c:pt idx="82">
                  <c:v>144</c:v>
                </c:pt>
                <c:pt idx="83">
                  <c:v>23</c:v>
                </c:pt>
                <c:pt idx="84">
                  <c:v>0</c:v>
                </c:pt>
                <c:pt idx="85">
                  <c:v>475</c:v>
                </c:pt>
                <c:pt idx="86">
                  <c:v>-232</c:v>
                </c:pt>
                <c:pt idx="87">
                  <c:v>26</c:v>
                </c:pt>
                <c:pt idx="88">
                  <c:v>15.73</c:v>
                </c:pt>
                <c:pt idx="89">
                  <c:v>0.10833333333333334</c:v>
                </c:pt>
                <c:pt idx="90">
                  <c:v>9</c:v>
                </c:pt>
                <c:pt idx="91">
                  <c:v>12</c:v>
                </c:pt>
                <c:pt idx="92">
                  <c:v>-130.16216216216216</c:v>
                </c:pt>
                <c:pt idx="93">
                  <c:v>-16</c:v>
                </c:pt>
                <c:pt idx="94">
                  <c:v>-34</c:v>
                </c:pt>
                <c:pt idx="95">
                  <c:v>224</c:v>
                </c:pt>
                <c:pt idx="96">
                  <c:v>-6</c:v>
                </c:pt>
                <c:pt idx="97">
                  <c:v>-312</c:v>
                </c:pt>
                <c:pt idx="98">
                  <c:v>-12</c:v>
                </c:pt>
                <c:pt idx="99">
                  <c:v>275</c:v>
                </c:pt>
                <c:pt idx="100">
                  <c:v>0.53749999999999998</c:v>
                </c:pt>
                <c:pt idx="101">
                  <c:v>-244</c:v>
                </c:pt>
                <c:pt idx="102">
                  <c:v>0</c:v>
                </c:pt>
                <c:pt idx="103">
                  <c:v>1193</c:v>
                </c:pt>
                <c:pt idx="104">
                  <c:v>6.954545454545455</c:v>
                </c:pt>
                <c:pt idx="105">
                  <c:v>1193</c:v>
                </c:pt>
                <c:pt idx="106">
                  <c:v>-6</c:v>
                </c:pt>
                <c:pt idx="107">
                  <c:v>-228</c:v>
                </c:pt>
                <c:pt idx="108">
                  <c:v>-63</c:v>
                </c:pt>
                <c:pt idx="109">
                  <c:v>-391</c:v>
                </c:pt>
                <c:pt idx="110">
                  <c:v>37.383177570093459</c:v>
                </c:pt>
                <c:pt idx="111">
                  <c:v>189</c:v>
                </c:pt>
                <c:pt idx="112">
                  <c:v>14</c:v>
                </c:pt>
                <c:pt idx="113">
                  <c:v>55</c:v>
                </c:pt>
                <c:pt idx="114">
                  <c:v>-1.6319018404907977</c:v>
                </c:pt>
                <c:pt idx="115">
                  <c:v>88</c:v>
                </c:pt>
                <c:pt idx="116">
                  <c:v>10</c:v>
                </c:pt>
                <c:pt idx="117">
                  <c:v>16</c:v>
                </c:pt>
                <c:pt idx="118">
                  <c:v>-85</c:v>
                </c:pt>
                <c:pt idx="119">
                  <c:v>-67</c:v>
                </c:pt>
                <c:pt idx="120">
                  <c:v>-75</c:v>
                </c:pt>
                <c:pt idx="121">
                  <c:v>10</c:v>
                </c:pt>
                <c:pt idx="122">
                  <c:v>32</c:v>
                </c:pt>
                <c:pt idx="123">
                  <c:v>73</c:v>
                </c:pt>
                <c:pt idx="124">
                  <c:v>-291</c:v>
                </c:pt>
                <c:pt idx="125">
                  <c:v>161</c:v>
                </c:pt>
                <c:pt idx="126">
                  <c:v>1</c:v>
                </c:pt>
                <c:pt idx="127">
                  <c:v>-40</c:v>
                </c:pt>
                <c:pt idx="128">
                  <c:v>40</c:v>
                </c:pt>
                <c:pt idx="129">
                  <c:v>-315</c:v>
                </c:pt>
                <c:pt idx="130">
                  <c:v>42</c:v>
                </c:pt>
                <c:pt idx="131">
                  <c:v>-45</c:v>
                </c:pt>
                <c:pt idx="132">
                  <c:v>-35</c:v>
                </c:pt>
                <c:pt idx="133">
                  <c:v>298.3</c:v>
                </c:pt>
                <c:pt idx="134">
                  <c:v>2</c:v>
                </c:pt>
                <c:pt idx="135">
                  <c:v>282</c:v>
                </c:pt>
                <c:pt idx="136">
                  <c:v>-92</c:v>
                </c:pt>
                <c:pt idx="137">
                  <c:v>-1</c:v>
                </c:pt>
                <c:pt idx="138">
                  <c:v>68</c:v>
                </c:pt>
                <c:pt idx="139">
                  <c:v>-97</c:v>
                </c:pt>
                <c:pt idx="140">
                  <c:v>714</c:v>
                </c:pt>
                <c:pt idx="141">
                  <c:v>0</c:v>
                </c:pt>
                <c:pt idx="142">
                  <c:v>48</c:v>
                </c:pt>
                <c:pt idx="143">
                  <c:v>208</c:v>
                </c:pt>
                <c:pt idx="144">
                  <c:v>-15</c:v>
                </c:pt>
                <c:pt idx="145">
                  <c:v>-10</c:v>
                </c:pt>
                <c:pt idx="146">
                  <c:v>0</c:v>
                </c:pt>
                <c:pt idx="147">
                  <c:v>39</c:v>
                </c:pt>
                <c:pt idx="148">
                  <c:v>54</c:v>
                </c:pt>
                <c:pt idx="149">
                  <c:v>0</c:v>
                </c:pt>
                <c:pt idx="150">
                  <c:v>5</c:v>
                </c:pt>
                <c:pt idx="151">
                  <c:v>118</c:v>
                </c:pt>
                <c:pt idx="152">
                  <c:v>91</c:v>
                </c:pt>
                <c:pt idx="153">
                  <c:v>147</c:v>
                </c:pt>
                <c:pt idx="154">
                  <c:v>121</c:v>
                </c:pt>
                <c:pt idx="155">
                  <c:v>80</c:v>
                </c:pt>
                <c:pt idx="156">
                  <c:v>-82</c:v>
                </c:pt>
                <c:pt idx="157">
                  <c:v>21</c:v>
                </c:pt>
                <c:pt idx="158">
                  <c:v>62</c:v>
                </c:pt>
                <c:pt idx="159">
                  <c:v>28</c:v>
                </c:pt>
                <c:pt idx="160">
                  <c:v>-26</c:v>
                </c:pt>
                <c:pt idx="161">
                  <c:v>16</c:v>
                </c:pt>
                <c:pt idx="162">
                  <c:v>1526</c:v>
                </c:pt>
                <c:pt idx="163">
                  <c:v>13</c:v>
                </c:pt>
                <c:pt idx="164">
                  <c:v>43</c:v>
                </c:pt>
                <c:pt idx="165">
                  <c:v>1</c:v>
                </c:pt>
                <c:pt idx="166">
                  <c:v>66</c:v>
                </c:pt>
                <c:pt idx="167">
                  <c:v>27</c:v>
                </c:pt>
                <c:pt idx="168">
                  <c:v>-84.530218384966986</c:v>
                </c:pt>
                <c:pt idx="169">
                  <c:v>31</c:v>
                </c:pt>
                <c:pt idx="170">
                  <c:v>-20</c:v>
                </c:pt>
                <c:pt idx="171">
                  <c:v>15</c:v>
                </c:pt>
                <c:pt idx="172">
                  <c:v>-7.4700000000000006</c:v>
                </c:pt>
                <c:pt idx="173">
                  <c:v>100</c:v>
                </c:pt>
                <c:pt idx="174">
                  <c:v>-554</c:v>
                </c:pt>
                <c:pt idx="175">
                  <c:v>434</c:v>
                </c:pt>
                <c:pt idx="176">
                  <c:v>-39</c:v>
                </c:pt>
                <c:pt idx="177">
                  <c:v>0</c:v>
                </c:pt>
                <c:pt idx="178">
                  <c:v>462</c:v>
                </c:pt>
                <c:pt idx="179">
                  <c:v>-472</c:v>
                </c:pt>
                <c:pt idx="180">
                  <c:v>238</c:v>
                </c:pt>
                <c:pt idx="181">
                  <c:v>2.86</c:v>
                </c:pt>
                <c:pt idx="182">
                  <c:v>17.225000000000001</c:v>
                </c:pt>
                <c:pt idx="183">
                  <c:v>40</c:v>
                </c:pt>
                <c:pt idx="184">
                  <c:v>146</c:v>
                </c:pt>
                <c:pt idx="185">
                  <c:v>-74.351351351351354</c:v>
                </c:pt>
                <c:pt idx="186">
                  <c:v>26</c:v>
                </c:pt>
                <c:pt idx="187">
                  <c:v>287</c:v>
                </c:pt>
                <c:pt idx="188">
                  <c:v>845</c:v>
                </c:pt>
                <c:pt idx="189">
                  <c:v>167</c:v>
                </c:pt>
                <c:pt idx="190">
                  <c:v>580</c:v>
                </c:pt>
                <c:pt idx="191">
                  <c:v>14</c:v>
                </c:pt>
                <c:pt idx="192">
                  <c:v>32</c:v>
                </c:pt>
                <c:pt idx="193">
                  <c:v>-12.725</c:v>
                </c:pt>
                <c:pt idx="194">
                  <c:v>46</c:v>
                </c:pt>
                <c:pt idx="195">
                  <c:v>0</c:v>
                </c:pt>
                <c:pt idx="196">
                  <c:v>1686</c:v>
                </c:pt>
                <c:pt idx="197">
                  <c:v>40.159090909090914</c:v>
                </c:pt>
                <c:pt idx="198">
                  <c:v>1686</c:v>
                </c:pt>
                <c:pt idx="199">
                  <c:v>2</c:v>
                </c:pt>
                <c:pt idx="200">
                  <c:v>-181</c:v>
                </c:pt>
                <c:pt idx="201">
                  <c:v>53</c:v>
                </c:pt>
                <c:pt idx="202">
                  <c:v>-348</c:v>
                </c:pt>
                <c:pt idx="203">
                  <c:v>18.542056074766357</c:v>
                </c:pt>
                <c:pt idx="204">
                  <c:v>260</c:v>
                </c:pt>
                <c:pt idx="205">
                  <c:v>90</c:v>
                </c:pt>
                <c:pt idx="206">
                  <c:v>90</c:v>
                </c:pt>
                <c:pt idx="207">
                  <c:v>-5.3619631901840483</c:v>
                </c:pt>
                <c:pt idx="208">
                  <c:v>90</c:v>
                </c:pt>
                <c:pt idx="209">
                  <c:v>0</c:v>
                </c:pt>
                <c:pt idx="210">
                  <c:v>165</c:v>
                </c:pt>
                <c:pt idx="211">
                  <c:v>202</c:v>
                </c:pt>
                <c:pt idx="212">
                  <c:v>-76</c:v>
                </c:pt>
                <c:pt idx="213">
                  <c:v>25</c:v>
                </c:pt>
                <c:pt idx="214">
                  <c:v>147</c:v>
                </c:pt>
                <c:pt idx="215">
                  <c:v>69</c:v>
                </c:pt>
                <c:pt idx="216">
                  <c:v>62</c:v>
                </c:pt>
                <c:pt idx="217">
                  <c:v>65</c:v>
                </c:pt>
                <c:pt idx="218">
                  <c:v>-31</c:v>
                </c:pt>
                <c:pt idx="219">
                  <c:v>4</c:v>
                </c:pt>
                <c:pt idx="220">
                  <c:v>-195</c:v>
                </c:pt>
                <c:pt idx="221">
                  <c:v>204</c:v>
                </c:pt>
                <c:pt idx="222">
                  <c:v>55</c:v>
                </c:pt>
                <c:pt idx="223">
                  <c:v>4</c:v>
                </c:pt>
                <c:pt idx="224">
                  <c:v>22</c:v>
                </c:pt>
                <c:pt idx="225">
                  <c:v>-36</c:v>
                </c:pt>
                <c:pt idx="226">
                  <c:v>-66.88</c:v>
                </c:pt>
                <c:pt idx="227">
                  <c:v>-8</c:v>
                </c:pt>
                <c:pt idx="228">
                  <c:v>-62</c:v>
                </c:pt>
                <c:pt idx="229">
                  <c:v>59</c:v>
                </c:pt>
                <c:pt idx="230">
                  <c:v>-17</c:v>
                </c:pt>
                <c:pt idx="231">
                  <c:v>-62</c:v>
                </c:pt>
                <c:pt idx="232">
                  <c:v>216</c:v>
                </c:pt>
                <c:pt idx="233">
                  <c:v>287</c:v>
                </c:pt>
                <c:pt idx="234">
                  <c:v>-253</c:v>
                </c:pt>
                <c:pt idx="235">
                  <c:v>48</c:v>
                </c:pt>
                <c:pt idx="236">
                  <c:v>-23.555555555555554</c:v>
                </c:pt>
                <c:pt idx="237">
                  <c:v>76</c:v>
                </c:pt>
                <c:pt idx="238">
                  <c:v>-5</c:v>
                </c:pt>
                <c:pt idx="239">
                  <c:v>0</c:v>
                </c:pt>
                <c:pt idx="240">
                  <c:v>85</c:v>
                </c:pt>
                <c:pt idx="241">
                  <c:v>60</c:v>
                </c:pt>
                <c:pt idx="242">
                  <c:v>18</c:v>
                </c:pt>
                <c:pt idx="243">
                  <c:v>4</c:v>
                </c:pt>
                <c:pt idx="244">
                  <c:v>177</c:v>
                </c:pt>
                <c:pt idx="245">
                  <c:v>163</c:v>
                </c:pt>
                <c:pt idx="246">
                  <c:v>87</c:v>
                </c:pt>
                <c:pt idx="247">
                  <c:v>-15</c:v>
                </c:pt>
                <c:pt idx="248">
                  <c:v>3</c:v>
                </c:pt>
                <c:pt idx="249">
                  <c:v>83</c:v>
                </c:pt>
                <c:pt idx="250">
                  <c:v>9</c:v>
                </c:pt>
                <c:pt idx="251">
                  <c:v>11</c:v>
                </c:pt>
                <c:pt idx="252">
                  <c:v>6</c:v>
                </c:pt>
                <c:pt idx="253">
                  <c:v>-91</c:v>
                </c:pt>
                <c:pt idx="254">
                  <c:v>629</c:v>
                </c:pt>
                <c:pt idx="255">
                  <c:v>102</c:v>
                </c:pt>
                <c:pt idx="256">
                  <c:v>18</c:v>
                </c:pt>
                <c:pt idx="257">
                  <c:v>13</c:v>
                </c:pt>
                <c:pt idx="258">
                  <c:v>55</c:v>
                </c:pt>
                <c:pt idx="259">
                  <c:v>126</c:v>
                </c:pt>
                <c:pt idx="260">
                  <c:v>11</c:v>
                </c:pt>
                <c:pt idx="261">
                  <c:v>202.19400711020822</c:v>
                </c:pt>
                <c:pt idx="262">
                  <c:v>-3</c:v>
                </c:pt>
                <c:pt idx="263">
                  <c:v>50</c:v>
                </c:pt>
                <c:pt idx="264">
                  <c:v>35</c:v>
                </c:pt>
                <c:pt idx="265">
                  <c:v>-15.120000000000001</c:v>
                </c:pt>
                <c:pt idx="266">
                  <c:v>24</c:v>
                </c:pt>
                <c:pt idx="267">
                  <c:v>-180</c:v>
                </c:pt>
                <c:pt idx="268">
                  <c:v>284</c:v>
                </c:pt>
                <c:pt idx="269">
                  <c:v>94</c:v>
                </c:pt>
                <c:pt idx="270">
                  <c:v>0</c:v>
                </c:pt>
                <c:pt idx="271">
                  <c:v>237</c:v>
                </c:pt>
                <c:pt idx="272">
                  <c:v>-303</c:v>
                </c:pt>
                <c:pt idx="273">
                  <c:v>278</c:v>
                </c:pt>
                <c:pt idx="274">
                  <c:v>13.389999999999999</c:v>
                </c:pt>
                <c:pt idx="275">
                  <c:v>20.041666666666668</c:v>
                </c:pt>
                <c:pt idx="276">
                  <c:v>-27</c:v>
                </c:pt>
                <c:pt idx="277">
                  <c:v>58</c:v>
                </c:pt>
                <c:pt idx="278">
                  <c:v>-13.054054054054054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50-404B-8053-772F82772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838128"/>
        <c:axId val="1936011520"/>
      </c:scatterChart>
      <c:valAx>
        <c:axId val="1783838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36011520"/>
        <c:crosses val="autoZero"/>
        <c:crossBetween val="midCat"/>
      </c:valAx>
      <c:valAx>
        <c:axId val="193601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3838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1,3,4,5'!$DE$28:$DE$306</c:f>
              <c:numCache>
                <c:formatCode>General</c:formatCode>
                <c:ptCount val="279"/>
                <c:pt idx="0">
                  <c:v>-17.24006044322104</c:v>
                </c:pt>
                <c:pt idx="1">
                  <c:v>-86.347028276587423</c:v>
                </c:pt>
                <c:pt idx="2">
                  <c:v>-56.145817223701101</c:v>
                </c:pt>
                <c:pt idx="3">
                  <c:v>230.8541827762989</c:v>
                </c:pt>
                <c:pt idx="4">
                  <c:v>-16.486384943915326</c:v>
                </c:pt>
                <c:pt idx="5">
                  <c:v>-149.08988297414743</c:v>
                </c:pt>
                <c:pt idx="6">
                  <c:v>252.43298079224815</c:v>
                </c:pt>
                <c:pt idx="7">
                  <c:v>-60.045817223701107</c:v>
                </c:pt>
                <c:pt idx="8">
                  <c:v>-15.690863107295627</c:v>
                </c:pt>
                <c:pt idx="9">
                  <c:v>-38.683174287616993</c:v>
                </c:pt>
                <c:pt idx="10">
                  <c:v>550.8541827762989</c:v>
                </c:pt>
                <c:pt idx="11">
                  <c:v>-48.18327170990694</c:v>
                </c:pt>
                <c:pt idx="12">
                  <c:v>550.8541827762989</c:v>
                </c:pt>
                <c:pt idx="13">
                  <c:v>-37.818993587597156</c:v>
                </c:pt>
                <c:pt idx="14">
                  <c:v>-750.1458172237011</c:v>
                </c:pt>
                <c:pt idx="15">
                  <c:v>7.8541827762988987</c:v>
                </c:pt>
                <c:pt idx="16">
                  <c:v>-120.1458172237011</c:v>
                </c:pt>
                <c:pt idx="17">
                  <c:v>-32.367918308756543</c:v>
                </c:pt>
                <c:pt idx="18">
                  <c:v>-413.46080058779552</c:v>
                </c:pt>
                <c:pt idx="19">
                  <c:v>-77.198484362760809</c:v>
                </c:pt>
                <c:pt idx="20">
                  <c:v>-2.6993011403842999</c:v>
                </c:pt>
                <c:pt idx="21">
                  <c:v>-34.90551581718934</c:v>
                </c:pt>
                <c:pt idx="22">
                  <c:v>-154.1458172237011</c:v>
                </c:pt>
                <c:pt idx="23">
                  <c:v>33.931414801214594</c:v>
                </c:pt>
                <c:pt idx="24">
                  <c:v>57.979795359516515</c:v>
                </c:pt>
                <c:pt idx="25">
                  <c:v>-324.19936870459776</c:v>
                </c:pt>
                <c:pt idx="26">
                  <c:v>-100.55415946547853</c:v>
                </c:pt>
                <c:pt idx="27">
                  <c:v>53.834653684610743</c:v>
                </c:pt>
                <c:pt idx="28">
                  <c:v>-31.673851912691376</c:v>
                </c:pt>
                <c:pt idx="29">
                  <c:v>-42.182357509993501</c:v>
                </c:pt>
                <c:pt idx="30">
                  <c:v>47.772664170625426</c:v>
                </c:pt>
                <c:pt idx="31">
                  <c:v>-246.46168492963244</c:v>
                </c:pt>
                <c:pt idx="32">
                  <c:v>15.480612137140007</c:v>
                </c:pt>
                <c:pt idx="33">
                  <c:v>-17.145817223701101</c:v>
                </c:pt>
                <c:pt idx="34">
                  <c:v>-451.48461626024147</c:v>
                </c:pt>
                <c:pt idx="35">
                  <c:v>58.854182776298899</c:v>
                </c:pt>
                <c:pt idx="36">
                  <c:v>-844.79442870174114</c:v>
                </c:pt>
                <c:pt idx="37">
                  <c:v>-67.841924918206161</c:v>
                </c:pt>
                <c:pt idx="38">
                  <c:v>-338.1458172237011</c:v>
                </c:pt>
                <c:pt idx="39">
                  <c:v>0.60459116511064082</c:v>
                </c:pt>
                <c:pt idx="40">
                  <c:v>-110.87303870835572</c:v>
                </c:pt>
                <c:pt idx="41">
                  <c:v>-6.2527850570674985</c:v>
                </c:pt>
                <c:pt idx="42">
                  <c:v>-206.37764842687506</c:v>
                </c:pt>
                <c:pt idx="43">
                  <c:v>-35.145817223701101</c:v>
                </c:pt>
                <c:pt idx="44">
                  <c:v>-65.65432282100322</c:v>
                </c:pt>
                <c:pt idx="45">
                  <c:v>-38.476043098725896</c:v>
                </c:pt>
                <c:pt idx="46">
                  <c:v>62.497623331744251</c:v>
                </c:pt>
                <c:pt idx="47">
                  <c:v>514.31253913162527</c:v>
                </c:pt>
                <c:pt idx="48">
                  <c:v>-44.89710995434978</c:v>
                </c:pt>
                <c:pt idx="49">
                  <c:v>-4.1458172237011013</c:v>
                </c:pt>
                <c:pt idx="50">
                  <c:v>108.07640499852113</c:v>
                </c:pt>
                <c:pt idx="51">
                  <c:v>60.125821376259225</c:v>
                </c:pt>
                <c:pt idx="52">
                  <c:v>18.854182776298899</c:v>
                </c:pt>
                <c:pt idx="53">
                  <c:v>-30.145817223701101</c:v>
                </c:pt>
                <c:pt idx="54">
                  <c:v>-320.91323680711707</c:v>
                </c:pt>
                <c:pt idx="55">
                  <c:v>17.497623331744251</c:v>
                </c:pt>
                <c:pt idx="56">
                  <c:v>-36.145817223701101</c:v>
                </c:pt>
                <c:pt idx="57">
                  <c:v>-113.190181458099</c:v>
                </c:pt>
                <c:pt idx="58">
                  <c:v>9.8117223540017378</c:v>
                </c:pt>
                <c:pt idx="59">
                  <c:v>-44.770613029295227</c:v>
                </c:pt>
                <c:pt idx="60">
                  <c:v>20.109694523491918</c:v>
                </c:pt>
                <c:pt idx="61">
                  <c:v>-57.388604357047662</c:v>
                </c:pt>
                <c:pt idx="62">
                  <c:v>-306.1458172237011</c:v>
                </c:pt>
                <c:pt idx="63">
                  <c:v>-9.9259614209635458</c:v>
                </c:pt>
                <c:pt idx="64">
                  <c:v>-72.476043098725896</c:v>
                </c:pt>
                <c:pt idx="65">
                  <c:v>-58.252785057067499</c:v>
                </c:pt>
                <c:pt idx="66">
                  <c:v>-104.00999792372093</c:v>
                </c:pt>
                <c:pt idx="67">
                  <c:v>-22.609344501622147</c:v>
                </c:pt>
                <c:pt idx="68">
                  <c:v>59.312539131625229</c:v>
                </c:pt>
                <c:pt idx="69">
                  <c:v>1826.6402471095662</c:v>
                </c:pt>
                <c:pt idx="70">
                  <c:v>-25.579608693171444</c:v>
                </c:pt>
                <c:pt idx="71">
                  <c:v>-53.396293176726289</c:v>
                </c:pt>
                <c:pt idx="72">
                  <c:v>47.70475452063534</c:v>
                </c:pt>
                <c:pt idx="73">
                  <c:v>78.556210606808719</c:v>
                </c:pt>
                <c:pt idx="74">
                  <c:v>-25.145817223701101</c:v>
                </c:pt>
                <c:pt idx="75">
                  <c:v>-44.324483578143784</c:v>
                </c:pt>
                <c:pt idx="76">
                  <c:v>-66.809671212671546</c:v>
                </c:pt>
                <c:pt idx="77">
                  <c:v>17.779468648467123</c:v>
                </c:pt>
                <c:pt idx="78">
                  <c:v>-39.201002259844721</c:v>
                </c:pt>
                <c:pt idx="79">
                  <c:v>-151.63822520105956</c:v>
                </c:pt>
                <c:pt idx="80">
                  <c:v>11.354115212085446</c:v>
                </c:pt>
                <c:pt idx="81">
                  <c:v>14.887934908653619</c:v>
                </c:pt>
                <c:pt idx="82">
                  <c:v>96.047705009506601</c:v>
                </c:pt>
                <c:pt idx="83">
                  <c:v>-20.188277645998262</c:v>
                </c:pt>
                <c:pt idx="84">
                  <c:v>-55.046538210013338</c:v>
                </c:pt>
                <c:pt idx="85">
                  <c:v>438.8541827762989</c:v>
                </c:pt>
                <c:pt idx="86">
                  <c:v>-276.74176156268146</c:v>
                </c:pt>
                <c:pt idx="87">
                  <c:v>-225.25155688710117</c:v>
                </c:pt>
                <c:pt idx="88">
                  <c:v>-23.142181497480113</c:v>
                </c:pt>
                <c:pt idx="89">
                  <c:v>-36.037483890367767</c:v>
                </c:pt>
                <c:pt idx="90">
                  <c:v>-27.145817223701101</c:v>
                </c:pt>
                <c:pt idx="91">
                  <c:v>-56.458282690711599</c:v>
                </c:pt>
                <c:pt idx="92">
                  <c:v>-179.19069961385321</c:v>
                </c:pt>
                <c:pt idx="93">
                  <c:v>-61.984548696028021</c:v>
                </c:pt>
                <c:pt idx="94">
                  <c:v>-85.784221984978615</c:v>
                </c:pt>
                <c:pt idx="95">
                  <c:v>187.8541827762989</c:v>
                </c:pt>
                <c:pt idx="96">
                  <c:v>-203.03496819485758</c:v>
                </c:pt>
                <c:pt idx="97">
                  <c:v>-429.237677674564</c:v>
                </c:pt>
                <c:pt idx="98">
                  <c:v>-106.03898451876159</c:v>
                </c:pt>
                <c:pt idx="99">
                  <c:v>137.15276903077222</c:v>
                </c:pt>
                <c:pt idx="100">
                  <c:v>-35.743599781445596</c:v>
                </c:pt>
                <c:pt idx="101">
                  <c:v>-306.29612982120159</c:v>
                </c:pt>
                <c:pt idx="102">
                  <c:v>-38.683174287616993</c:v>
                </c:pt>
                <c:pt idx="103">
                  <c:v>1087.41345170056</c:v>
                </c:pt>
                <c:pt idx="104">
                  <c:v>-32.511255200188451</c:v>
                </c:pt>
                <c:pt idx="105">
                  <c:v>1087.41345170056</c:v>
                </c:pt>
                <c:pt idx="106">
                  <c:v>-42.818993587597156</c:v>
                </c:pt>
                <c:pt idx="107">
                  <c:v>-309.97359276585541</c:v>
                </c:pt>
                <c:pt idx="108">
                  <c:v>-99.145817223701101</c:v>
                </c:pt>
                <c:pt idx="109">
                  <c:v>-465.77578395188993</c:v>
                </c:pt>
                <c:pt idx="110">
                  <c:v>-12.553318061646394</c:v>
                </c:pt>
                <c:pt idx="111">
                  <c:v>121.99163563152604</c:v>
                </c:pt>
                <c:pt idx="112">
                  <c:v>-34.055860584938948</c:v>
                </c:pt>
                <c:pt idx="113">
                  <c:v>16.782870887387972</c:v>
                </c:pt>
                <c:pt idx="114">
                  <c:v>-38.643889595651352</c:v>
                </c:pt>
                <c:pt idx="115">
                  <c:v>51.854182776298899</c:v>
                </c:pt>
                <c:pt idx="116">
                  <c:v>-35.259589534909196</c:v>
                </c:pt>
                <c:pt idx="117">
                  <c:v>-20.145817223701101</c:v>
                </c:pt>
                <c:pt idx="118">
                  <c:v>-169.61451542421685</c:v>
                </c:pt>
                <c:pt idx="119">
                  <c:v>-115.31477457105282</c:v>
                </c:pt>
                <c:pt idx="120">
                  <c:v>-118.80967121267155</c:v>
                </c:pt>
                <c:pt idx="121">
                  <c:v>-40.386086459963742</c:v>
                </c:pt>
                <c:pt idx="122">
                  <c:v>-26.464202826716374</c:v>
                </c:pt>
                <c:pt idx="123">
                  <c:v>21.319343609466927</c:v>
                </c:pt>
                <c:pt idx="124">
                  <c:v>-426.87948467476235</c:v>
                </c:pt>
                <c:pt idx="125">
                  <c:v>90.41862262315469</c:v>
                </c:pt>
                <c:pt idx="126">
                  <c:v>-42.706105618225997</c:v>
                </c:pt>
                <c:pt idx="127">
                  <c:v>-121.40398199640492</c:v>
                </c:pt>
                <c:pt idx="128">
                  <c:v>-0.54735498763682955</c:v>
                </c:pt>
                <c:pt idx="129">
                  <c:v>-356.11696575708731</c:v>
                </c:pt>
                <c:pt idx="130">
                  <c:v>0.67590305402157469</c:v>
                </c:pt>
                <c:pt idx="131">
                  <c:v>-81.145817223701101</c:v>
                </c:pt>
                <c:pt idx="132">
                  <c:v>-87.198484362760809</c:v>
                </c:pt>
                <c:pt idx="133">
                  <c:v>193.9816124045457</c:v>
                </c:pt>
                <c:pt idx="134">
                  <c:v>-34.145817223701101</c:v>
                </c:pt>
                <c:pt idx="135">
                  <c:v>202.97802667584264</c:v>
                </c:pt>
                <c:pt idx="136">
                  <c:v>-141.50577890717659</c:v>
                </c:pt>
                <c:pt idx="137">
                  <c:v>-48.330901423820123</c:v>
                </c:pt>
                <c:pt idx="138">
                  <c:v>26.675903054021575</c:v>
                </c:pt>
                <c:pt idx="139">
                  <c:v>-137.13309260985466</c:v>
                </c:pt>
                <c:pt idx="140">
                  <c:v>653.36091968992719</c:v>
                </c:pt>
                <c:pt idx="141">
                  <c:v>-45.984548696028021</c:v>
                </c:pt>
                <c:pt idx="142">
                  <c:v>11.854182776298899</c:v>
                </c:pt>
                <c:pt idx="143">
                  <c:v>157.40102870700929</c:v>
                </c:pt>
                <c:pt idx="144">
                  <c:v>-53.734957084839763</c:v>
                </c:pt>
                <c:pt idx="145">
                  <c:v>-46.145817223701101</c:v>
                </c:pt>
                <c:pt idx="146">
                  <c:v>-36.145817223701101</c:v>
                </c:pt>
                <c:pt idx="147">
                  <c:v>-10.19508212383996</c:v>
                </c:pt>
                <c:pt idx="148">
                  <c:v>2.2675608122441488</c:v>
                </c:pt>
                <c:pt idx="149">
                  <c:v>-45.932765898805243</c:v>
                </c:pt>
                <c:pt idx="150">
                  <c:v>-143.82518398045568</c:v>
                </c:pt>
                <c:pt idx="151">
                  <c:v>81.854182776298899</c:v>
                </c:pt>
                <c:pt idx="152">
                  <c:v>48.899161095679972</c:v>
                </c:pt>
                <c:pt idx="153">
                  <c:v>101.27436529008585</c:v>
                </c:pt>
                <c:pt idx="154">
                  <c:v>77.29389438177401</c:v>
                </c:pt>
                <c:pt idx="155">
                  <c:v>22.623235914961867</c:v>
                </c:pt>
                <c:pt idx="156">
                  <c:v>-121.4599162459586</c:v>
                </c:pt>
                <c:pt idx="157">
                  <c:v>-17.993871070953631</c:v>
                </c:pt>
                <c:pt idx="158">
                  <c:v>20.675903054021575</c:v>
                </c:pt>
                <c:pt idx="159">
                  <c:v>-23.421742404419206</c:v>
                </c:pt>
                <c:pt idx="160">
                  <c:v>-75.350430515508279</c:v>
                </c:pt>
                <c:pt idx="161">
                  <c:v>-48.471007304558071</c:v>
                </c:pt>
                <c:pt idx="162">
                  <c:v>1479.2904921428531</c:v>
                </c:pt>
                <c:pt idx="163">
                  <c:v>-24.6993011403843</c:v>
                </c:pt>
                <c:pt idx="164">
                  <c:v>-22.040618074008577</c:v>
                </c:pt>
                <c:pt idx="165">
                  <c:v>-44.311372332131967</c:v>
                </c:pt>
                <c:pt idx="166">
                  <c:v>17.840573820615504</c:v>
                </c:pt>
                <c:pt idx="167">
                  <c:v>-9.1458172237011013</c:v>
                </c:pt>
                <c:pt idx="168">
                  <c:v>-131.19354513905483</c:v>
                </c:pt>
                <c:pt idx="169">
                  <c:v>-11.825798065438853</c:v>
                </c:pt>
                <c:pt idx="170">
                  <c:v>-64.586413171013135</c:v>
                </c:pt>
                <c:pt idx="171">
                  <c:v>-24.14921946262195</c:v>
                </c:pt>
                <c:pt idx="172">
                  <c:v>-68.586517700466814</c:v>
                </c:pt>
                <c:pt idx="173">
                  <c:v>28.02048709813981</c:v>
                </c:pt>
                <c:pt idx="174">
                  <c:v>-686.41003726083659</c:v>
                </c:pt>
                <c:pt idx="175">
                  <c:v>362.27940108425366</c:v>
                </c:pt>
                <c:pt idx="176">
                  <c:v>-89.023606879404326</c:v>
                </c:pt>
                <c:pt idx="177">
                  <c:v>-53.803751076666778</c:v>
                </c:pt>
                <c:pt idx="178">
                  <c:v>425.8541827762989</c:v>
                </c:pt>
                <c:pt idx="179">
                  <c:v>-521.29864771828557</c:v>
                </c:pt>
                <c:pt idx="180">
                  <c:v>-100.14309062691467</c:v>
                </c:pt>
                <c:pt idx="181">
                  <c:v>-38.119223516474754</c:v>
                </c:pt>
                <c:pt idx="182">
                  <c:v>-21.260105088239882</c:v>
                </c:pt>
                <c:pt idx="183">
                  <c:v>-3.2918432404438107</c:v>
                </c:pt>
                <c:pt idx="184">
                  <c:v>73.03661395090711</c:v>
                </c:pt>
                <c:pt idx="185">
                  <c:v>-126.37769290172295</c:v>
                </c:pt>
                <c:pt idx="186">
                  <c:v>-18.948892751572558</c:v>
                </c:pt>
                <c:pt idx="187">
                  <c:v>216.05614304259527</c:v>
                </c:pt>
                <c:pt idx="188">
                  <c:v>764.21741157026838</c:v>
                </c:pt>
                <c:pt idx="189">
                  <c:v>-39.407654492179546</c:v>
                </c:pt>
                <c:pt idx="190">
                  <c:v>434.33356665013349</c:v>
                </c:pt>
                <c:pt idx="191">
                  <c:v>-111.10866285242554</c:v>
                </c:pt>
                <c:pt idx="192">
                  <c:v>-130.39227685282228</c:v>
                </c:pt>
                <c:pt idx="193">
                  <c:v>-48.9976850768969</c:v>
                </c:pt>
                <c:pt idx="194">
                  <c:v>-17.849613737884795</c:v>
                </c:pt>
                <c:pt idx="195">
                  <c:v>-40.54735498763683</c:v>
                </c:pt>
                <c:pt idx="196">
                  <c:v>1569.5390642837776</c:v>
                </c:pt>
                <c:pt idx="197">
                  <c:v>-0.45534633858450491</c:v>
                </c:pt>
                <c:pt idx="198">
                  <c:v>1569.5390642837776</c:v>
                </c:pt>
                <c:pt idx="199">
                  <c:v>-34.663645195928837</c:v>
                </c:pt>
                <c:pt idx="200">
                  <c:v>-273.07123822429622</c:v>
                </c:pt>
                <c:pt idx="201">
                  <c:v>16.854182776298899</c:v>
                </c:pt>
                <c:pt idx="202">
                  <c:v>-422.5168699657761</c:v>
                </c:pt>
                <c:pt idx="203">
                  <c:v>-33.167637398321546</c:v>
                </c:pt>
                <c:pt idx="204">
                  <c:v>191.59350010651116</c:v>
                </c:pt>
                <c:pt idx="205">
                  <c:v>23.198766820417134</c:v>
                </c:pt>
                <c:pt idx="206">
                  <c:v>46.397459976219551</c:v>
                </c:pt>
                <c:pt idx="207">
                  <c:v>-42.730076808453369</c:v>
                </c:pt>
                <c:pt idx="208">
                  <c:v>47.433115920675014</c:v>
                </c:pt>
                <c:pt idx="209">
                  <c:v>-49.453996109953827</c:v>
                </c:pt>
                <c:pt idx="210">
                  <c:v>128.8541827762989</c:v>
                </c:pt>
                <c:pt idx="211">
                  <c:v>111.68937688127808</c:v>
                </c:pt>
                <c:pt idx="212">
                  <c:v>-121.2595895349092</c:v>
                </c:pt>
                <c:pt idx="213">
                  <c:v>-27.09491876831526</c:v>
                </c:pt>
                <c:pt idx="214">
                  <c:v>101.37793088453139</c:v>
                </c:pt>
                <c:pt idx="215">
                  <c:v>-8.7274033935880198</c:v>
                </c:pt>
                <c:pt idx="216">
                  <c:v>11.35499955392239</c:v>
                </c:pt>
                <c:pt idx="217">
                  <c:v>-92.058648738876627</c:v>
                </c:pt>
                <c:pt idx="218">
                  <c:v>-105.62043556022162</c:v>
                </c:pt>
                <c:pt idx="219">
                  <c:v>-38.256187295988347</c:v>
                </c:pt>
                <c:pt idx="220">
                  <c:v>-283.65357360759316</c:v>
                </c:pt>
                <c:pt idx="221">
                  <c:v>149.73020374832828</c:v>
                </c:pt>
                <c:pt idx="222">
                  <c:v>9.533279276199714</c:v>
                </c:pt>
                <c:pt idx="223">
                  <c:v>-37.324096945978425</c:v>
                </c:pt>
                <c:pt idx="224">
                  <c:v>-14.145817223701101</c:v>
                </c:pt>
                <c:pt idx="225">
                  <c:v>-89.959099468335097</c:v>
                </c:pt>
                <c:pt idx="226">
                  <c:v>-179.42356710631964</c:v>
                </c:pt>
                <c:pt idx="227">
                  <c:v>-44.145817223701101</c:v>
                </c:pt>
                <c:pt idx="228">
                  <c:v>-132.426028985177</c:v>
                </c:pt>
                <c:pt idx="229">
                  <c:v>17.365206270684936</c:v>
                </c:pt>
                <c:pt idx="230">
                  <c:v>-68.473525201641991</c:v>
                </c:pt>
                <c:pt idx="231">
                  <c:v>-103.32409694597843</c:v>
                </c:pt>
                <c:pt idx="232">
                  <c:v>172.55280836788788</c:v>
                </c:pt>
                <c:pt idx="233">
                  <c:v>201.81587380633263</c:v>
                </c:pt>
                <c:pt idx="234">
                  <c:v>-306.49305429333015</c:v>
                </c:pt>
                <c:pt idx="235">
                  <c:v>8.9543461318235984</c:v>
                </c:pt>
                <c:pt idx="236">
                  <c:v>-61.893511195020722</c:v>
                </c:pt>
                <c:pt idx="237">
                  <c:v>33.433115920675014</c:v>
                </c:pt>
                <c:pt idx="238">
                  <c:v>-65.173035135067892</c:v>
                </c:pt>
                <c:pt idx="239">
                  <c:v>-36.145817223701101</c:v>
                </c:pt>
                <c:pt idx="240">
                  <c:v>41.086763192882913</c:v>
                </c:pt>
                <c:pt idx="241">
                  <c:v>1.8464939566202645</c:v>
                </c:pt>
                <c:pt idx="242">
                  <c:v>-30.107643382161726</c:v>
                </c:pt>
                <c:pt idx="243">
                  <c:v>-157.35662090836684</c:v>
                </c:pt>
                <c:pt idx="244">
                  <c:v>118.89827675384305</c:v>
                </c:pt>
                <c:pt idx="245">
                  <c:v>122.19373102624931</c:v>
                </c:pt>
                <c:pt idx="246">
                  <c:v>38.892356617838274</c:v>
                </c:pt>
                <c:pt idx="247">
                  <c:v>-58.498974429334901</c:v>
                </c:pt>
                <c:pt idx="248">
                  <c:v>-48.680656390533073</c:v>
                </c:pt>
                <c:pt idx="249">
                  <c:v>39.501025570665099</c:v>
                </c:pt>
                <c:pt idx="250">
                  <c:v>-31.184875407077413</c:v>
                </c:pt>
                <c:pt idx="251">
                  <c:v>-33.068585198785406</c:v>
                </c:pt>
                <c:pt idx="252">
                  <c:v>-43.920041284958785</c:v>
                </c:pt>
                <c:pt idx="253">
                  <c:v>-127.1458172237011</c:v>
                </c:pt>
                <c:pt idx="254">
                  <c:v>527.71142387005011</c:v>
                </c:pt>
                <c:pt idx="255">
                  <c:v>59.329550326229466</c:v>
                </c:pt>
                <c:pt idx="256">
                  <c:v>-22.184875407077413</c:v>
                </c:pt>
                <c:pt idx="257">
                  <c:v>-46.292727582280747</c:v>
                </c:pt>
                <c:pt idx="258">
                  <c:v>6.4780942400560946</c:v>
                </c:pt>
                <c:pt idx="259">
                  <c:v>78.306618995620468</c:v>
                </c:pt>
                <c:pt idx="260">
                  <c:v>-25.145817223701101</c:v>
                </c:pt>
                <c:pt idx="261">
                  <c:v>154.12420803744394</c:v>
                </c:pt>
                <c:pt idx="262">
                  <c:v>-50.020204640483485</c:v>
                </c:pt>
                <c:pt idx="263">
                  <c:v>5.6207180178779481</c:v>
                </c:pt>
                <c:pt idx="264">
                  <c:v>-3.6313914903942148</c:v>
                </c:pt>
                <c:pt idx="265">
                  <c:v>-85.254491836812775</c:v>
                </c:pt>
                <c:pt idx="266">
                  <c:v>-48.393775279642369</c:v>
                </c:pt>
                <c:pt idx="267">
                  <c:v>-339.02639503334206</c:v>
                </c:pt>
                <c:pt idx="268">
                  <c:v>207.10112136197637</c:v>
                </c:pt>
                <c:pt idx="269">
                  <c:v>36.830367103852964</c:v>
                </c:pt>
                <c:pt idx="270">
                  <c:v>-70.011766607394804</c:v>
                </c:pt>
                <c:pt idx="271">
                  <c:v>186.04430277058574</c:v>
                </c:pt>
                <c:pt idx="272">
                  <c:v>-350.07198743770624</c:v>
                </c:pt>
                <c:pt idx="273">
                  <c:v>-86.552317210529054</c:v>
                </c:pt>
                <c:pt idx="274">
                  <c:v>-29.884754917360297</c:v>
                </c:pt>
                <c:pt idx="275">
                  <c:v>-22.016882953254761</c:v>
                </c:pt>
                <c:pt idx="276">
                  <c:v>-63.145817223701101</c:v>
                </c:pt>
                <c:pt idx="277">
                  <c:v>-4.9175233878748728</c:v>
                </c:pt>
                <c:pt idx="278">
                  <c:v>-65.736777547600795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4A-2E48-B5D1-06991470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935760"/>
        <c:axId val="1971346880"/>
      </c:scatterChart>
      <c:valAx>
        <c:axId val="196493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71346880"/>
        <c:crosses val="autoZero"/>
        <c:crossBetween val="midCat"/>
      </c:valAx>
      <c:valAx>
        <c:axId val="1971346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6493576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2017 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1,3,4,5'!$CL$2:$CL$280</c:f>
              <c:numCache>
                <c:formatCode>General</c:formatCode>
                <c:ptCount val="279"/>
                <c:pt idx="0">
                  <c:v>26</c:v>
                </c:pt>
                <c:pt idx="1">
                  <c:v>-40</c:v>
                </c:pt>
                <c:pt idx="2">
                  <c:v>-20</c:v>
                </c:pt>
                <c:pt idx="3">
                  <c:v>267</c:v>
                </c:pt>
                <c:pt idx="4">
                  <c:v>92</c:v>
                </c:pt>
                <c:pt idx="5">
                  <c:v>-71</c:v>
                </c:pt>
                <c:pt idx="6">
                  <c:v>356</c:v>
                </c:pt>
                <c:pt idx="7">
                  <c:v>-23.900000000000002</c:v>
                </c:pt>
                <c:pt idx="8">
                  <c:v>45</c:v>
                </c:pt>
                <c:pt idx="9">
                  <c:v>0</c:v>
                </c:pt>
                <c:pt idx="10">
                  <c:v>587</c:v>
                </c:pt>
                <c:pt idx="11">
                  <c:v>-9.0681818181818183</c:v>
                </c:pt>
                <c:pt idx="12">
                  <c:v>587</c:v>
                </c:pt>
                <c:pt idx="13">
                  <c:v>-1</c:v>
                </c:pt>
                <c:pt idx="14">
                  <c:v>-714</c:v>
                </c:pt>
                <c:pt idx="15">
                  <c:v>44</c:v>
                </c:pt>
                <c:pt idx="16">
                  <c:v>-84</c:v>
                </c:pt>
                <c:pt idx="17">
                  <c:v>14.355140186915886</c:v>
                </c:pt>
                <c:pt idx="18">
                  <c:v>-358</c:v>
                </c:pt>
                <c:pt idx="19">
                  <c:v>-25</c:v>
                </c:pt>
                <c:pt idx="20">
                  <c:v>35</c:v>
                </c:pt>
                <c:pt idx="21">
                  <c:v>1.8650306748466259</c:v>
                </c:pt>
                <c:pt idx="22">
                  <c:v>-118</c:v>
                </c:pt>
                <c:pt idx="23">
                  <c:v>78</c:v>
                </c:pt>
                <c:pt idx="24">
                  <c:v>105</c:v>
                </c:pt>
                <c:pt idx="25">
                  <c:v>-256</c:v>
                </c:pt>
                <c:pt idx="26">
                  <c:v>-54</c:v>
                </c:pt>
                <c:pt idx="27">
                  <c:v>92</c:v>
                </c:pt>
                <c:pt idx="28">
                  <c:v>14</c:v>
                </c:pt>
                <c:pt idx="29">
                  <c:v>11</c:v>
                </c:pt>
                <c:pt idx="30">
                  <c:v>95</c:v>
                </c:pt>
                <c:pt idx="31">
                  <c:v>-175</c:v>
                </c:pt>
                <c:pt idx="32">
                  <c:v>77</c:v>
                </c:pt>
                <c:pt idx="33">
                  <c:v>19</c:v>
                </c:pt>
                <c:pt idx="34">
                  <c:v>-375</c:v>
                </c:pt>
                <c:pt idx="35">
                  <c:v>95</c:v>
                </c:pt>
                <c:pt idx="36">
                  <c:v>-784</c:v>
                </c:pt>
                <c:pt idx="37">
                  <c:v>-26</c:v>
                </c:pt>
                <c:pt idx="38">
                  <c:v>-302</c:v>
                </c:pt>
                <c:pt idx="39">
                  <c:v>44</c:v>
                </c:pt>
                <c:pt idx="40">
                  <c:v>-18.43</c:v>
                </c:pt>
                <c:pt idx="41">
                  <c:v>33</c:v>
                </c:pt>
                <c:pt idx="42">
                  <c:v>-133</c:v>
                </c:pt>
                <c:pt idx="43">
                  <c:v>1</c:v>
                </c:pt>
                <c:pt idx="44">
                  <c:v>-22</c:v>
                </c:pt>
                <c:pt idx="45">
                  <c:v>0</c:v>
                </c:pt>
                <c:pt idx="46">
                  <c:v>109</c:v>
                </c:pt>
                <c:pt idx="47">
                  <c:v>572</c:v>
                </c:pt>
                <c:pt idx="48">
                  <c:v>0</c:v>
                </c:pt>
                <c:pt idx="49">
                  <c:v>32</c:v>
                </c:pt>
                <c:pt idx="50">
                  <c:v>144.22222222222223</c:v>
                </c:pt>
                <c:pt idx="51">
                  <c:v>100</c:v>
                </c:pt>
                <c:pt idx="52">
                  <c:v>55</c:v>
                </c:pt>
                <c:pt idx="53">
                  <c:v>6</c:v>
                </c:pt>
                <c:pt idx="54">
                  <c:v>-277</c:v>
                </c:pt>
                <c:pt idx="55">
                  <c:v>64</c:v>
                </c:pt>
                <c:pt idx="56">
                  <c:v>0</c:v>
                </c:pt>
                <c:pt idx="57">
                  <c:v>23</c:v>
                </c:pt>
                <c:pt idx="58">
                  <c:v>53</c:v>
                </c:pt>
                <c:pt idx="59">
                  <c:v>-5</c:v>
                </c:pt>
                <c:pt idx="60">
                  <c:v>59</c:v>
                </c:pt>
                <c:pt idx="61">
                  <c:v>-20</c:v>
                </c:pt>
                <c:pt idx="62">
                  <c:v>-270</c:v>
                </c:pt>
                <c:pt idx="63">
                  <c:v>30</c:v>
                </c:pt>
                <c:pt idx="64">
                  <c:v>-34</c:v>
                </c:pt>
                <c:pt idx="65">
                  <c:v>-19</c:v>
                </c:pt>
                <c:pt idx="66">
                  <c:v>-66</c:v>
                </c:pt>
                <c:pt idx="67">
                  <c:v>27</c:v>
                </c:pt>
                <c:pt idx="68">
                  <c:v>117</c:v>
                </c:pt>
                <c:pt idx="69">
                  <c:v>1869</c:v>
                </c:pt>
                <c:pt idx="70">
                  <c:v>13</c:v>
                </c:pt>
                <c:pt idx="71">
                  <c:v>6</c:v>
                </c:pt>
                <c:pt idx="72">
                  <c:v>94</c:v>
                </c:pt>
                <c:pt idx="73">
                  <c:v>119</c:v>
                </c:pt>
                <c:pt idx="74">
                  <c:v>11</c:v>
                </c:pt>
                <c:pt idx="75">
                  <c:v>-2.4581005586592179</c:v>
                </c:pt>
                <c:pt idx="76">
                  <c:v>-23</c:v>
                </c:pt>
                <c:pt idx="77">
                  <c:v>59</c:v>
                </c:pt>
                <c:pt idx="78">
                  <c:v>0</c:v>
                </c:pt>
                <c:pt idx="79">
                  <c:v>-105.3</c:v>
                </c:pt>
                <c:pt idx="80">
                  <c:v>78</c:v>
                </c:pt>
                <c:pt idx="81">
                  <c:v>143</c:v>
                </c:pt>
                <c:pt idx="82">
                  <c:v>144</c:v>
                </c:pt>
                <c:pt idx="83">
                  <c:v>23</c:v>
                </c:pt>
                <c:pt idx="84">
                  <c:v>0</c:v>
                </c:pt>
                <c:pt idx="85">
                  <c:v>475</c:v>
                </c:pt>
                <c:pt idx="86">
                  <c:v>-232</c:v>
                </c:pt>
                <c:pt idx="87">
                  <c:v>26</c:v>
                </c:pt>
                <c:pt idx="88">
                  <c:v>15.73</c:v>
                </c:pt>
                <c:pt idx="89">
                  <c:v>0.10833333333333334</c:v>
                </c:pt>
                <c:pt idx="90">
                  <c:v>9</c:v>
                </c:pt>
                <c:pt idx="91">
                  <c:v>12</c:v>
                </c:pt>
                <c:pt idx="92">
                  <c:v>-130.16216216216216</c:v>
                </c:pt>
                <c:pt idx="93">
                  <c:v>-16</c:v>
                </c:pt>
                <c:pt idx="94">
                  <c:v>-34</c:v>
                </c:pt>
                <c:pt idx="95">
                  <c:v>224</c:v>
                </c:pt>
                <c:pt idx="96">
                  <c:v>-6</c:v>
                </c:pt>
                <c:pt idx="97">
                  <c:v>-312</c:v>
                </c:pt>
                <c:pt idx="98">
                  <c:v>-12</c:v>
                </c:pt>
                <c:pt idx="99">
                  <c:v>275</c:v>
                </c:pt>
                <c:pt idx="100">
                  <c:v>0.53749999999999998</c:v>
                </c:pt>
                <c:pt idx="101">
                  <c:v>-244</c:v>
                </c:pt>
                <c:pt idx="102">
                  <c:v>0</c:v>
                </c:pt>
                <c:pt idx="103">
                  <c:v>1193</c:v>
                </c:pt>
                <c:pt idx="104">
                  <c:v>6.954545454545455</c:v>
                </c:pt>
                <c:pt idx="105">
                  <c:v>1193</c:v>
                </c:pt>
                <c:pt idx="106">
                  <c:v>-6</c:v>
                </c:pt>
                <c:pt idx="107">
                  <c:v>-228</c:v>
                </c:pt>
                <c:pt idx="108">
                  <c:v>-63</c:v>
                </c:pt>
                <c:pt idx="109">
                  <c:v>-391</c:v>
                </c:pt>
                <c:pt idx="110">
                  <c:v>37.383177570093459</c:v>
                </c:pt>
                <c:pt idx="111">
                  <c:v>189</c:v>
                </c:pt>
                <c:pt idx="112">
                  <c:v>14</c:v>
                </c:pt>
                <c:pt idx="113">
                  <c:v>55</c:v>
                </c:pt>
                <c:pt idx="114">
                  <c:v>-1.6319018404907977</c:v>
                </c:pt>
                <c:pt idx="115">
                  <c:v>88</c:v>
                </c:pt>
                <c:pt idx="116">
                  <c:v>10</c:v>
                </c:pt>
                <c:pt idx="117">
                  <c:v>16</c:v>
                </c:pt>
                <c:pt idx="118">
                  <c:v>-85</c:v>
                </c:pt>
                <c:pt idx="119">
                  <c:v>-67</c:v>
                </c:pt>
                <c:pt idx="120">
                  <c:v>-75</c:v>
                </c:pt>
                <c:pt idx="121">
                  <c:v>10</c:v>
                </c:pt>
                <c:pt idx="122">
                  <c:v>32</c:v>
                </c:pt>
                <c:pt idx="123">
                  <c:v>73</c:v>
                </c:pt>
                <c:pt idx="124">
                  <c:v>-291</c:v>
                </c:pt>
                <c:pt idx="125">
                  <c:v>161</c:v>
                </c:pt>
                <c:pt idx="126">
                  <c:v>1</c:v>
                </c:pt>
                <c:pt idx="127">
                  <c:v>-40</c:v>
                </c:pt>
                <c:pt idx="128">
                  <c:v>40</c:v>
                </c:pt>
                <c:pt idx="129">
                  <c:v>-315</c:v>
                </c:pt>
                <c:pt idx="130">
                  <c:v>42</c:v>
                </c:pt>
                <c:pt idx="131">
                  <c:v>-45</c:v>
                </c:pt>
                <c:pt idx="132">
                  <c:v>-35</c:v>
                </c:pt>
                <c:pt idx="133">
                  <c:v>298.3</c:v>
                </c:pt>
                <c:pt idx="134">
                  <c:v>2</c:v>
                </c:pt>
                <c:pt idx="135">
                  <c:v>282</c:v>
                </c:pt>
                <c:pt idx="136">
                  <c:v>-92</c:v>
                </c:pt>
                <c:pt idx="137">
                  <c:v>-1</c:v>
                </c:pt>
                <c:pt idx="138">
                  <c:v>68</c:v>
                </c:pt>
                <c:pt idx="139">
                  <c:v>-97</c:v>
                </c:pt>
                <c:pt idx="140">
                  <c:v>714</c:v>
                </c:pt>
                <c:pt idx="141">
                  <c:v>0</c:v>
                </c:pt>
                <c:pt idx="142">
                  <c:v>48</c:v>
                </c:pt>
                <c:pt idx="143">
                  <c:v>208</c:v>
                </c:pt>
                <c:pt idx="144">
                  <c:v>-15</c:v>
                </c:pt>
                <c:pt idx="145">
                  <c:v>-10</c:v>
                </c:pt>
                <c:pt idx="146">
                  <c:v>0</c:v>
                </c:pt>
                <c:pt idx="147">
                  <c:v>39</c:v>
                </c:pt>
                <c:pt idx="148">
                  <c:v>54</c:v>
                </c:pt>
                <c:pt idx="149">
                  <c:v>0</c:v>
                </c:pt>
                <c:pt idx="150">
                  <c:v>5</c:v>
                </c:pt>
                <c:pt idx="151">
                  <c:v>118</c:v>
                </c:pt>
                <c:pt idx="152">
                  <c:v>91</c:v>
                </c:pt>
                <c:pt idx="153">
                  <c:v>147</c:v>
                </c:pt>
                <c:pt idx="154">
                  <c:v>121</c:v>
                </c:pt>
                <c:pt idx="155">
                  <c:v>80</c:v>
                </c:pt>
                <c:pt idx="156">
                  <c:v>-82</c:v>
                </c:pt>
                <c:pt idx="157">
                  <c:v>21</c:v>
                </c:pt>
                <c:pt idx="158">
                  <c:v>62</c:v>
                </c:pt>
                <c:pt idx="159">
                  <c:v>28</c:v>
                </c:pt>
                <c:pt idx="160">
                  <c:v>-26</c:v>
                </c:pt>
                <c:pt idx="161">
                  <c:v>16</c:v>
                </c:pt>
                <c:pt idx="162">
                  <c:v>1526</c:v>
                </c:pt>
                <c:pt idx="163">
                  <c:v>13</c:v>
                </c:pt>
                <c:pt idx="164">
                  <c:v>43</c:v>
                </c:pt>
                <c:pt idx="165">
                  <c:v>1</c:v>
                </c:pt>
                <c:pt idx="166">
                  <c:v>66</c:v>
                </c:pt>
                <c:pt idx="167">
                  <c:v>27</c:v>
                </c:pt>
                <c:pt idx="168">
                  <c:v>-84.530218384966986</c:v>
                </c:pt>
                <c:pt idx="169">
                  <c:v>31</c:v>
                </c:pt>
                <c:pt idx="170">
                  <c:v>-20</c:v>
                </c:pt>
                <c:pt idx="171">
                  <c:v>15</c:v>
                </c:pt>
                <c:pt idx="172">
                  <c:v>-7.4700000000000006</c:v>
                </c:pt>
                <c:pt idx="173">
                  <c:v>100</c:v>
                </c:pt>
                <c:pt idx="174">
                  <c:v>-554</c:v>
                </c:pt>
                <c:pt idx="175">
                  <c:v>434</c:v>
                </c:pt>
                <c:pt idx="176">
                  <c:v>-39</c:v>
                </c:pt>
                <c:pt idx="177">
                  <c:v>0</c:v>
                </c:pt>
                <c:pt idx="178">
                  <c:v>462</c:v>
                </c:pt>
                <c:pt idx="179">
                  <c:v>-472</c:v>
                </c:pt>
                <c:pt idx="180">
                  <c:v>238</c:v>
                </c:pt>
                <c:pt idx="181">
                  <c:v>2.86</c:v>
                </c:pt>
                <c:pt idx="182">
                  <c:v>17.225000000000001</c:v>
                </c:pt>
                <c:pt idx="183">
                  <c:v>40</c:v>
                </c:pt>
                <c:pt idx="184">
                  <c:v>146</c:v>
                </c:pt>
                <c:pt idx="185">
                  <c:v>-74.351351351351354</c:v>
                </c:pt>
                <c:pt idx="186">
                  <c:v>26</c:v>
                </c:pt>
                <c:pt idx="187">
                  <c:v>287</c:v>
                </c:pt>
                <c:pt idx="188">
                  <c:v>845</c:v>
                </c:pt>
                <c:pt idx="189">
                  <c:v>167</c:v>
                </c:pt>
                <c:pt idx="190">
                  <c:v>580</c:v>
                </c:pt>
                <c:pt idx="191">
                  <c:v>14</c:v>
                </c:pt>
                <c:pt idx="192">
                  <c:v>32</c:v>
                </c:pt>
                <c:pt idx="193">
                  <c:v>-12.725</c:v>
                </c:pt>
                <c:pt idx="194">
                  <c:v>46</c:v>
                </c:pt>
                <c:pt idx="195">
                  <c:v>0</c:v>
                </c:pt>
                <c:pt idx="196">
                  <c:v>1686</c:v>
                </c:pt>
                <c:pt idx="197">
                  <c:v>40.159090909090914</c:v>
                </c:pt>
                <c:pt idx="198">
                  <c:v>1686</c:v>
                </c:pt>
                <c:pt idx="199">
                  <c:v>2</c:v>
                </c:pt>
                <c:pt idx="200">
                  <c:v>-181</c:v>
                </c:pt>
                <c:pt idx="201">
                  <c:v>53</c:v>
                </c:pt>
                <c:pt idx="202">
                  <c:v>-348</c:v>
                </c:pt>
                <c:pt idx="203">
                  <c:v>18.542056074766357</c:v>
                </c:pt>
                <c:pt idx="204">
                  <c:v>260</c:v>
                </c:pt>
                <c:pt idx="205">
                  <c:v>90</c:v>
                </c:pt>
                <c:pt idx="206">
                  <c:v>90</c:v>
                </c:pt>
                <c:pt idx="207">
                  <c:v>-5.3619631901840483</c:v>
                </c:pt>
                <c:pt idx="208">
                  <c:v>90</c:v>
                </c:pt>
                <c:pt idx="209">
                  <c:v>0</c:v>
                </c:pt>
                <c:pt idx="210">
                  <c:v>165</c:v>
                </c:pt>
                <c:pt idx="211">
                  <c:v>202</c:v>
                </c:pt>
                <c:pt idx="212">
                  <c:v>-76</c:v>
                </c:pt>
                <c:pt idx="213">
                  <c:v>25</c:v>
                </c:pt>
                <c:pt idx="214">
                  <c:v>147</c:v>
                </c:pt>
                <c:pt idx="215">
                  <c:v>69</c:v>
                </c:pt>
                <c:pt idx="216">
                  <c:v>62</c:v>
                </c:pt>
                <c:pt idx="217">
                  <c:v>65</c:v>
                </c:pt>
                <c:pt idx="218">
                  <c:v>-31</c:v>
                </c:pt>
                <c:pt idx="219">
                  <c:v>4</c:v>
                </c:pt>
                <c:pt idx="220">
                  <c:v>-195</c:v>
                </c:pt>
                <c:pt idx="221">
                  <c:v>204</c:v>
                </c:pt>
                <c:pt idx="222">
                  <c:v>55</c:v>
                </c:pt>
                <c:pt idx="223">
                  <c:v>4</c:v>
                </c:pt>
                <c:pt idx="224">
                  <c:v>22</c:v>
                </c:pt>
                <c:pt idx="225">
                  <c:v>-36</c:v>
                </c:pt>
                <c:pt idx="226">
                  <c:v>-66.88</c:v>
                </c:pt>
                <c:pt idx="227">
                  <c:v>-8</c:v>
                </c:pt>
                <c:pt idx="228">
                  <c:v>-62</c:v>
                </c:pt>
                <c:pt idx="229">
                  <c:v>59</c:v>
                </c:pt>
                <c:pt idx="230">
                  <c:v>-17</c:v>
                </c:pt>
                <c:pt idx="231">
                  <c:v>-62</c:v>
                </c:pt>
                <c:pt idx="232">
                  <c:v>216</c:v>
                </c:pt>
                <c:pt idx="233">
                  <c:v>287</c:v>
                </c:pt>
                <c:pt idx="234">
                  <c:v>-253</c:v>
                </c:pt>
                <c:pt idx="235">
                  <c:v>48</c:v>
                </c:pt>
                <c:pt idx="236">
                  <c:v>-23.555555555555554</c:v>
                </c:pt>
                <c:pt idx="237">
                  <c:v>76</c:v>
                </c:pt>
                <c:pt idx="238">
                  <c:v>-5</c:v>
                </c:pt>
                <c:pt idx="239">
                  <c:v>0</c:v>
                </c:pt>
                <c:pt idx="240">
                  <c:v>85</c:v>
                </c:pt>
                <c:pt idx="241">
                  <c:v>60</c:v>
                </c:pt>
                <c:pt idx="242">
                  <c:v>18</c:v>
                </c:pt>
                <c:pt idx="243">
                  <c:v>4</c:v>
                </c:pt>
                <c:pt idx="244">
                  <c:v>177</c:v>
                </c:pt>
                <c:pt idx="245">
                  <c:v>163</c:v>
                </c:pt>
                <c:pt idx="246">
                  <c:v>87</c:v>
                </c:pt>
                <c:pt idx="247">
                  <c:v>-15</c:v>
                </c:pt>
                <c:pt idx="248">
                  <c:v>3</c:v>
                </c:pt>
                <c:pt idx="249">
                  <c:v>83</c:v>
                </c:pt>
                <c:pt idx="250">
                  <c:v>9</c:v>
                </c:pt>
                <c:pt idx="251">
                  <c:v>11</c:v>
                </c:pt>
                <c:pt idx="252">
                  <c:v>6</c:v>
                </c:pt>
                <c:pt idx="253">
                  <c:v>-91</c:v>
                </c:pt>
                <c:pt idx="254">
                  <c:v>629</c:v>
                </c:pt>
                <c:pt idx="255">
                  <c:v>102</c:v>
                </c:pt>
                <c:pt idx="256">
                  <c:v>18</c:v>
                </c:pt>
                <c:pt idx="257">
                  <c:v>13</c:v>
                </c:pt>
                <c:pt idx="258">
                  <c:v>55</c:v>
                </c:pt>
                <c:pt idx="259">
                  <c:v>126</c:v>
                </c:pt>
                <c:pt idx="260">
                  <c:v>11</c:v>
                </c:pt>
                <c:pt idx="261">
                  <c:v>202.19400711020822</c:v>
                </c:pt>
                <c:pt idx="262">
                  <c:v>-3</c:v>
                </c:pt>
                <c:pt idx="263">
                  <c:v>50</c:v>
                </c:pt>
                <c:pt idx="264">
                  <c:v>35</c:v>
                </c:pt>
                <c:pt idx="265">
                  <c:v>-15.120000000000001</c:v>
                </c:pt>
                <c:pt idx="266">
                  <c:v>24</c:v>
                </c:pt>
                <c:pt idx="267">
                  <c:v>-180</c:v>
                </c:pt>
                <c:pt idx="268">
                  <c:v>284</c:v>
                </c:pt>
                <c:pt idx="269">
                  <c:v>94</c:v>
                </c:pt>
                <c:pt idx="270">
                  <c:v>0</c:v>
                </c:pt>
                <c:pt idx="271">
                  <c:v>237</c:v>
                </c:pt>
                <c:pt idx="272">
                  <c:v>-303</c:v>
                </c:pt>
                <c:pt idx="273">
                  <c:v>278</c:v>
                </c:pt>
                <c:pt idx="274">
                  <c:v>13.389999999999999</c:v>
                </c:pt>
                <c:pt idx="275">
                  <c:v>20.041666666666668</c:v>
                </c:pt>
                <c:pt idx="276">
                  <c:v>-27</c:v>
                </c:pt>
                <c:pt idx="277">
                  <c:v>58</c:v>
                </c:pt>
                <c:pt idx="278">
                  <c:v>-13.054054054054054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F-CA46-8FE2-D339F5E1B03E}"/>
            </c:ext>
          </c:extLst>
        </c:ser>
        <c:ser>
          <c:idx val="1"/>
          <c:order val="1"/>
          <c:tx>
            <c:v>Predicted 2017 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1,3,4,5'!$DD$28:$DD$306</c:f>
              <c:numCache>
                <c:formatCode>General</c:formatCode>
                <c:ptCount val="279"/>
                <c:pt idx="0">
                  <c:v>43.24006044322104</c:v>
                </c:pt>
                <c:pt idx="1">
                  <c:v>46.34702827658743</c:v>
                </c:pt>
                <c:pt idx="2">
                  <c:v>36.145817223701101</c:v>
                </c:pt>
                <c:pt idx="3">
                  <c:v>36.145817223701101</c:v>
                </c:pt>
                <c:pt idx="4">
                  <c:v>108.48638494391533</c:v>
                </c:pt>
                <c:pt idx="5">
                  <c:v>78.089882974147429</c:v>
                </c:pt>
                <c:pt idx="6">
                  <c:v>103.56701920775187</c:v>
                </c:pt>
                <c:pt idx="7">
                  <c:v>36.145817223701101</c:v>
                </c:pt>
                <c:pt idx="8">
                  <c:v>60.690863107295627</c:v>
                </c:pt>
                <c:pt idx="9">
                  <c:v>38.683174287616993</c:v>
                </c:pt>
                <c:pt idx="10">
                  <c:v>36.145817223701101</c:v>
                </c:pt>
                <c:pt idx="11">
                  <c:v>39.11508989172512</c:v>
                </c:pt>
                <c:pt idx="12">
                  <c:v>36.145817223701101</c:v>
                </c:pt>
                <c:pt idx="13">
                  <c:v>36.818993587597156</c:v>
                </c:pt>
                <c:pt idx="14">
                  <c:v>36.145817223701101</c:v>
                </c:pt>
                <c:pt idx="15">
                  <c:v>36.145817223701101</c:v>
                </c:pt>
                <c:pt idx="16">
                  <c:v>36.145817223701101</c:v>
                </c:pt>
                <c:pt idx="17">
                  <c:v>46.723058495672433</c:v>
                </c:pt>
                <c:pt idx="18">
                  <c:v>55.460800587795525</c:v>
                </c:pt>
                <c:pt idx="19">
                  <c:v>52.198484362760809</c:v>
                </c:pt>
                <c:pt idx="20">
                  <c:v>37.6993011403843</c:v>
                </c:pt>
                <c:pt idx="21">
                  <c:v>36.770546492035969</c:v>
                </c:pt>
                <c:pt idx="22">
                  <c:v>36.145817223701101</c:v>
                </c:pt>
                <c:pt idx="23">
                  <c:v>44.068585198785406</c:v>
                </c:pt>
                <c:pt idx="24">
                  <c:v>47.020204640483485</c:v>
                </c:pt>
                <c:pt idx="25">
                  <c:v>68.199368704597745</c:v>
                </c:pt>
                <c:pt idx="26">
                  <c:v>46.554159465478527</c:v>
                </c:pt>
                <c:pt idx="27">
                  <c:v>38.165346315389257</c:v>
                </c:pt>
                <c:pt idx="28">
                  <c:v>45.673851912691376</c:v>
                </c:pt>
                <c:pt idx="29">
                  <c:v>53.182357509993501</c:v>
                </c:pt>
                <c:pt idx="30">
                  <c:v>47.227335829374574</c:v>
                </c:pt>
                <c:pt idx="31">
                  <c:v>71.461684929632455</c:v>
                </c:pt>
                <c:pt idx="32">
                  <c:v>61.519387862859993</c:v>
                </c:pt>
                <c:pt idx="33">
                  <c:v>36.145817223701101</c:v>
                </c:pt>
                <c:pt idx="34">
                  <c:v>76.484616260241467</c:v>
                </c:pt>
                <c:pt idx="35">
                  <c:v>36.145817223701101</c:v>
                </c:pt>
                <c:pt idx="36">
                  <c:v>60.794428701741168</c:v>
                </c:pt>
                <c:pt idx="37">
                  <c:v>41.841924918206161</c:v>
                </c:pt>
                <c:pt idx="38">
                  <c:v>36.145817223701101</c:v>
                </c:pt>
                <c:pt idx="39">
                  <c:v>43.395408834889359</c:v>
                </c:pt>
                <c:pt idx="40">
                  <c:v>92.443038708355729</c:v>
                </c:pt>
                <c:pt idx="41">
                  <c:v>39.252785057067499</c:v>
                </c:pt>
                <c:pt idx="42">
                  <c:v>73.377648426875069</c:v>
                </c:pt>
                <c:pt idx="43">
                  <c:v>36.145817223701101</c:v>
                </c:pt>
                <c:pt idx="44">
                  <c:v>43.65432282100322</c:v>
                </c:pt>
                <c:pt idx="45">
                  <c:v>38.476043098725896</c:v>
                </c:pt>
                <c:pt idx="46">
                  <c:v>46.502376668255749</c:v>
                </c:pt>
                <c:pt idx="47">
                  <c:v>57.687460868374771</c:v>
                </c:pt>
                <c:pt idx="48">
                  <c:v>44.89710995434978</c:v>
                </c:pt>
                <c:pt idx="49">
                  <c:v>36.145817223701101</c:v>
                </c:pt>
                <c:pt idx="50">
                  <c:v>36.145817223701101</c:v>
                </c:pt>
                <c:pt idx="51">
                  <c:v>39.874178623740775</c:v>
                </c:pt>
                <c:pt idx="52">
                  <c:v>36.145817223701101</c:v>
                </c:pt>
                <c:pt idx="53">
                  <c:v>36.145817223701101</c:v>
                </c:pt>
                <c:pt idx="54">
                  <c:v>43.913236807117087</c:v>
                </c:pt>
                <c:pt idx="55">
                  <c:v>46.502376668255749</c:v>
                </c:pt>
                <c:pt idx="56">
                  <c:v>36.145817223701101</c:v>
                </c:pt>
                <c:pt idx="57">
                  <c:v>136.190181458099</c:v>
                </c:pt>
                <c:pt idx="58">
                  <c:v>43.188277645998262</c:v>
                </c:pt>
                <c:pt idx="59">
                  <c:v>39.770613029295227</c:v>
                </c:pt>
                <c:pt idx="60">
                  <c:v>38.890305476508082</c:v>
                </c:pt>
                <c:pt idx="61">
                  <c:v>37.388604357047662</c:v>
                </c:pt>
                <c:pt idx="62">
                  <c:v>36.145817223701101</c:v>
                </c:pt>
                <c:pt idx="63">
                  <c:v>39.925961420963546</c:v>
                </c:pt>
                <c:pt idx="64">
                  <c:v>38.476043098725896</c:v>
                </c:pt>
                <c:pt idx="65">
                  <c:v>39.252785057067499</c:v>
                </c:pt>
                <c:pt idx="66">
                  <c:v>38.009997923720938</c:v>
                </c:pt>
                <c:pt idx="67">
                  <c:v>49.609344501622147</c:v>
                </c:pt>
                <c:pt idx="68">
                  <c:v>57.687460868374771</c:v>
                </c:pt>
                <c:pt idx="69">
                  <c:v>42.359752890433889</c:v>
                </c:pt>
                <c:pt idx="70">
                  <c:v>38.579608693171444</c:v>
                </c:pt>
                <c:pt idx="71">
                  <c:v>59.396293176726289</c:v>
                </c:pt>
                <c:pt idx="72">
                  <c:v>46.29524547936466</c:v>
                </c:pt>
                <c:pt idx="73">
                  <c:v>40.443789393191281</c:v>
                </c:pt>
                <c:pt idx="74">
                  <c:v>36.145817223701101</c:v>
                </c:pt>
                <c:pt idx="75">
                  <c:v>41.866383019484566</c:v>
                </c:pt>
                <c:pt idx="76">
                  <c:v>43.809671212671546</c:v>
                </c:pt>
                <c:pt idx="77">
                  <c:v>41.220531351532877</c:v>
                </c:pt>
                <c:pt idx="78">
                  <c:v>39.201002259844721</c:v>
                </c:pt>
                <c:pt idx="79">
                  <c:v>46.338225201059558</c:v>
                </c:pt>
                <c:pt idx="80">
                  <c:v>66.645884787914554</c:v>
                </c:pt>
                <c:pt idx="81">
                  <c:v>128.11206509134638</c:v>
                </c:pt>
                <c:pt idx="82">
                  <c:v>47.952294990493399</c:v>
                </c:pt>
                <c:pt idx="83">
                  <c:v>43.188277645998262</c:v>
                </c:pt>
                <c:pt idx="84">
                  <c:v>55.046538210013338</c:v>
                </c:pt>
                <c:pt idx="85">
                  <c:v>36.145817223701101</c:v>
                </c:pt>
                <c:pt idx="86">
                  <c:v>44.741761562681461</c:v>
                </c:pt>
                <c:pt idx="87">
                  <c:v>251.25155688710117</c:v>
                </c:pt>
                <c:pt idx="88">
                  <c:v>38.872181497480113</c:v>
                </c:pt>
                <c:pt idx="89">
                  <c:v>36.145817223701101</c:v>
                </c:pt>
                <c:pt idx="90">
                  <c:v>36.145817223701101</c:v>
                </c:pt>
                <c:pt idx="91">
                  <c:v>68.458282690711599</c:v>
                </c:pt>
                <c:pt idx="92">
                  <c:v>49.028537451691037</c:v>
                </c:pt>
                <c:pt idx="93">
                  <c:v>45.984548696028021</c:v>
                </c:pt>
                <c:pt idx="94">
                  <c:v>51.784221984978622</c:v>
                </c:pt>
                <c:pt idx="95">
                  <c:v>36.145817223701101</c:v>
                </c:pt>
                <c:pt idx="96">
                  <c:v>197.03496819485758</c:v>
                </c:pt>
                <c:pt idx="97">
                  <c:v>117.23767767456401</c:v>
                </c:pt>
                <c:pt idx="98">
                  <c:v>94.038984518761595</c:v>
                </c:pt>
                <c:pt idx="99">
                  <c:v>137.84723096922778</c:v>
                </c:pt>
                <c:pt idx="100">
                  <c:v>36.281099781445597</c:v>
                </c:pt>
                <c:pt idx="101">
                  <c:v>62.296129821201589</c:v>
                </c:pt>
                <c:pt idx="102">
                  <c:v>38.683174287616993</c:v>
                </c:pt>
                <c:pt idx="103">
                  <c:v>105.58654829944003</c:v>
                </c:pt>
                <c:pt idx="104">
                  <c:v>39.465800654733904</c:v>
                </c:pt>
                <c:pt idx="105">
                  <c:v>105.58654829944003</c:v>
                </c:pt>
                <c:pt idx="106">
                  <c:v>36.818993587597156</c:v>
                </c:pt>
                <c:pt idx="107">
                  <c:v>81.973592765855429</c:v>
                </c:pt>
                <c:pt idx="108">
                  <c:v>36.145817223701101</c:v>
                </c:pt>
                <c:pt idx="109">
                  <c:v>74.775783951889949</c:v>
                </c:pt>
                <c:pt idx="110">
                  <c:v>49.936495631739852</c:v>
                </c:pt>
                <c:pt idx="111">
                  <c:v>67.008364368473963</c:v>
                </c:pt>
                <c:pt idx="112">
                  <c:v>48.055860584938948</c:v>
                </c:pt>
                <c:pt idx="113">
                  <c:v>38.217129112612028</c:v>
                </c:pt>
                <c:pt idx="114">
                  <c:v>37.011987755160554</c:v>
                </c:pt>
                <c:pt idx="115">
                  <c:v>36.145817223701101</c:v>
                </c:pt>
                <c:pt idx="116">
                  <c:v>45.259589534909196</c:v>
                </c:pt>
                <c:pt idx="117">
                  <c:v>36.145817223701101</c:v>
                </c:pt>
                <c:pt idx="118">
                  <c:v>84.614515424216862</c:v>
                </c:pt>
                <c:pt idx="119">
                  <c:v>48.314774571052816</c:v>
                </c:pt>
                <c:pt idx="120">
                  <c:v>43.809671212671546</c:v>
                </c:pt>
                <c:pt idx="121">
                  <c:v>50.386086459963742</c:v>
                </c:pt>
                <c:pt idx="122">
                  <c:v>58.464202826716374</c:v>
                </c:pt>
                <c:pt idx="123">
                  <c:v>51.680656390533073</c:v>
                </c:pt>
                <c:pt idx="124">
                  <c:v>135.87948467476238</c:v>
                </c:pt>
                <c:pt idx="125">
                  <c:v>70.58137737684531</c:v>
                </c:pt>
                <c:pt idx="126">
                  <c:v>43.706105618225997</c:v>
                </c:pt>
                <c:pt idx="127">
                  <c:v>81.403981996404923</c:v>
                </c:pt>
                <c:pt idx="128">
                  <c:v>40.54735498763683</c:v>
                </c:pt>
                <c:pt idx="129">
                  <c:v>41.116965757087335</c:v>
                </c:pt>
                <c:pt idx="130">
                  <c:v>41.324096945978425</c:v>
                </c:pt>
                <c:pt idx="131">
                  <c:v>36.145817223701101</c:v>
                </c:pt>
                <c:pt idx="132">
                  <c:v>52.198484362760809</c:v>
                </c:pt>
                <c:pt idx="133">
                  <c:v>104.31838759545431</c:v>
                </c:pt>
                <c:pt idx="134">
                  <c:v>36.145817223701101</c:v>
                </c:pt>
                <c:pt idx="135">
                  <c:v>79.021973324157358</c:v>
                </c:pt>
                <c:pt idx="136">
                  <c:v>49.505778907176598</c:v>
                </c:pt>
                <c:pt idx="137">
                  <c:v>47.330901423820123</c:v>
                </c:pt>
                <c:pt idx="138">
                  <c:v>41.324096945978425</c:v>
                </c:pt>
                <c:pt idx="139">
                  <c:v>40.133092609854643</c:v>
                </c:pt>
                <c:pt idx="140">
                  <c:v>60.639080310072849</c:v>
                </c:pt>
                <c:pt idx="141">
                  <c:v>45.984548696028021</c:v>
                </c:pt>
                <c:pt idx="142">
                  <c:v>36.145817223701101</c:v>
                </c:pt>
                <c:pt idx="143">
                  <c:v>50.598971292990697</c:v>
                </c:pt>
                <c:pt idx="144">
                  <c:v>38.734957084839763</c:v>
                </c:pt>
                <c:pt idx="145">
                  <c:v>36.145817223701101</c:v>
                </c:pt>
                <c:pt idx="146">
                  <c:v>36.145817223701101</c:v>
                </c:pt>
                <c:pt idx="147">
                  <c:v>49.19508212383996</c:v>
                </c:pt>
                <c:pt idx="148">
                  <c:v>51.732439187755851</c:v>
                </c:pt>
                <c:pt idx="149">
                  <c:v>45.932765898805243</c:v>
                </c:pt>
                <c:pt idx="150">
                  <c:v>148.82518398045568</c:v>
                </c:pt>
                <c:pt idx="151">
                  <c:v>36.145817223701101</c:v>
                </c:pt>
                <c:pt idx="152">
                  <c:v>42.100838904320028</c:v>
                </c:pt>
                <c:pt idx="153">
                  <c:v>45.725634709914154</c:v>
                </c:pt>
                <c:pt idx="154">
                  <c:v>43.706105618225997</c:v>
                </c:pt>
                <c:pt idx="155">
                  <c:v>57.376764085038133</c:v>
                </c:pt>
                <c:pt idx="156">
                  <c:v>39.459916245958588</c:v>
                </c:pt>
                <c:pt idx="157">
                  <c:v>38.993871070953631</c:v>
                </c:pt>
                <c:pt idx="158">
                  <c:v>41.324096945978425</c:v>
                </c:pt>
                <c:pt idx="159">
                  <c:v>51.421742404419206</c:v>
                </c:pt>
                <c:pt idx="160">
                  <c:v>49.350430515508279</c:v>
                </c:pt>
                <c:pt idx="161">
                  <c:v>64.471007304558071</c:v>
                </c:pt>
                <c:pt idx="162">
                  <c:v>46.709507857146846</c:v>
                </c:pt>
                <c:pt idx="163">
                  <c:v>37.6993011403843</c:v>
                </c:pt>
                <c:pt idx="164">
                  <c:v>65.040618074008577</c:v>
                </c:pt>
                <c:pt idx="165">
                  <c:v>45.311372332131967</c:v>
                </c:pt>
                <c:pt idx="166">
                  <c:v>48.159426179384496</c:v>
                </c:pt>
                <c:pt idx="167">
                  <c:v>36.145817223701101</c:v>
                </c:pt>
                <c:pt idx="168">
                  <c:v>46.663326754087834</c:v>
                </c:pt>
                <c:pt idx="169">
                  <c:v>42.825798065438853</c:v>
                </c:pt>
                <c:pt idx="170">
                  <c:v>44.586413171013142</c:v>
                </c:pt>
                <c:pt idx="171">
                  <c:v>39.14921946262195</c:v>
                </c:pt>
                <c:pt idx="172">
                  <c:v>61.116517700466815</c:v>
                </c:pt>
                <c:pt idx="173">
                  <c:v>71.97951290186019</c:v>
                </c:pt>
                <c:pt idx="174">
                  <c:v>132.41003726083659</c:v>
                </c:pt>
                <c:pt idx="175">
                  <c:v>71.720598915746322</c:v>
                </c:pt>
                <c:pt idx="176">
                  <c:v>50.023606879404333</c:v>
                </c:pt>
                <c:pt idx="177">
                  <c:v>53.803751076666778</c:v>
                </c:pt>
                <c:pt idx="178">
                  <c:v>36.145817223701101</c:v>
                </c:pt>
                <c:pt idx="179">
                  <c:v>49.298647718285508</c:v>
                </c:pt>
                <c:pt idx="180">
                  <c:v>338.14309062691467</c:v>
                </c:pt>
                <c:pt idx="181">
                  <c:v>40.979223516474754</c:v>
                </c:pt>
                <c:pt idx="182">
                  <c:v>38.485105088239884</c:v>
                </c:pt>
                <c:pt idx="183">
                  <c:v>43.291843240443811</c:v>
                </c:pt>
                <c:pt idx="184">
                  <c:v>72.96338604909289</c:v>
                </c:pt>
                <c:pt idx="185">
                  <c:v>52.02634155037159</c:v>
                </c:pt>
                <c:pt idx="186">
                  <c:v>44.948892751572558</c:v>
                </c:pt>
                <c:pt idx="187">
                  <c:v>70.943856957404734</c:v>
                </c:pt>
                <c:pt idx="188">
                  <c:v>80.782588429731646</c:v>
                </c:pt>
                <c:pt idx="189">
                  <c:v>206.40765449217955</c:v>
                </c:pt>
                <c:pt idx="190">
                  <c:v>145.66643334986651</c:v>
                </c:pt>
                <c:pt idx="191">
                  <c:v>125.10866285242554</c:v>
                </c:pt>
                <c:pt idx="192">
                  <c:v>162.39227685282228</c:v>
                </c:pt>
                <c:pt idx="193">
                  <c:v>36.272685076896899</c:v>
                </c:pt>
                <c:pt idx="194">
                  <c:v>63.849613737884795</c:v>
                </c:pt>
                <c:pt idx="195">
                  <c:v>40.54735498763683</c:v>
                </c:pt>
                <c:pt idx="196">
                  <c:v>116.46093571622241</c:v>
                </c:pt>
                <c:pt idx="197">
                  <c:v>40.614437247675419</c:v>
                </c:pt>
                <c:pt idx="198">
                  <c:v>116.46093571622241</c:v>
                </c:pt>
                <c:pt idx="199">
                  <c:v>36.663645195928837</c:v>
                </c:pt>
                <c:pt idx="200">
                  <c:v>92.071238224296209</c:v>
                </c:pt>
                <c:pt idx="201">
                  <c:v>36.145817223701101</c:v>
                </c:pt>
                <c:pt idx="202">
                  <c:v>74.516869965776081</c:v>
                </c:pt>
                <c:pt idx="203">
                  <c:v>51.709693473087903</c:v>
                </c:pt>
                <c:pt idx="204">
                  <c:v>68.406499893488842</c:v>
                </c:pt>
                <c:pt idx="205">
                  <c:v>66.801233179582866</c:v>
                </c:pt>
                <c:pt idx="206">
                  <c:v>43.602540023780449</c:v>
                </c:pt>
                <c:pt idx="207">
                  <c:v>37.368113618269319</c:v>
                </c:pt>
                <c:pt idx="208">
                  <c:v>42.566884079324986</c:v>
                </c:pt>
                <c:pt idx="209">
                  <c:v>49.453996109953827</c:v>
                </c:pt>
                <c:pt idx="210">
                  <c:v>36.145817223701101</c:v>
                </c:pt>
                <c:pt idx="211">
                  <c:v>90.310623118721921</c:v>
                </c:pt>
                <c:pt idx="212">
                  <c:v>45.259589534909196</c:v>
                </c:pt>
                <c:pt idx="213">
                  <c:v>52.09491876831526</c:v>
                </c:pt>
                <c:pt idx="214">
                  <c:v>45.622069115468605</c:v>
                </c:pt>
                <c:pt idx="215">
                  <c:v>77.72740339358802</c:v>
                </c:pt>
                <c:pt idx="216">
                  <c:v>50.64500044607761</c:v>
                </c:pt>
                <c:pt idx="217">
                  <c:v>157.05864873887663</c:v>
                </c:pt>
                <c:pt idx="218">
                  <c:v>74.620435560221622</c:v>
                </c:pt>
                <c:pt idx="219">
                  <c:v>42.256187295988347</c:v>
                </c:pt>
                <c:pt idx="220">
                  <c:v>88.653573607593174</c:v>
                </c:pt>
                <c:pt idx="221">
                  <c:v>54.269796251671735</c:v>
                </c:pt>
                <c:pt idx="222">
                  <c:v>45.466720723800286</c:v>
                </c:pt>
                <c:pt idx="223">
                  <c:v>41.324096945978425</c:v>
                </c:pt>
                <c:pt idx="224">
                  <c:v>36.145817223701101</c:v>
                </c:pt>
                <c:pt idx="225">
                  <c:v>53.959099468335097</c:v>
                </c:pt>
                <c:pt idx="226">
                  <c:v>112.54356710631963</c:v>
                </c:pt>
                <c:pt idx="227">
                  <c:v>36.145817223701101</c:v>
                </c:pt>
                <c:pt idx="228">
                  <c:v>70.426028985176998</c:v>
                </c:pt>
                <c:pt idx="229">
                  <c:v>41.634793729315064</c:v>
                </c:pt>
                <c:pt idx="230">
                  <c:v>51.473525201641984</c:v>
                </c:pt>
                <c:pt idx="231">
                  <c:v>41.324096945978425</c:v>
                </c:pt>
                <c:pt idx="232">
                  <c:v>43.44719163211213</c:v>
                </c:pt>
                <c:pt idx="233">
                  <c:v>85.184126193667367</c:v>
                </c:pt>
                <c:pt idx="234">
                  <c:v>53.49305429333014</c:v>
                </c:pt>
                <c:pt idx="235">
                  <c:v>39.045653868176402</c:v>
                </c:pt>
                <c:pt idx="236">
                  <c:v>38.337955639465171</c:v>
                </c:pt>
                <c:pt idx="237">
                  <c:v>42.566884079324986</c:v>
                </c:pt>
                <c:pt idx="238">
                  <c:v>60.173035135067892</c:v>
                </c:pt>
                <c:pt idx="239">
                  <c:v>36.145817223701101</c:v>
                </c:pt>
                <c:pt idx="240">
                  <c:v>43.913236807117087</c:v>
                </c:pt>
                <c:pt idx="241">
                  <c:v>58.153506043379736</c:v>
                </c:pt>
                <c:pt idx="242">
                  <c:v>48.107643382161726</c:v>
                </c:pt>
                <c:pt idx="243">
                  <c:v>161.35662090836684</c:v>
                </c:pt>
                <c:pt idx="244">
                  <c:v>58.101723246156958</c:v>
                </c:pt>
                <c:pt idx="245">
                  <c:v>40.80626897375069</c:v>
                </c:pt>
                <c:pt idx="246">
                  <c:v>48.107643382161726</c:v>
                </c:pt>
                <c:pt idx="247">
                  <c:v>43.498974429334901</c:v>
                </c:pt>
                <c:pt idx="248">
                  <c:v>51.680656390533073</c:v>
                </c:pt>
                <c:pt idx="249">
                  <c:v>43.498974429334901</c:v>
                </c:pt>
                <c:pt idx="250">
                  <c:v>40.184875407077413</c:v>
                </c:pt>
                <c:pt idx="251">
                  <c:v>44.068585198785406</c:v>
                </c:pt>
                <c:pt idx="252">
                  <c:v>49.920041284958785</c:v>
                </c:pt>
                <c:pt idx="253">
                  <c:v>36.145817223701101</c:v>
                </c:pt>
                <c:pt idx="254">
                  <c:v>101.28857612994985</c:v>
                </c:pt>
                <c:pt idx="255">
                  <c:v>42.670449673770534</c:v>
                </c:pt>
                <c:pt idx="256">
                  <c:v>40.184875407077413</c:v>
                </c:pt>
                <c:pt idx="257">
                  <c:v>59.292727582280747</c:v>
                </c:pt>
                <c:pt idx="258">
                  <c:v>48.521905759943905</c:v>
                </c:pt>
                <c:pt idx="259">
                  <c:v>47.693381004379532</c:v>
                </c:pt>
                <c:pt idx="260">
                  <c:v>36.145817223701101</c:v>
                </c:pt>
                <c:pt idx="261">
                  <c:v>48.069799072764276</c:v>
                </c:pt>
                <c:pt idx="262">
                  <c:v>47.020204640483485</c:v>
                </c:pt>
                <c:pt idx="263">
                  <c:v>44.379281982122052</c:v>
                </c:pt>
                <c:pt idx="264">
                  <c:v>38.631391490394215</c:v>
                </c:pt>
                <c:pt idx="265">
                  <c:v>70.134491836812771</c:v>
                </c:pt>
                <c:pt idx="266">
                  <c:v>72.393775279642369</c:v>
                </c:pt>
                <c:pt idx="267">
                  <c:v>159.02639503334203</c:v>
                </c:pt>
                <c:pt idx="268">
                  <c:v>76.898878638023646</c:v>
                </c:pt>
                <c:pt idx="269">
                  <c:v>57.169632896147036</c:v>
                </c:pt>
                <c:pt idx="270">
                  <c:v>70.011766607394804</c:v>
                </c:pt>
                <c:pt idx="271">
                  <c:v>50.955697229414248</c:v>
                </c:pt>
                <c:pt idx="272">
                  <c:v>47.071987437706255</c:v>
                </c:pt>
                <c:pt idx="273">
                  <c:v>364.55231721052905</c:v>
                </c:pt>
                <c:pt idx="274">
                  <c:v>43.274754917360298</c:v>
                </c:pt>
                <c:pt idx="275">
                  <c:v>42.058549619921429</c:v>
                </c:pt>
                <c:pt idx="276">
                  <c:v>36.145817223701101</c:v>
                </c:pt>
                <c:pt idx="277">
                  <c:v>62.917523387874873</c:v>
                </c:pt>
                <c:pt idx="278">
                  <c:v>52.682723493546739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F-CA46-8FE2-D339F5E1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900160"/>
        <c:axId val="1478901792"/>
      </c:scatterChart>
      <c:valAx>
        <c:axId val="147890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78901792"/>
        <c:crosses val="autoZero"/>
        <c:crossBetween val="midCat"/>
      </c:valAx>
      <c:valAx>
        <c:axId val="1478901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2017  - Výsledek hospodaření před zdaněním celkem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78900160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1,3,4,5'!$DE$28:$DE$306</c:f>
              <c:numCache>
                <c:formatCode>General</c:formatCode>
                <c:ptCount val="279"/>
                <c:pt idx="0">
                  <c:v>-17.24006044322104</c:v>
                </c:pt>
                <c:pt idx="1">
                  <c:v>-86.347028276587423</c:v>
                </c:pt>
                <c:pt idx="2">
                  <c:v>-56.145817223701101</c:v>
                </c:pt>
                <c:pt idx="3">
                  <c:v>230.8541827762989</c:v>
                </c:pt>
                <c:pt idx="4">
                  <c:v>-16.486384943915326</c:v>
                </c:pt>
                <c:pt idx="5">
                  <c:v>-149.08988297414743</c:v>
                </c:pt>
                <c:pt idx="6">
                  <c:v>252.43298079224815</c:v>
                </c:pt>
                <c:pt idx="7">
                  <c:v>-60.045817223701107</c:v>
                </c:pt>
                <c:pt idx="8">
                  <c:v>-15.690863107295627</c:v>
                </c:pt>
                <c:pt idx="9">
                  <c:v>-38.683174287616993</c:v>
                </c:pt>
                <c:pt idx="10">
                  <c:v>550.8541827762989</c:v>
                </c:pt>
                <c:pt idx="11">
                  <c:v>-48.18327170990694</c:v>
                </c:pt>
                <c:pt idx="12">
                  <c:v>550.8541827762989</c:v>
                </c:pt>
                <c:pt idx="13">
                  <c:v>-37.818993587597156</c:v>
                </c:pt>
                <c:pt idx="14">
                  <c:v>-750.1458172237011</c:v>
                </c:pt>
                <c:pt idx="15">
                  <c:v>7.8541827762988987</c:v>
                </c:pt>
                <c:pt idx="16">
                  <c:v>-120.1458172237011</c:v>
                </c:pt>
                <c:pt idx="17">
                  <c:v>-32.367918308756543</c:v>
                </c:pt>
                <c:pt idx="18">
                  <c:v>-413.46080058779552</c:v>
                </c:pt>
                <c:pt idx="19">
                  <c:v>-77.198484362760809</c:v>
                </c:pt>
                <c:pt idx="20">
                  <c:v>-2.6993011403842999</c:v>
                </c:pt>
                <c:pt idx="21">
                  <c:v>-34.90551581718934</c:v>
                </c:pt>
                <c:pt idx="22">
                  <c:v>-154.1458172237011</c:v>
                </c:pt>
                <c:pt idx="23">
                  <c:v>33.931414801214594</c:v>
                </c:pt>
                <c:pt idx="24">
                  <c:v>57.979795359516515</c:v>
                </c:pt>
                <c:pt idx="25">
                  <c:v>-324.19936870459776</c:v>
                </c:pt>
                <c:pt idx="26">
                  <c:v>-100.55415946547853</c:v>
                </c:pt>
                <c:pt idx="27">
                  <c:v>53.834653684610743</c:v>
                </c:pt>
                <c:pt idx="28">
                  <c:v>-31.673851912691376</c:v>
                </c:pt>
                <c:pt idx="29">
                  <c:v>-42.182357509993501</c:v>
                </c:pt>
                <c:pt idx="30">
                  <c:v>47.772664170625426</c:v>
                </c:pt>
                <c:pt idx="31">
                  <c:v>-246.46168492963244</c:v>
                </c:pt>
                <c:pt idx="32">
                  <c:v>15.480612137140007</c:v>
                </c:pt>
                <c:pt idx="33">
                  <c:v>-17.145817223701101</c:v>
                </c:pt>
                <c:pt idx="34">
                  <c:v>-451.48461626024147</c:v>
                </c:pt>
                <c:pt idx="35">
                  <c:v>58.854182776298899</c:v>
                </c:pt>
                <c:pt idx="36">
                  <c:v>-844.79442870174114</c:v>
                </c:pt>
                <c:pt idx="37">
                  <c:v>-67.841924918206161</c:v>
                </c:pt>
                <c:pt idx="38">
                  <c:v>-338.1458172237011</c:v>
                </c:pt>
                <c:pt idx="39">
                  <c:v>0.60459116511064082</c:v>
                </c:pt>
                <c:pt idx="40">
                  <c:v>-110.87303870835572</c:v>
                </c:pt>
                <c:pt idx="41">
                  <c:v>-6.2527850570674985</c:v>
                </c:pt>
                <c:pt idx="42">
                  <c:v>-206.37764842687506</c:v>
                </c:pt>
                <c:pt idx="43">
                  <c:v>-35.145817223701101</c:v>
                </c:pt>
                <c:pt idx="44">
                  <c:v>-65.65432282100322</c:v>
                </c:pt>
                <c:pt idx="45">
                  <c:v>-38.476043098725896</c:v>
                </c:pt>
                <c:pt idx="46">
                  <c:v>62.497623331744251</c:v>
                </c:pt>
                <c:pt idx="47">
                  <c:v>514.31253913162527</c:v>
                </c:pt>
                <c:pt idx="48">
                  <c:v>-44.89710995434978</c:v>
                </c:pt>
                <c:pt idx="49">
                  <c:v>-4.1458172237011013</c:v>
                </c:pt>
                <c:pt idx="50">
                  <c:v>108.07640499852113</c:v>
                </c:pt>
                <c:pt idx="51">
                  <c:v>60.125821376259225</c:v>
                </c:pt>
                <c:pt idx="52">
                  <c:v>18.854182776298899</c:v>
                </c:pt>
                <c:pt idx="53">
                  <c:v>-30.145817223701101</c:v>
                </c:pt>
                <c:pt idx="54">
                  <c:v>-320.91323680711707</c:v>
                </c:pt>
                <c:pt idx="55">
                  <c:v>17.497623331744251</c:v>
                </c:pt>
                <c:pt idx="56">
                  <c:v>-36.145817223701101</c:v>
                </c:pt>
                <c:pt idx="57">
                  <c:v>-113.190181458099</c:v>
                </c:pt>
                <c:pt idx="58">
                  <c:v>9.8117223540017378</c:v>
                </c:pt>
                <c:pt idx="59">
                  <c:v>-44.770613029295227</c:v>
                </c:pt>
                <c:pt idx="60">
                  <c:v>20.109694523491918</c:v>
                </c:pt>
                <c:pt idx="61">
                  <c:v>-57.388604357047662</c:v>
                </c:pt>
                <c:pt idx="62">
                  <c:v>-306.1458172237011</c:v>
                </c:pt>
                <c:pt idx="63">
                  <c:v>-9.9259614209635458</c:v>
                </c:pt>
                <c:pt idx="64">
                  <c:v>-72.476043098725896</c:v>
                </c:pt>
                <c:pt idx="65">
                  <c:v>-58.252785057067499</c:v>
                </c:pt>
                <c:pt idx="66">
                  <c:v>-104.00999792372093</c:v>
                </c:pt>
                <c:pt idx="67">
                  <c:v>-22.609344501622147</c:v>
                </c:pt>
                <c:pt idx="68">
                  <c:v>59.312539131625229</c:v>
                </c:pt>
                <c:pt idx="69">
                  <c:v>1826.6402471095662</c:v>
                </c:pt>
                <c:pt idx="70">
                  <c:v>-25.579608693171444</c:v>
                </c:pt>
                <c:pt idx="71">
                  <c:v>-53.396293176726289</c:v>
                </c:pt>
                <c:pt idx="72">
                  <c:v>47.70475452063534</c:v>
                </c:pt>
                <c:pt idx="73">
                  <c:v>78.556210606808719</c:v>
                </c:pt>
                <c:pt idx="74">
                  <c:v>-25.145817223701101</c:v>
                </c:pt>
                <c:pt idx="75">
                  <c:v>-44.324483578143784</c:v>
                </c:pt>
                <c:pt idx="76">
                  <c:v>-66.809671212671546</c:v>
                </c:pt>
                <c:pt idx="77">
                  <c:v>17.779468648467123</c:v>
                </c:pt>
                <c:pt idx="78">
                  <c:v>-39.201002259844721</c:v>
                </c:pt>
                <c:pt idx="79">
                  <c:v>-151.63822520105956</c:v>
                </c:pt>
                <c:pt idx="80">
                  <c:v>11.354115212085446</c:v>
                </c:pt>
                <c:pt idx="81">
                  <c:v>14.887934908653619</c:v>
                </c:pt>
                <c:pt idx="82">
                  <c:v>96.047705009506601</c:v>
                </c:pt>
                <c:pt idx="83">
                  <c:v>-20.188277645998262</c:v>
                </c:pt>
                <c:pt idx="84">
                  <c:v>-55.046538210013338</c:v>
                </c:pt>
                <c:pt idx="85">
                  <c:v>438.8541827762989</c:v>
                </c:pt>
                <c:pt idx="86">
                  <c:v>-276.74176156268146</c:v>
                </c:pt>
                <c:pt idx="87">
                  <c:v>-225.25155688710117</c:v>
                </c:pt>
                <c:pt idx="88">
                  <c:v>-23.142181497480113</c:v>
                </c:pt>
                <c:pt idx="89">
                  <c:v>-36.037483890367767</c:v>
                </c:pt>
                <c:pt idx="90">
                  <c:v>-27.145817223701101</c:v>
                </c:pt>
                <c:pt idx="91">
                  <c:v>-56.458282690711599</c:v>
                </c:pt>
                <c:pt idx="92">
                  <c:v>-179.19069961385321</c:v>
                </c:pt>
                <c:pt idx="93">
                  <c:v>-61.984548696028021</c:v>
                </c:pt>
                <c:pt idx="94">
                  <c:v>-85.784221984978615</c:v>
                </c:pt>
                <c:pt idx="95">
                  <c:v>187.8541827762989</c:v>
                </c:pt>
                <c:pt idx="96">
                  <c:v>-203.03496819485758</c:v>
                </c:pt>
                <c:pt idx="97">
                  <c:v>-429.237677674564</c:v>
                </c:pt>
                <c:pt idx="98">
                  <c:v>-106.03898451876159</c:v>
                </c:pt>
                <c:pt idx="99">
                  <c:v>137.15276903077222</c:v>
                </c:pt>
                <c:pt idx="100">
                  <c:v>-35.743599781445596</c:v>
                </c:pt>
                <c:pt idx="101">
                  <c:v>-306.29612982120159</c:v>
                </c:pt>
                <c:pt idx="102">
                  <c:v>-38.683174287616993</c:v>
                </c:pt>
                <c:pt idx="103">
                  <c:v>1087.41345170056</c:v>
                </c:pt>
                <c:pt idx="104">
                  <c:v>-32.511255200188451</c:v>
                </c:pt>
                <c:pt idx="105">
                  <c:v>1087.41345170056</c:v>
                </c:pt>
                <c:pt idx="106">
                  <c:v>-42.818993587597156</c:v>
                </c:pt>
                <c:pt idx="107">
                  <c:v>-309.97359276585541</c:v>
                </c:pt>
                <c:pt idx="108">
                  <c:v>-99.145817223701101</c:v>
                </c:pt>
                <c:pt idx="109">
                  <c:v>-465.77578395188993</c:v>
                </c:pt>
                <c:pt idx="110">
                  <c:v>-12.553318061646394</c:v>
                </c:pt>
                <c:pt idx="111">
                  <c:v>121.99163563152604</c:v>
                </c:pt>
                <c:pt idx="112">
                  <c:v>-34.055860584938948</c:v>
                </c:pt>
                <c:pt idx="113">
                  <c:v>16.782870887387972</c:v>
                </c:pt>
                <c:pt idx="114">
                  <c:v>-38.643889595651352</c:v>
                </c:pt>
                <c:pt idx="115">
                  <c:v>51.854182776298899</c:v>
                </c:pt>
                <c:pt idx="116">
                  <c:v>-35.259589534909196</c:v>
                </c:pt>
                <c:pt idx="117">
                  <c:v>-20.145817223701101</c:v>
                </c:pt>
                <c:pt idx="118">
                  <c:v>-169.61451542421685</c:v>
                </c:pt>
                <c:pt idx="119">
                  <c:v>-115.31477457105282</c:v>
                </c:pt>
                <c:pt idx="120">
                  <c:v>-118.80967121267155</c:v>
                </c:pt>
                <c:pt idx="121">
                  <c:v>-40.386086459963742</c:v>
                </c:pt>
                <c:pt idx="122">
                  <c:v>-26.464202826716374</c:v>
                </c:pt>
                <c:pt idx="123">
                  <c:v>21.319343609466927</c:v>
                </c:pt>
                <c:pt idx="124">
                  <c:v>-426.87948467476235</c:v>
                </c:pt>
                <c:pt idx="125">
                  <c:v>90.41862262315469</c:v>
                </c:pt>
                <c:pt idx="126">
                  <c:v>-42.706105618225997</c:v>
                </c:pt>
                <c:pt idx="127">
                  <c:v>-121.40398199640492</c:v>
                </c:pt>
                <c:pt idx="128">
                  <c:v>-0.54735498763682955</c:v>
                </c:pt>
                <c:pt idx="129">
                  <c:v>-356.11696575708731</c:v>
                </c:pt>
                <c:pt idx="130">
                  <c:v>0.67590305402157469</c:v>
                </c:pt>
                <c:pt idx="131">
                  <c:v>-81.145817223701101</c:v>
                </c:pt>
                <c:pt idx="132">
                  <c:v>-87.198484362760809</c:v>
                </c:pt>
                <c:pt idx="133">
                  <c:v>193.9816124045457</c:v>
                </c:pt>
                <c:pt idx="134">
                  <c:v>-34.145817223701101</c:v>
                </c:pt>
                <c:pt idx="135">
                  <c:v>202.97802667584264</c:v>
                </c:pt>
                <c:pt idx="136">
                  <c:v>-141.50577890717659</c:v>
                </c:pt>
                <c:pt idx="137">
                  <c:v>-48.330901423820123</c:v>
                </c:pt>
                <c:pt idx="138">
                  <c:v>26.675903054021575</c:v>
                </c:pt>
                <c:pt idx="139">
                  <c:v>-137.13309260985466</c:v>
                </c:pt>
                <c:pt idx="140">
                  <c:v>653.36091968992719</c:v>
                </c:pt>
                <c:pt idx="141">
                  <c:v>-45.984548696028021</c:v>
                </c:pt>
                <c:pt idx="142">
                  <c:v>11.854182776298899</c:v>
                </c:pt>
                <c:pt idx="143">
                  <c:v>157.40102870700929</c:v>
                </c:pt>
                <c:pt idx="144">
                  <c:v>-53.734957084839763</c:v>
                </c:pt>
                <c:pt idx="145">
                  <c:v>-46.145817223701101</c:v>
                </c:pt>
                <c:pt idx="146">
                  <c:v>-36.145817223701101</c:v>
                </c:pt>
                <c:pt idx="147">
                  <c:v>-10.19508212383996</c:v>
                </c:pt>
                <c:pt idx="148">
                  <c:v>2.2675608122441488</c:v>
                </c:pt>
                <c:pt idx="149">
                  <c:v>-45.932765898805243</c:v>
                </c:pt>
                <c:pt idx="150">
                  <c:v>-143.82518398045568</c:v>
                </c:pt>
                <c:pt idx="151">
                  <c:v>81.854182776298899</c:v>
                </c:pt>
                <c:pt idx="152">
                  <c:v>48.899161095679972</c:v>
                </c:pt>
                <c:pt idx="153">
                  <c:v>101.27436529008585</c:v>
                </c:pt>
                <c:pt idx="154">
                  <c:v>77.29389438177401</c:v>
                </c:pt>
                <c:pt idx="155">
                  <c:v>22.623235914961867</c:v>
                </c:pt>
                <c:pt idx="156">
                  <c:v>-121.4599162459586</c:v>
                </c:pt>
                <c:pt idx="157">
                  <c:v>-17.993871070953631</c:v>
                </c:pt>
                <c:pt idx="158">
                  <c:v>20.675903054021575</c:v>
                </c:pt>
                <c:pt idx="159">
                  <c:v>-23.421742404419206</c:v>
                </c:pt>
                <c:pt idx="160">
                  <c:v>-75.350430515508279</c:v>
                </c:pt>
                <c:pt idx="161">
                  <c:v>-48.471007304558071</c:v>
                </c:pt>
                <c:pt idx="162">
                  <c:v>1479.2904921428531</c:v>
                </c:pt>
                <c:pt idx="163">
                  <c:v>-24.6993011403843</c:v>
                </c:pt>
                <c:pt idx="164">
                  <c:v>-22.040618074008577</c:v>
                </c:pt>
                <c:pt idx="165">
                  <c:v>-44.311372332131967</c:v>
                </c:pt>
                <c:pt idx="166">
                  <c:v>17.840573820615504</c:v>
                </c:pt>
                <c:pt idx="167">
                  <c:v>-9.1458172237011013</c:v>
                </c:pt>
                <c:pt idx="168">
                  <c:v>-131.19354513905483</c:v>
                </c:pt>
                <c:pt idx="169">
                  <c:v>-11.825798065438853</c:v>
                </c:pt>
                <c:pt idx="170">
                  <c:v>-64.586413171013135</c:v>
                </c:pt>
                <c:pt idx="171">
                  <c:v>-24.14921946262195</c:v>
                </c:pt>
                <c:pt idx="172">
                  <c:v>-68.586517700466814</c:v>
                </c:pt>
                <c:pt idx="173">
                  <c:v>28.02048709813981</c:v>
                </c:pt>
                <c:pt idx="174">
                  <c:v>-686.41003726083659</c:v>
                </c:pt>
                <c:pt idx="175">
                  <c:v>362.27940108425366</c:v>
                </c:pt>
                <c:pt idx="176">
                  <c:v>-89.023606879404326</c:v>
                </c:pt>
                <c:pt idx="177">
                  <c:v>-53.803751076666778</c:v>
                </c:pt>
                <c:pt idx="178">
                  <c:v>425.8541827762989</c:v>
                </c:pt>
                <c:pt idx="179">
                  <c:v>-521.29864771828557</c:v>
                </c:pt>
                <c:pt idx="180">
                  <c:v>-100.14309062691467</c:v>
                </c:pt>
                <c:pt idx="181">
                  <c:v>-38.119223516474754</c:v>
                </c:pt>
                <c:pt idx="182">
                  <c:v>-21.260105088239882</c:v>
                </c:pt>
                <c:pt idx="183">
                  <c:v>-3.2918432404438107</c:v>
                </c:pt>
                <c:pt idx="184">
                  <c:v>73.03661395090711</c:v>
                </c:pt>
                <c:pt idx="185">
                  <c:v>-126.37769290172295</c:v>
                </c:pt>
                <c:pt idx="186">
                  <c:v>-18.948892751572558</c:v>
                </c:pt>
                <c:pt idx="187">
                  <c:v>216.05614304259527</c:v>
                </c:pt>
                <c:pt idx="188">
                  <c:v>764.21741157026838</c:v>
                </c:pt>
                <c:pt idx="189">
                  <c:v>-39.407654492179546</c:v>
                </c:pt>
                <c:pt idx="190">
                  <c:v>434.33356665013349</c:v>
                </c:pt>
                <c:pt idx="191">
                  <c:v>-111.10866285242554</c:v>
                </c:pt>
                <c:pt idx="192">
                  <c:v>-130.39227685282228</c:v>
                </c:pt>
                <c:pt idx="193">
                  <c:v>-48.9976850768969</c:v>
                </c:pt>
                <c:pt idx="194">
                  <c:v>-17.849613737884795</c:v>
                </c:pt>
                <c:pt idx="195">
                  <c:v>-40.54735498763683</c:v>
                </c:pt>
                <c:pt idx="196">
                  <c:v>1569.5390642837776</c:v>
                </c:pt>
                <c:pt idx="197">
                  <c:v>-0.45534633858450491</c:v>
                </c:pt>
                <c:pt idx="198">
                  <c:v>1569.5390642837776</c:v>
                </c:pt>
                <c:pt idx="199">
                  <c:v>-34.663645195928837</c:v>
                </c:pt>
                <c:pt idx="200">
                  <c:v>-273.07123822429622</c:v>
                </c:pt>
                <c:pt idx="201">
                  <c:v>16.854182776298899</c:v>
                </c:pt>
                <c:pt idx="202">
                  <c:v>-422.5168699657761</c:v>
                </c:pt>
                <c:pt idx="203">
                  <c:v>-33.167637398321546</c:v>
                </c:pt>
                <c:pt idx="204">
                  <c:v>191.59350010651116</c:v>
                </c:pt>
                <c:pt idx="205">
                  <c:v>23.198766820417134</c:v>
                </c:pt>
                <c:pt idx="206">
                  <c:v>46.397459976219551</c:v>
                </c:pt>
                <c:pt idx="207">
                  <c:v>-42.730076808453369</c:v>
                </c:pt>
                <c:pt idx="208">
                  <c:v>47.433115920675014</c:v>
                </c:pt>
                <c:pt idx="209">
                  <c:v>-49.453996109953827</c:v>
                </c:pt>
                <c:pt idx="210">
                  <c:v>128.8541827762989</c:v>
                </c:pt>
                <c:pt idx="211">
                  <c:v>111.68937688127808</c:v>
                </c:pt>
                <c:pt idx="212">
                  <c:v>-121.2595895349092</c:v>
                </c:pt>
                <c:pt idx="213">
                  <c:v>-27.09491876831526</c:v>
                </c:pt>
                <c:pt idx="214">
                  <c:v>101.37793088453139</c:v>
                </c:pt>
                <c:pt idx="215">
                  <c:v>-8.7274033935880198</c:v>
                </c:pt>
                <c:pt idx="216">
                  <c:v>11.35499955392239</c:v>
                </c:pt>
                <c:pt idx="217">
                  <c:v>-92.058648738876627</c:v>
                </c:pt>
                <c:pt idx="218">
                  <c:v>-105.62043556022162</c:v>
                </c:pt>
                <c:pt idx="219">
                  <c:v>-38.256187295988347</c:v>
                </c:pt>
                <c:pt idx="220">
                  <c:v>-283.65357360759316</c:v>
                </c:pt>
                <c:pt idx="221">
                  <c:v>149.73020374832828</c:v>
                </c:pt>
                <c:pt idx="222">
                  <c:v>9.533279276199714</c:v>
                </c:pt>
                <c:pt idx="223">
                  <c:v>-37.324096945978425</c:v>
                </c:pt>
                <c:pt idx="224">
                  <c:v>-14.145817223701101</c:v>
                </c:pt>
                <c:pt idx="225">
                  <c:v>-89.959099468335097</c:v>
                </c:pt>
                <c:pt idx="226">
                  <c:v>-179.42356710631964</c:v>
                </c:pt>
                <c:pt idx="227">
                  <c:v>-44.145817223701101</c:v>
                </c:pt>
                <c:pt idx="228">
                  <c:v>-132.426028985177</c:v>
                </c:pt>
                <c:pt idx="229">
                  <c:v>17.365206270684936</c:v>
                </c:pt>
                <c:pt idx="230">
                  <c:v>-68.473525201641991</c:v>
                </c:pt>
                <c:pt idx="231">
                  <c:v>-103.32409694597843</c:v>
                </c:pt>
                <c:pt idx="232">
                  <c:v>172.55280836788788</c:v>
                </c:pt>
                <c:pt idx="233">
                  <c:v>201.81587380633263</c:v>
                </c:pt>
                <c:pt idx="234">
                  <c:v>-306.49305429333015</c:v>
                </c:pt>
                <c:pt idx="235">
                  <c:v>8.9543461318235984</c:v>
                </c:pt>
                <c:pt idx="236">
                  <c:v>-61.893511195020722</c:v>
                </c:pt>
                <c:pt idx="237">
                  <c:v>33.433115920675014</c:v>
                </c:pt>
                <c:pt idx="238">
                  <c:v>-65.173035135067892</c:v>
                </c:pt>
                <c:pt idx="239">
                  <c:v>-36.145817223701101</c:v>
                </c:pt>
                <c:pt idx="240">
                  <c:v>41.086763192882913</c:v>
                </c:pt>
                <c:pt idx="241">
                  <c:v>1.8464939566202645</c:v>
                </c:pt>
                <c:pt idx="242">
                  <c:v>-30.107643382161726</c:v>
                </c:pt>
                <c:pt idx="243">
                  <c:v>-157.35662090836684</c:v>
                </c:pt>
                <c:pt idx="244">
                  <c:v>118.89827675384305</c:v>
                </c:pt>
                <c:pt idx="245">
                  <c:v>122.19373102624931</c:v>
                </c:pt>
                <c:pt idx="246">
                  <c:v>38.892356617838274</c:v>
                </c:pt>
                <c:pt idx="247">
                  <c:v>-58.498974429334901</c:v>
                </c:pt>
                <c:pt idx="248">
                  <c:v>-48.680656390533073</c:v>
                </c:pt>
                <c:pt idx="249">
                  <c:v>39.501025570665099</c:v>
                </c:pt>
                <c:pt idx="250">
                  <c:v>-31.184875407077413</c:v>
                </c:pt>
                <c:pt idx="251">
                  <c:v>-33.068585198785406</c:v>
                </c:pt>
                <c:pt idx="252">
                  <c:v>-43.920041284958785</c:v>
                </c:pt>
                <c:pt idx="253">
                  <c:v>-127.1458172237011</c:v>
                </c:pt>
                <c:pt idx="254">
                  <c:v>527.71142387005011</c:v>
                </c:pt>
                <c:pt idx="255">
                  <c:v>59.329550326229466</c:v>
                </c:pt>
                <c:pt idx="256">
                  <c:v>-22.184875407077413</c:v>
                </c:pt>
                <c:pt idx="257">
                  <c:v>-46.292727582280747</c:v>
                </c:pt>
                <c:pt idx="258">
                  <c:v>6.4780942400560946</c:v>
                </c:pt>
                <c:pt idx="259">
                  <c:v>78.306618995620468</c:v>
                </c:pt>
                <c:pt idx="260">
                  <c:v>-25.145817223701101</c:v>
                </c:pt>
                <c:pt idx="261">
                  <c:v>154.12420803744394</c:v>
                </c:pt>
                <c:pt idx="262">
                  <c:v>-50.020204640483485</c:v>
                </c:pt>
                <c:pt idx="263">
                  <c:v>5.6207180178779481</c:v>
                </c:pt>
                <c:pt idx="264">
                  <c:v>-3.6313914903942148</c:v>
                </c:pt>
                <c:pt idx="265">
                  <c:v>-85.254491836812775</c:v>
                </c:pt>
                <c:pt idx="266">
                  <c:v>-48.393775279642369</c:v>
                </c:pt>
                <c:pt idx="267">
                  <c:v>-339.02639503334206</c:v>
                </c:pt>
                <c:pt idx="268">
                  <c:v>207.10112136197637</c:v>
                </c:pt>
                <c:pt idx="269">
                  <c:v>36.830367103852964</c:v>
                </c:pt>
                <c:pt idx="270">
                  <c:v>-70.011766607394804</c:v>
                </c:pt>
                <c:pt idx="271">
                  <c:v>186.04430277058574</c:v>
                </c:pt>
                <c:pt idx="272">
                  <c:v>-350.07198743770624</c:v>
                </c:pt>
                <c:pt idx="273">
                  <c:v>-86.552317210529054</c:v>
                </c:pt>
                <c:pt idx="274">
                  <c:v>-29.884754917360297</c:v>
                </c:pt>
                <c:pt idx="275">
                  <c:v>-22.016882953254761</c:v>
                </c:pt>
                <c:pt idx="276">
                  <c:v>-63.145817223701101</c:v>
                </c:pt>
                <c:pt idx="277">
                  <c:v>-4.9175233878748728</c:v>
                </c:pt>
                <c:pt idx="278">
                  <c:v>-65.736777547600795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24-FF44-AD17-11F5FCD5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381696"/>
        <c:axId val="1458463488"/>
      </c:scatterChart>
      <c:valAx>
        <c:axId val="145838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8463488"/>
        <c:crosses val="autoZero"/>
        <c:crossBetween val="midCat"/>
      </c:valAx>
      <c:valAx>
        <c:axId val="1458463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838169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2017 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1,3,4,5'!$CL$2:$CL$280</c:f>
              <c:numCache>
                <c:formatCode>General</c:formatCode>
                <c:ptCount val="279"/>
                <c:pt idx="0">
                  <c:v>26</c:v>
                </c:pt>
                <c:pt idx="1">
                  <c:v>-40</c:v>
                </c:pt>
                <c:pt idx="2">
                  <c:v>-20</c:v>
                </c:pt>
                <c:pt idx="3">
                  <c:v>267</c:v>
                </c:pt>
                <c:pt idx="4">
                  <c:v>92</c:v>
                </c:pt>
                <c:pt idx="5">
                  <c:v>-71</c:v>
                </c:pt>
                <c:pt idx="6">
                  <c:v>356</c:v>
                </c:pt>
                <c:pt idx="7">
                  <c:v>-23.900000000000002</c:v>
                </c:pt>
                <c:pt idx="8">
                  <c:v>45</c:v>
                </c:pt>
                <c:pt idx="9">
                  <c:v>0</c:v>
                </c:pt>
                <c:pt idx="10">
                  <c:v>587</c:v>
                </c:pt>
                <c:pt idx="11">
                  <c:v>-9.0681818181818183</c:v>
                </c:pt>
                <c:pt idx="12">
                  <c:v>587</c:v>
                </c:pt>
                <c:pt idx="13">
                  <c:v>-1</c:v>
                </c:pt>
                <c:pt idx="14">
                  <c:v>-714</c:v>
                </c:pt>
                <c:pt idx="15">
                  <c:v>44</c:v>
                </c:pt>
                <c:pt idx="16">
                  <c:v>-84</c:v>
                </c:pt>
                <c:pt idx="17">
                  <c:v>14.355140186915886</c:v>
                </c:pt>
                <c:pt idx="18">
                  <c:v>-358</c:v>
                </c:pt>
                <c:pt idx="19">
                  <c:v>-25</c:v>
                </c:pt>
                <c:pt idx="20">
                  <c:v>35</c:v>
                </c:pt>
                <c:pt idx="21">
                  <c:v>1.8650306748466259</c:v>
                </c:pt>
                <c:pt idx="22">
                  <c:v>-118</c:v>
                </c:pt>
                <c:pt idx="23">
                  <c:v>78</c:v>
                </c:pt>
                <c:pt idx="24">
                  <c:v>105</c:v>
                </c:pt>
                <c:pt idx="25">
                  <c:v>-256</c:v>
                </c:pt>
                <c:pt idx="26">
                  <c:v>-54</c:v>
                </c:pt>
                <c:pt idx="27">
                  <c:v>92</c:v>
                </c:pt>
                <c:pt idx="28">
                  <c:v>14</c:v>
                </c:pt>
                <c:pt idx="29">
                  <c:v>11</c:v>
                </c:pt>
                <c:pt idx="30">
                  <c:v>95</c:v>
                </c:pt>
                <c:pt idx="31">
                  <c:v>-175</c:v>
                </c:pt>
                <c:pt idx="32">
                  <c:v>77</c:v>
                </c:pt>
                <c:pt idx="33">
                  <c:v>19</c:v>
                </c:pt>
                <c:pt idx="34">
                  <c:v>-375</c:v>
                </c:pt>
                <c:pt idx="35">
                  <c:v>95</c:v>
                </c:pt>
                <c:pt idx="36">
                  <c:v>-784</c:v>
                </c:pt>
                <c:pt idx="37">
                  <c:v>-26</c:v>
                </c:pt>
                <c:pt idx="38">
                  <c:v>-302</c:v>
                </c:pt>
                <c:pt idx="39">
                  <c:v>44</c:v>
                </c:pt>
                <c:pt idx="40">
                  <c:v>-18.43</c:v>
                </c:pt>
                <c:pt idx="41">
                  <c:v>33</c:v>
                </c:pt>
                <c:pt idx="42">
                  <c:v>-133</c:v>
                </c:pt>
                <c:pt idx="43">
                  <c:v>1</c:v>
                </c:pt>
                <c:pt idx="44">
                  <c:v>-22</c:v>
                </c:pt>
                <c:pt idx="45">
                  <c:v>0</c:v>
                </c:pt>
                <c:pt idx="46">
                  <c:v>109</c:v>
                </c:pt>
                <c:pt idx="47">
                  <c:v>572</c:v>
                </c:pt>
                <c:pt idx="48">
                  <c:v>0</c:v>
                </c:pt>
                <c:pt idx="49">
                  <c:v>32</c:v>
                </c:pt>
                <c:pt idx="50">
                  <c:v>144.22222222222223</c:v>
                </c:pt>
                <c:pt idx="51">
                  <c:v>100</c:v>
                </c:pt>
                <c:pt idx="52">
                  <c:v>55</c:v>
                </c:pt>
                <c:pt idx="53">
                  <c:v>6</c:v>
                </c:pt>
                <c:pt idx="54">
                  <c:v>-277</c:v>
                </c:pt>
                <c:pt idx="55">
                  <c:v>64</c:v>
                </c:pt>
                <c:pt idx="56">
                  <c:v>0</c:v>
                </c:pt>
                <c:pt idx="57">
                  <c:v>23</c:v>
                </c:pt>
                <c:pt idx="58">
                  <c:v>53</c:v>
                </c:pt>
                <c:pt idx="59">
                  <c:v>-5</c:v>
                </c:pt>
                <c:pt idx="60">
                  <c:v>59</c:v>
                </c:pt>
                <c:pt idx="61">
                  <c:v>-20</c:v>
                </c:pt>
                <c:pt idx="62">
                  <c:v>-270</c:v>
                </c:pt>
                <c:pt idx="63">
                  <c:v>30</c:v>
                </c:pt>
                <c:pt idx="64">
                  <c:v>-34</c:v>
                </c:pt>
                <c:pt idx="65">
                  <c:v>-19</c:v>
                </c:pt>
                <c:pt idx="66">
                  <c:v>-66</c:v>
                </c:pt>
                <c:pt idx="67">
                  <c:v>27</c:v>
                </c:pt>
                <c:pt idx="68">
                  <c:v>117</c:v>
                </c:pt>
                <c:pt idx="69">
                  <c:v>1869</c:v>
                </c:pt>
                <c:pt idx="70">
                  <c:v>13</c:v>
                </c:pt>
                <c:pt idx="71">
                  <c:v>6</c:v>
                </c:pt>
                <c:pt idx="72">
                  <c:v>94</c:v>
                </c:pt>
                <c:pt idx="73">
                  <c:v>119</c:v>
                </c:pt>
                <c:pt idx="74">
                  <c:v>11</c:v>
                </c:pt>
                <c:pt idx="75">
                  <c:v>-2.4581005586592179</c:v>
                </c:pt>
                <c:pt idx="76">
                  <c:v>-23</c:v>
                </c:pt>
                <c:pt idx="77">
                  <c:v>59</c:v>
                </c:pt>
                <c:pt idx="78">
                  <c:v>0</c:v>
                </c:pt>
                <c:pt idx="79">
                  <c:v>-105.3</c:v>
                </c:pt>
                <c:pt idx="80">
                  <c:v>78</c:v>
                </c:pt>
                <c:pt idx="81">
                  <c:v>143</c:v>
                </c:pt>
                <c:pt idx="82">
                  <c:v>144</c:v>
                </c:pt>
                <c:pt idx="83">
                  <c:v>23</c:v>
                </c:pt>
                <c:pt idx="84">
                  <c:v>0</c:v>
                </c:pt>
                <c:pt idx="85">
                  <c:v>475</c:v>
                </c:pt>
                <c:pt idx="86">
                  <c:v>-232</c:v>
                </c:pt>
                <c:pt idx="87">
                  <c:v>26</c:v>
                </c:pt>
                <c:pt idx="88">
                  <c:v>15.73</c:v>
                </c:pt>
                <c:pt idx="89">
                  <c:v>0.10833333333333334</c:v>
                </c:pt>
                <c:pt idx="90">
                  <c:v>9</c:v>
                </c:pt>
                <c:pt idx="91">
                  <c:v>12</c:v>
                </c:pt>
                <c:pt idx="92">
                  <c:v>-130.16216216216216</c:v>
                </c:pt>
                <c:pt idx="93">
                  <c:v>-16</c:v>
                </c:pt>
                <c:pt idx="94">
                  <c:v>-34</c:v>
                </c:pt>
                <c:pt idx="95">
                  <c:v>224</c:v>
                </c:pt>
                <c:pt idx="96">
                  <c:v>-6</c:v>
                </c:pt>
                <c:pt idx="97">
                  <c:v>-312</c:v>
                </c:pt>
                <c:pt idx="98">
                  <c:v>-12</c:v>
                </c:pt>
                <c:pt idx="99">
                  <c:v>275</c:v>
                </c:pt>
                <c:pt idx="100">
                  <c:v>0.53749999999999998</c:v>
                </c:pt>
                <c:pt idx="101">
                  <c:v>-244</c:v>
                </c:pt>
                <c:pt idx="102">
                  <c:v>0</c:v>
                </c:pt>
                <c:pt idx="103">
                  <c:v>1193</c:v>
                </c:pt>
                <c:pt idx="104">
                  <c:v>6.954545454545455</c:v>
                </c:pt>
                <c:pt idx="105">
                  <c:v>1193</c:v>
                </c:pt>
                <c:pt idx="106">
                  <c:v>-6</c:v>
                </c:pt>
                <c:pt idx="107">
                  <c:v>-228</c:v>
                </c:pt>
                <c:pt idx="108">
                  <c:v>-63</c:v>
                </c:pt>
                <c:pt idx="109">
                  <c:v>-391</c:v>
                </c:pt>
                <c:pt idx="110">
                  <c:v>37.383177570093459</c:v>
                </c:pt>
                <c:pt idx="111">
                  <c:v>189</c:v>
                </c:pt>
                <c:pt idx="112">
                  <c:v>14</c:v>
                </c:pt>
                <c:pt idx="113">
                  <c:v>55</c:v>
                </c:pt>
                <c:pt idx="114">
                  <c:v>-1.6319018404907977</c:v>
                </c:pt>
                <c:pt idx="115">
                  <c:v>88</c:v>
                </c:pt>
                <c:pt idx="116">
                  <c:v>10</c:v>
                </c:pt>
                <c:pt idx="117">
                  <c:v>16</c:v>
                </c:pt>
                <c:pt idx="118">
                  <c:v>-85</c:v>
                </c:pt>
                <c:pt idx="119">
                  <c:v>-67</c:v>
                </c:pt>
                <c:pt idx="120">
                  <c:v>-75</c:v>
                </c:pt>
                <c:pt idx="121">
                  <c:v>10</c:v>
                </c:pt>
                <c:pt idx="122">
                  <c:v>32</c:v>
                </c:pt>
                <c:pt idx="123">
                  <c:v>73</c:v>
                </c:pt>
                <c:pt idx="124">
                  <c:v>-291</c:v>
                </c:pt>
                <c:pt idx="125">
                  <c:v>161</c:v>
                </c:pt>
                <c:pt idx="126">
                  <c:v>1</c:v>
                </c:pt>
                <c:pt idx="127">
                  <c:v>-40</c:v>
                </c:pt>
                <c:pt idx="128">
                  <c:v>40</c:v>
                </c:pt>
                <c:pt idx="129">
                  <c:v>-315</c:v>
                </c:pt>
                <c:pt idx="130">
                  <c:v>42</c:v>
                </c:pt>
                <c:pt idx="131">
                  <c:v>-45</c:v>
                </c:pt>
                <c:pt idx="132">
                  <c:v>-35</c:v>
                </c:pt>
                <c:pt idx="133">
                  <c:v>298.3</c:v>
                </c:pt>
                <c:pt idx="134">
                  <c:v>2</c:v>
                </c:pt>
                <c:pt idx="135">
                  <c:v>282</c:v>
                </c:pt>
                <c:pt idx="136">
                  <c:v>-92</c:v>
                </c:pt>
                <c:pt idx="137">
                  <c:v>-1</c:v>
                </c:pt>
                <c:pt idx="138">
                  <c:v>68</c:v>
                </c:pt>
                <c:pt idx="139">
                  <c:v>-97</c:v>
                </c:pt>
                <c:pt idx="140">
                  <c:v>714</c:v>
                </c:pt>
                <c:pt idx="141">
                  <c:v>0</c:v>
                </c:pt>
                <c:pt idx="142">
                  <c:v>48</c:v>
                </c:pt>
                <c:pt idx="143">
                  <c:v>208</c:v>
                </c:pt>
                <c:pt idx="144">
                  <c:v>-15</c:v>
                </c:pt>
                <c:pt idx="145">
                  <c:v>-10</c:v>
                </c:pt>
                <c:pt idx="146">
                  <c:v>0</c:v>
                </c:pt>
                <c:pt idx="147">
                  <c:v>39</c:v>
                </c:pt>
                <c:pt idx="148">
                  <c:v>54</c:v>
                </c:pt>
                <c:pt idx="149">
                  <c:v>0</c:v>
                </c:pt>
                <c:pt idx="150">
                  <c:v>5</c:v>
                </c:pt>
                <c:pt idx="151">
                  <c:v>118</c:v>
                </c:pt>
                <c:pt idx="152">
                  <c:v>91</c:v>
                </c:pt>
                <c:pt idx="153">
                  <c:v>147</c:v>
                </c:pt>
                <c:pt idx="154">
                  <c:v>121</c:v>
                </c:pt>
                <c:pt idx="155">
                  <c:v>80</c:v>
                </c:pt>
                <c:pt idx="156">
                  <c:v>-82</c:v>
                </c:pt>
                <c:pt idx="157">
                  <c:v>21</c:v>
                </c:pt>
                <c:pt idx="158">
                  <c:v>62</c:v>
                </c:pt>
                <c:pt idx="159">
                  <c:v>28</c:v>
                </c:pt>
                <c:pt idx="160">
                  <c:v>-26</c:v>
                </c:pt>
                <c:pt idx="161">
                  <c:v>16</c:v>
                </c:pt>
                <c:pt idx="162">
                  <c:v>1526</c:v>
                </c:pt>
                <c:pt idx="163">
                  <c:v>13</c:v>
                </c:pt>
                <c:pt idx="164">
                  <c:v>43</c:v>
                </c:pt>
                <c:pt idx="165">
                  <c:v>1</c:v>
                </c:pt>
                <c:pt idx="166">
                  <c:v>66</c:v>
                </c:pt>
                <c:pt idx="167">
                  <c:v>27</c:v>
                </c:pt>
                <c:pt idx="168">
                  <c:v>-84.530218384966986</c:v>
                </c:pt>
                <c:pt idx="169">
                  <c:v>31</c:v>
                </c:pt>
                <c:pt idx="170">
                  <c:v>-20</c:v>
                </c:pt>
                <c:pt idx="171">
                  <c:v>15</c:v>
                </c:pt>
                <c:pt idx="172">
                  <c:v>-7.4700000000000006</c:v>
                </c:pt>
                <c:pt idx="173">
                  <c:v>100</c:v>
                </c:pt>
                <c:pt idx="174">
                  <c:v>-554</c:v>
                </c:pt>
                <c:pt idx="175">
                  <c:v>434</c:v>
                </c:pt>
                <c:pt idx="176">
                  <c:v>-39</c:v>
                </c:pt>
                <c:pt idx="177">
                  <c:v>0</c:v>
                </c:pt>
                <c:pt idx="178">
                  <c:v>462</c:v>
                </c:pt>
                <c:pt idx="179">
                  <c:v>-472</c:v>
                </c:pt>
                <c:pt idx="180">
                  <c:v>238</c:v>
                </c:pt>
                <c:pt idx="181">
                  <c:v>2.86</c:v>
                </c:pt>
                <c:pt idx="182">
                  <c:v>17.225000000000001</c:v>
                </c:pt>
                <c:pt idx="183">
                  <c:v>40</c:v>
                </c:pt>
                <c:pt idx="184">
                  <c:v>146</c:v>
                </c:pt>
                <c:pt idx="185">
                  <c:v>-74.351351351351354</c:v>
                </c:pt>
                <c:pt idx="186">
                  <c:v>26</c:v>
                </c:pt>
                <c:pt idx="187">
                  <c:v>287</c:v>
                </c:pt>
                <c:pt idx="188">
                  <c:v>845</c:v>
                </c:pt>
                <c:pt idx="189">
                  <c:v>167</c:v>
                </c:pt>
                <c:pt idx="190">
                  <c:v>580</c:v>
                </c:pt>
                <c:pt idx="191">
                  <c:v>14</c:v>
                </c:pt>
                <c:pt idx="192">
                  <c:v>32</c:v>
                </c:pt>
                <c:pt idx="193">
                  <c:v>-12.725</c:v>
                </c:pt>
                <c:pt idx="194">
                  <c:v>46</c:v>
                </c:pt>
                <c:pt idx="195">
                  <c:v>0</c:v>
                </c:pt>
                <c:pt idx="196">
                  <c:v>1686</c:v>
                </c:pt>
                <c:pt idx="197">
                  <c:v>40.159090909090914</c:v>
                </c:pt>
                <c:pt idx="198">
                  <c:v>1686</c:v>
                </c:pt>
                <c:pt idx="199">
                  <c:v>2</c:v>
                </c:pt>
                <c:pt idx="200">
                  <c:v>-181</c:v>
                </c:pt>
                <c:pt idx="201">
                  <c:v>53</c:v>
                </c:pt>
                <c:pt idx="202">
                  <c:v>-348</c:v>
                </c:pt>
                <c:pt idx="203">
                  <c:v>18.542056074766357</c:v>
                </c:pt>
                <c:pt idx="204">
                  <c:v>260</c:v>
                </c:pt>
                <c:pt idx="205">
                  <c:v>90</c:v>
                </c:pt>
                <c:pt idx="206">
                  <c:v>90</c:v>
                </c:pt>
                <c:pt idx="207">
                  <c:v>-5.3619631901840483</c:v>
                </c:pt>
                <c:pt idx="208">
                  <c:v>90</c:v>
                </c:pt>
                <c:pt idx="209">
                  <c:v>0</c:v>
                </c:pt>
                <c:pt idx="210">
                  <c:v>165</c:v>
                </c:pt>
                <c:pt idx="211">
                  <c:v>202</c:v>
                </c:pt>
                <c:pt idx="212">
                  <c:v>-76</c:v>
                </c:pt>
                <c:pt idx="213">
                  <c:v>25</c:v>
                </c:pt>
                <c:pt idx="214">
                  <c:v>147</c:v>
                </c:pt>
                <c:pt idx="215">
                  <c:v>69</c:v>
                </c:pt>
                <c:pt idx="216">
                  <c:v>62</c:v>
                </c:pt>
                <c:pt idx="217">
                  <c:v>65</c:v>
                </c:pt>
                <c:pt idx="218">
                  <c:v>-31</c:v>
                </c:pt>
                <c:pt idx="219">
                  <c:v>4</c:v>
                </c:pt>
                <c:pt idx="220">
                  <c:v>-195</c:v>
                </c:pt>
                <c:pt idx="221">
                  <c:v>204</c:v>
                </c:pt>
                <c:pt idx="222">
                  <c:v>55</c:v>
                </c:pt>
                <c:pt idx="223">
                  <c:v>4</c:v>
                </c:pt>
                <c:pt idx="224">
                  <c:v>22</c:v>
                </c:pt>
                <c:pt idx="225">
                  <c:v>-36</c:v>
                </c:pt>
                <c:pt idx="226">
                  <c:v>-66.88</c:v>
                </c:pt>
                <c:pt idx="227">
                  <c:v>-8</c:v>
                </c:pt>
                <c:pt idx="228">
                  <c:v>-62</c:v>
                </c:pt>
                <c:pt idx="229">
                  <c:v>59</c:v>
                </c:pt>
                <c:pt idx="230">
                  <c:v>-17</c:v>
                </c:pt>
                <c:pt idx="231">
                  <c:v>-62</c:v>
                </c:pt>
                <c:pt idx="232">
                  <c:v>216</c:v>
                </c:pt>
                <c:pt idx="233">
                  <c:v>287</c:v>
                </c:pt>
                <c:pt idx="234">
                  <c:v>-253</c:v>
                </c:pt>
                <c:pt idx="235">
                  <c:v>48</c:v>
                </c:pt>
                <c:pt idx="236">
                  <c:v>-23.555555555555554</c:v>
                </c:pt>
                <c:pt idx="237">
                  <c:v>76</c:v>
                </c:pt>
                <c:pt idx="238">
                  <c:v>-5</c:v>
                </c:pt>
                <c:pt idx="239">
                  <c:v>0</c:v>
                </c:pt>
                <c:pt idx="240">
                  <c:v>85</c:v>
                </c:pt>
                <c:pt idx="241">
                  <c:v>60</c:v>
                </c:pt>
                <c:pt idx="242">
                  <c:v>18</c:v>
                </c:pt>
                <c:pt idx="243">
                  <c:v>4</c:v>
                </c:pt>
                <c:pt idx="244">
                  <c:v>177</c:v>
                </c:pt>
                <c:pt idx="245">
                  <c:v>163</c:v>
                </c:pt>
                <c:pt idx="246">
                  <c:v>87</c:v>
                </c:pt>
                <c:pt idx="247">
                  <c:v>-15</c:v>
                </c:pt>
                <c:pt idx="248">
                  <c:v>3</c:v>
                </c:pt>
                <c:pt idx="249">
                  <c:v>83</c:v>
                </c:pt>
                <c:pt idx="250">
                  <c:v>9</c:v>
                </c:pt>
                <c:pt idx="251">
                  <c:v>11</c:v>
                </c:pt>
                <c:pt idx="252">
                  <c:v>6</c:v>
                </c:pt>
                <c:pt idx="253">
                  <c:v>-91</c:v>
                </c:pt>
                <c:pt idx="254">
                  <c:v>629</c:v>
                </c:pt>
                <c:pt idx="255">
                  <c:v>102</c:v>
                </c:pt>
                <c:pt idx="256">
                  <c:v>18</c:v>
                </c:pt>
                <c:pt idx="257">
                  <c:v>13</c:v>
                </c:pt>
                <c:pt idx="258">
                  <c:v>55</c:v>
                </c:pt>
                <c:pt idx="259">
                  <c:v>126</c:v>
                </c:pt>
                <c:pt idx="260">
                  <c:v>11</c:v>
                </c:pt>
                <c:pt idx="261">
                  <c:v>202.19400711020822</c:v>
                </c:pt>
                <c:pt idx="262">
                  <c:v>-3</c:v>
                </c:pt>
                <c:pt idx="263">
                  <c:v>50</c:v>
                </c:pt>
                <c:pt idx="264">
                  <c:v>35</c:v>
                </c:pt>
                <c:pt idx="265">
                  <c:v>-15.120000000000001</c:v>
                </c:pt>
                <c:pt idx="266">
                  <c:v>24</c:v>
                </c:pt>
                <c:pt idx="267">
                  <c:v>-180</c:v>
                </c:pt>
                <c:pt idx="268">
                  <c:v>284</c:v>
                </c:pt>
                <c:pt idx="269">
                  <c:v>94</c:v>
                </c:pt>
                <c:pt idx="270">
                  <c:v>0</c:v>
                </c:pt>
                <c:pt idx="271">
                  <c:v>237</c:v>
                </c:pt>
                <c:pt idx="272">
                  <c:v>-303</c:v>
                </c:pt>
                <c:pt idx="273">
                  <c:v>278</c:v>
                </c:pt>
                <c:pt idx="274">
                  <c:v>13.389999999999999</c:v>
                </c:pt>
                <c:pt idx="275">
                  <c:v>20.041666666666668</c:v>
                </c:pt>
                <c:pt idx="276">
                  <c:v>-27</c:v>
                </c:pt>
                <c:pt idx="277">
                  <c:v>58</c:v>
                </c:pt>
                <c:pt idx="278">
                  <c:v>-13.054054054054054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13-5442-BF38-59B74B2A1AD8}"/>
            </c:ext>
          </c:extLst>
        </c:ser>
        <c:ser>
          <c:idx val="1"/>
          <c:order val="1"/>
          <c:tx>
            <c:v>Predicted 2017 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1,3,4,5'!$DD$28:$DD$306</c:f>
              <c:numCache>
                <c:formatCode>General</c:formatCode>
                <c:ptCount val="279"/>
                <c:pt idx="0">
                  <c:v>43.24006044322104</c:v>
                </c:pt>
                <c:pt idx="1">
                  <c:v>46.34702827658743</c:v>
                </c:pt>
                <c:pt idx="2">
                  <c:v>36.145817223701101</c:v>
                </c:pt>
                <c:pt idx="3">
                  <c:v>36.145817223701101</c:v>
                </c:pt>
                <c:pt idx="4">
                  <c:v>108.48638494391533</c:v>
                </c:pt>
                <c:pt idx="5">
                  <c:v>78.089882974147429</c:v>
                </c:pt>
                <c:pt idx="6">
                  <c:v>103.56701920775187</c:v>
                </c:pt>
                <c:pt idx="7">
                  <c:v>36.145817223701101</c:v>
                </c:pt>
                <c:pt idx="8">
                  <c:v>60.690863107295627</c:v>
                </c:pt>
                <c:pt idx="9">
                  <c:v>38.683174287616993</c:v>
                </c:pt>
                <c:pt idx="10">
                  <c:v>36.145817223701101</c:v>
                </c:pt>
                <c:pt idx="11">
                  <c:v>39.11508989172512</c:v>
                </c:pt>
                <c:pt idx="12">
                  <c:v>36.145817223701101</c:v>
                </c:pt>
                <c:pt idx="13">
                  <c:v>36.818993587597156</c:v>
                </c:pt>
                <c:pt idx="14">
                  <c:v>36.145817223701101</c:v>
                </c:pt>
                <c:pt idx="15">
                  <c:v>36.145817223701101</c:v>
                </c:pt>
                <c:pt idx="16">
                  <c:v>36.145817223701101</c:v>
                </c:pt>
                <c:pt idx="17">
                  <c:v>46.723058495672433</c:v>
                </c:pt>
                <c:pt idx="18">
                  <c:v>55.460800587795525</c:v>
                </c:pt>
                <c:pt idx="19">
                  <c:v>52.198484362760809</c:v>
                </c:pt>
                <c:pt idx="20">
                  <c:v>37.6993011403843</c:v>
                </c:pt>
                <c:pt idx="21">
                  <c:v>36.770546492035969</c:v>
                </c:pt>
                <c:pt idx="22">
                  <c:v>36.145817223701101</c:v>
                </c:pt>
                <c:pt idx="23">
                  <c:v>44.068585198785406</c:v>
                </c:pt>
                <c:pt idx="24">
                  <c:v>47.020204640483485</c:v>
                </c:pt>
                <c:pt idx="25">
                  <c:v>68.199368704597745</c:v>
                </c:pt>
                <c:pt idx="26">
                  <c:v>46.554159465478527</c:v>
                </c:pt>
                <c:pt idx="27">
                  <c:v>38.165346315389257</c:v>
                </c:pt>
                <c:pt idx="28">
                  <c:v>45.673851912691376</c:v>
                </c:pt>
                <c:pt idx="29">
                  <c:v>53.182357509993501</c:v>
                </c:pt>
                <c:pt idx="30">
                  <c:v>47.227335829374574</c:v>
                </c:pt>
                <c:pt idx="31">
                  <c:v>71.461684929632455</c:v>
                </c:pt>
                <c:pt idx="32">
                  <c:v>61.519387862859993</c:v>
                </c:pt>
                <c:pt idx="33">
                  <c:v>36.145817223701101</c:v>
                </c:pt>
                <c:pt idx="34">
                  <c:v>76.484616260241467</c:v>
                </c:pt>
                <c:pt idx="35">
                  <c:v>36.145817223701101</c:v>
                </c:pt>
                <c:pt idx="36">
                  <c:v>60.794428701741168</c:v>
                </c:pt>
                <c:pt idx="37">
                  <c:v>41.841924918206161</c:v>
                </c:pt>
                <c:pt idx="38">
                  <c:v>36.145817223701101</c:v>
                </c:pt>
                <c:pt idx="39">
                  <c:v>43.395408834889359</c:v>
                </c:pt>
                <c:pt idx="40">
                  <c:v>92.443038708355729</c:v>
                </c:pt>
                <c:pt idx="41">
                  <c:v>39.252785057067499</c:v>
                </c:pt>
                <c:pt idx="42">
                  <c:v>73.377648426875069</c:v>
                </c:pt>
                <c:pt idx="43">
                  <c:v>36.145817223701101</c:v>
                </c:pt>
                <c:pt idx="44">
                  <c:v>43.65432282100322</c:v>
                </c:pt>
                <c:pt idx="45">
                  <c:v>38.476043098725896</c:v>
                </c:pt>
                <c:pt idx="46">
                  <c:v>46.502376668255749</c:v>
                </c:pt>
                <c:pt idx="47">
                  <c:v>57.687460868374771</c:v>
                </c:pt>
                <c:pt idx="48">
                  <c:v>44.89710995434978</c:v>
                </c:pt>
                <c:pt idx="49">
                  <c:v>36.145817223701101</c:v>
                </c:pt>
                <c:pt idx="50">
                  <c:v>36.145817223701101</c:v>
                </c:pt>
                <c:pt idx="51">
                  <c:v>39.874178623740775</c:v>
                </c:pt>
                <c:pt idx="52">
                  <c:v>36.145817223701101</c:v>
                </c:pt>
                <c:pt idx="53">
                  <c:v>36.145817223701101</c:v>
                </c:pt>
                <c:pt idx="54">
                  <c:v>43.913236807117087</c:v>
                </c:pt>
                <c:pt idx="55">
                  <c:v>46.502376668255749</c:v>
                </c:pt>
                <c:pt idx="56">
                  <c:v>36.145817223701101</c:v>
                </c:pt>
                <c:pt idx="57">
                  <c:v>136.190181458099</c:v>
                </c:pt>
                <c:pt idx="58">
                  <c:v>43.188277645998262</c:v>
                </c:pt>
                <c:pt idx="59">
                  <c:v>39.770613029295227</c:v>
                </c:pt>
                <c:pt idx="60">
                  <c:v>38.890305476508082</c:v>
                </c:pt>
                <c:pt idx="61">
                  <c:v>37.388604357047662</c:v>
                </c:pt>
                <c:pt idx="62">
                  <c:v>36.145817223701101</c:v>
                </c:pt>
                <c:pt idx="63">
                  <c:v>39.925961420963546</c:v>
                </c:pt>
                <c:pt idx="64">
                  <c:v>38.476043098725896</c:v>
                </c:pt>
                <c:pt idx="65">
                  <c:v>39.252785057067499</c:v>
                </c:pt>
                <c:pt idx="66">
                  <c:v>38.009997923720938</c:v>
                </c:pt>
                <c:pt idx="67">
                  <c:v>49.609344501622147</c:v>
                </c:pt>
                <c:pt idx="68">
                  <c:v>57.687460868374771</c:v>
                </c:pt>
                <c:pt idx="69">
                  <c:v>42.359752890433889</c:v>
                </c:pt>
                <c:pt idx="70">
                  <c:v>38.579608693171444</c:v>
                </c:pt>
                <c:pt idx="71">
                  <c:v>59.396293176726289</c:v>
                </c:pt>
                <c:pt idx="72">
                  <c:v>46.29524547936466</c:v>
                </c:pt>
                <c:pt idx="73">
                  <c:v>40.443789393191281</c:v>
                </c:pt>
                <c:pt idx="74">
                  <c:v>36.145817223701101</c:v>
                </c:pt>
                <c:pt idx="75">
                  <c:v>41.866383019484566</c:v>
                </c:pt>
                <c:pt idx="76">
                  <c:v>43.809671212671546</c:v>
                </c:pt>
                <c:pt idx="77">
                  <c:v>41.220531351532877</c:v>
                </c:pt>
                <c:pt idx="78">
                  <c:v>39.201002259844721</c:v>
                </c:pt>
                <c:pt idx="79">
                  <c:v>46.338225201059558</c:v>
                </c:pt>
                <c:pt idx="80">
                  <c:v>66.645884787914554</c:v>
                </c:pt>
                <c:pt idx="81">
                  <c:v>128.11206509134638</c:v>
                </c:pt>
                <c:pt idx="82">
                  <c:v>47.952294990493399</c:v>
                </c:pt>
                <c:pt idx="83">
                  <c:v>43.188277645998262</c:v>
                </c:pt>
                <c:pt idx="84">
                  <c:v>55.046538210013338</c:v>
                </c:pt>
                <c:pt idx="85">
                  <c:v>36.145817223701101</c:v>
                </c:pt>
                <c:pt idx="86">
                  <c:v>44.741761562681461</c:v>
                </c:pt>
                <c:pt idx="87">
                  <c:v>251.25155688710117</c:v>
                </c:pt>
                <c:pt idx="88">
                  <c:v>38.872181497480113</c:v>
                </c:pt>
                <c:pt idx="89">
                  <c:v>36.145817223701101</c:v>
                </c:pt>
                <c:pt idx="90">
                  <c:v>36.145817223701101</c:v>
                </c:pt>
                <c:pt idx="91">
                  <c:v>68.458282690711599</c:v>
                </c:pt>
                <c:pt idx="92">
                  <c:v>49.028537451691037</c:v>
                </c:pt>
                <c:pt idx="93">
                  <c:v>45.984548696028021</c:v>
                </c:pt>
                <c:pt idx="94">
                  <c:v>51.784221984978622</c:v>
                </c:pt>
                <c:pt idx="95">
                  <c:v>36.145817223701101</c:v>
                </c:pt>
                <c:pt idx="96">
                  <c:v>197.03496819485758</c:v>
                </c:pt>
                <c:pt idx="97">
                  <c:v>117.23767767456401</c:v>
                </c:pt>
                <c:pt idx="98">
                  <c:v>94.038984518761595</c:v>
                </c:pt>
                <c:pt idx="99">
                  <c:v>137.84723096922778</c:v>
                </c:pt>
                <c:pt idx="100">
                  <c:v>36.281099781445597</c:v>
                </c:pt>
                <c:pt idx="101">
                  <c:v>62.296129821201589</c:v>
                </c:pt>
                <c:pt idx="102">
                  <c:v>38.683174287616993</c:v>
                </c:pt>
                <c:pt idx="103">
                  <c:v>105.58654829944003</c:v>
                </c:pt>
                <c:pt idx="104">
                  <c:v>39.465800654733904</c:v>
                </c:pt>
                <c:pt idx="105">
                  <c:v>105.58654829944003</c:v>
                </c:pt>
                <c:pt idx="106">
                  <c:v>36.818993587597156</c:v>
                </c:pt>
                <c:pt idx="107">
                  <c:v>81.973592765855429</c:v>
                </c:pt>
                <c:pt idx="108">
                  <c:v>36.145817223701101</c:v>
                </c:pt>
                <c:pt idx="109">
                  <c:v>74.775783951889949</c:v>
                </c:pt>
                <c:pt idx="110">
                  <c:v>49.936495631739852</c:v>
                </c:pt>
                <c:pt idx="111">
                  <c:v>67.008364368473963</c:v>
                </c:pt>
                <c:pt idx="112">
                  <c:v>48.055860584938948</c:v>
                </c:pt>
                <c:pt idx="113">
                  <c:v>38.217129112612028</c:v>
                </c:pt>
                <c:pt idx="114">
                  <c:v>37.011987755160554</c:v>
                </c:pt>
                <c:pt idx="115">
                  <c:v>36.145817223701101</c:v>
                </c:pt>
                <c:pt idx="116">
                  <c:v>45.259589534909196</c:v>
                </c:pt>
                <c:pt idx="117">
                  <c:v>36.145817223701101</c:v>
                </c:pt>
                <c:pt idx="118">
                  <c:v>84.614515424216862</c:v>
                </c:pt>
                <c:pt idx="119">
                  <c:v>48.314774571052816</c:v>
                </c:pt>
                <c:pt idx="120">
                  <c:v>43.809671212671546</c:v>
                </c:pt>
                <c:pt idx="121">
                  <c:v>50.386086459963742</c:v>
                </c:pt>
                <c:pt idx="122">
                  <c:v>58.464202826716374</c:v>
                </c:pt>
                <c:pt idx="123">
                  <c:v>51.680656390533073</c:v>
                </c:pt>
                <c:pt idx="124">
                  <c:v>135.87948467476238</c:v>
                </c:pt>
                <c:pt idx="125">
                  <c:v>70.58137737684531</c:v>
                </c:pt>
                <c:pt idx="126">
                  <c:v>43.706105618225997</c:v>
                </c:pt>
                <c:pt idx="127">
                  <c:v>81.403981996404923</c:v>
                </c:pt>
                <c:pt idx="128">
                  <c:v>40.54735498763683</c:v>
                </c:pt>
                <c:pt idx="129">
                  <c:v>41.116965757087335</c:v>
                </c:pt>
                <c:pt idx="130">
                  <c:v>41.324096945978425</c:v>
                </c:pt>
                <c:pt idx="131">
                  <c:v>36.145817223701101</c:v>
                </c:pt>
                <c:pt idx="132">
                  <c:v>52.198484362760809</c:v>
                </c:pt>
                <c:pt idx="133">
                  <c:v>104.31838759545431</c:v>
                </c:pt>
                <c:pt idx="134">
                  <c:v>36.145817223701101</c:v>
                </c:pt>
                <c:pt idx="135">
                  <c:v>79.021973324157358</c:v>
                </c:pt>
                <c:pt idx="136">
                  <c:v>49.505778907176598</c:v>
                </c:pt>
                <c:pt idx="137">
                  <c:v>47.330901423820123</c:v>
                </c:pt>
                <c:pt idx="138">
                  <c:v>41.324096945978425</c:v>
                </c:pt>
                <c:pt idx="139">
                  <c:v>40.133092609854643</c:v>
                </c:pt>
                <c:pt idx="140">
                  <c:v>60.639080310072849</c:v>
                </c:pt>
                <c:pt idx="141">
                  <c:v>45.984548696028021</c:v>
                </c:pt>
                <c:pt idx="142">
                  <c:v>36.145817223701101</c:v>
                </c:pt>
                <c:pt idx="143">
                  <c:v>50.598971292990697</c:v>
                </c:pt>
                <c:pt idx="144">
                  <c:v>38.734957084839763</c:v>
                </c:pt>
                <c:pt idx="145">
                  <c:v>36.145817223701101</c:v>
                </c:pt>
                <c:pt idx="146">
                  <c:v>36.145817223701101</c:v>
                </c:pt>
                <c:pt idx="147">
                  <c:v>49.19508212383996</c:v>
                </c:pt>
                <c:pt idx="148">
                  <c:v>51.732439187755851</c:v>
                </c:pt>
                <c:pt idx="149">
                  <c:v>45.932765898805243</c:v>
                </c:pt>
                <c:pt idx="150">
                  <c:v>148.82518398045568</c:v>
                </c:pt>
                <c:pt idx="151">
                  <c:v>36.145817223701101</c:v>
                </c:pt>
                <c:pt idx="152">
                  <c:v>42.100838904320028</c:v>
                </c:pt>
                <c:pt idx="153">
                  <c:v>45.725634709914154</c:v>
                </c:pt>
                <c:pt idx="154">
                  <c:v>43.706105618225997</c:v>
                </c:pt>
                <c:pt idx="155">
                  <c:v>57.376764085038133</c:v>
                </c:pt>
                <c:pt idx="156">
                  <c:v>39.459916245958588</c:v>
                </c:pt>
                <c:pt idx="157">
                  <c:v>38.993871070953631</c:v>
                </c:pt>
                <c:pt idx="158">
                  <c:v>41.324096945978425</c:v>
                </c:pt>
                <c:pt idx="159">
                  <c:v>51.421742404419206</c:v>
                </c:pt>
                <c:pt idx="160">
                  <c:v>49.350430515508279</c:v>
                </c:pt>
                <c:pt idx="161">
                  <c:v>64.471007304558071</c:v>
                </c:pt>
                <c:pt idx="162">
                  <c:v>46.709507857146846</c:v>
                </c:pt>
                <c:pt idx="163">
                  <c:v>37.6993011403843</c:v>
                </c:pt>
                <c:pt idx="164">
                  <c:v>65.040618074008577</c:v>
                </c:pt>
                <c:pt idx="165">
                  <c:v>45.311372332131967</c:v>
                </c:pt>
                <c:pt idx="166">
                  <c:v>48.159426179384496</c:v>
                </c:pt>
                <c:pt idx="167">
                  <c:v>36.145817223701101</c:v>
                </c:pt>
                <c:pt idx="168">
                  <c:v>46.663326754087834</c:v>
                </c:pt>
                <c:pt idx="169">
                  <c:v>42.825798065438853</c:v>
                </c:pt>
                <c:pt idx="170">
                  <c:v>44.586413171013142</c:v>
                </c:pt>
                <c:pt idx="171">
                  <c:v>39.14921946262195</c:v>
                </c:pt>
                <c:pt idx="172">
                  <c:v>61.116517700466815</c:v>
                </c:pt>
                <c:pt idx="173">
                  <c:v>71.97951290186019</c:v>
                </c:pt>
                <c:pt idx="174">
                  <c:v>132.41003726083659</c:v>
                </c:pt>
                <c:pt idx="175">
                  <c:v>71.720598915746322</c:v>
                </c:pt>
                <c:pt idx="176">
                  <c:v>50.023606879404333</c:v>
                </c:pt>
                <c:pt idx="177">
                  <c:v>53.803751076666778</c:v>
                </c:pt>
                <c:pt idx="178">
                  <c:v>36.145817223701101</c:v>
                </c:pt>
                <c:pt idx="179">
                  <c:v>49.298647718285508</c:v>
                </c:pt>
                <c:pt idx="180">
                  <c:v>338.14309062691467</c:v>
                </c:pt>
                <c:pt idx="181">
                  <c:v>40.979223516474754</c:v>
                </c:pt>
                <c:pt idx="182">
                  <c:v>38.485105088239884</c:v>
                </c:pt>
                <c:pt idx="183">
                  <c:v>43.291843240443811</c:v>
                </c:pt>
                <c:pt idx="184">
                  <c:v>72.96338604909289</c:v>
                </c:pt>
                <c:pt idx="185">
                  <c:v>52.02634155037159</c:v>
                </c:pt>
                <c:pt idx="186">
                  <c:v>44.948892751572558</c:v>
                </c:pt>
                <c:pt idx="187">
                  <c:v>70.943856957404734</c:v>
                </c:pt>
                <c:pt idx="188">
                  <c:v>80.782588429731646</c:v>
                </c:pt>
                <c:pt idx="189">
                  <c:v>206.40765449217955</c:v>
                </c:pt>
                <c:pt idx="190">
                  <c:v>145.66643334986651</c:v>
                </c:pt>
                <c:pt idx="191">
                  <c:v>125.10866285242554</c:v>
                </c:pt>
                <c:pt idx="192">
                  <c:v>162.39227685282228</c:v>
                </c:pt>
                <c:pt idx="193">
                  <c:v>36.272685076896899</c:v>
                </c:pt>
                <c:pt idx="194">
                  <c:v>63.849613737884795</c:v>
                </c:pt>
                <c:pt idx="195">
                  <c:v>40.54735498763683</c:v>
                </c:pt>
                <c:pt idx="196">
                  <c:v>116.46093571622241</c:v>
                </c:pt>
                <c:pt idx="197">
                  <c:v>40.614437247675419</c:v>
                </c:pt>
                <c:pt idx="198">
                  <c:v>116.46093571622241</c:v>
                </c:pt>
                <c:pt idx="199">
                  <c:v>36.663645195928837</c:v>
                </c:pt>
                <c:pt idx="200">
                  <c:v>92.071238224296209</c:v>
                </c:pt>
                <c:pt idx="201">
                  <c:v>36.145817223701101</c:v>
                </c:pt>
                <c:pt idx="202">
                  <c:v>74.516869965776081</c:v>
                </c:pt>
                <c:pt idx="203">
                  <c:v>51.709693473087903</c:v>
                </c:pt>
                <c:pt idx="204">
                  <c:v>68.406499893488842</c:v>
                </c:pt>
                <c:pt idx="205">
                  <c:v>66.801233179582866</c:v>
                </c:pt>
                <c:pt idx="206">
                  <c:v>43.602540023780449</c:v>
                </c:pt>
                <c:pt idx="207">
                  <c:v>37.368113618269319</c:v>
                </c:pt>
                <c:pt idx="208">
                  <c:v>42.566884079324986</c:v>
                </c:pt>
                <c:pt idx="209">
                  <c:v>49.453996109953827</c:v>
                </c:pt>
                <c:pt idx="210">
                  <c:v>36.145817223701101</c:v>
                </c:pt>
                <c:pt idx="211">
                  <c:v>90.310623118721921</c:v>
                </c:pt>
                <c:pt idx="212">
                  <c:v>45.259589534909196</c:v>
                </c:pt>
                <c:pt idx="213">
                  <c:v>52.09491876831526</c:v>
                </c:pt>
                <c:pt idx="214">
                  <c:v>45.622069115468605</c:v>
                </c:pt>
                <c:pt idx="215">
                  <c:v>77.72740339358802</c:v>
                </c:pt>
                <c:pt idx="216">
                  <c:v>50.64500044607761</c:v>
                </c:pt>
                <c:pt idx="217">
                  <c:v>157.05864873887663</c:v>
                </c:pt>
                <c:pt idx="218">
                  <c:v>74.620435560221622</c:v>
                </c:pt>
                <c:pt idx="219">
                  <c:v>42.256187295988347</c:v>
                </c:pt>
                <c:pt idx="220">
                  <c:v>88.653573607593174</c:v>
                </c:pt>
                <c:pt idx="221">
                  <c:v>54.269796251671735</c:v>
                </c:pt>
                <c:pt idx="222">
                  <c:v>45.466720723800286</c:v>
                </c:pt>
                <c:pt idx="223">
                  <c:v>41.324096945978425</c:v>
                </c:pt>
                <c:pt idx="224">
                  <c:v>36.145817223701101</c:v>
                </c:pt>
                <c:pt idx="225">
                  <c:v>53.959099468335097</c:v>
                </c:pt>
                <c:pt idx="226">
                  <c:v>112.54356710631963</c:v>
                </c:pt>
                <c:pt idx="227">
                  <c:v>36.145817223701101</c:v>
                </c:pt>
                <c:pt idx="228">
                  <c:v>70.426028985176998</c:v>
                </c:pt>
                <c:pt idx="229">
                  <c:v>41.634793729315064</c:v>
                </c:pt>
                <c:pt idx="230">
                  <c:v>51.473525201641984</c:v>
                </c:pt>
                <c:pt idx="231">
                  <c:v>41.324096945978425</c:v>
                </c:pt>
                <c:pt idx="232">
                  <c:v>43.44719163211213</c:v>
                </c:pt>
                <c:pt idx="233">
                  <c:v>85.184126193667367</c:v>
                </c:pt>
                <c:pt idx="234">
                  <c:v>53.49305429333014</c:v>
                </c:pt>
                <c:pt idx="235">
                  <c:v>39.045653868176402</c:v>
                </c:pt>
                <c:pt idx="236">
                  <c:v>38.337955639465171</c:v>
                </c:pt>
                <c:pt idx="237">
                  <c:v>42.566884079324986</c:v>
                </c:pt>
                <c:pt idx="238">
                  <c:v>60.173035135067892</c:v>
                </c:pt>
                <c:pt idx="239">
                  <c:v>36.145817223701101</c:v>
                </c:pt>
                <c:pt idx="240">
                  <c:v>43.913236807117087</c:v>
                </c:pt>
                <c:pt idx="241">
                  <c:v>58.153506043379736</c:v>
                </c:pt>
                <c:pt idx="242">
                  <c:v>48.107643382161726</c:v>
                </c:pt>
                <c:pt idx="243">
                  <c:v>161.35662090836684</c:v>
                </c:pt>
                <c:pt idx="244">
                  <c:v>58.101723246156958</c:v>
                </c:pt>
                <c:pt idx="245">
                  <c:v>40.80626897375069</c:v>
                </c:pt>
                <c:pt idx="246">
                  <c:v>48.107643382161726</c:v>
                </c:pt>
                <c:pt idx="247">
                  <c:v>43.498974429334901</c:v>
                </c:pt>
                <c:pt idx="248">
                  <c:v>51.680656390533073</c:v>
                </c:pt>
                <c:pt idx="249">
                  <c:v>43.498974429334901</c:v>
                </c:pt>
                <c:pt idx="250">
                  <c:v>40.184875407077413</c:v>
                </c:pt>
                <c:pt idx="251">
                  <c:v>44.068585198785406</c:v>
                </c:pt>
                <c:pt idx="252">
                  <c:v>49.920041284958785</c:v>
                </c:pt>
                <c:pt idx="253">
                  <c:v>36.145817223701101</c:v>
                </c:pt>
                <c:pt idx="254">
                  <c:v>101.28857612994985</c:v>
                </c:pt>
                <c:pt idx="255">
                  <c:v>42.670449673770534</c:v>
                </c:pt>
                <c:pt idx="256">
                  <c:v>40.184875407077413</c:v>
                </c:pt>
                <c:pt idx="257">
                  <c:v>59.292727582280747</c:v>
                </c:pt>
                <c:pt idx="258">
                  <c:v>48.521905759943905</c:v>
                </c:pt>
                <c:pt idx="259">
                  <c:v>47.693381004379532</c:v>
                </c:pt>
                <c:pt idx="260">
                  <c:v>36.145817223701101</c:v>
                </c:pt>
                <c:pt idx="261">
                  <c:v>48.069799072764276</c:v>
                </c:pt>
                <c:pt idx="262">
                  <c:v>47.020204640483485</c:v>
                </c:pt>
                <c:pt idx="263">
                  <c:v>44.379281982122052</c:v>
                </c:pt>
                <c:pt idx="264">
                  <c:v>38.631391490394215</c:v>
                </c:pt>
                <c:pt idx="265">
                  <c:v>70.134491836812771</c:v>
                </c:pt>
                <c:pt idx="266">
                  <c:v>72.393775279642369</c:v>
                </c:pt>
                <c:pt idx="267">
                  <c:v>159.02639503334203</c:v>
                </c:pt>
                <c:pt idx="268">
                  <c:v>76.898878638023646</c:v>
                </c:pt>
                <c:pt idx="269">
                  <c:v>57.169632896147036</c:v>
                </c:pt>
                <c:pt idx="270">
                  <c:v>70.011766607394804</c:v>
                </c:pt>
                <c:pt idx="271">
                  <c:v>50.955697229414248</c:v>
                </c:pt>
                <c:pt idx="272">
                  <c:v>47.071987437706255</c:v>
                </c:pt>
                <c:pt idx="273">
                  <c:v>364.55231721052905</c:v>
                </c:pt>
                <c:pt idx="274">
                  <c:v>43.274754917360298</c:v>
                </c:pt>
                <c:pt idx="275">
                  <c:v>42.058549619921429</c:v>
                </c:pt>
                <c:pt idx="276">
                  <c:v>36.145817223701101</c:v>
                </c:pt>
                <c:pt idx="277">
                  <c:v>62.917523387874873</c:v>
                </c:pt>
                <c:pt idx="278">
                  <c:v>52.682723493546739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13-5442-BF38-59B74B2A1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567808"/>
        <c:axId val="1456569440"/>
      </c:scatterChart>
      <c:valAx>
        <c:axId val="14565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6569440"/>
        <c:crosses val="autoZero"/>
        <c:crossBetween val="midCat"/>
      </c:valAx>
      <c:valAx>
        <c:axId val="1456569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2017  - Výsledek hospodaření před zdaněním celkem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6567808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'VO 1,3,4,5'!$DH$28:$DH$306</c:f>
              <c:numCache>
                <c:formatCode>General</c:formatCode>
                <c:ptCount val="279"/>
                <c:pt idx="0">
                  <c:v>0.17921146953405018</c:v>
                </c:pt>
                <c:pt idx="1">
                  <c:v>0.5376344086021505</c:v>
                </c:pt>
                <c:pt idx="2">
                  <c:v>0.89605734767025091</c:v>
                </c:pt>
                <c:pt idx="3">
                  <c:v>1.2544802867383511</c:v>
                </c:pt>
                <c:pt idx="4">
                  <c:v>1.6129032258064515</c:v>
                </c:pt>
                <c:pt idx="5">
                  <c:v>1.9713261648745519</c:v>
                </c:pt>
                <c:pt idx="6">
                  <c:v>2.3297491039426523</c:v>
                </c:pt>
                <c:pt idx="7">
                  <c:v>2.688172043010753</c:v>
                </c:pt>
                <c:pt idx="8">
                  <c:v>3.0465949820788532</c:v>
                </c:pt>
                <c:pt idx="9">
                  <c:v>3.4050179211469533</c:v>
                </c:pt>
                <c:pt idx="10">
                  <c:v>3.763440860215054</c:v>
                </c:pt>
                <c:pt idx="11">
                  <c:v>4.1218637992831537</c:v>
                </c:pt>
                <c:pt idx="12">
                  <c:v>4.4802867383512543</c:v>
                </c:pt>
                <c:pt idx="13">
                  <c:v>4.838709677419355</c:v>
                </c:pt>
                <c:pt idx="14">
                  <c:v>5.1971326164874556</c:v>
                </c:pt>
                <c:pt idx="15">
                  <c:v>5.5555555555555554</c:v>
                </c:pt>
                <c:pt idx="16">
                  <c:v>5.913978494623656</c:v>
                </c:pt>
                <c:pt idx="17">
                  <c:v>6.2724014336917566</c:v>
                </c:pt>
                <c:pt idx="18">
                  <c:v>6.6308243727598564</c:v>
                </c:pt>
                <c:pt idx="19">
                  <c:v>6.989247311827957</c:v>
                </c:pt>
                <c:pt idx="20">
                  <c:v>7.3476702508960576</c:v>
                </c:pt>
                <c:pt idx="21">
                  <c:v>7.7060931899641574</c:v>
                </c:pt>
                <c:pt idx="22">
                  <c:v>8.064516129032258</c:v>
                </c:pt>
                <c:pt idx="23">
                  <c:v>8.4229390681003569</c:v>
                </c:pt>
                <c:pt idx="24">
                  <c:v>8.7813620071684575</c:v>
                </c:pt>
                <c:pt idx="25">
                  <c:v>9.1397849462365581</c:v>
                </c:pt>
                <c:pt idx="26">
                  <c:v>9.4982078853046588</c:v>
                </c:pt>
                <c:pt idx="27">
                  <c:v>9.8566308243727594</c:v>
                </c:pt>
                <c:pt idx="28">
                  <c:v>10.21505376344086</c:v>
                </c:pt>
                <c:pt idx="29">
                  <c:v>10.573476702508959</c:v>
                </c:pt>
                <c:pt idx="30">
                  <c:v>10.93189964157706</c:v>
                </c:pt>
                <c:pt idx="31">
                  <c:v>11.29032258064516</c:v>
                </c:pt>
                <c:pt idx="32">
                  <c:v>11.648745519713261</c:v>
                </c:pt>
                <c:pt idx="33">
                  <c:v>12.007168458781361</c:v>
                </c:pt>
                <c:pt idx="34">
                  <c:v>12.365591397849462</c:v>
                </c:pt>
                <c:pt idx="35">
                  <c:v>12.724014336917563</c:v>
                </c:pt>
                <c:pt idx="36">
                  <c:v>13.082437275985662</c:v>
                </c:pt>
                <c:pt idx="37">
                  <c:v>13.440860215053762</c:v>
                </c:pt>
                <c:pt idx="38">
                  <c:v>13.799283154121863</c:v>
                </c:pt>
                <c:pt idx="39">
                  <c:v>14.157706093189963</c:v>
                </c:pt>
                <c:pt idx="40">
                  <c:v>14.516129032258064</c:v>
                </c:pt>
                <c:pt idx="41">
                  <c:v>14.874551971326165</c:v>
                </c:pt>
                <c:pt idx="42">
                  <c:v>15.232974910394264</c:v>
                </c:pt>
                <c:pt idx="43">
                  <c:v>15.591397849462364</c:v>
                </c:pt>
                <c:pt idx="44">
                  <c:v>15.949820788530465</c:v>
                </c:pt>
                <c:pt idx="45">
                  <c:v>16.308243727598565</c:v>
                </c:pt>
                <c:pt idx="46">
                  <c:v>16.666666666666664</c:v>
                </c:pt>
                <c:pt idx="47">
                  <c:v>17.025089605734767</c:v>
                </c:pt>
                <c:pt idx="48">
                  <c:v>17.383512544802866</c:v>
                </c:pt>
                <c:pt idx="49">
                  <c:v>17.741935483870968</c:v>
                </c:pt>
                <c:pt idx="50">
                  <c:v>18.100358422939067</c:v>
                </c:pt>
                <c:pt idx="51">
                  <c:v>18.458781362007169</c:v>
                </c:pt>
                <c:pt idx="52">
                  <c:v>18.817204301075268</c:v>
                </c:pt>
                <c:pt idx="53">
                  <c:v>19.175627240143367</c:v>
                </c:pt>
                <c:pt idx="54">
                  <c:v>19.534050179211469</c:v>
                </c:pt>
                <c:pt idx="55">
                  <c:v>19.892473118279568</c:v>
                </c:pt>
                <c:pt idx="56">
                  <c:v>20.250896057347671</c:v>
                </c:pt>
                <c:pt idx="57">
                  <c:v>20.609318996415769</c:v>
                </c:pt>
                <c:pt idx="58">
                  <c:v>20.967741935483868</c:v>
                </c:pt>
                <c:pt idx="59">
                  <c:v>21.326164874551971</c:v>
                </c:pt>
                <c:pt idx="60">
                  <c:v>21.68458781362007</c:v>
                </c:pt>
                <c:pt idx="61">
                  <c:v>22.043010752688172</c:v>
                </c:pt>
                <c:pt idx="62">
                  <c:v>22.401433691756271</c:v>
                </c:pt>
                <c:pt idx="63">
                  <c:v>22.759856630824373</c:v>
                </c:pt>
                <c:pt idx="64">
                  <c:v>23.118279569892472</c:v>
                </c:pt>
                <c:pt idx="65">
                  <c:v>23.476702508960571</c:v>
                </c:pt>
                <c:pt idx="66">
                  <c:v>23.835125448028673</c:v>
                </c:pt>
                <c:pt idx="67">
                  <c:v>24.193548387096772</c:v>
                </c:pt>
                <c:pt idx="68">
                  <c:v>24.551971326164875</c:v>
                </c:pt>
                <c:pt idx="69">
                  <c:v>24.910394265232974</c:v>
                </c:pt>
                <c:pt idx="70">
                  <c:v>25.268817204301076</c:v>
                </c:pt>
                <c:pt idx="71">
                  <c:v>25.627240143369175</c:v>
                </c:pt>
                <c:pt idx="72">
                  <c:v>25.985663082437274</c:v>
                </c:pt>
                <c:pt idx="73">
                  <c:v>26.344086021505376</c:v>
                </c:pt>
                <c:pt idx="74">
                  <c:v>26.702508960573475</c:v>
                </c:pt>
                <c:pt idx="75">
                  <c:v>27.060931899641577</c:v>
                </c:pt>
                <c:pt idx="76">
                  <c:v>27.419354838709676</c:v>
                </c:pt>
                <c:pt idx="77">
                  <c:v>27.777777777777775</c:v>
                </c:pt>
                <c:pt idx="78">
                  <c:v>28.136200716845877</c:v>
                </c:pt>
                <c:pt idx="79">
                  <c:v>28.494623655913976</c:v>
                </c:pt>
                <c:pt idx="80">
                  <c:v>28.853046594982079</c:v>
                </c:pt>
                <c:pt idx="81">
                  <c:v>29.211469534050178</c:v>
                </c:pt>
                <c:pt idx="82">
                  <c:v>29.56989247311828</c:v>
                </c:pt>
                <c:pt idx="83">
                  <c:v>29.928315412186379</c:v>
                </c:pt>
                <c:pt idx="84">
                  <c:v>30.286738351254478</c:v>
                </c:pt>
                <c:pt idx="85">
                  <c:v>30.64516129032258</c:v>
                </c:pt>
                <c:pt idx="86">
                  <c:v>31.003584229390679</c:v>
                </c:pt>
                <c:pt idx="87">
                  <c:v>31.362007168458781</c:v>
                </c:pt>
                <c:pt idx="88">
                  <c:v>31.72043010752688</c:v>
                </c:pt>
                <c:pt idx="89">
                  <c:v>32.078853046594986</c:v>
                </c:pt>
                <c:pt idx="90">
                  <c:v>32.437275985663085</c:v>
                </c:pt>
                <c:pt idx="91">
                  <c:v>32.795698924731184</c:v>
                </c:pt>
                <c:pt idx="92">
                  <c:v>33.154121863799283</c:v>
                </c:pt>
                <c:pt idx="93">
                  <c:v>33.512544802867389</c:v>
                </c:pt>
                <c:pt idx="94">
                  <c:v>33.870967741935488</c:v>
                </c:pt>
                <c:pt idx="95">
                  <c:v>34.229390681003586</c:v>
                </c:pt>
                <c:pt idx="96">
                  <c:v>34.587813620071685</c:v>
                </c:pt>
                <c:pt idx="97">
                  <c:v>34.946236559139784</c:v>
                </c:pt>
                <c:pt idx="98">
                  <c:v>35.30465949820789</c:v>
                </c:pt>
                <c:pt idx="99">
                  <c:v>35.663082437275989</c:v>
                </c:pt>
                <c:pt idx="100">
                  <c:v>36.021505376344088</c:v>
                </c:pt>
                <c:pt idx="101">
                  <c:v>36.379928315412187</c:v>
                </c:pt>
                <c:pt idx="102">
                  <c:v>36.738351254480293</c:v>
                </c:pt>
                <c:pt idx="103">
                  <c:v>37.096774193548391</c:v>
                </c:pt>
                <c:pt idx="104">
                  <c:v>37.45519713261649</c:v>
                </c:pt>
                <c:pt idx="105">
                  <c:v>37.813620071684589</c:v>
                </c:pt>
                <c:pt idx="106">
                  <c:v>38.172043010752688</c:v>
                </c:pt>
                <c:pt idx="107">
                  <c:v>38.530465949820794</c:v>
                </c:pt>
                <c:pt idx="108">
                  <c:v>38.888888888888893</c:v>
                </c:pt>
                <c:pt idx="109">
                  <c:v>39.247311827956992</c:v>
                </c:pt>
                <c:pt idx="110">
                  <c:v>39.605734767025091</c:v>
                </c:pt>
                <c:pt idx="111">
                  <c:v>39.964157706093189</c:v>
                </c:pt>
                <c:pt idx="112">
                  <c:v>40.322580645161295</c:v>
                </c:pt>
                <c:pt idx="113">
                  <c:v>40.681003584229394</c:v>
                </c:pt>
                <c:pt idx="114">
                  <c:v>41.039426523297493</c:v>
                </c:pt>
                <c:pt idx="115">
                  <c:v>41.397849462365592</c:v>
                </c:pt>
                <c:pt idx="116">
                  <c:v>41.756272401433691</c:v>
                </c:pt>
                <c:pt idx="117">
                  <c:v>42.114695340501797</c:v>
                </c:pt>
                <c:pt idx="118">
                  <c:v>42.473118279569896</c:v>
                </c:pt>
                <c:pt idx="119">
                  <c:v>42.831541218637994</c:v>
                </c:pt>
                <c:pt idx="120">
                  <c:v>43.189964157706093</c:v>
                </c:pt>
                <c:pt idx="121">
                  <c:v>43.548387096774199</c:v>
                </c:pt>
                <c:pt idx="122">
                  <c:v>43.906810035842298</c:v>
                </c:pt>
                <c:pt idx="123">
                  <c:v>44.265232974910397</c:v>
                </c:pt>
                <c:pt idx="124">
                  <c:v>44.623655913978496</c:v>
                </c:pt>
                <c:pt idx="125">
                  <c:v>44.982078853046595</c:v>
                </c:pt>
                <c:pt idx="126">
                  <c:v>45.340501792114701</c:v>
                </c:pt>
                <c:pt idx="127">
                  <c:v>45.6989247311828</c:v>
                </c:pt>
                <c:pt idx="128">
                  <c:v>46.057347670250898</c:v>
                </c:pt>
                <c:pt idx="129">
                  <c:v>46.415770609318997</c:v>
                </c:pt>
                <c:pt idx="130">
                  <c:v>46.774193548387096</c:v>
                </c:pt>
                <c:pt idx="131">
                  <c:v>47.132616487455202</c:v>
                </c:pt>
                <c:pt idx="132">
                  <c:v>47.491039426523301</c:v>
                </c:pt>
                <c:pt idx="133">
                  <c:v>47.8494623655914</c:v>
                </c:pt>
                <c:pt idx="134">
                  <c:v>48.207885304659499</c:v>
                </c:pt>
                <c:pt idx="135">
                  <c:v>48.566308243727597</c:v>
                </c:pt>
                <c:pt idx="136">
                  <c:v>48.924731182795703</c:v>
                </c:pt>
                <c:pt idx="137">
                  <c:v>49.283154121863802</c:v>
                </c:pt>
                <c:pt idx="138">
                  <c:v>49.641577060931901</c:v>
                </c:pt>
                <c:pt idx="139">
                  <c:v>50</c:v>
                </c:pt>
                <c:pt idx="140">
                  <c:v>50.358422939068106</c:v>
                </c:pt>
                <c:pt idx="141">
                  <c:v>50.716845878136205</c:v>
                </c:pt>
                <c:pt idx="142">
                  <c:v>51.075268817204304</c:v>
                </c:pt>
                <c:pt idx="143">
                  <c:v>51.433691756272403</c:v>
                </c:pt>
                <c:pt idx="144">
                  <c:v>51.792114695340501</c:v>
                </c:pt>
                <c:pt idx="145">
                  <c:v>52.150537634408607</c:v>
                </c:pt>
                <c:pt idx="146">
                  <c:v>52.508960573476706</c:v>
                </c:pt>
                <c:pt idx="147">
                  <c:v>52.867383512544805</c:v>
                </c:pt>
                <c:pt idx="148">
                  <c:v>53.225806451612904</c:v>
                </c:pt>
                <c:pt idx="149">
                  <c:v>53.584229390681003</c:v>
                </c:pt>
                <c:pt idx="150">
                  <c:v>53.942652329749109</c:v>
                </c:pt>
                <c:pt idx="151">
                  <c:v>54.301075268817208</c:v>
                </c:pt>
                <c:pt idx="152">
                  <c:v>54.659498207885306</c:v>
                </c:pt>
                <c:pt idx="153">
                  <c:v>55.017921146953405</c:v>
                </c:pt>
                <c:pt idx="154">
                  <c:v>55.376344086021504</c:v>
                </c:pt>
                <c:pt idx="155">
                  <c:v>55.73476702508961</c:v>
                </c:pt>
                <c:pt idx="156">
                  <c:v>56.093189964157709</c:v>
                </c:pt>
                <c:pt idx="157">
                  <c:v>56.451612903225808</c:v>
                </c:pt>
                <c:pt idx="158">
                  <c:v>56.810035842293907</c:v>
                </c:pt>
                <c:pt idx="159">
                  <c:v>57.168458781362013</c:v>
                </c:pt>
                <c:pt idx="160">
                  <c:v>57.526881720430111</c:v>
                </c:pt>
                <c:pt idx="161">
                  <c:v>57.88530465949821</c:v>
                </c:pt>
                <c:pt idx="162">
                  <c:v>58.243727598566309</c:v>
                </c:pt>
                <c:pt idx="163">
                  <c:v>58.602150537634408</c:v>
                </c:pt>
                <c:pt idx="164">
                  <c:v>58.960573476702514</c:v>
                </c:pt>
                <c:pt idx="165">
                  <c:v>59.318996415770613</c:v>
                </c:pt>
                <c:pt idx="166">
                  <c:v>59.677419354838712</c:v>
                </c:pt>
                <c:pt idx="167">
                  <c:v>60.035842293906811</c:v>
                </c:pt>
                <c:pt idx="168">
                  <c:v>60.394265232974909</c:v>
                </c:pt>
                <c:pt idx="169">
                  <c:v>60.752688172043015</c:v>
                </c:pt>
                <c:pt idx="170">
                  <c:v>61.111111111111114</c:v>
                </c:pt>
                <c:pt idx="171">
                  <c:v>61.469534050179213</c:v>
                </c:pt>
                <c:pt idx="172">
                  <c:v>61.827956989247312</c:v>
                </c:pt>
                <c:pt idx="173">
                  <c:v>62.186379928315411</c:v>
                </c:pt>
                <c:pt idx="174">
                  <c:v>62.544802867383517</c:v>
                </c:pt>
                <c:pt idx="175">
                  <c:v>62.903225806451616</c:v>
                </c:pt>
                <c:pt idx="176">
                  <c:v>63.261648745519715</c:v>
                </c:pt>
                <c:pt idx="177">
                  <c:v>63.620071684587813</c:v>
                </c:pt>
                <c:pt idx="178">
                  <c:v>63.978494623655919</c:v>
                </c:pt>
                <c:pt idx="179">
                  <c:v>64.336917562724011</c:v>
                </c:pt>
                <c:pt idx="180">
                  <c:v>64.695340501792117</c:v>
                </c:pt>
                <c:pt idx="181">
                  <c:v>65.053763440860223</c:v>
                </c:pt>
                <c:pt idx="182">
                  <c:v>65.412186379928315</c:v>
                </c:pt>
                <c:pt idx="183">
                  <c:v>65.770609318996421</c:v>
                </c:pt>
                <c:pt idx="184">
                  <c:v>66.129032258064512</c:v>
                </c:pt>
                <c:pt idx="185">
                  <c:v>66.487455197132618</c:v>
                </c:pt>
                <c:pt idx="186">
                  <c:v>66.845878136200724</c:v>
                </c:pt>
                <c:pt idx="187">
                  <c:v>67.204301075268816</c:v>
                </c:pt>
                <c:pt idx="188">
                  <c:v>67.562724014336922</c:v>
                </c:pt>
                <c:pt idx="189">
                  <c:v>67.921146953405014</c:v>
                </c:pt>
                <c:pt idx="190">
                  <c:v>68.27956989247312</c:v>
                </c:pt>
                <c:pt idx="191">
                  <c:v>68.637992831541226</c:v>
                </c:pt>
                <c:pt idx="192">
                  <c:v>68.996415770609318</c:v>
                </c:pt>
                <c:pt idx="193">
                  <c:v>69.354838709677423</c:v>
                </c:pt>
                <c:pt idx="194">
                  <c:v>69.713261648745515</c:v>
                </c:pt>
                <c:pt idx="195">
                  <c:v>70.071684587813621</c:v>
                </c:pt>
                <c:pt idx="196">
                  <c:v>70.430107526881727</c:v>
                </c:pt>
                <c:pt idx="197">
                  <c:v>70.788530465949819</c:v>
                </c:pt>
                <c:pt idx="198">
                  <c:v>71.146953405017925</c:v>
                </c:pt>
                <c:pt idx="199">
                  <c:v>71.505376344086017</c:v>
                </c:pt>
                <c:pt idx="200">
                  <c:v>71.863799283154123</c:v>
                </c:pt>
                <c:pt idx="201">
                  <c:v>72.222222222222229</c:v>
                </c:pt>
                <c:pt idx="202">
                  <c:v>72.58064516129032</c:v>
                </c:pt>
                <c:pt idx="203">
                  <c:v>72.939068100358426</c:v>
                </c:pt>
                <c:pt idx="204">
                  <c:v>73.297491039426532</c:v>
                </c:pt>
                <c:pt idx="205">
                  <c:v>73.655913978494624</c:v>
                </c:pt>
                <c:pt idx="206">
                  <c:v>74.01433691756273</c:v>
                </c:pt>
                <c:pt idx="207">
                  <c:v>74.372759856630822</c:v>
                </c:pt>
                <c:pt idx="208">
                  <c:v>74.731182795698928</c:v>
                </c:pt>
                <c:pt idx="209">
                  <c:v>75.089605734767034</c:v>
                </c:pt>
                <c:pt idx="210">
                  <c:v>75.448028673835125</c:v>
                </c:pt>
                <c:pt idx="211">
                  <c:v>75.806451612903231</c:v>
                </c:pt>
                <c:pt idx="212">
                  <c:v>76.164874551971323</c:v>
                </c:pt>
                <c:pt idx="213">
                  <c:v>76.523297491039429</c:v>
                </c:pt>
                <c:pt idx="214">
                  <c:v>76.881720430107535</c:v>
                </c:pt>
                <c:pt idx="215">
                  <c:v>77.240143369175627</c:v>
                </c:pt>
                <c:pt idx="216">
                  <c:v>77.598566308243733</c:v>
                </c:pt>
                <c:pt idx="217">
                  <c:v>77.956989247311824</c:v>
                </c:pt>
                <c:pt idx="218">
                  <c:v>78.31541218637993</c:v>
                </c:pt>
                <c:pt idx="219">
                  <c:v>78.673835125448036</c:v>
                </c:pt>
                <c:pt idx="220">
                  <c:v>79.032258064516128</c:v>
                </c:pt>
                <c:pt idx="221">
                  <c:v>79.390681003584234</c:v>
                </c:pt>
                <c:pt idx="222">
                  <c:v>79.749103942652326</c:v>
                </c:pt>
                <c:pt idx="223">
                  <c:v>80.107526881720432</c:v>
                </c:pt>
                <c:pt idx="224">
                  <c:v>80.465949820788538</c:v>
                </c:pt>
                <c:pt idx="225">
                  <c:v>80.82437275985663</c:v>
                </c:pt>
                <c:pt idx="226">
                  <c:v>81.182795698924735</c:v>
                </c:pt>
                <c:pt idx="227">
                  <c:v>81.541218637992827</c:v>
                </c:pt>
                <c:pt idx="228">
                  <c:v>81.899641577060933</c:v>
                </c:pt>
                <c:pt idx="229">
                  <c:v>82.258064516129039</c:v>
                </c:pt>
                <c:pt idx="230">
                  <c:v>82.616487455197131</c:v>
                </c:pt>
                <c:pt idx="231">
                  <c:v>82.974910394265237</c:v>
                </c:pt>
                <c:pt idx="232">
                  <c:v>83.333333333333329</c:v>
                </c:pt>
                <c:pt idx="233">
                  <c:v>83.691756272401435</c:v>
                </c:pt>
                <c:pt idx="234">
                  <c:v>84.050179211469541</c:v>
                </c:pt>
                <c:pt idx="235">
                  <c:v>84.408602150537632</c:v>
                </c:pt>
                <c:pt idx="236">
                  <c:v>84.767025089605738</c:v>
                </c:pt>
                <c:pt idx="237">
                  <c:v>85.12544802867383</c:v>
                </c:pt>
                <c:pt idx="238">
                  <c:v>85.483870967741936</c:v>
                </c:pt>
                <c:pt idx="239">
                  <c:v>85.842293906810042</c:v>
                </c:pt>
                <c:pt idx="240">
                  <c:v>86.200716845878134</c:v>
                </c:pt>
                <c:pt idx="241">
                  <c:v>86.55913978494624</c:v>
                </c:pt>
                <c:pt idx="242">
                  <c:v>86.917562724014346</c:v>
                </c:pt>
                <c:pt idx="243">
                  <c:v>87.275985663082437</c:v>
                </c:pt>
                <c:pt idx="244">
                  <c:v>87.634408602150543</c:v>
                </c:pt>
                <c:pt idx="245">
                  <c:v>87.992831541218635</c:v>
                </c:pt>
                <c:pt idx="246">
                  <c:v>88.351254480286741</c:v>
                </c:pt>
                <c:pt idx="247">
                  <c:v>88.709677419354847</c:v>
                </c:pt>
                <c:pt idx="248">
                  <c:v>89.068100358422939</c:v>
                </c:pt>
                <c:pt idx="249">
                  <c:v>89.426523297491045</c:v>
                </c:pt>
                <c:pt idx="250">
                  <c:v>89.784946236559136</c:v>
                </c:pt>
                <c:pt idx="251">
                  <c:v>90.143369175627242</c:v>
                </c:pt>
                <c:pt idx="252">
                  <c:v>90.501792114695348</c:v>
                </c:pt>
                <c:pt idx="253">
                  <c:v>90.86021505376344</c:v>
                </c:pt>
                <c:pt idx="254">
                  <c:v>91.218637992831546</c:v>
                </c:pt>
                <c:pt idx="255">
                  <c:v>91.577060931899638</c:v>
                </c:pt>
                <c:pt idx="256">
                  <c:v>91.935483870967744</c:v>
                </c:pt>
                <c:pt idx="257">
                  <c:v>92.29390681003585</c:v>
                </c:pt>
                <c:pt idx="258">
                  <c:v>92.652329749103941</c:v>
                </c:pt>
                <c:pt idx="259">
                  <c:v>93.010752688172047</c:v>
                </c:pt>
                <c:pt idx="260">
                  <c:v>93.369175627240139</c:v>
                </c:pt>
                <c:pt idx="261">
                  <c:v>93.727598566308245</c:v>
                </c:pt>
                <c:pt idx="262">
                  <c:v>94.086021505376351</c:v>
                </c:pt>
                <c:pt idx="263">
                  <c:v>94.444444444444443</c:v>
                </c:pt>
                <c:pt idx="264">
                  <c:v>94.802867383512549</c:v>
                </c:pt>
                <c:pt idx="265">
                  <c:v>95.161290322580641</c:v>
                </c:pt>
                <c:pt idx="266">
                  <c:v>95.519713261648747</c:v>
                </c:pt>
                <c:pt idx="267">
                  <c:v>95.878136200716852</c:v>
                </c:pt>
                <c:pt idx="268">
                  <c:v>96.236559139784944</c:v>
                </c:pt>
                <c:pt idx="269">
                  <c:v>96.59498207885305</c:v>
                </c:pt>
                <c:pt idx="270">
                  <c:v>96.953405017921142</c:v>
                </c:pt>
                <c:pt idx="271">
                  <c:v>97.311827956989248</c:v>
                </c:pt>
                <c:pt idx="272">
                  <c:v>97.670250896057354</c:v>
                </c:pt>
                <c:pt idx="273">
                  <c:v>98.028673835125446</c:v>
                </c:pt>
                <c:pt idx="274">
                  <c:v>98.387096774193552</c:v>
                </c:pt>
                <c:pt idx="275">
                  <c:v>98.745519713261658</c:v>
                </c:pt>
                <c:pt idx="276">
                  <c:v>99.103942652329749</c:v>
                </c:pt>
                <c:pt idx="277">
                  <c:v>99.462365591397855</c:v>
                </c:pt>
                <c:pt idx="278">
                  <c:v>99.820788530465947</c:v>
                </c:pt>
              </c:numCache>
            </c:numRef>
          </c:xVal>
          <c:yVal>
            <c:numRef>
              <c:f>'VO 1,3,4,5'!$DI$28:$DI$306</c:f>
              <c:numCache>
                <c:formatCode>General</c:formatCode>
                <c:ptCount val="279"/>
                <c:pt idx="0">
                  <c:v>-784</c:v>
                </c:pt>
                <c:pt idx="1">
                  <c:v>-714</c:v>
                </c:pt>
                <c:pt idx="2">
                  <c:v>-554</c:v>
                </c:pt>
                <c:pt idx="3">
                  <c:v>-472</c:v>
                </c:pt>
                <c:pt idx="4">
                  <c:v>-391</c:v>
                </c:pt>
                <c:pt idx="5">
                  <c:v>-375</c:v>
                </c:pt>
                <c:pt idx="6">
                  <c:v>-358</c:v>
                </c:pt>
                <c:pt idx="7">
                  <c:v>-348</c:v>
                </c:pt>
                <c:pt idx="8">
                  <c:v>-315</c:v>
                </c:pt>
                <c:pt idx="9">
                  <c:v>-312</c:v>
                </c:pt>
                <c:pt idx="10">
                  <c:v>-303</c:v>
                </c:pt>
                <c:pt idx="11">
                  <c:v>-302</c:v>
                </c:pt>
                <c:pt idx="12">
                  <c:v>-291</c:v>
                </c:pt>
                <c:pt idx="13">
                  <c:v>-277</c:v>
                </c:pt>
                <c:pt idx="14">
                  <c:v>-270</c:v>
                </c:pt>
                <c:pt idx="15">
                  <c:v>-256</c:v>
                </c:pt>
                <c:pt idx="16">
                  <c:v>-253</c:v>
                </c:pt>
                <c:pt idx="17">
                  <c:v>-244</c:v>
                </c:pt>
                <c:pt idx="18">
                  <c:v>-232</c:v>
                </c:pt>
                <c:pt idx="19">
                  <c:v>-228</c:v>
                </c:pt>
                <c:pt idx="20">
                  <c:v>-195</c:v>
                </c:pt>
                <c:pt idx="21">
                  <c:v>-181</c:v>
                </c:pt>
                <c:pt idx="22">
                  <c:v>-180</c:v>
                </c:pt>
                <c:pt idx="23">
                  <c:v>-175</c:v>
                </c:pt>
                <c:pt idx="24">
                  <c:v>-133</c:v>
                </c:pt>
                <c:pt idx="25">
                  <c:v>-130.16216216216216</c:v>
                </c:pt>
                <c:pt idx="26">
                  <c:v>-118</c:v>
                </c:pt>
                <c:pt idx="27">
                  <c:v>-105.3</c:v>
                </c:pt>
                <c:pt idx="28">
                  <c:v>-97</c:v>
                </c:pt>
                <c:pt idx="29">
                  <c:v>-92</c:v>
                </c:pt>
                <c:pt idx="30">
                  <c:v>-91</c:v>
                </c:pt>
                <c:pt idx="31">
                  <c:v>-85</c:v>
                </c:pt>
                <c:pt idx="32">
                  <c:v>-84.530218384966986</c:v>
                </c:pt>
                <c:pt idx="33">
                  <c:v>-84</c:v>
                </c:pt>
                <c:pt idx="34">
                  <c:v>-82</c:v>
                </c:pt>
                <c:pt idx="35">
                  <c:v>-76</c:v>
                </c:pt>
                <c:pt idx="36">
                  <c:v>-75</c:v>
                </c:pt>
                <c:pt idx="37">
                  <c:v>-74.351351351351354</c:v>
                </c:pt>
                <c:pt idx="38">
                  <c:v>-71</c:v>
                </c:pt>
                <c:pt idx="39">
                  <c:v>-67</c:v>
                </c:pt>
                <c:pt idx="40">
                  <c:v>-66.88</c:v>
                </c:pt>
                <c:pt idx="41">
                  <c:v>-66</c:v>
                </c:pt>
                <c:pt idx="42">
                  <c:v>-63</c:v>
                </c:pt>
                <c:pt idx="43">
                  <c:v>-62</c:v>
                </c:pt>
                <c:pt idx="44">
                  <c:v>-62</c:v>
                </c:pt>
                <c:pt idx="45">
                  <c:v>-54</c:v>
                </c:pt>
                <c:pt idx="46">
                  <c:v>-45</c:v>
                </c:pt>
                <c:pt idx="47">
                  <c:v>-40</c:v>
                </c:pt>
                <c:pt idx="48">
                  <c:v>-40</c:v>
                </c:pt>
                <c:pt idx="49">
                  <c:v>-39</c:v>
                </c:pt>
                <c:pt idx="50">
                  <c:v>-36</c:v>
                </c:pt>
                <c:pt idx="51">
                  <c:v>-35</c:v>
                </c:pt>
                <c:pt idx="52">
                  <c:v>-34</c:v>
                </c:pt>
                <c:pt idx="53">
                  <c:v>-34</c:v>
                </c:pt>
                <c:pt idx="54">
                  <c:v>-31</c:v>
                </c:pt>
                <c:pt idx="55">
                  <c:v>-27</c:v>
                </c:pt>
                <c:pt idx="56">
                  <c:v>-26</c:v>
                </c:pt>
                <c:pt idx="57">
                  <c:v>-26</c:v>
                </c:pt>
                <c:pt idx="58">
                  <c:v>-25</c:v>
                </c:pt>
                <c:pt idx="59">
                  <c:v>-23.900000000000002</c:v>
                </c:pt>
                <c:pt idx="60">
                  <c:v>-23.555555555555554</c:v>
                </c:pt>
                <c:pt idx="61">
                  <c:v>-23</c:v>
                </c:pt>
                <c:pt idx="62">
                  <c:v>-22</c:v>
                </c:pt>
                <c:pt idx="63">
                  <c:v>-20</c:v>
                </c:pt>
                <c:pt idx="64">
                  <c:v>-20</c:v>
                </c:pt>
                <c:pt idx="65">
                  <c:v>-20</c:v>
                </c:pt>
                <c:pt idx="66">
                  <c:v>-19</c:v>
                </c:pt>
                <c:pt idx="67">
                  <c:v>-18.43</c:v>
                </c:pt>
                <c:pt idx="68">
                  <c:v>-17</c:v>
                </c:pt>
                <c:pt idx="69">
                  <c:v>-16</c:v>
                </c:pt>
                <c:pt idx="70">
                  <c:v>-15.120000000000001</c:v>
                </c:pt>
                <c:pt idx="71">
                  <c:v>-15</c:v>
                </c:pt>
                <c:pt idx="72">
                  <c:v>-15</c:v>
                </c:pt>
                <c:pt idx="73">
                  <c:v>-13.054054054054054</c:v>
                </c:pt>
                <c:pt idx="74">
                  <c:v>-12.725</c:v>
                </c:pt>
                <c:pt idx="75">
                  <c:v>-12</c:v>
                </c:pt>
                <c:pt idx="76">
                  <c:v>-10</c:v>
                </c:pt>
                <c:pt idx="77">
                  <c:v>-9.0681818181818183</c:v>
                </c:pt>
                <c:pt idx="78">
                  <c:v>-8</c:v>
                </c:pt>
                <c:pt idx="79">
                  <c:v>-7.4700000000000006</c:v>
                </c:pt>
                <c:pt idx="80">
                  <c:v>-6</c:v>
                </c:pt>
                <c:pt idx="81">
                  <c:v>-6</c:v>
                </c:pt>
                <c:pt idx="82">
                  <c:v>-5.3619631901840483</c:v>
                </c:pt>
                <c:pt idx="83">
                  <c:v>-5</c:v>
                </c:pt>
                <c:pt idx="84">
                  <c:v>-5</c:v>
                </c:pt>
                <c:pt idx="85">
                  <c:v>-3</c:v>
                </c:pt>
                <c:pt idx="86">
                  <c:v>-2.4581005586592179</c:v>
                </c:pt>
                <c:pt idx="87">
                  <c:v>-1.6319018404907977</c:v>
                </c:pt>
                <c:pt idx="88">
                  <c:v>-1</c:v>
                </c:pt>
                <c:pt idx="89">
                  <c:v>-1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0.10833333333333334</c:v>
                </c:pt>
                <c:pt idx="106">
                  <c:v>0.53749999999999998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1.8650306748466259</c:v>
                </c:pt>
                <c:pt idx="111">
                  <c:v>2</c:v>
                </c:pt>
                <c:pt idx="112">
                  <c:v>2</c:v>
                </c:pt>
                <c:pt idx="113">
                  <c:v>2.86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5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6.954545454545455</c:v>
                </c:pt>
                <c:pt idx="123">
                  <c:v>9</c:v>
                </c:pt>
                <c:pt idx="124">
                  <c:v>9</c:v>
                </c:pt>
                <c:pt idx="125">
                  <c:v>10</c:v>
                </c:pt>
                <c:pt idx="126">
                  <c:v>10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13.389999999999999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14.355140186915886</c:v>
                </c:pt>
                <c:pt idx="140">
                  <c:v>15</c:v>
                </c:pt>
                <c:pt idx="141">
                  <c:v>15.73</c:v>
                </c:pt>
                <c:pt idx="142">
                  <c:v>16</c:v>
                </c:pt>
                <c:pt idx="143">
                  <c:v>16</c:v>
                </c:pt>
                <c:pt idx="144">
                  <c:v>17.225000000000001</c:v>
                </c:pt>
                <c:pt idx="145">
                  <c:v>18</c:v>
                </c:pt>
                <c:pt idx="146">
                  <c:v>18</c:v>
                </c:pt>
                <c:pt idx="147">
                  <c:v>18.542056074766357</c:v>
                </c:pt>
                <c:pt idx="148">
                  <c:v>19</c:v>
                </c:pt>
                <c:pt idx="149">
                  <c:v>20.041666666666668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27</c:v>
                </c:pt>
                <c:pt idx="161">
                  <c:v>28</c:v>
                </c:pt>
                <c:pt idx="162">
                  <c:v>30</c:v>
                </c:pt>
                <c:pt idx="163">
                  <c:v>31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  <c:pt idx="168">
                  <c:v>35</c:v>
                </c:pt>
                <c:pt idx="169">
                  <c:v>35</c:v>
                </c:pt>
                <c:pt idx="170">
                  <c:v>37.383177570093459</c:v>
                </c:pt>
                <c:pt idx="171">
                  <c:v>39</c:v>
                </c:pt>
                <c:pt idx="172">
                  <c:v>40</c:v>
                </c:pt>
                <c:pt idx="173">
                  <c:v>40</c:v>
                </c:pt>
                <c:pt idx="174">
                  <c:v>40.159090909090914</c:v>
                </c:pt>
                <c:pt idx="175">
                  <c:v>42</c:v>
                </c:pt>
                <c:pt idx="176">
                  <c:v>43</c:v>
                </c:pt>
                <c:pt idx="177">
                  <c:v>44</c:v>
                </c:pt>
                <c:pt idx="178">
                  <c:v>44</c:v>
                </c:pt>
                <c:pt idx="179">
                  <c:v>45</c:v>
                </c:pt>
                <c:pt idx="180">
                  <c:v>46</c:v>
                </c:pt>
                <c:pt idx="181">
                  <c:v>48</c:v>
                </c:pt>
                <c:pt idx="182">
                  <c:v>48</c:v>
                </c:pt>
                <c:pt idx="183">
                  <c:v>50</c:v>
                </c:pt>
                <c:pt idx="184">
                  <c:v>53</c:v>
                </c:pt>
                <c:pt idx="185">
                  <c:v>53</c:v>
                </c:pt>
                <c:pt idx="186">
                  <c:v>54</c:v>
                </c:pt>
                <c:pt idx="187">
                  <c:v>55</c:v>
                </c:pt>
                <c:pt idx="188">
                  <c:v>55</c:v>
                </c:pt>
                <c:pt idx="189">
                  <c:v>55</c:v>
                </c:pt>
                <c:pt idx="190">
                  <c:v>55</c:v>
                </c:pt>
                <c:pt idx="191">
                  <c:v>58</c:v>
                </c:pt>
                <c:pt idx="192">
                  <c:v>59</c:v>
                </c:pt>
                <c:pt idx="193">
                  <c:v>59</c:v>
                </c:pt>
                <c:pt idx="194">
                  <c:v>59</c:v>
                </c:pt>
                <c:pt idx="195">
                  <c:v>60</c:v>
                </c:pt>
                <c:pt idx="196">
                  <c:v>62</c:v>
                </c:pt>
                <c:pt idx="197">
                  <c:v>62</c:v>
                </c:pt>
                <c:pt idx="198">
                  <c:v>64</c:v>
                </c:pt>
                <c:pt idx="199">
                  <c:v>65</c:v>
                </c:pt>
                <c:pt idx="200">
                  <c:v>66</c:v>
                </c:pt>
                <c:pt idx="201">
                  <c:v>68</c:v>
                </c:pt>
                <c:pt idx="202">
                  <c:v>69</c:v>
                </c:pt>
                <c:pt idx="203">
                  <c:v>73</c:v>
                </c:pt>
                <c:pt idx="204">
                  <c:v>76</c:v>
                </c:pt>
                <c:pt idx="205">
                  <c:v>77</c:v>
                </c:pt>
                <c:pt idx="206">
                  <c:v>78</c:v>
                </c:pt>
                <c:pt idx="207">
                  <c:v>78</c:v>
                </c:pt>
                <c:pt idx="208">
                  <c:v>80</c:v>
                </c:pt>
                <c:pt idx="209">
                  <c:v>83</c:v>
                </c:pt>
                <c:pt idx="210">
                  <c:v>85</c:v>
                </c:pt>
                <c:pt idx="211">
                  <c:v>87</c:v>
                </c:pt>
                <c:pt idx="212">
                  <c:v>88</c:v>
                </c:pt>
                <c:pt idx="213">
                  <c:v>90</c:v>
                </c:pt>
                <c:pt idx="214">
                  <c:v>90</c:v>
                </c:pt>
                <c:pt idx="215">
                  <c:v>90</c:v>
                </c:pt>
                <c:pt idx="216">
                  <c:v>91</c:v>
                </c:pt>
                <c:pt idx="217">
                  <c:v>92</c:v>
                </c:pt>
                <c:pt idx="218">
                  <c:v>92</c:v>
                </c:pt>
                <c:pt idx="219">
                  <c:v>94</c:v>
                </c:pt>
                <c:pt idx="220">
                  <c:v>94</c:v>
                </c:pt>
                <c:pt idx="221">
                  <c:v>95</c:v>
                </c:pt>
                <c:pt idx="222">
                  <c:v>95</c:v>
                </c:pt>
                <c:pt idx="223">
                  <c:v>100</c:v>
                </c:pt>
                <c:pt idx="224">
                  <c:v>100</c:v>
                </c:pt>
                <c:pt idx="225">
                  <c:v>102</c:v>
                </c:pt>
                <c:pt idx="226">
                  <c:v>105</c:v>
                </c:pt>
                <c:pt idx="227">
                  <c:v>109</c:v>
                </c:pt>
                <c:pt idx="228">
                  <c:v>117</c:v>
                </c:pt>
                <c:pt idx="229">
                  <c:v>118</c:v>
                </c:pt>
                <c:pt idx="230">
                  <c:v>119</c:v>
                </c:pt>
                <c:pt idx="231">
                  <c:v>121</c:v>
                </c:pt>
                <c:pt idx="232">
                  <c:v>126</c:v>
                </c:pt>
                <c:pt idx="233">
                  <c:v>143</c:v>
                </c:pt>
                <c:pt idx="234">
                  <c:v>144</c:v>
                </c:pt>
                <c:pt idx="235">
                  <c:v>144.22222222222223</c:v>
                </c:pt>
                <c:pt idx="236">
                  <c:v>146</c:v>
                </c:pt>
                <c:pt idx="237">
                  <c:v>147</c:v>
                </c:pt>
                <c:pt idx="238">
                  <c:v>147</c:v>
                </c:pt>
                <c:pt idx="239">
                  <c:v>161</c:v>
                </c:pt>
                <c:pt idx="240">
                  <c:v>163</c:v>
                </c:pt>
                <c:pt idx="241">
                  <c:v>165</c:v>
                </c:pt>
                <c:pt idx="242">
                  <c:v>167</c:v>
                </c:pt>
                <c:pt idx="243">
                  <c:v>177</c:v>
                </c:pt>
                <c:pt idx="244">
                  <c:v>189</c:v>
                </c:pt>
                <c:pt idx="245">
                  <c:v>202</c:v>
                </c:pt>
                <c:pt idx="246">
                  <c:v>202.19400711020822</c:v>
                </c:pt>
                <c:pt idx="247">
                  <c:v>204</c:v>
                </c:pt>
                <c:pt idx="248">
                  <c:v>208</c:v>
                </c:pt>
                <c:pt idx="249">
                  <c:v>216</c:v>
                </c:pt>
                <c:pt idx="250">
                  <c:v>224</c:v>
                </c:pt>
                <c:pt idx="251">
                  <c:v>237</c:v>
                </c:pt>
                <c:pt idx="252">
                  <c:v>238</c:v>
                </c:pt>
                <c:pt idx="253">
                  <c:v>260</c:v>
                </c:pt>
                <c:pt idx="254">
                  <c:v>267</c:v>
                </c:pt>
                <c:pt idx="255">
                  <c:v>275</c:v>
                </c:pt>
                <c:pt idx="256">
                  <c:v>278</c:v>
                </c:pt>
                <c:pt idx="257">
                  <c:v>282</c:v>
                </c:pt>
                <c:pt idx="258">
                  <c:v>284</c:v>
                </c:pt>
                <c:pt idx="259">
                  <c:v>287</c:v>
                </c:pt>
                <c:pt idx="260">
                  <c:v>287</c:v>
                </c:pt>
                <c:pt idx="261">
                  <c:v>298.3</c:v>
                </c:pt>
                <c:pt idx="262">
                  <c:v>356</c:v>
                </c:pt>
                <c:pt idx="263">
                  <c:v>434</c:v>
                </c:pt>
                <c:pt idx="264">
                  <c:v>462</c:v>
                </c:pt>
                <c:pt idx="265">
                  <c:v>475</c:v>
                </c:pt>
                <c:pt idx="266">
                  <c:v>572</c:v>
                </c:pt>
                <c:pt idx="267">
                  <c:v>580</c:v>
                </c:pt>
                <c:pt idx="268">
                  <c:v>587</c:v>
                </c:pt>
                <c:pt idx="269">
                  <c:v>587</c:v>
                </c:pt>
                <c:pt idx="270">
                  <c:v>629</c:v>
                </c:pt>
                <c:pt idx="271">
                  <c:v>714</c:v>
                </c:pt>
                <c:pt idx="272">
                  <c:v>845</c:v>
                </c:pt>
                <c:pt idx="273">
                  <c:v>1193</c:v>
                </c:pt>
                <c:pt idx="274">
                  <c:v>1193</c:v>
                </c:pt>
                <c:pt idx="275">
                  <c:v>1526</c:v>
                </c:pt>
                <c:pt idx="276">
                  <c:v>1686</c:v>
                </c:pt>
                <c:pt idx="277">
                  <c:v>1686</c:v>
                </c:pt>
                <c:pt idx="278">
                  <c:v>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64-2C45-9A3D-00F08AB62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904960"/>
        <c:axId val="1474181248"/>
      </c:scatterChart>
      <c:valAx>
        <c:axId val="14569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74181248"/>
        <c:crosses val="autoZero"/>
        <c:crossBetween val="midCat"/>
      </c:valAx>
      <c:valAx>
        <c:axId val="1474181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2017  - Výsledek hospodaření před zdaněním celkem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690496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41088016"/>
        <c:axId val="1141137808"/>
      </c:scatterChart>
      <c:valAx>
        <c:axId val="114108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41137808"/>
        <c:crosses val="autoZero"/>
        <c:crossBetween val="midCat"/>
      </c:valAx>
      <c:valAx>
        <c:axId val="114113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4108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cs-CZ" sz="14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 panose="020F0502020204030204"/>
              </a:rPr>
              <a:t>Chart Title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'Výsledek hospodaření '!$BL$3:$BL$281</c:f>
              <c:numCache>
                <c:formatCode>General</c:formatCode>
                <c:ptCount val="279"/>
                <c:pt idx="0">
                  <c:v>26</c:v>
                </c:pt>
                <c:pt idx="1">
                  <c:v>-40</c:v>
                </c:pt>
                <c:pt idx="2">
                  <c:v>-20</c:v>
                </c:pt>
                <c:pt idx="3">
                  <c:v>267</c:v>
                </c:pt>
                <c:pt idx="4">
                  <c:v>92</c:v>
                </c:pt>
                <c:pt idx="5">
                  <c:v>-71</c:v>
                </c:pt>
                <c:pt idx="6">
                  <c:v>356</c:v>
                </c:pt>
                <c:pt idx="7">
                  <c:v>-23.900000000000002</c:v>
                </c:pt>
                <c:pt idx="8">
                  <c:v>45</c:v>
                </c:pt>
                <c:pt idx="9">
                  <c:v>0</c:v>
                </c:pt>
                <c:pt idx="10">
                  <c:v>587</c:v>
                </c:pt>
                <c:pt idx="11">
                  <c:v>-9.0681818181818183</c:v>
                </c:pt>
                <c:pt idx="12">
                  <c:v>587</c:v>
                </c:pt>
                <c:pt idx="13">
                  <c:v>-1</c:v>
                </c:pt>
                <c:pt idx="14">
                  <c:v>-714</c:v>
                </c:pt>
                <c:pt idx="15">
                  <c:v>44</c:v>
                </c:pt>
                <c:pt idx="16">
                  <c:v>-84</c:v>
                </c:pt>
                <c:pt idx="17">
                  <c:v>96</c:v>
                </c:pt>
                <c:pt idx="18">
                  <c:v>-358</c:v>
                </c:pt>
                <c:pt idx="19">
                  <c:v>-25</c:v>
                </c:pt>
                <c:pt idx="20">
                  <c:v>35</c:v>
                </c:pt>
                <c:pt idx="21">
                  <c:v>1.8650306748466259</c:v>
                </c:pt>
                <c:pt idx="22">
                  <c:v>-118</c:v>
                </c:pt>
                <c:pt idx="23">
                  <c:v>78</c:v>
                </c:pt>
                <c:pt idx="24">
                  <c:v>105</c:v>
                </c:pt>
                <c:pt idx="25">
                  <c:v>-256</c:v>
                </c:pt>
                <c:pt idx="26">
                  <c:v>-54</c:v>
                </c:pt>
                <c:pt idx="27">
                  <c:v>92</c:v>
                </c:pt>
                <c:pt idx="28">
                  <c:v>14</c:v>
                </c:pt>
                <c:pt idx="29">
                  <c:v>11</c:v>
                </c:pt>
                <c:pt idx="30">
                  <c:v>95</c:v>
                </c:pt>
                <c:pt idx="31">
                  <c:v>-175</c:v>
                </c:pt>
                <c:pt idx="32">
                  <c:v>77</c:v>
                </c:pt>
                <c:pt idx="33">
                  <c:v>19</c:v>
                </c:pt>
                <c:pt idx="34">
                  <c:v>-375</c:v>
                </c:pt>
                <c:pt idx="35">
                  <c:v>95</c:v>
                </c:pt>
                <c:pt idx="36">
                  <c:v>-784</c:v>
                </c:pt>
                <c:pt idx="37">
                  <c:v>-26</c:v>
                </c:pt>
                <c:pt idx="38">
                  <c:v>-302</c:v>
                </c:pt>
                <c:pt idx="39">
                  <c:v>44</c:v>
                </c:pt>
                <c:pt idx="40">
                  <c:v>-18.43</c:v>
                </c:pt>
                <c:pt idx="41">
                  <c:v>33</c:v>
                </c:pt>
                <c:pt idx="42">
                  <c:v>-133</c:v>
                </c:pt>
                <c:pt idx="43">
                  <c:v>1</c:v>
                </c:pt>
                <c:pt idx="44">
                  <c:v>-22</c:v>
                </c:pt>
                <c:pt idx="45">
                  <c:v>0</c:v>
                </c:pt>
                <c:pt idx="46">
                  <c:v>109</c:v>
                </c:pt>
                <c:pt idx="47">
                  <c:v>572</c:v>
                </c:pt>
                <c:pt idx="48">
                  <c:v>0</c:v>
                </c:pt>
                <c:pt idx="49">
                  <c:v>32</c:v>
                </c:pt>
                <c:pt idx="50">
                  <c:v>144.22222222222223</c:v>
                </c:pt>
                <c:pt idx="51">
                  <c:v>100</c:v>
                </c:pt>
                <c:pt idx="52">
                  <c:v>55</c:v>
                </c:pt>
                <c:pt idx="53">
                  <c:v>6</c:v>
                </c:pt>
                <c:pt idx="54">
                  <c:v>-277</c:v>
                </c:pt>
                <c:pt idx="55">
                  <c:v>64</c:v>
                </c:pt>
                <c:pt idx="56">
                  <c:v>0</c:v>
                </c:pt>
                <c:pt idx="57">
                  <c:v>23</c:v>
                </c:pt>
                <c:pt idx="58">
                  <c:v>53</c:v>
                </c:pt>
                <c:pt idx="59">
                  <c:v>-5</c:v>
                </c:pt>
                <c:pt idx="60">
                  <c:v>59</c:v>
                </c:pt>
                <c:pt idx="61">
                  <c:v>-20</c:v>
                </c:pt>
                <c:pt idx="62">
                  <c:v>-270</c:v>
                </c:pt>
                <c:pt idx="63">
                  <c:v>30</c:v>
                </c:pt>
                <c:pt idx="64">
                  <c:v>-34</c:v>
                </c:pt>
                <c:pt idx="65">
                  <c:v>-19</c:v>
                </c:pt>
                <c:pt idx="66">
                  <c:v>-66</c:v>
                </c:pt>
                <c:pt idx="67">
                  <c:v>27</c:v>
                </c:pt>
                <c:pt idx="68">
                  <c:v>117</c:v>
                </c:pt>
                <c:pt idx="69">
                  <c:v>1869</c:v>
                </c:pt>
                <c:pt idx="70">
                  <c:v>13</c:v>
                </c:pt>
                <c:pt idx="71">
                  <c:v>6</c:v>
                </c:pt>
                <c:pt idx="72">
                  <c:v>94</c:v>
                </c:pt>
                <c:pt idx="73">
                  <c:v>119</c:v>
                </c:pt>
                <c:pt idx="74">
                  <c:v>11</c:v>
                </c:pt>
                <c:pt idx="75">
                  <c:v>-2.4581005586592179</c:v>
                </c:pt>
                <c:pt idx="76">
                  <c:v>-23</c:v>
                </c:pt>
                <c:pt idx="77">
                  <c:v>59</c:v>
                </c:pt>
                <c:pt idx="78">
                  <c:v>0</c:v>
                </c:pt>
                <c:pt idx="79">
                  <c:v>-81.899999999999991</c:v>
                </c:pt>
                <c:pt idx="80">
                  <c:v>78</c:v>
                </c:pt>
                <c:pt idx="81">
                  <c:v>143</c:v>
                </c:pt>
                <c:pt idx="82">
                  <c:v>144</c:v>
                </c:pt>
                <c:pt idx="83">
                  <c:v>23</c:v>
                </c:pt>
                <c:pt idx="84">
                  <c:v>0</c:v>
                </c:pt>
                <c:pt idx="85">
                  <c:v>475</c:v>
                </c:pt>
                <c:pt idx="86">
                  <c:v>-232</c:v>
                </c:pt>
                <c:pt idx="87">
                  <c:v>26</c:v>
                </c:pt>
                <c:pt idx="88">
                  <c:v>15.73</c:v>
                </c:pt>
                <c:pt idx="89">
                  <c:v>0.92000000000000171</c:v>
                </c:pt>
                <c:pt idx="90">
                  <c:v>9</c:v>
                </c:pt>
                <c:pt idx="91">
                  <c:v>12</c:v>
                </c:pt>
                <c:pt idx="92">
                  <c:v>-130.16216216216216</c:v>
                </c:pt>
                <c:pt idx="93">
                  <c:v>-16</c:v>
                </c:pt>
                <c:pt idx="94">
                  <c:v>-34</c:v>
                </c:pt>
                <c:pt idx="95">
                  <c:v>224</c:v>
                </c:pt>
                <c:pt idx="96">
                  <c:v>-6</c:v>
                </c:pt>
                <c:pt idx="97">
                  <c:v>-312</c:v>
                </c:pt>
                <c:pt idx="98">
                  <c:v>-12</c:v>
                </c:pt>
                <c:pt idx="99">
                  <c:v>275</c:v>
                </c:pt>
                <c:pt idx="100">
                  <c:v>0.53749999999999998</c:v>
                </c:pt>
                <c:pt idx="101">
                  <c:v>-244</c:v>
                </c:pt>
                <c:pt idx="102">
                  <c:v>0</c:v>
                </c:pt>
                <c:pt idx="103">
                  <c:v>1193</c:v>
                </c:pt>
                <c:pt idx="104">
                  <c:v>6.954545454545455</c:v>
                </c:pt>
                <c:pt idx="105">
                  <c:v>1193</c:v>
                </c:pt>
                <c:pt idx="106">
                  <c:v>-6</c:v>
                </c:pt>
                <c:pt idx="107">
                  <c:v>-228</c:v>
                </c:pt>
                <c:pt idx="108">
                  <c:v>-63</c:v>
                </c:pt>
                <c:pt idx="109">
                  <c:v>-391</c:v>
                </c:pt>
                <c:pt idx="110">
                  <c:v>250</c:v>
                </c:pt>
                <c:pt idx="111">
                  <c:v>189</c:v>
                </c:pt>
                <c:pt idx="112">
                  <c:v>14</c:v>
                </c:pt>
                <c:pt idx="113">
                  <c:v>55</c:v>
                </c:pt>
                <c:pt idx="114">
                  <c:v>-1.6319018404907977</c:v>
                </c:pt>
                <c:pt idx="115">
                  <c:v>88</c:v>
                </c:pt>
                <c:pt idx="116">
                  <c:v>10</c:v>
                </c:pt>
                <c:pt idx="117">
                  <c:v>16</c:v>
                </c:pt>
                <c:pt idx="118">
                  <c:v>-85</c:v>
                </c:pt>
                <c:pt idx="119">
                  <c:v>-67</c:v>
                </c:pt>
                <c:pt idx="120">
                  <c:v>-75</c:v>
                </c:pt>
                <c:pt idx="121">
                  <c:v>10</c:v>
                </c:pt>
                <c:pt idx="122">
                  <c:v>32</c:v>
                </c:pt>
                <c:pt idx="123">
                  <c:v>73</c:v>
                </c:pt>
                <c:pt idx="124">
                  <c:v>-291</c:v>
                </c:pt>
                <c:pt idx="125">
                  <c:v>161</c:v>
                </c:pt>
                <c:pt idx="126">
                  <c:v>1</c:v>
                </c:pt>
                <c:pt idx="127">
                  <c:v>-40</c:v>
                </c:pt>
                <c:pt idx="128">
                  <c:v>40</c:v>
                </c:pt>
                <c:pt idx="129">
                  <c:v>-315</c:v>
                </c:pt>
                <c:pt idx="130">
                  <c:v>42</c:v>
                </c:pt>
                <c:pt idx="131">
                  <c:v>-45</c:v>
                </c:pt>
                <c:pt idx="132">
                  <c:v>-35</c:v>
                </c:pt>
                <c:pt idx="133">
                  <c:v>298.3</c:v>
                </c:pt>
                <c:pt idx="134">
                  <c:v>2</c:v>
                </c:pt>
                <c:pt idx="135">
                  <c:v>282</c:v>
                </c:pt>
                <c:pt idx="136">
                  <c:v>-92</c:v>
                </c:pt>
                <c:pt idx="137">
                  <c:v>-1</c:v>
                </c:pt>
                <c:pt idx="138">
                  <c:v>68</c:v>
                </c:pt>
                <c:pt idx="139">
                  <c:v>-97</c:v>
                </c:pt>
                <c:pt idx="140">
                  <c:v>714</c:v>
                </c:pt>
                <c:pt idx="141">
                  <c:v>0</c:v>
                </c:pt>
                <c:pt idx="142">
                  <c:v>48</c:v>
                </c:pt>
                <c:pt idx="143">
                  <c:v>208</c:v>
                </c:pt>
                <c:pt idx="144">
                  <c:v>-15</c:v>
                </c:pt>
                <c:pt idx="145">
                  <c:v>-10</c:v>
                </c:pt>
                <c:pt idx="146">
                  <c:v>0</c:v>
                </c:pt>
                <c:pt idx="147">
                  <c:v>39</c:v>
                </c:pt>
                <c:pt idx="148">
                  <c:v>54</c:v>
                </c:pt>
                <c:pt idx="149">
                  <c:v>0</c:v>
                </c:pt>
                <c:pt idx="150">
                  <c:v>5</c:v>
                </c:pt>
                <c:pt idx="151">
                  <c:v>118</c:v>
                </c:pt>
                <c:pt idx="152">
                  <c:v>91</c:v>
                </c:pt>
                <c:pt idx="153">
                  <c:v>147</c:v>
                </c:pt>
                <c:pt idx="154">
                  <c:v>121</c:v>
                </c:pt>
                <c:pt idx="155">
                  <c:v>80</c:v>
                </c:pt>
                <c:pt idx="156">
                  <c:v>-82</c:v>
                </c:pt>
                <c:pt idx="157">
                  <c:v>21</c:v>
                </c:pt>
                <c:pt idx="158">
                  <c:v>62</c:v>
                </c:pt>
                <c:pt idx="159">
                  <c:v>28</c:v>
                </c:pt>
                <c:pt idx="160">
                  <c:v>-26</c:v>
                </c:pt>
                <c:pt idx="161">
                  <c:v>16</c:v>
                </c:pt>
                <c:pt idx="162">
                  <c:v>1526</c:v>
                </c:pt>
                <c:pt idx="163">
                  <c:v>13</c:v>
                </c:pt>
                <c:pt idx="164">
                  <c:v>43</c:v>
                </c:pt>
                <c:pt idx="165">
                  <c:v>1</c:v>
                </c:pt>
                <c:pt idx="166">
                  <c:v>66</c:v>
                </c:pt>
                <c:pt idx="167">
                  <c:v>27</c:v>
                </c:pt>
                <c:pt idx="168">
                  <c:v>-84.530218384966986</c:v>
                </c:pt>
                <c:pt idx="169">
                  <c:v>31</c:v>
                </c:pt>
                <c:pt idx="170">
                  <c:v>-20</c:v>
                </c:pt>
                <c:pt idx="171">
                  <c:v>15</c:v>
                </c:pt>
                <c:pt idx="172">
                  <c:v>-5.8100000000000005</c:v>
                </c:pt>
                <c:pt idx="173">
                  <c:v>100</c:v>
                </c:pt>
                <c:pt idx="174">
                  <c:v>-554</c:v>
                </c:pt>
                <c:pt idx="175">
                  <c:v>434</c:v>
                </c:pt>
                <c:pt idx="176">
                  <c:v>-39</c:v>
                </c:pt>
                <c:pt idx="177">
                  <c:v>0</c:v>
                </c:pt>
                <c:pt idx="178">
                  <c:v>462</c:v>
                </c:pt>
                <c:pt idx="179">
                  <c:v>-472</c:v>
                </c:pt>
                <c:pt idx="180">
                  <c:v>238</c:v>
                </c:pt>
                <c:pt idx="181">
                  <c:v>2.86</c:v>
                </c:pt>
                <c:pt idx="182">
                  <c:v>9.539999999999992</c:v>
                </c:pt>
                <c:pt idx="183">
                  <c:v>40</c:v>
                </c:pt>
                <c:pt idx="184">
                  <c:v>146</c:v>
                </c:pt>
                <c:pt idx="185">
                  <c:v>-74.351351351351354</c:v>
                </c:pt>
                <c:pt idx="186">
                  <c:v>26</c:v>
                </c:pt>
                <c:pt idx="187">
                  <c:v>287</c:v>
                </c:pt>
                <c:pt idx="188">
                  <c:v>845</c:v>
                </c:pt>
                <c:pt idx="189">
                  <c:v>167</c:v>
                </c:pt>
                <c:pt idx="190">
                  <c:v>580</c:v>
                </c:pt>
                <c:pt idx="191">
                  <c:v>14</c:v>
                </c:pt>
                <c:pt idx="192">
                  <c:v>32</c:v>
                </c:pt>
                <c:pt idx="193">
                  <c:v>-12.725</c:v>
                </c:pt>
                <c:pt idx="194">
                  <c:v>46</c:v>
                </c:pt>
                <c:pt idx="195">
                  <c:v>0</c:v>
                </c:pt>
                <c:pt idx="196">
                  <c:v>1686</c:v>
                </c:pt>
                <c:pt idx="197">
                  <c:v>40.159090909090914</c:v>
                </c:pt>
                <c:pt idx="198">
                  <c:v>1686</c:v>
                </c:pt>
                <c:pt idx="199">
                  <c:v>2</c:v>
                </c:pt>
                <c:pt idx="200">
                  <c:v>-181</c:v>
                </c:pt>
                <c:pt idx="201">
                  <c:v>53</c:v>
                </c:pt>
                <c:pt idx="202">
                  <c:v>-348</c:v>
                </c:pt>
                <c:pt idx="203">
                  <c:v>124</c:v>
                </c:pt>
                <c:pt idx="204">
                  <c:v>260</c:v>
                </c:pt>
                <c:pt idx="205">
                  <c:v>90</c:v>
                </c:pt>
                <c:pt idx="206">
                  <c:v>90</c:v>
                </c:pt>
                <c:pt idx="207">
                  <c:v>-5.3619631901840483</c:v>
                </c:pt>
                <c:pt idx="208">
                  <c:v>90</c:v>
                </c:pt>
                <c:pt idx="209">
                  <c:v>0</c:v>
                </c:pt>
                <c:pt idx="210">
                  <c:v>165</c:v>
                </c:pt>
                <c:pt idx="211">
                  <c:v>202</c:v>
                </c:pt>
                <c:pt idx="212">
                  <c:v>-76</c:v>
                </c:pt>
                <c:pt idx="213">
                  <c:v>25</c:v>
                </c:pt>
                <c:pt idx="214">
                  <c:v>147</c:v>
                </c:pt>
                <c:pt idx="215">
                  <c:v>69</c:v>
                </c:pt>
                <c:pt idx="216">
                  <c:v>62</c:v>
                </c:pt>
                <c:pt idx="217">
                  <c:v>65</c:v>
                </c:pt>
                <c:pt idx="218">
                  <c:v>-31</c:v>
                </c:pt>
                <c:pt idx="219">
                  <c:v>4</c:v>
                </c:pt>
                <c:pt idx="220">
                  <c:v>-195</c:v>
                </c:pt>
                <c:pt idx="221">
                  <c:v>204</c:v>
                </c:pt>
                <c:pt idx="222">
                  <c:v>55</c:v>
                </c:pt>
                <c:pt idx="223">
                  <c:v>4</c:v>
                </c:pt>
                <c:pt idx="224">
                  <c:v>22</c:v>
                </c:pt>
                <c:pt idx="225">
                  <c:v>-36</c:v>
                </c:pt>
                <c:pt idx="226">
                  <c:v>-66.88</c:v>
                </c:pt>
                <c:pt idx="227">
                  <c:v>-8</c:v>
                </c:pt>
                <c:pt idx="228">
                  <c:v>-62</c:v>
                </c:pt>
                <c:pt idx="229">
                  <c:v>59</c:v>
                </c:pt>
                <c:pt idx="230">
                  <c:v>-17</c:v>
                </c:pt>
                <c:pt idx="231">
                  <c:v>-62</c:v>
                </c:pt>
                <c:pt idx="232">
                  <c:v>216</c:v>
                </c:pt>
                <c:pt idx="233">
                  <c:v>287</c:v>
                </c:pt>
                <c:pt idx="234">
                  <c:v>-253</c:v>
                </c:pt>
                <c:pt idx="235">
                  <c:v>48</c:v>
                </c:pt>
                <c:pt idx="236">
                  <c:v>-23.555555555555554</c:v>
                </c:pt>
                <c:pt idx="237">
                  <c:v>76</c:v>
                </c:pt>
                <c:pt idx="238">
                  <c:v>-5</c:v>
                </c:pt>
                <c:pt idx="239">
                  <c:v>0</c:v>
                </c:pt>
                <c:pt idx="240">
                  <c:v>85</c:v>
                </c:pt>
                <c:pt idx="241">
                  <c:v>60</c:v>
                </c:pt>
                <c:pt idx="242">
                  <c:v>18</c:v>
                </c:pt>
                <c:pt idx="243">
                  <c:v>4</c:v>
                </c:pt>
                <c:pt idx="244">
                  <c:v>177</c:v>
                </c:pt>
                <c:pt idx="245">
                  <c:v>163</c:v>
                </c:pt>
                <c:pt idx="246">
                  <c:v>87</c:v>
                </c:pt>
                <c:pt idx="247">
                  <c:v>-15</c:v>
                </c:pt>
                <c:pt idx="248">
                  <c:v>3</c:v>
                </c:pt>
                <c:pt idx="249">
                  <c:v>83</c:v>
                </c:pt>
                <c:pt idx="250">
                  <c:v>9</c:v>
                </c:pt>
                <c:pt idx="251">
                  <c:v>11</c:v>
                </c:pt>
                <c:pt idx="252">
                  <c:v>6</c:v>
                </c:pt>
                <c:pt idx="253">
                  <c:v>-91</c:v>
                </c:pt>
                <c:pt idx="254">
                  <c:v>629</c:v>
                </c:pt>
                <c:pt idx="255">
                  <c:v>102</c:v>
                </c:pt>
                <c:pt idx="256">
                  <c:v>18</c:v>
                </c:pt>
                <c:pt idx="257">
                  <c:v>13</c:v>
                </c:pt>
                <c:pt idx="258">
                  <c:v>55</c:v>
                </c:pt>
                <c:pt idx="259">
                  <c:v>126</c:v>
                </c:pt>
                <c:pt idx="260">
                  <c:v>11</c:v>
                </c:pt>
                <c:pt idx="261">
                  <c:v>202.19400711020822</c:v>
                </c:pt>
                <c:pt idx="262">
                  <c:v>-3</c:v>
                </c:pt>
                <c:pt idx="263">
                  <c:v>50</c:v>
                </c:pt>
                <c:pt idx="264">
                  <c:v>35</c:v>
                </c:pt>
                <c:pt idx="265">
                  <c:v>-11.760000000000002</c:v>
                </c:pt>
                <c:pt idx="266">
                  <c:v>24</c:v>
                </c:pt>
                <c:pt idx="267">
                  <c:v>-180</c:v>
                </c:pt>
                <c:pt idx="268">
                  <c:v>284</c:v>
                </c:pt>
                <c:pt idx="269">
                  <c:v>94</c:v>
                </c:pt>
                <c:pt idx="270">
                  <c:v>0</c:v>
                </c:pt>
                <c:pt idx="271">
                  <c:v>237</c:v>
                </c:pt>
                <c:pt idx="272">
                  <c:v>-303</c:v>
                </c:pt>
                <c:pt idx="273">
                  <c:v>278</c:v>
                </c:pt>
                <c:pt idx="274">
                  <c:v>13.389999999999999</c:v>
                </c:pt>
                <c:pt idx="275">
                  <c:v>11.099999999999994</c:v>
                </c:pt>
                <c:pt idx="276">
                  <c:v>-27</c:v>
                </c:pt>
                <c:pt idx="277">
                  <c:v>58</c:v>
                </c:pt>
                <c:pt idx="278">
                  <c:v>-13.054054054054054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90-F54D-B39F-32DEE12CE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640064"/>
        <c:axId val="1103558784"/>
      </c:scatterChart>
      <c:valAx>
        <c:axId val="1142640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3558784"/>
        <c:crosses val="autoZero"/>
        <c:crossBetween val="midCat"/>
      </c:valAx>
      <c:valAx>
        <c:axId val="110355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4264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'!Diverzifikace zdrojů'!$BQ$103</c:f>
              <c:strCache>
                <c:ptCount val="1"/>
                <c:pt idx="0">
                  <c:v>Atletika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zdrojů'!$BQ$104:$BQ$116</c:f>
              <c:numCache>
                <c:formatCode>0.0%</c:formatCode>
                <c:ptCount val="13"/>
                <c:pt idx="0" formatCode="0">
                  <c:v>278.53846153846155</c:v>
                </c:pt>
                <c:pt idx="1">
                  <c:v>0.69230769230769229</c:v>
                </c:pt>
                <c:pt idx="2">
                  <c:v>0.33154199182373895</c:v>
                </c:pt>
                <c:pt idx="3">
                  <c:v>3.4402439022840306E-2</c:v>
                </c:pt>
                <c:pt idx="4">
                  <c:v>0.15720436655479766</c:v>
                </c:pt>
                <c:pt idx="5">
                  <c:v>0.2251499507009708</c:v>
                </c:pt>
                <c:pt idx="6">
                  <c:v>7.3077150353445905E-2</c:v>
                </c:pt>
                <c:pt idx="7">
                  <c:v>6.8624854640300811E-2</c:v>
                </c:pt>
                <c:pt idx="8">
                  <c:v>0.11818791164748788</c:v>
                </c:pt>
                <c:pt idx="9" formatCode="General">
                  <c:v>0.76044695207956237</c:v>
                </c:pt>
                <c:pt idx="10" formatCode="General">
                  <c:v>-179.93748288848641</c:v>
                </c:pt>
                <c:pt idx="11" formatCode="0.00">
                  <c:v>105.83058099185983</c:v>
                </c:pt>
                <c:pt idx="12" formatCode="General">
                  <c:v>109.04272997212502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C-D046-A7AE-A8C12D68D9C5}"/>
            </c:ext>
          </c:extLst>
        </c:ser>
        <c:ser>
          <c:idx val="1"/>
          <c:order val="1"/>
          <c:tx>
            <c:strRef>
              <c:f>'!Diverzifikace zdrojů'!$BR$103</c:f>
              <c:strCache>
                <c:ptCount val="1"/>
                <c:pt idx="0">
                  <c:v>Biatlon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zdrojů'!$BR$104:$BR$116</c:f>
              <c:numCache>
                <c:formatCode>0.0%</c:formatCode>
                <c:ptCount val="13"/>
                <c:pt idx="0" formatCode="0">
                  <c:v>30.5</c:v>
                </c:pt>
                <c:pt idx="1">
                  <c:v>0.16666666666666666</c:v>
                </c:pt>
                <c:pt idx="2">
                  <c:v>0.59733233868714908</c:v>
                </c:pt>
                <c:pt idx="3">
                  <c:v>6.4939738235858982E-2</c:v>
                </c:pt>
                <c:pt idx="4">
                  <c:v>0.14580408545631376</c:v>
                </c:pt>
                <c:pt idx="5">
                  <c:v>2.5728367132453415E-2</c:v>
                </c:pt>
                <c:pt idx="6">
                  <c:v>3.7842708199253444E-3</c:v>
                </c:pt>
                <c:pt idx="7">
                  <c:v>0</c:v>
                </c:pt>
                <c:pt idx="8">
                  <c:v>5.6682268173503615E-2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0.00">
                  <c:v>81.39640251849562</c:v>
                </c:pt>
                <c:pt idx="12" formatCode="General">
                  <c:v>81.39640251849562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C-D046-A7AE-A8C12D68D9C5}"/>
            </c:ext>
          </c:extLst>
        </c:ser>
        <c:ser>
          <c:idx val="2"/>
          <c:order val="2"/>
          <c:tx>
            <c:strRef>
              <c:f>'!Diverzifikace zdrojů'!$BS$103</c:f>
              <c:strCache>
                <c:ptCount val="1"/>
                <c:pt idx="0">
                  <c:v>Curling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zdrojů'!$BS$104:$BS$116</c:f>
              <c:numCache>
                <c:formatCode>0.0%</c:formatCode>
                <c:ptCount val="13"/>
                <c:pt idx="0" formatCode="0">
                  <c:v>21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0.52442843300966868</c:v>
                </c:pt>
                <c:pt idx="5">
                  <c:v>0.21420104314841157</c:v>
                </c:pt>
                <c:pt idx="6">
                  <c:v>0.26137052384191972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121.75376822337535</c:v>
                </c:pt>
                <c:pt idx="12" formatCode="General">
                  <c:v>121.75376822337535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C-D046-A7AE-A8C12D68D9C5}"/>
            </c:ext>
          </c:extLst>
        </c:ser>
        <c:ser>
          <c:idx val="3"/>
          <c:order val="3"/>
          <c:tx>
            <c:strRef>
              <c:f>'!Diverzifikace zdrojů'!$BT$103</c:f>
              <c:strCache>
                <c:ptCount val="1"/>
                <c:pt idx="0">
                  <c:v>Florbal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zdrojů'!$BT$104:$BT$116</c:f>
              <c:numCache>
                <c:formatCode>0.0%</c:formatCode>
                <c:ptCount val="13"/>
                <c:pt idx="0" formatCode="0">
                  <c:v>175.5</c:v>
                </c:pt>
                <c:pt idx="1">
                  <c:v>0.66666666666666663</c:v>
                </c:pt>
                <c:pt idx="2">
                  <c:v>0.28769554306776313</c:v>
                </c:pt>
                <c:pt idx="3">
                  <c:v>5.997484340553594E-3</c:v>
                </c:pt>
                <c:pt idx="4">
                  <c:v>8.8439328860703423E-2</c:v>
                </c:pt>
                <c:pt idx="5">
                  <c:v>0.41506622421303491</c:v>
                </c:pt>
                <c:pt idx="6">
                  <c:v>0.11601215829878456</c:v>
                </c:pt>
                <c:pt idx="7">
                  <c:v>4.3266755087083879E-2</c:v>
                </c:pt>
                <c:pt idx="8">
                  <c:v>4.2825503484934448E-2</c:v>
                </c:pt>
                <c:pt idx="9" formatCode="General">
                  <c:v>19.525209775941445</c:v>
                </c:pt>
                <c:pt idx="10" formatCode="General">
                  <c:v>-252.0268940269363</c:v>
                </c:pt>
                <c:pt idx="11" formatCode="0.00">
                  <c:v>105.19044162536906</c:v>
                </c:pt>
                <c:pt idx="12" formatCode="General">
                  <c:v>108.7389846436525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C-D046-A7AE-A8C12D68D9C5}"/>
            </c:ext>
          </c:extLst>
        </c:ser>
        <c:ser>
          <c:idx val="4"/>
          <c:order val="4"/>
          <c:tx>
            <c:strRef>
              <c:f>'!Diverzifikace zdrojů'!$BU$103</c:f>
              <c:strCache>
                <c:ptCount val="1"/>
                <c:pt idx="0">
                  <c:v>Fotbal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zdrojů'!$BU$104:$BU$116</c:f>
              <c:numCache>
                <c:formatCode>0.0%</c:formatCode>
                <c:ptCount val="13"/>
                <c:pt idx="0" formatCode="0">
                  <c:v>155.93617021276594</c:v>
                </c:pt>
                <c:pt idx="1">
                  <c:v>0.68794326241134751</c:v>
                </c:pt>
                <c:pt idx="2">
                  <c:v>0.34559574727735975</c:v>
                </c:pt>
                <c:pt idx="3">
                  <c:v>1.1597284897481708E-2</c:v>
                </c:pt>
                <c:pt idx="4">
                  <c:v>0.13959985146764151</c:v>
                </c:pt>
                <c:pt idx="5">
                  <c:v>0.11364537956168284</c:v>
                </c:pt>
                <c:pt idx="6">
                  <c:v>0.11884336472428668</c:v>
                </c:pt>
                <c:pt idx="7">
                  <c:v>0.20623382697817072</c:v>
                </c:pt>
                <c:pt idx="8">
                  <c:v>6.6176389040198055E-2</c:v>
                </c:pt>
                <c:pt idx="9" formatCode="General">
                  <c:v>2.5100351156959135</c:v>
                </c:pt>
                <c:pt idx="10" formatCode="General">
                  <c:v>-290.60574900224236</c:v>
                </c:pt>
                <c:pt idx="11" formatCode="0.00">
                  <c:v>94.079221542621553</c:v>
                </c:pt>
                <c:pt idx="12" formatCode="General">
                  <c:v>107.07496850775316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C-D046-A7AE-A8C12D68D9C5}"/>
            </c:ext>
          </c:extLst>
        </c:ser>
        <c:ser>
          <c:idx val="5"/>
          <c:order val="5"/>
          <c:tx>
            <c:strRef>
              <c:f>'!Diverzifikace zdrojů'!$BV$103</c:f>
              <c:strCache>
                <c:ptCount val="1"/>
                <c:pt idx="0">
                  <c:v>Horolozectví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zdrojů'!$BV$104:$BV$116</c:f>
              <c:numCache>
                <c:formatCode>0.0%</c:formatCode>
                <c:ptCount val="13"/>
                <c:pt idx="0" formatCode="0">
                  <c:v>95</c:v>
                </c:pt>
                <c:pt idx="1">
                  <c:v>1</c:v>
                </c:pt>
                <c:pt idx="2">
                  <c:v>0.33778292256892567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0.66221707743107439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126.52496182017281</c:v>
                </c:pt>
                <c:pt idx="12" formatCode="General">
                  <c:v>126.52496182017281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6C-D046-A7AE-A8C12D68D9C5}"/>
            </c:ext>
          </c:extLst>
        </c:ser>
        <c:ser>
          <c:idx val="6"/>
          <c:order val="6"/>
          <c:tx>
            <c:strRef>
              <c:f>'!Diverzifikace zdrojů'!$BW$103</c:f>
              <c:strCache>
                <c:ptCount val="1"/>
                <c:pt idx="0">
                  <c:v>Jezdectví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zdrojů'!$BW$104:$BW$116</c:f>
              <c:numCache>
                <c:formatCode>0.0%</c:formatCode>
                <c:ptCount val="13"/>
                <c:pt idx="0" formatCode="0">
                  <c:v>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0.66879023036634067</c:v>
                </c:pt>
                <c:pt idx="5">
                  <c:v>0.13580624083734991</c:v>
                </c:pt>
                <c:pt idx="6">
                  <c:v>0.19540352879630951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110.56935678778162</c:v>
                </c:pt>
                <c:pt idx="12" formatCode="General">
                  <c:v>110.56935678778162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C-D046-A7AE-A8C12D68D9C5}"/>
            </c:ext>
          </c:extLst>
        </c:ser>
        <c:ser>
          <c:idx val="7"/>
          <c:order val="7"/>
          <c:tx>
            <c:strRef>
              <c:f>'!Diverzifikace zdrojů'!$BX$103</c:f>
              <c:strCache>
                <c:ptCount val="1"/>
                <c:pt idx="0">
                  <c:v>Kanoistika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zdrojů'!$BX$104:$BX$116</c:f>
              <c:numCache>
                <c:formatCode>0.0%</c:formatCode>
                <c:ptCount val="13"/>
                <c:pt idx="0" formatCode="0">
                  <c:v>55.25</c:v>
                </c:pt>
                <c:pt idx="1">
                  <c:v>0.58333333333333337</c:v>
                </c:pt>
                <c:pt idx="2">
                  <c:v>0.481640766929263</c:v>
                </c:pt>
                <c:pt idx="3">
                  <c:v>7.99017496475216E-2</c:v>
                </c:pt>
                <c:pt idx="4">
                  <c:v>5.1446345922082498E-2</c:v>
                </c:pt>
                <c:pt idx="5">
                  <c:v>0.14858860744332683</c:v>
                </c:pt>
                <c:pt idx="6">
                  <c:v>0.11186504987387125</c:v>
                </c:pt>
                <c:pt idx="7">
                  <c:v>7.7053228022193956E-2</c:v>
                </c:pt>
                <c:pt idx="8">
                  <c:v>6.287872662174665E-2</c:v>
                </c:pt>
                <c:pt idx="9" formatCode="General">
                  <c:v>6.928409915679647</c:v>
                </c:pt>
                <c:pt idx="10" formatCode="General">
                  <c:v>-163.89930878582172</c:v>
                </c:pt>
                <c:pt idx="11" formatCode="0.00">
                  <c:v>102.73210300068229</c:v>
                </c:pt>
                <c:pt idx="12" formatCode="General">
                  <c:v>109.55524989847606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6C-D046-A7AE-A8C12D68D9C5}"/>
            </c:ext>
          </c:extLst>
        </c:ser>
        <c:ser>
          <c:idx val="8"/>
          <c:order val="8"/>
          <c:tx>
            <c:strRef>
              <c:f>'!Diverzifikace zdrojů'!$BY$103</c:f>
              <c:strCache>
                <c:ptCount val="1"/>
                <c:pt idx="0">
                  <c:v>Plavání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zdrojů'!$BY$104:$BY$116</c:f>
              <c:numCache>
                <c:formatCode>0.0%</c:formatCode>
                <c:ptCount val="13"/>
                <c:pt idx="0" formatCode="0">
                  <c:v>220</c:v>
                </c:pt>
                <c:pt idx="1">
                  <c:v>0.58333333333333337</c:v>
                </c:pt>
                <c:pt idx="2">
                  <c:v>0.37335433803845813</c:v>
                </c:pt>
                <c:pt idx="3">
                  <c:v>5.1663742634805269E-2</c:v>
                </c:pt>
                <c:pt idx="4">
                  <c:v>4.1636669545691972E-2</c:v>
                </c:pt>
                <c:pt idx="5">
                  <c:v>0.2632176681264648</c:v>
                </c:pt>
                <c:pt idx="6">
                  <c:v>0.12441843372392</c:v>
                </c:pt>
                <c:pt idx="7">
                  <c:v>1.5147864385108775E-2</c:v>
                </c:pt>
                <c:pt idx="8">
                  <c:v>0.13056128354555066</c:v>
                </c:pt>
                <c:pt idx="9" formatCode="General">
                  <c:v>5.3217424746101992E-2</c:v>
                </c:pt>
                <c:pt idx="10" formatCode="General">
                  <c:v>-28.125289358715197</c:v>
                </c:pt>
                <c:pt idx="11" formatCode="0.00">
                  <c:v>103.8382115120051</c:v>
                </c:pt>
                <c:pt idx="12" formatCode="General">
                  <c:v>104.26262749271889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6C-D046-A7AE-A8C12D68D9C5}"/>
            </c:ext>
          </c:extLst>
        </c:ser>
        <c:ser>
          <c:idx val="9"/>
          <c:order val="9"/>
          <c:tx>
            <c:strRef>
              <c:f>'!Diverzifikace zdrojů'!$BZ$103</c:f>
              <c:strCache>
                <c:ptCount val="1"/>
                <c:pt idx="0">
                  <c:v>Triatlon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zdrojů'!$BZ$104:$BZ$116</c:f>
              <c:numCache>
                <c:formatCode>0.0%</c:formatCode>
                <c:ptCount val="13"/>
                <c:pt idx="0" formatCode="0">
                  <c:v>92</c:v>
                </c:pt>
                <c:pt idx="1">
                  <c:v>0.66666666666666663</c:v>
                </c:pt>
                <c:pt idx="2">
                  <c:v>0.41928922055477386</c:v>
                </c:pt>
                <c:pt idx="3">
                  <c:v>0</c:v>
                </c:pt>
                <c:pt idx="4">
                  <c:v>6.8743867002720227E-2</c:v>
                </c:pt>
                <c:pt idx="5">
                  <c:v>0.40475397239809263</c:v>
                </c:pt>
                <c:pt idx="6">
                  <c:v>6.0830760625048746E-2</c:v>
                </c:pt>
                <c:pt idx="7">
                  <c:v>0</c:v>
                </c:pt>
                <c:pt idx="8">
                  <c:v>4.6382179419364511E-2</c:v>
                </c:pt>
                <c:pt idx="9" formatCode="General">
                  <c:v>0</c:v>
                </c:pt>
                <c:pt idx="10">
                  <c:v>0</c:v>
                </c:pt>
                <c:pt idx="11" formatCode="General">
                  <c:v>104.19833372131329</c:v>
                </c:pt>
                <c:pt idx="12" formatCode="General">
                  <c:v>104.19833372131329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6C-D046-A7AE-A8C12D68D9C5}"/>
            </c:ext>
          </c:extLst>
        </c:ser>
        <c:ser>
          <c:idx val="10"/>
          <c:order val="10"/>
          <c:tx>
            <c:strRef>
              <c:f>'!Diverzifikace zdrojů'!$CA$103</c:f>
              <c:strCache>
                <c:ptCount val="1"/>
                <c:pt idx="0">
                  <c:v>Veslování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zdrojů'!$CA$104:$CA$116</c:f>
              <c:numCache>
                <c:formatCode>0.0%</c:formatCode>
                <c:ptCount val="13"/>
                <c:pt idx="0" formatCode="0">
                  <c:v>105</c:v>
                </c:pt>
                <c:pt idx="1">
                  <c:v>1</c:v>
                </c:pt>
                <c:pt idx="2">
                  <c:v>0.47393859936528937</c:v>
                </c:pt>
                <c:pt idx="3">
                  <c:v>0</c:v>
                </c:pt>
                <c:pt idx="4">
                  <c:v>9.6020436433898085E-2</c:v>
                </c:pt>
                <c:pt idx="5">
                  <c:v>0.31478471209042153</c:v>
                </c:pt>
                <c:pt idx="6">
                  <c:v>5.8948514490218401E-2</c:v>
                </c:pt>
                <c:pt idx="7">
                  <c:v>0</c:v>
                </c:pt>
                <c:pt idx="8">
                  <c:v>0.10398601291038818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104.19833372131329</c:v>
                </c:pt>
                <c:pt idx="12" formatCode="General">
                  <c:v>104.19833372131329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6C-D046-A7AE-A8C12D68D9C5}"/>
            </c:ext>
          </c:extLst>
        </c:ser>
        <c:ser>
          <c:idx val="11"/>
          <c:order val="11"/>
          <c:tx>
            <c:strRef>
              <c:f>'!Diverzifikace zdrojů'!$CB$103</c:f>
              <c:strCache>
                <c:ptCount val="1"/>
                <c:pt idx="0">
                  <c:v>Volejbal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zdrojů'!$CB$104:$CB$116</c:f>
              <c:numCache>
                <c:formatCode>0.0%</c:formatCode>
                <c:ptCount val="13"/>
                <c:pt idx="0" formatCode="0">
                  <c:v>164.28571428571428</c:v>
                </c:pt>
                <c:pt idx="1">
                  <c:v>0.80952380952380953</c:v>
                </c:pt>
                <c:pt idx="2">
                  <c:v>0.35435208534878493</c:v>
                </c:pt>
                <c:pt idx="3">
                  <c:v>0.10380168744152372</c:v>
                </c:pt>
                <c:pt idx="4">
                  <c:v>0.12137399175182907</c:v>
                </c:pt>
                <c:pt idx="5">
                  <c:v>0.17243989253797878</c:v>
                </c:pt>
                <c:pt idx="6">
                  <c:v>5.5944534597765078E-2</c:v>
                </c:pt>
                <c:pt idx="7">
                  <c:v>0.15454789848199221</c:v>
                </c:pt>
                <c:pt idx="8">
                  <c:v>3.7502206714537065E-2</c:v>
                </c:pt>
                <c:pt idx="9" formatCode="General">
                  <c:v>6.3566603206415584</c:v>
                </c:pt>
                <c:pt idx="10" formatCode="General">
                  <c:v>-205.6410817094449</c:v>
                </c:pt>
                <c:pt idx="11" formatCode="0.00">
                  <c:v>94.610361534457923</c:v>
                </c:pt>
                <c:pt idx="12" formatCode="General">
                  <c:v>102.80303344417011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6C-D046-A7AE-A8C12D68D9C5}"/>
            </c:ext>
          </c:extLst>
        </c:ser>
        <c:ser>
          <c:idx val="12"/>
          <c:order val="12"/>
          <c:tx>
            <c:strRef>
              <c:f>'!Diverzifikace zdrojů'!$CC$103</c:f>
              <c:strCache>
                <c:ptCount val="1"/>
                <c:pt idx="0">
                  <c:v>Zápas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zdrojů'!$CC$104:$CC$116</c:f>
              <c:numCache>
                <c:formatCode>0.0%</c:formatCode>
                <c:ptCount val="13"/>
                <c:pt idx="0" formatCode="0">
                  <c:v>70</c:v>
                </c:pt>
                <c:pt idx="1">
                  <c:v>0</c:v>
                </c:pt>
                <c:pt idx="2">
                  <c:v>0.41664166452749885</c:v>
                </c:pt>
                <c:pt idx="3">
                  <c:v>0</c:v>
                </c:pt>
                <c:pt idx="4">
                  <c:v>0.1261983343818269</c:v>
                </c:pt>
                <c:pt idx="5">
                  <c:v>0.26903859265551006</c:v>
                </c:pt>
                <c:pt idx="6">
                  <c:v>0</c:v>
                </c:pt>
                <c:pt idx="7">
                  <c:v>0.14582565753583332</c:v>
                </c:pt>
                <c:pt idx="8">
                  <c:v>4.2383010934234876E-2</c:v>
                </c:pt>
                <c:pt idx="9" formatCode="General">
                  <c:v>1.0187778336780517</c:v>
                </c:pt>
                <c:pt idx="10" formatCode="General">
                  <c:v>-49.884798377772889</c:v>
                </c:pt>
                <c:pt idx="11" formatCode="0.00">
                  <c:v>83.230245148299289</c:v>
                </c:pt>
                <c:pt idx="12" formatCode="General">
                  <c:v>90.995224509601485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6C-D046-A7AE-A8C12D68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614040"/>
        <c:axId val="508614368"/>
      </c:radarChart>
      <c:catAx>
        <c:axId val="50861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368"/>
        <c:crosses val="autoZero"/>
        <c:auto val="1"/>
        <c:lblAlgn val="ctr"/>
        <c:lblOffset val="100"/>
        <c:noMultiLvlLbl val="0"/>
      </c:catAx>
      <c:valAx>
        <c:axId val="5086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'!Diverzifikace zdrojů'!$BQ$103</c:f>
              <c:strCache>
                <c:ptCount val="1"/>
                <c:pt idx="0">
                  <c:v>Atletika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zdrojů'!$BQ$104:$BQ$116</c:f>
              <c:numCache>
                <c:formatCode>0.0%</c:formatCode>
                <c:ptCount val="13"/>
                <c:pt idx="0" formatCode="0">
                  <c:v>278.53846153846155</c:v>
                </c:pt>
                <c:pt idx="1">
                  <c:v>0.69230769230769229</c:v>
                </c:pt>
                <c:pt idx="2">
                  <c:v>0.33154199182373895</c:v>
                </c:pt>
                <c:pt idx="3">
                  <c:v>3.4402439022840306E-2</c:v>
                </c:pt>
                <c:pt idx="4">
                  <c:v>0.15720436655479766</c:v>
                </c:pt>
                <c:pt idx="5">
                  <c:v>0.2251499507009708</c:v>
                </c:pt>
                <c:pt idx="6">
                  <c:v>7.3077150353445905E-2</c:v>
                </c:pt>
                <c:pt idx="7">
                  <c:v>6.8624854640300811E-2</c:v>
                </c:pt>
                <c:pt idx="8">
                  <c:v>0.11818791164748788</c:v>
                </c:pt>
                <c:pt idx="9" formatCode="General">
                  <c:v>0.76044695207956237</c:v>
                </c:pt>
                <c:pt idx="10" formatCode="General">
                  <c:v>-179.93748288848641</c:v>
                </c:pt>
                <c:pt idx="11" formatCode="0.00">
                  <c:v>105.83058099185983</c:v>
                </c:pt>
                <c:pt idx="12" formatCode="General">
                  <c:v>109.04272997212502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5-8647-8301-455A41D7DEFC}"/>
            </c:ext>
          </c:extLst>
        </c:ser>
        <c:ser>
          <c:idx val="1"/>
          <c:order val="1"/>
          <c:tx>
            <c:strRef>
              <c:f>'!Diverzifikace zdrojů'!$BR$103</c:f>
              <c:strCache>
                <c:ptCount val="1"/>
                <c:pt idx="0">
                  <c:v>Biatlon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zdrojů'!$BR$104:$BR$116</c:f>
              <c:numCache>
                <c:formatCode>0.0%</c:formatCode>
                <c:ptCount val="13"/>
                <c:pt idx="0" formatCode="0">
                  <c:v>30.5</c:v>
                </c:pt>
                <c:pt idx="1">
                  <c:v>0.16666666666666666</c:v>
                </c:pt>
                <c:pt idx="2">
                  <c:v>0.59733233868714908</c:v>
                </c:pt>
                <c:pt idx="3">
                  <c:v>6.4939738235858982E-2</c:v>
                </c:pt>
                <c:pt idx="4">
                  <c:v>0.14580408545631376</c:v>
                </c:pt>
                <c:pt idx="5">
                  <c:v>2.5728367132453415E-2</c:v>
                </c:pt>
                <c:pt idx="6">
                  <c:v>3.7842708199253444E-3</c:v>
                </c:pt>
                <c:pt idx="7">
                  <c:v>0</c:v>
                </c:pt>
                <c:pt idx="8">
                  <c:v>5.6682268173503615E-2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0.00">
                  <c:v>81.39640251849562</c:v>
                </c:pt>
                <c:pt idx="12" formatCode="General">
                  <c:v>81.39640251849562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5-8647-8301-455A41D7DEFC}"/>
            </c:ext>
          </c:extLst>
        </c:ser>
        <c:ser>
          <c:idx val="2"/>
          <c:order val="2"/>
          <c:tx>
            <c:strRef>
              <c:f>'!Diverzifikace zdrojů'!$BS$103</c:f>
              <c:strCache>
                <c:ptCount val="1"/>
                <c:pt idx="0">
                  <c:v>Curling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zdrojů'!$BS$104:$BS$116</c:f>
              <c:numCache>
                <c:formatCode>0.0%</c:formatCode>
                <c:ptCount val="13"/>
                <c:pt idx="0" formatCode="0">
                  <c:v>21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0.52442843300966868</c:v>
                </c:pt>
                <c:pt idx="5">
                  <c:v>0.21420104314841157</c:v>
                </c:pt>
                <c:pt idx="6">
                  <c:v>0.26137052384191972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121.75376822337535</c:v>
                </c:pt>
                <c:pt idx="12" formatCode="General">
                  <c:v>121.75376822337535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15-8647-8301-455A41D7DEFC}"/>
            </c:ext>
          </c:extLst>
        </c:ser>
        <c:ser>
          <c:idx val="3"/>
          <c:order val="3"/>
          <c:tx>
            <c:strRef>
              <c:f>'!Diverzifikace zdrojů'!$BT$103</c:f>
              <c:strCache>
                <c:ptCount val="1"/>
                <c:pt idx="0">
                  <c:v>Florbal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zdrojů'!$BT$104:$BT$116</c:f>
              <c:numCache>
                <c:formatCode>0.0%</c:formatCode>
                <c:ptCount val="13"/>
                <c:pt idx="0" formatCode="0">
                  <c:v>175.5</c:v>
                </c:pt>
                <c:pt idx="1">
                  <c:v>0.66666666666666663</c:v>
                </c:pt>
                <c:pt idx="2">
                  <c:v>0.28769554306776313</c:v>
                </c:pt>
                <c:pt idx="3">
                  <c:v>5.997484340553594E-3</c:v>
                </c:pt>
                <c:pt idx="4">
                  <c:v>8.8439328860703423E-2</c:v>
                </c:pt>
                <c:pt idx="5">
                  <c:v>0.41506622421303491</c:v>
                </c:pt>
                <c:pt idx="6">
                  <c:v>0.11601215829878456</c:v>
                </c:pt>
                <c:pt idx="7">
                  <c:v>4.3266755087083879E-2</c:v>
                </c:pt>
                <c:pt idx="8">
                  <c:v>4.2825503484934448E-2</c:v>
                </c:pt>
                <c:pt idx="9" formatCode="General">
                  <c:v>19.525209775941445</c:v>
                </c:pt>
                <c:pt idx="10" formatCode="General">
                  <c:v>-252.0268940269363</c:v>
                </c:pt>
                <c:pt idx="11" formatCode="0.00">
                  <c:v>105.19044162536906</c:v>
                </c:pt>
                <c:pt idx="12" formatCode="General">
                  <c:v>108.7389846436525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15-8647-8301-455A41D7DEFC}"/>
            </c:ext>
          </c:extLst>
        </c:ser>
        <c:ser>
          <c:idx val="4"/>
          <c:order val="4"/>
          <c:tx>
            <c:strRef>
              <c:f>'!Diverzifikace zdrojů'!$BU$103</c:f>
              <c:strCache>
                <c:ptCount val="1"/>
                <c:pt idx="0">
                  <c:v>Fotbal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zdrojů'!$BU$104:$BU$116</c:f>
              <c:numCache>
                <c:formatCode>0.0%</c:formatCode>
                <c:ptCount val="13"/>
                <c:pt idx="0" formatCode="0">
                  <c:v>155.93617021276594</c:v>
                </c:pt>
                <c:pt idx="1">
                  <c:v>0.68794326241134751</c:v>
                </c:pt>
                <c:pt idx="2">
                  <c:v>0.34559574727735975</c:v>
                </c:pt>
                <c:pt idx="3">
                  <c:v>1.1597284897481708E-2</c:v>
                </c:pt>
                <c:pt idx="4">
                  <c:v>0.13959985146764151</c:v>
                </c:pt>
                <c:pt idx="5">
                  <c:v>0.11364537956168284</c:v>
                </c:pt>
                <c:pt idx="6">
                  <c:v>0.11884336472428668</c:v>
                </c:pt>
                <c:pt idx="7">
                  <c:v>0.20623382697817072</c:v>
                </c:pt>
                <c:pt idx="8">
                  <c:v>6.6176389040198055E-2</c:v>
                </c:pt>
                <c:pt idx="9" formatCode="General">
                  <c:v>2.5100351156959135</c:v>
                </c:pt>
                <c:pt idx="10" formatCode="General">
                  <c:v>-290.60574900224236</c:v>
                </c:pt>
                <c:pt idx="11" formatCode="0.00">
                  <c:v>94.079221542621553</c:v>
                </c:pt>
                <c:pt idx="12" formatCode="General">
                  <c:v>107.07496850775316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15-8647-8301-455A41D7DEFC}"/>
            </c:ext>
          </c:extLst>
        </c:ser>
        <c:ser>
          <c:idx val="5"/>
          <c:order val="5"/>
          <c:tx>
            <c:strRef>
              <c:f>'!Diverzifikace zdrojů'!$BV$103</c:f>
              <c:strCache>
                <c:ptCount val="1"/>
                <c:pt idx="0">
                  <c:v>Horolozectví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zdrojů'!$BV$104:$BV$116</c:f>
              <c:numCache>
                <c:formatCode>0.0%</c:formatCode>
                <c:ptCount val="13"/>
                <c:pt idx="0" formatCode="0">
                  <c:v>95</c:v>
                </c:pt>
                <c:pt idx="1">
                  <c:v>1</c:v>
                </c:pt>
                <c:pt idx="2">
                  <c:v>0.33778292256892567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0.66221707743107439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126.52496182017281</c:v>
                </c:pt>
                <c:pt idx="12" formatCode="General">
                  <c:v>126.52496182017281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15-8647-8301-455A41D7DEFC}"/>
            </c:ext>
          </c:extLst>
        </c:ser>
        <c:ser>
          <c:idx val="6"/>
          <c:order val="6"/>
          <c:tx>
            <c:strRef>
              <c:f>'!Diverzifikace zdrojů'!$BW$103</c:f>
              <c:strCache>
                <c:ptCount val="1"/>
                <c:pt idx="0">
                  <c:v>Jezdectví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zdrojů'!$BW$104:$BW$116</c:f>
              <c:numCache>
                <c:formatCode>0.0%</c:formatCode>
                <c:ptCount val="13"/>
                <c:pt idx="0" formatCode="0">
                  <c:v>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0.66879023036634067</c:v>
                </c:pt>
                <c:pt idx="5">
                  <c:v>0.13580624083734991</c:v>
                </c:pt>
                <c:pt idx="6">
                  <c:v>0.19540352879630951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110.56935678778162</c:v>
                </c:pt>
                <c:pt idx="12" formatCode="General">
                  <c:v>110.56935678778162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5-8647-8301-455A41D7DEFC}"/>
            </c:ext>
          </c:extLst>
        </c:ser>
        <c:ser>
          <c:idx val="7"/>
          <c:order val="7"/>
          <c:tx>
            <c:strRef>
              <c:f>'!Diverzifikace zdrojů'!$BX$103</c:f>
              <c:strCache>
                <c:ptCount val="1"/>
                <c:pt idx="0">
                  <c:v>Kanoistika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zdrojů'!$BX$104:$BX$116</c:f>
              <c:numCache>
                <c:formatCode>0.0%</c:formatCode>
                <c:ptCount val="13"/>
                <c:pt idx="0" formatCode="0">
                  <c:v>55.25</c:v>
                </c:pt>
                <c:pt idx="1">
                  <c:v>0.58333333333333337</c:v>
                </c:pt>
                <c:pt idx="2">
                  <c:v>0.481640766929263</c:v>
                </c:pt>
                <c:pt idx="3">
                  <c:v>7.99017496475216E-2</c:v>
                </c:pt>
                <c:pt idx="4">
                  <c:v>5.1446345922082498E-2</c:v>
                </c:pt>
                <c:pt idx="5">
                  <c:v>0.14858860744332683</c:v>
                </c:pt>
                <c:pt idx="6">
                  <c:v>0.11186504987387125</c:v>
                </c:pt>
                <c:pt idx="7">
                  <c:v>7.7053228022193956E-2</c:v>
                </c:pt>
                <c:pt idx="8">
                  <c:v>6.287872662174665E-2</c:v>
                </c:pt>
                <c:pt idx="9" formatCode="General">
                  <c:v>6.928409915679647</c:v>
                </c:pt>
                <c:pt idx="10" formatCode="General">
                  <c:v>-163.89930878582172</c:v>
                </c:pt>
                <c:pt idx="11" formatCode="0.00">
                  <c:v>102.73210300068229</c:v>
                </c:pt>
                <c:pt idx="12" formatCode="General">
                  <c:v>109.55524989847606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15-8647-8301-455A41D7DEFC}"/>
            </c:ext>
          </c:extLst>
        </c:ser>
        <c:ser>
          <c:idx val="8"/>
          <c:order val="8"/>
          <c:tx>
            <c:strRef>
              <c:f>'!Diverzifikace zdrojů'!$BY$103</c:f>
              <c:strCache>
                <c:ptCount val="1"/>
                <c:pt idx="0">
                  <c:v>Plavání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zdrojů'!$BY$104:$BY$116</c:f>
              <c:numCache>
                <c:formatCode>0.0%</c:formatCode>
                <c:ptCount val="13"/>
                <c:pt idx="0" formatCode="0">
                  <c:v>220</c:v>
                </c:pt>
                <c:pt idx="1">
                  <c:v>0.58333333333333337</c:v>
                </c:pt>
                <c:pt idx="2">
                  <c:v>0.37335433803845813</c:v>
                </c:pt>
                <c:pt idx="3">
                  <c:v>5.1663742634805269E-2</c:v>
                </c:pt>
                <c:pt idx="4">
                  <c:v>4.1636669545691972E-2</c:v>
                </c:pt>
                <c:pt idx="5">
                  <c:v>0.2632176681264648</c:v>
                </c:pt>
                <c:pt idx="6">
                  <c:v>0.12441843372392</c:v>
                </c:pt>
                <c:pt idx="7">
                  <c:v>1.5147864385108775E-2</c:v>
                </c:pt>
                <c:pt idx="8">
                  <c:v>0.13056128354555066</c:v>
                </c:pt>
                <c:pt idx="9" formatCode="General">
                  <c:v>5.3217424746101992E-2</c:v>
                </c:pt>
                <c:pt idx="10" formatCode="General">
                  <c:v>-28.125289358715197</c:v>
                </c:pt>
                <c:pt idx="11" formatCode="0.00">
                  <c:v>103.8382115120051</c:v>
                </c:pt>
                <c:pt idx="12" formatCode="General">
                  <c:v>104.26262749271889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15-8647-8301-455A41D7DEFC}"/>
            </c:ext>
          </c:extLst>
        </c:ser>
        <c:ser>
          <c:idx val="9"/>
          <c:order val="9"/>
          <c:tx>
            <c:strRef>
              <c:f>'!Diverzifikace zdrojů'!$BZ$103</c:f>
              <c:strCache>
                <c:ptCount val="1"/>
                <c:pt idx="0">
                  <c:v>Triatlon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zdrojů'!$BZ$104:$BZ$116</c:f>
              <c:numCache>
                <c:formatCode>0.0%</c:formatCode>
                <c:ptCount val="13"/>
                <c:pt idx="0" formatCode="0">
                  <c:v>92</c:v>
                </c:pt>
                <c:pt idx="1">
                  <c:v>0.66666666666666663</c:v>
                </c:pt>
                <c:pt idx="2">
                  <c:v>0.41928922055477386</c:v>
                </c:pt>
                <c:pt idx="3">
                  <c:v>0</c:v>
                </c:pt>
                <c:pt idx="4">
                  <c:v>6.8743867002720227E-2</c:v>
                </c:pt>
                <c:pt idx="5">
                  <c:v>0.40475397239809263</c:v>
                </c:pt>
                <c:pt idx="6">
                  <c:v>6.0830760625048746E-2</c:v>
                </c:pt>
                <c:pt idx="7">
                  <c:v>0</c:v>
                </c:pt>
                <c:pt idx="8">
                  <c:v>4.6382179419364511E-2</c:v>
                </c:pt>
                <c:pt idx="9" formatCode="General">
                  <c:v>0</c:v>
                </c:pt>
                <c:pt idx="10">
                  <c:v>0</c:v>
                </c:pt>
                <c:pt idx="11" formatCode="General">
                  <c:v>104.19833372131329</c:v>
                </c:pt>
                <c:pt idx="12" formatCode="General">
                  <c:v>104.19833372131329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15-8647-8301-455A41D7DEFC}"/>
            </c:ext>
          </c:extLst>
        </c:ser>
        <c:ser>
          <c:idx val="10"/>
          <c:order val="10"/>
          <c:tx>
            <c:strRef>
              <c:f>'!Diverzifikace zdrojů'!$CA$103</c:f>
              <c:strCache>
                <c:ptCount val="1"/>
                <c:pt idx="0">
                  <c:v>Veslování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zdrojů'!$CA$104:$CA$116</c:f>
              <c:numCache>
                <c:formatCode>0.0%</c:formatCode>
                <c:ptCount val="13"/>
                <c:pt idx="0" formatCode="0">
                  <c:v>105</c:v>
                </c:pt>
                <c:pt idx="1">
                  <c:v>1</c:v>
                </c:pt>
                <c:pt idx="2">
                  <c:v>0.47393859936528937</c:v>
                </c:pt>
                <c:pt idx="3">
                  <c:v>0</c:v>
                </c:pt>
                <c:pt idx="4">
                  <c:v>9.6020436433898085E-2</c:v>
                </c:pt>
                <c:pt idx="5">
                  <c:v>0.31478471209042153</c:v>
                </c:pt>
                <c:pt idx="6">
                  <c:v>5.8948514490218401E-2</c:v>
                </c:pt>
                <c:pt idx="7">
                  <c:v>0</c:v>
                </c:pt>
                <c:pt idx="8">
                  <c:v>0.10398601291038818</c:v>
                </c:pt>
                <c:pt idx="9" formatCode="General">
                  <c:v>0</c:v>
                </c:pt>
                <c:pt idx="10">
                  <c:v>0</c:v>
                </c:pt>
                <c:pt idx="11" formatCode="0.00">
                  <c:v>104.19833372131329</c:v>
                </c:pt>
                <c:pt idx="12" formatCode="General">
                  <c:v>104.19833372131329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15-8647-8301-455A41D7DEFC}"/>
            </c:ext>
          </c:extLst>
        </c:ser>
        <c:ser>
          <c:idx val="11"/>
          <c:order val="11"/>
          <c:tx>
            <c:strRef>
              <c:f>'!Diverzifikace zdrojů'!$CB$103</c:f>
              <c:strCache>
                <c:ptCount val="1"/>
                <c:pt idx="0">
                  <c:v>Volejbal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zdrojů'!$CB$104:$CB$116</c:f>
              <c:numCache>
                <c:formatCode>0.0%</c:formatCode>
                <c:ptCount val="13"/>
                <c:pt idx="0" formatCode="0">
                  <c:v>164.28571428571428</c:v>
                </c:pt>
                <c:pt idx="1">
                  <c:v>0.80952380952380953</c:v>
                </c:pt>
                <c:pt idx="2">
                  <c:v>0.35435208534878493</c:v>
                </c:pt>
                <c:pt idx="3">
                  <c:v>0.10380168744152372</c:v>
                </c:pt>
                <c:pt idx="4">
                  <c:v>0.12137399175182907</c:v>
                </c:pt>
                <c:pt idx="5">
                  <c:v>0.17243989253797878</c:v>
                </c:pt>
                <c:pt idx="6">
                  <c:v>5.5944534597765078E-2</c:v>
                </c:pt>
                <c:pt idx="7">
                  <c:v>0.15454789848199221</c:v>
                </c:pt>
                <c:pt idx="8">
                  <c:v>3.7502206714537065E-2</c:v>
                </c:pt>
                <c:pt idx="9" formatCode="General">
                  <c:v>6.3566603206415584</c:v>
                </c:pt>
                <c:pt idx="10" formatCode="General">
                  <c:v>-205.6410817094449</c:v>
                </c:pt>
                <c:pt idx="11" formatCode="0.00">
                  <c:v>94.610361534457923</c:v>
                </c:pt>
                <c:pt idx="12" formatCode="General">
                  <c:v>102.80303344417011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15-8647-8301-455A41D7DEFC}"/>
            </c:ext>
          </c:extLst>
        </c:ser>
        <c:ser>
          <c:idx val="12"/>
          <c:order val="12"/>
          <c:tx>
            <c:strRef>
              <c:f>'!Diverzifikace zdrojů'!$CC$103</c:f>
              <c:strCache>
                <c:ptCount val="1"/>
                <c:pt idx="0">
                  <c:v>Zápas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'!Diverzifikace zdrojů'!$BP$104:$BP$116</c:f>
              <c:strCache>
                <c:ptCount val="13"/>
                <c:pt idx="0">
                  <c:v>Počet dětí</c:v>
                </c:pt>
                <c:pt idx="1">
                  <c:v>Pozitivní HV</c:v>
                </c:pt>
                <c:pt idx="2">
                  <c:v>Podíl dotací</c:v>
                </c:pt>
                <c:pt idx="3">
                  <c:v>Podíl org. Příspěvků</c:v>
                </c:pt>
                <c:pt idx="4">
                  <c:v>Podíl darů</c:v>
                </c:pt>
                <c:pt idx="5">
                  <c:v>Podíl členských příspěvků</c:v>
                </c:pt>
                <c:pt idx="6">
                  <c:v>Podíl tržeb</c:v>
                </c:pt>
                <c:pt idx="7">
                  <c:v>Podíl hosp. výnosů</c:v>
                </c:pt>
                <c:pt idx="8">
                  <c:v>Podíl ostatních výnosů</c:v>
                </c:pt>
                <c:pt idx="9">
                  <c:v>Rentabilita hosp. nákladů</c:v>
                </c:pt>
                <c:pt idx="10">
                  <c:v>Míra krytí ztráty</c:v>
                </c:pt>
                <c:pt idx="11">
                  <c:v>Autarkie hl. činnosti</c:v>
                </c:pt>
                <c:pt idx="12">
                  <c:v>Autarkie celková</c:v>
                </c:pt>
              </c:strCache>
            </c:strRef>
          </c:cat>
          <c:val>
            <c:numRef>
              <c:f>'!Diverzifikace zdrojů'!$CC$104:$CC$116</c:f>
              <c:numCache>
                <c:formatCode>0.0%</c:formatCode>
                <c:ptCount val="13"/>
                <c:pt idx="0" formatCode="0">
                  <c:v>70</c:v>
                </c:pt>
                <c:pt idx="1">
                  <c:v>0</c:v>
                </c:pt>
                <c:pt idx="2">
                  <c:v>0.41664166452749885</c:v>
                </c:pt>
                <c:pt idx="3">
                  <c:v>0</c:v>
                </c:pt>
                <c:pt idx="4">
                  <c:v>0.1261983343818269</c:v>
                </c:pt>
                <c:pt idx="5">
                  <c:v>0.26903859265551006</c:v>
                </c:pt>
                <c:pt idx="6">
                  <c:v>0</c:v>
                </c:pt>
                <c:pt idx="7">
                  <c:v>0.14582565753583332</c:v>
                </c:pt>
                <c:pt idx="8">
                  <c:v>4.2383010934234876E-2</c:v>
                </c:pt>
                <c:pt idx="9" formatCode="General">
                  <c:v>1.0187778336780517</c:v>
                </c:pt>
                <c:pt idx="10" formatCode="General">
                  <c:v>-49.884798377772889</c:v>
                </c:pt>
                <c:pt idx="11" formatCode="0.00">
                  <c:v>83.230245148299289</c:v>
                </c:pt>
                <c:pt idx="12" formatCode="General">
                  <c:v>90.995224509601485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215-8647-8301-455A41D7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614040"/>
        <c:axId val="508614368"/>
      </c:radarChart>
      <c:catAx>
        <c:axId val="50861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368"/>
        <c:crosses val="autoZero"/>
        <c:auto val="1"/>
        <c:lblAlgn val="ctr"/>
        <c:lblOffset val="100"/>
        <c:noMultiLvlLbl val="0"/>
      </c:catAx>
      <c:valAx>
        <c:axId val="5086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0861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Celkem dětí od 0-19 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'VO 1,3,4,5'!$L$2:$L$94</c:f>
              <c:numCache>
                <c:formatCode>General</c:formatCode>
                <c:ptCount val="93"/>
                <c:pt idx="0">
                  <c:v>42.5</c:v>
                </c:pt>
                <c:pt idx="1">
                  <c:v>116.48</c:v>
                </c:pt>
                <c:pt idx="2">
                  <c:v>140</c:v>
                </c:pt>
                <c:pt idx="3">
                  <c:v>456</c:v>
                </c:pt>
                <c:pt idx="4">
                  <c:v>369</c:v>
                </c:pt>
                <c:pt idx="5">
                  <c:v>327.25</c:v>
                </c:pt>
                <c:pt idx="6">
                  <c:v>252.2</c:v>
                </c:pt>
                <c:pt idx="7">
                  <c:v>3</c:v>
                </c:pt>
                <c:pt idx="8">
                  <c:v>140.80000000000001</c:v>
                </c:pt>
                <c:pt idx="9">
                  <c:v>5.85</c:v>
                </c:pt>
                <c:pt idx="10">
                  <c:v>316.8</c:v>
                </c:pt>
                <c:pt idx="11">
                  <c:v>3.75</c:v>
                </c:pt>
                <c:pt idx="12">
                  <c:v>225</c:v>
                </c:pt>
                <c:pt idx="13">
                  <c:v>7.15</c:v>
                </c:pt>
                <c:pt idx="14">
                  <c:v>44</c:v>
                </c:pt>
                <c:pt idx="15">
                  <c:v>6.3000000000000007</c:v>
                </c:pt>
                <c:pt idx="16">
                  <c:v>360</c:v>
                </c:pt>
                <c:pt idx="17">
                  <c:v>60</c:v>
                </c:pt>
                <c:pt idx="18">
                  <c:v>267.18</c:v>
                </c:pt>
                <c:pt idx="19">
                  <c:v>140</c:v>
                </c:pt>
                <c:pt idx="20">
                  <c:v>30</c:v>
                </c:pt>
                <c:pt idx="21">
                  <c:v>2.85</c:v>
                </c:pt>
                <c:pt idx="22">
                  <c:v>28</c:v>
                </c:pt>
                <c:pt idx="23">
                  <c:v>78.400000000000006</c:v>
                </c:pt>
                <c:pt idx="24">
                  <c:v>127.5</c:v>
                </c:pt>
                <c:pt idx="25">
                  <c:v>174.79999999999998</c:v>
                </c:pt>
                <c:pt idx="26">
                  <c:v>54.45</c:v>
                </c:pt>
                <c:pt idx="27">
                  <c:v>47.25</c:v>
                </c:pt>
                <c:pt idx="28">
                  <c:v>81</c:v>
                </c:pt>
                <c:pt idx="29">
                  <c:v>281.2</c:v>
                </c:pt>
                <c:pt idx="30">
                  <c:v>26.860000000000003</c:v>
                </c:pt>
                <c:pt idx="31">
                  <c:v>205</c:v>
                </c:pt>
                <c:pt idx="32">
                  <c:v>85.84</c:v>
                </c:pt>
                <c:pt idx="33">
                  <c:v>0</c:v>
                </c:pt>
                <c:pt idx="34">
                  <c:v>175.5</c:v>
                </c:pt>
                <c:pt idx="35">
                  <c:v>96.25</c:v>
                </c:pt>
                <c:pt idx="36">
                  <c:v>95</c:v>
                </c:pt>
                <c:pt idx="37">
                  <c:v>42.25</c:v>
                </c:pt>
                <c:pt idx="38">
                  <c:v>108</c:v>
                </c:pt>
                <c:pt idx="39">
                  <c:v>180</c:v>
                </c:pt>
                <c:pt idx="40">
                  <c:v>193.8</c:v>
                </c:pt>
                <c:pt idx="41">
                  <c:v>20</c:v>
                </c:pt>
                <c:pt idx="42">
                  <c:v>81</c:v>
                </c:pt>
                <c:pt idx="43">
                  <c:v>36</c:v>
                </c:pt>
                <c:pt idx="44">
                  <c:v>40</c:v>
                </c:pt>
                <c:pt idx="45">
                  <c:v>12.5</c:v>
                </c:pt>
                <c:pt idx="46">
                  <c:v>17.5</c:v>
                </c:pt>
                <c:pt idx="47">
                  <c:v>153</c:v>
                </c:pt>
                <c:pt idx="48">
                  <c:v>115</c:v>
                </c:pt>
                <c:pt idx="49">
                  <c:v>147</c:v>
                </c:pt>
                <c:pt idx="50">
                  <c:v>37.5</c:v>
                </c:pt>
                <c:pt idx="51">
                  <c:v>47</c:v>
                </c:pt>
                <c:pt idx="52">
                  <c:v>52.65</c:v>
                </c:pt>
                <c:pt idx="53">
                  <c:v>6.7200000000000006</c:v>
                </c:pt>
                <c:pt idx="54">
                  <c:v>71.5</c:v>
                </c:pt>
                <c:pt idx="55">
                  <c:v>87.89</c:v>
                </c:pt>
                <c:pt idx="56">
                  <c:v>24.75</c:v>
                </c:pt>
                <c:pt idx="57">
                  <c:v>159.6</c:v>
                </c:pt>
                <c:pt idx="58">
                  <c:v>57.2</c:v>
                </c:pt>
                <c:pt idx="59">
                  <c:v>31.749999999999996</c:v>
                </c:pt>
                <c:pt idx="60">
                  <c:v>67.61999999999999</c:v>
                </c:pt>
                <c:pt idx="61">
                  <c:v>17.001000000000001</c:v>
                </c:pt>
                <c:pt idx="62">
                  <c:v>60</c:v>
                </c:pt>
                <c:pt idx="63">
                  <c:v>25.3</c:v>
                </c:pt>
                <c:pt idx="64">
                  <c:v>22.8</c:v>
                </c:pt>
                <c:pt idx="65">
                  <c:v>39.960000000000008</c:v>
                </c:pt>
                <c:pt idx="66">
                  <c:v>57.75</c:v>
                </c:pt>
                <c:pt idx="67">
                  <c:v>131.21599999999998</c:v>
                </c:pt>
                <c:pt idx="68">
                  <c:v>82.799999999999983</c:v>
                </c:pt>
                <c:pt idx="69">
                  <c:v>47.25</c:v>
                </c:pt>
                <c:pt idx="70">
                  <c:v>43.400000000000006</c:v>
                </c:pt>
                <c:pt idx="71">
                  <c:v>41.4</c:v>
                </c:pt>
                <c:pt idx="72">
                  <c:v>51</c:v>
                </c:pt>
                <c:pt idx="73">
                  <c:v>57</c:v>
                </c:pt>
                <c:pt idx="74">
                  <c:v>40</c:v>
                </c:pt>
                <c:pt idx="75">
                  <c:v>16</c:v>
                </c:pt>
                <c:pt idx="76">
                  <c:v>13.5</c:v>
                </c:pt>
                <c:pt idx="77">
                  <c:v>48</c:v>
                </c:pt>
                <c:pt idx="78">
                  <c:v>13.950000000000001</c:v>
                </c:pt>
                <c:pt idx="79">
                  <c:v>130.19999999999999</c:v>
                </c:pt>
                <c:pt idx="80">
                  <c:v>140.4</c:v>
                </c:pt>
                <c:pt idx="81">
                  <c:v>301</c:v>
                </c:pt>
                <c:pt idx="82">
                  <c:v>186.9</c:v>
                </c:pt>
                <c:pt idx="83">
                  <c:v>62.56</c:v>
                </c:pt>
                <c:pt idx="84">
                  <c:v>73.5</c:v>
                </c:pt>
                <c:pt idx="85">
                  <c:v>166.45999999999998</c:v>
                </c:pt>
                <c:pt idx="86">
                  <c:v>36</c:v>
                </c:pt>
                <c:pt idx="87">
                  <c:v>177.45</c:v>
                </c:pt>
                <c:pt idx="88">
                  <c:v>13</c:v>
                </c:pt>
                <c:pt idx="89">
                  <c:v>3.15</c:v>
                </c:pt>
                <c:pt idx="90">
                  <c:v>210.48999999999998</c:v>
                </c:pt>
                <c:pt idx="91">
                  <c:v>139.88</c:v>
                </c:pt>
                <c:pt idx="92">
                  <c:v>52.5</c:v>
                </c:pt>
              </c:numCache>
            </c:numRef>
          </c:xVal>
          <c:yVal>
            <c:numRef>
              <c:f>'VO 1,3,4,5'!$D$185:$D$277</c:f>
              <c:numCache>
                <c:formatCode>General</c:formatCode>
                <c:ptCount val="93"/>
                <c:pt idx="0">
                  <c:v>-33.936811012281026</c:v>
                </c:pt>
                <c:pt idx="1">
                  <c:v>-127.05129406175701</c:v>
                </c:pt>
                <c:pt idx="2">
                  <c:v>-331.0814730469379</c:v>
                </c:pt>
                <c:pt idx="3">
                  <c:v>155.87360521338792</c:v>
                </c:pt>
                <c:pt idx="4">
                  <c:v>90.582175439184539</c:v>
                </c:pt>
                <c:pt idx="5">
                  <c:v>-207.41399919383866</c:v>
                </c:pt>
                <c:pt idx="6">
                  <c:v>800.96333638600072</c:v>
                </c:pt>
                <c:pt idx="7">
                  <c:v>-28.243695794821765</c:v>
                </c:pt>
                <c:pt idx="8">
                  <c:v>-117.184540359359</c:v>
                </c:pt>
                <c:pt idx="9">
                  <c:v>18.826626904678008</c:v>
                </c:pt>
                <c:pt idx="10">
                  <c:v>-413.85934909200455</c:v>
                </c:pt>
                <c:pt idx="11">
                  <c:v>36.09717859978344</c:v>
                </c:pt>
                <c:pt idx="12">
                  <c:v>-19.532374991681422</c:v>
                </c:pt>
                <c:pt idx="13">
                  <c:v>-35.757524144672971</c:v>
                </c:pt>
                <c:pt idx="14">
                  <c:v>448.95327111026273</c:v>
                </c:pt>
                <c:pt idx="15">
                  <c:v>-44.10634845855887</c:v>
                </c:pt>
                <c:pt idx="16">
                  <c:v>-1067.7583172960778</c:v>
                </c:pt>
                <c:pt idx="17">
                  <c:v>-17.728012832863612</c:v>
                </c:pt>
                <c:pt idx="18">
                  <c:v>-634.04993237241808</c:v>
                </c:pt>
                <c:pt idx="19">
                  <c:v>-241.0814730469379</c:v>
                </c:pt>
                <c:pt idx="20">
                  <c:v>-74.576384255701086</c:v>
                </c:pt>
                <c:pt idx="21">
                  <c:v>-11.821635499918674</c:v>
                </c:pt>
                <c:pt idx="22">
                  <c:v>-95.985382641314942</c:v>
                </c:pt>
                <c:pt idx="23">
                  <c:v>-158.47862332384526</c:v>
                </c:pt>
                <c:pt idx="24">
                  <c:v>-494.72104629035789</c:v>
                </c:pt>
                <c:pt idx="25">
                  <c:v>99.101765529410386</c:v>
                </c:pt>
                <c:pt idx="26">
                  <c:v>-46.93471232490478</c:v>
                </c:pt>
                <c:pt idx="27">
                  <c:v>-55.007106513114735</c:v>
                </c:pt>
                <c:pt idx="28">
                  <c:v>-150.98025875588053</c:v>
                </c:pt>
                <c:pt idx="29">
                  <c:v>-703.93952035593134</c:v>
                </c:pt>
                <c:pt idx="30">
                  <c:v>132.24482161221846</c:v>
                </c:pt>
                <c:pt idx="31">
                  <c:v>750.04430781884662</c:v>
                </c:pt>
                <c:pt idx="32">
                  <c:v>246.89618400397165</c:v>
                </c:pt>
                <c:pt idx="33">
                  <c:v>70.95530662675742</c:v>
                </c:pt>
                <c:pt idx="34">
                  <c:v>118.09491496437511</c:v>
                </c:pt>
                <c:pt idx="35">
                  <c:v>-285.48664606557475</c:v>
                </c:pt>
                <c:pt idx="36">
                  <c:v>-174.45060338991678</c:v>
                </c:pt>
                <c:pt idx="37">
                  <c:v>-95.196269143816082</c:v>
                </c:pt>
                <c:pt idx="38">
                  <c:v>-480.95878055009319</c:v>
                </c:pt>
                <c:pt idx="39">
                  <c:v>-525.56817200132696</c:v>
                </c:pt>
                <c:pt idx="40">
                  <c:v>443.50058352607539</c:v>
                </c:pt>
                <c:pt idx="41">
                  <c:v>-82.954709517103808</c:v>
                </c:pt>
                <c:pt idx="42">
                  <c:v>371.35307457745284</c:v>
                </c:pt>
                <c:pt idx="43">
                  <c:v>-50.349389098859476</c:v>
                </c:pt>
                <c:pt idx="44">
                  <c:v>30.135274339034964</c:v>
                </c:pt>
                <c:pt idx="45">
                  <c:v>10.928213203510822</c:v>
                </c:pt>
                <c:pt idx="46">
                  <c:v>47.117375834212183</c:v>
                </c:pt>
                <c:pt idx="47">
                  <c:v>-62.256316873780975</c:v>
                </c:pt>
                <c:pt idx="48">
                  <c:v>-279.69395286711131</c:v>
                </c:pt>
                <c:pt idx="49">
                  <c:v>-629.81664536395601</c:v>
                </c:pt>
                <c:pt idx="50">
                  <c:v>-70.977825494834249</c:v>
                </c:pt>
                <c:pt idx="51">
                  <c:v>-136.93323131131646</c:v>
                </c:pt>
                <c:pt idx="52">
                  <c:v>-88.536144205290611</c:v>
                </c:pt>
                <c:pt idx="53">
                  <c:v>-45.910458797579956</c:v>
                </c:pt>
                <c:pt idx="54">
                  <c:v>-140.17300108754648</c:v>
                </c:pt>
                <c:pt idx="55">
                  <c:v>-85.909592650774073</c:v>
                </c:pt>
                <c:pt idx="56">
                  <c:v>16.641661648729155</c:v>
                </c:pt>
                <c:pt idx="57">
                  <c:v>1472.7267111320784</c:v>
                </c:pt>
                <c:pt idx="58">
                  <c:v>-76.080672878019044</c:v>
                </c:pt>
                <c:pt idx="59">
                  <c:v>-61.7601773349556</c:v>
                </c:pt>
                <c:pt idx="60">
                  <c:v>-151.17312462230402</c:v>
                </c:pt>
                <c:pt idx="61">
                  <c:v>13.927497403668184</c:v>
                </c:pt>
                <c:pt idx="62">
                  <c:v>-38.108075138159592</c:v>
                </c:pt>
                <c:pt idx="63">
                  <c:v>-32.720863795227032</c:v>
                </c:pt>
                <c:pt idx="64">
                  <c:v>-55.648778443911048</c:v>
                </c:pt>
                <c:pt idx="65">
                  <c:v>-84.359572295344023</c:v>
                </c:pt>
                <c:pt idx="66">
                  <c:v>-66.109864988641903</c:v>
                </c:pt>
                <c:pt idx="67">
                  <c:v>-409.01646062322061</c:v>
                </c:pt>
                <c:pt idx="68">
                  <c:v>367.62117312450539</c:v>
                </c:pt>
                <c:pt idx="69">
                  <c:v>-70.007106513114735</c:v>
                </c:pt>
                <c:pt idx="70">
                  <c:v>-151.80276173875481</c:v>
                </c:pt>
                <c:pt idx="71">
                  <c:v>289.78823987563135</c:v>
                </c:pt>
                <c:pt idx="72">
                  <c:v>-32.115234540088721</c:v>
                </c:pt>
                <c:pt idx="73">
                  <c:v>-82.55490604991374</c:v>
                </c:pt>
                <c:pt idx="74">
                  <c:v>-188.86472566096504</c:v>
                </c:pt>
                <c:pt idx="75">
                  <c:v>95.51051700606493</c:v>
                </c:pt>
                <c:pt idx="76">
                  <c:v>87.299379062984428</c:v>
                </c:pt>
                <c:pt idx="77">
                  <c:v>-83.228732118509527</c:v>
                </c:pt>
                <c:pt idx="78">
                  <c:v>-21.966929633585792</c:v>
                </c:pt>
                <c:pt idx="79">
                  <c:v>-131.17889846977909</c:v>
                </c:pt>
                <c:pt idx="80">
                  <c:v>40.200326630184918</c:v>
                </c:pt>
                <c:pt idx="81">
                  <c:v>692.67623032831261</c:v>
                </c:pt>
                <c:pt idx="82">
                  <c:v>-252.54046090429244</c:v>
                </c:pt>
                <c:pt idx="83">
                  <c:v>-15.771223871240522</c:v>
                </c:pt>
                <c:pt idx="84">
                  <c:v>120.5693306314007</c:v>
                </c:pt>
                <c:pt idx="85">
                  <c:v>-636.74042440526614</c:v>
                </c:pt>
                <c:pt idx="86">
                  <c:v>38.650610901140539</c:v>
                </c:pt>
                <c:pt idx="87">
                  <c:v>4663.3853550570157</c:v>
                </c:pt>
                <c:pt idx="88">
                  <c:v>21.667129466580946</c:v>
                </c:pt>
                <c:pt idx="89">
                  <c:v>22.543923528543715</c:v>
                </c:pt>
                <c:pt idx="90">
                  <c:v>-875.20465827931002</c:v>
                </c:pt>
                <c:pt idx="91">
                  <c:v>-0.56601295007465069</c:v>
                </c:pt>
                <c:pt idx="92">
                  <c:v>49.045117852725326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A7-2D4A-959F-7E0FF9FE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72400"/>
        <c:axId val="1872957760"/>
      </c:scatterChart>
      <c:valAx>
        <c:axId val="187837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Celkem dětí od 0-19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2957760"/>
        <c:crosses val="autoZero"/>
        <c:crossBetween val="midCat"/>
      </c:valAx>
      <c:valAx>
        <c:axId val="1872957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8372400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Celkem dětí od 0-19  Line Fit 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Prům. výše dotace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 1,3,4,5'!$L$2:$L$94</c:f>
              <c:numCache>
                <c:formatCode>General</c:formatCode>
                <c:ptCount val="93"/>
                <c:pt idx="0">
                  <c:v>42.5</c:v>
                </c:pt>
                <c:pt idx="1">
                  <c:v>116.48</c:v>
                </c:pt>
                <c:pt idx="2">
                  <c:v>140</c:v>
                </c:pt>
                <c:pt idx="3">
                  <c:v>456</c:v>
                </c:pt>
                <c:pt idx="4">
                  <c:v>369</c:v>
                </c:pt>
                <c:pt idx="5">
                  <c:v>327.25</c:v>
                </c:pt>
                <c:pt idx="6">
                  <c:v>252.2</c:v>
                </c:pt>
                <c:pt idx="7">
                  <c:v>3</c:v>
                </c:pt>
                <c:pt idx="8">
                  <c:v>140.80000000000001</c:v>
                </c:pt>
                <c:pt idx="9">
                  <c:v>5.85</c:v>
                </c:pt>
                <c:pt idx="10">
                  <c:v>316.8</c:v>
                </c:pt>
                <c:pt idx="11">
                  <c:v>3.75</c:v>
                </c:pt>
                <c:pt idx="12">
                  <c:v>225</c:v>
                </c:pt>
                <c:pt idx="13">
                  <c:v>7.15</c:v>
                </c:pt>
                <c:pt idx="14">
                  <c:v>44</c:v>
                </c:pt>
                <c:pt idx="15">
                  <c:v>6.3000000000000007</c:v>
                </c:pt>
                <c:pt idx="16">
                  <c:v>360</c:v>
                </c:pt>
                <c:pt idx="17">
                  <c:v>60</c:v>
                </c:pt>
                <c:pt idx="18">
                  <c:v>267.18</c:v>
                </c:pt>
                <c:pt idx="19">
                  <c:v>140</c:v>
                </c:pt>
                <c:pt idx="20">
                  <c:v>30</c:v>
                </c:pt>
                <c:pt idx="21">
                  <c:v>2.85</c:v>
                </c:pt>
                <c:pt idx="22">
                  <c:v>28</c:v>
                </c:pt>
                <c:pt idx="23">
                  <c:v>78.400000000000006</c:v>
                </c:pt>
                <c:pt idx="24">
                  <c:v>127.5</c:v>
                </c:pt>
                <c:pt idx="25">
                  <c:v>174.79999999999998</c:v>
                </c:pt>
                <c:pt idx="26">
                  <c:v>54.45</c:v>
                </c:pt>
                <c:pt idx="27">
                  <c:v>47.25</c:v>
                </c:pt>
                <c:pt idx="28">
                  <c:v>81</c:v>
                </c:pt>
                <c:pt idx="29">
                  <c:v>281.2</c:v>
                </c:pt>
                <c:pt idx="30">
                  <c:v>26.860000000000003</c:v>
                </c:pt>
                <c:pt idx="31">
                  <c:v>205</c:v>
                </c:pt>
                <c:pt idx="32">
                  <c:v>85.84</c:v>
                </c:pt>
                <c:pt idx="33">
                  <c:v>0</c:v>
                </c:pt>
                <c:pt idx="34">
                  <c:v>175.5</c:v>
                </c:pt>
                <c:pt idx="35">
                  <c:v>96.25</c:v>
                </c:pt>
                <c:pt idx="36">
                  <c:v>95</c:v>
                </c:pt>
                <c:pt idx="37">
                  <c:v>42.25</c:v>
                </c:pt>
                <c:pt idx="38">
                  <c:v>108</c:v>
                </c:pt>
                <c:pt idx="39">
                  <c:v>180</c:v>
                </c:pt>
                <c:pt idx="40">
                  <c:v>193.8</c:v>
                </c:pt>
                <c:pt idx="41">
                  <c:v>20</c:v>
                </c:pt>
                <c:pt idx="42">
                  <c:v>81</c:v>
                </c:pt>
                <c:pt idx="43">
                  <c:v>36</c:v>
                </c:pt>
                <c:pt idx="44">
                  <c:v>40</c:v>
                </c:pt>
                <c:pt idx="45">
                  <c:v>12.5</c:v>
                </c:pt>
                <c:pt idx="46">
                  <c:v>17.5</c:v>
                </c:pt>
                <c:pt idx="47">
                  <c:v>153</c:v>
                </c:pt>
                <c:pt idx="48">
                  <c:v>115</c:v>
                </c:pt>
                <c:pt idx="49">
                  <c:v>147</c:v>
                </c:pt>
                <c:pt idx="50">
                  <c:v>37.5</c:v>
                </c:pt>
                <c:pt idx="51">
                  <c:v>47</c:v>
                </c:pt>
                <c:pt idx="52">
                  <c:v>52.65</c:v>
                </c:pt>
                <c:pt idx="53">
                  <c:v>6.7200000000000006</c:v>
                </c:pt>
                <c:pt idx="54">
                  <c:v>71.5</c:v>
                </c:pt>
                <c:pt idx="55">
                  <c:v>87.89</c:v>
                </c:pt>
                <c:pt idx="56">
                  <c:v>24.75</c:v>
                </c:pt>
                <c:pt idx="57">
                  <c:v>159.6</c:v>
                </c:pt>
                <c:pt idx="58">
                  <c:v>57.2</c:v>
                </c:pt>
                <c:pt idx="59">
                  <c:v>31.749999999999996</c:v>
                </c:pt>
                <c:pt idx="60">
                  <c:v>67.61999999999999</c:v>
                </c:pt>
                <c:pt idx="61">
                  <c:v>17.001000000000001</c:v>
                </c:pt>
                <c:pt idx="62">
                  <c:v>60</c:v>
                </c:pt>
                <c:pt idx="63">
                  <c:v>25.3</c:v>
                </c:pt>
                <c:pt idx="64">
                  <c:v>22.8</c:v>
                </c:pt>
                <c:pt idx="65">
                  <c:v>39.960000000000008</c:v>
                </c:pt>
                <c:pt idx="66">
                  <c:v>57.75</c:v>
                </c:pt>
                <c:pt idx="67">
                  <c:v>131.21599999999998</c:v>
                </c:pt>
                <c:pt idx="68">
                  <c:v>82.799999999999983</c:v>
                </c:pt>
                <c:pt idx="69">
                  <c:v>47.25</c:v>
                </c:pt>
                <c:pt idx="70">
                  <c:v>43.400000000000006</c:v>
                </c:pt>
                <c:pt idx="71">
                  <c:v>41.4</c:v>
                </c:pt>
                <c:pt idx="72">
                  <c:v>51</c:v>
                </c:pt>
                <c:pt idx="73">
                  <c:v>57</c:v>
                </c:pt>
                <c:pt idx="74">
                  <c:v>40</c:v>
                </c:pt>
                <c:pt idx="75">
                  <c:v>16</c:v>
                </c:pt>
                <c:pt idx="76">
                  <c:v>13.5</c:v>
                </c:pt>
                <c:pt idx="77">
                  <c:v>48</c:v>
                </c:pt>
                <c:pt idx="78">
                  <c:v>13.950000000000001</c:v>
                </c:pt>
                <c:pt idx="79">
                  <c:v>130.19999999999999</c:v>
                </c:pt>
                <c:pt idx="80">
                  <c:v>140.4</c:v>
                </c:pt>
                <c:pt idx="81">
                  <c:v>301</c:v>
                </c:pt>
                <c:pt idx="82">
                  <c:v>186.9</c:v>
                </c:pt>
                <c:pt idx="83">
                  <c:v>62.56</c:v>
                </c:pt>
                <c:pt idx="84">
                  <c:v>73.5</c:v>
                </c:pt>
                <c:pt idx="85">
                  <c:v>166.45999999999998</c:v>
                </c:pt>
                <c:pt idx="86">
                  <c:v>36</c:v>
                </c:pt>
                <c:pt idx="87">
                  <c:v>177.45</c:v>
                </c:pt>
                <c:pt idx="88">
                  <c:v>13</c:v>
                </c:pt>
                <c:pt idx="89">
                  <c:v>3.15</c:v>
                </c:pt>
                <c:pt idx="90">
                  <c:v>210.48999999999998</c:v>
                </c:pt>
                <c:pt idx="91">
                  <c:v>139.88</c:v>
                </c:pt>
                <c:pt idx="92">
                  <c:v>52.5</c:v>
                </c:pt>
              </c:numCache>
            </c:numRef>
          </c:xVal>
          <c:yVal>
            <c:numRef>
              <c:f>'VO 1,3,4,5'!$M$2:$M$94</c:f>
              <c:numCache>
                <c:formatCode>0.000</c:formatCode>
                <c:ptCount val="93"/>
                <c:pt idx="0">
                  <c:v>165.66666666666666</c:v>
                </c:pt>
                <c:pt idx="1">
                  <c:v>390.33333333333331</c:v>
                </c:pt>
                <c:pt idx="2">
                  <c:v>287.33333333333331</c:v>
                </c:pt>
                <c:pt idx="3">
                  <c:v>2131.6666666666665</c:v>
                </c:pt>
                <c:pt idx="4">
                  <c:v>1692.6666666666667</c:v>
                </c:pt>
                <c:pt idx="5">
                  <c:v>1215.3333333333333</c:v>
                </c:pt>
                <c:pt idx="6">
                  <c:v>1901.3333333333333</c:v>
                </c:pt>
                <c:pt idx="7">
                  <c:v>1.6875</c:v>
                </c:pt>
                <c:pt idx="8">
                  <c:v>504.66666666666669</c:v>
                </c:pt>
                <c:pt idx="9">
                  <c:v>61</c:v>
                </c:pt>
                <c:pt idx="10">
                  <c:v>964</c:v>
                </c:pt>
                <c:pt idx="11">
                  <c:v>69.25</c:v>
                </c:pt>
                <c:pt idx="12">
                  <c:v>964</c:v>
                </c:pt>
                <c:pt idx="13">
                  <c:v>12</c:v>
                </c:pt>
                <c:pt idx="14">
                  <c:v>655</c:v>
                </c:pt>
                <c:pt idx="15">
                  <c:v>0</c:v>
                </c:pt>
                <c:pt idx="16">
                  <c:v>495.66666666666669</c:v>
                </c:pt>
                <c:pt idx="17">
                  <c:v>257.04672897196264</c:v>
                </c:pt>
                <c:pt idx="18">
                  <c:v>530.66666666666663</c:v>
                </c:pt>
                <c:pt idx="19">
                  <c:v>377.33333333333331</c:v>
                </c:pt>
                <c:pt idx="20">
                  <c:v>71.333333333333329</c:v>
                </c:pt>
                <c:pt idx="21">
                  <c:v>17.46523517382413</c:v>
                </c:pt>
                <c:pt idx="22">
                  <c:v>41.333333333333336</c:v>
                </c:pt>
                <c:pt idx="23">
                  <c:v>195.33333333333334</c:v>
                </c:pt>
                <c:pt idx="24">
                  <c:v>70</c:v>
                </c:pt>
                <c:pt idx="25">
                  <c:v>867</c:v>
                </c:pt>
                <c:pt idx="26">
                  <c:v>204</c:v>
                </c:pt>
                <c:pt idx="27">
                  <c:v>165</c:v>
                </c:pt>
                <c:pt idx="28">
                  <c:v>214</c:v>
                </c:pt>
                <c:pt idx="29">
                  <c:v>521</c:v>
                </c:pt>
                <c:pt idx="30">
                  <c:v>264.66666666666669</c:v>
                </c:pt>
                <c:pt idx="31">
                  <c:v>1647.6666666666667</c:v>
                </c:pt>
                <c:pt idx="32">
                  <c:v>632.66666666666663</c:v>
                </c:pt>
                <c:pt idx="33">
                  <c:v>88</c:v>
                </c:pt>
                <c:pt idx="34">
                  <c:v>889</c:v>
                </c:pt>
                <c:pt idx="35">
                  <c:v>145</c:v>
                </c:pt>
                <c:pt idx="36">
                  <c:v>250.66666666666666</c:v>
                </c:pt>
                <c:pt idx="37">
                  <c:v>103.33333333333333</c:v>
                </c:pt>
                <c:pt idx="38">
                  <c:v>0</c:v>
                </c:pt>
                <c:pt idx="39">
                  <c:v>264.66666666666669</c:v>
                </c:pt>
                <c:pt idx="40">
                  <c:v>1293.0133333333333</c:v>
                </c:pt>
                <c:pt idx="41">
                  <c:v>20</c:v>
                </c:pt>
                <c:pt idx="42">
                  <c:v>736.33333333333337</c:v>
                </c:pt>
                <c:pt idx="43">
                  <c:v>121.33333333333333</c:v>
                </c:pt>
                <c:pt idx="44">
                  <c:v>219</c:v>
                </c:pt>
                <c:pt idx="45">
                  <c:v>81.666666666666671</c:v>
                </c:pt>
                <c:pt idx="46">
                  <c:v>139.33333333333334</c:v>
                </c:pt>
                <c:pt idx="47">
                  <c:v>612</c:v>
                </c:pt>
                <c:pt idx="48">
                  <c:v>231.33333333333334</c:v>
                </c:pt>
                <c:pt idx="49">
                  <c:v>18.666666666666668</c:v>
                </c:pt>
                <c:pt idx="50">
                  <c:v>107.14814814814814</c:v>
                </c:pt>
                <c:pt idx="51">
                  <c:v>82</c:v>
                </c:pt>
                <c:pt idx="52">
                  <c:v>154.66666666666666</c:v>
                </c:pt>
                <c:pt idx="53">
                  <c:v>0</c:v>
                </c:pt>
                <c:pt idx="54">
                  <c:v>184</c:v>
                </c:pt>
                <c:pt idx="55">
                  <c:v>308.66666666666669</c:v>
                </c:pt>
                <c:pt idx="56">
                  <c:v>140</c:v>
                </c:pt>
                <c:pt idx="57">
                  <c:v>2175.3333333333335</c:v>
                </c:pt>
                <c:pt idx="58">
                  <c:v>186.66666666666666</c:v>
                </c:pt>
                <c:pt idx="59">
                  <c:v>91.666666666666671</c:v>
                </c:pt>
                <c:pt idx="60">
                  <c:v>156.33333333333334</c:v>
                </c:pt>
                <c:pt idx="61">
                  <c:v>104</c:v>
                </c:pt>
                <c:pt idx="62">
                  <c:v>236.66666666666666</c:v>
                </c:pt>
                <c:pt idx="63">
                  <c:v>93</c:v>
                </c:pt>
                <c:pt idx="64">
                  <c:v>59.333333333333336</c:v>
                </c:pt>
                <c:pt idx="65">
                  <c:v>104.33333333333333</c:v>
                </c:pt>
                <c:pt idx="66">
                  <c:v>199</c:v>
                </c:pt>
                <c:pt idx="67">
                  <c:v>171.66666666666666</c:v>
                </c:pt>
                <c:pt idx="68">
                  <c:v>740.33333333333337</c:v>
                </c:pt>
                <c:pt idx="69">
                  <c:v>150</c:v>
                </c:pt>
                <c:pt idx="70">
                  <c:v>51.666666666666664</c:v>
                </c:pt>
                <c:pt idx="71">
                  <c:v>484.66666666666669</c:v>
                </c:pt>
                <c:pt idx="72">
                  <c:v>204</c:v>
                </c:pt>
                <c:pt idx="73">
                  <c:v>179.33333333333334</c:v>
                </c:pt>
                <c:pt idx="74">
                  <c:v>0</c:v>
                </c:pt>
                <c:pt idx="75">
                  <c:v>181.28322329439649</c:v>
                </c:pt>
                <c:pt idx="76">
                  <c:v>162.33333333333334</c:v>
                </c:pt>
                <c:pt idx="77">
                  <c:v>140</c:v>
                </c:pt>
                <c:pt idx="78">
                  <c:v>55</c:v>
                </c:pt>
                <c:pt idx="79">
                  <c:v>445.14000000000004</c:v>
                </c:pt>
                <c:pt idx="80">
                  <c:v>660.33333333333337</c:v>
                </c:pt>
                <c:pt idx="81">
                  <c:v>2002.6666666666667</c:v>
                </c:pt>
                <c:pt idx="82">
                  <c:v>567.33333333333337</c:v>
                </c:pt>
                <c:pt idx="83">
                  <c:v>270</c:v>
                </c:pt>
                <c:pt idx="84">
                  <c:v>453.33333333333331</c:v>
                </c:pt>
                <c:pt idx="85">
                  <c:v>95.333333333333329</c:v>
                </c:pt>
                <c:pt idx="86">
                  <c:v>210.33333333333334</c:v>
                </c:pt>
                <c:pt idx="87">
                  <c:v>5442.666666666667</c:v>
                </c:pt>
                <c:pt idx="88">
                  <c:v>94.553333333333327</c:v>
                </c:pt>
                <c:pt idx="89">
                  <c:v>53.11944444444444</c:v>
                </c:pt>
                <c:pt idx="90">
                  <c:v>46</c:v>
                </c:pt>
                <c:pt idx="91">
                  <c:v>617.33333333333337</c:v>
                </c:pt>
                <c:pt idx="92">
                  <c:v>291.60360360360363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D1-994E-A96C-6C11F6903B16}"/>
            </c:ext>
          </c:extLst>
        </c:ser>
        <c:ser>
          <c:idx val="1"/>
          <c:order val="1"/>
          <c:tx>
            <c:v>Predicted Prům. výše dotace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'VO 1,3,4,5'!$L$2:$L$94</c:f>
              <c:numCache>
                <c:formatCode>General</c:formatCode>
                <c:ptCount val="93"/>
                <c:pt idx="0">
                  <c:v>42.5</c:v>
                </c:pt>
                <c:pt idx="1">
                  <c:v>116.48</c:v>
                </c:pt>
                <c:pt idx="2">
                  <c:v>140</c:v>
                </c:pt>
                <c:pt idx="3">
                  <c:v>456</c:v>
                </c:pt>
                <c:pt idx="4">
                  <c:v>369</c:v>
                </c:pt>
                <c:pt idx="5">
                  <c:v>327.25</c:v>
                </c:pt>
                <c:pt idx="6">
                  <c:v>252.2</c:v>
                </c:pt>
                <c:pt idx="7">
                  <c:v>3</c:v>
                </c:pt>
                <c:pt idx="8">
                  <c:v>140.80000000000001</c:v>
                </c:pt>
                <c:pt idx="9">
                  <c:v>5.85</c:v>
                </c:pt>
                <c:pt idx="10">
                  <c:v>316.8</c:v>
                </c:pt>
                <c:pt idx="11">
                  <c:v>3.75</c:v>
                </c:pt>
                <c:pt idx="12">
                  <c:v>225</c:v>
                </c:pt>
                <c:pt idx="13">
                  <c:v>7.15</c:v>
                </c:pt>
                <c:pt idx="14">
                  <c:v>44</c:v>
                </c:pt>
                <c:pt idx="15">
                  <c:v>6.3000000000000007</c:v>
                </c:pt>
                <c:pt idx="16">
                  <c:v>360</c:v>
                </c:pt>
                <c:pt idx="17">
                  <c:v>60</c:v>
                </c:pt>
                <c:pt idx="18">
                  <c:v>267.18</c:v>
                </c:pt>
                <c:pt idx="19">
                  <c:v>140</c:v>
                </c:pt>
                <c:pt idx="20">
                  <c:v>30</c:v>
                </c:pt>
                <c:pt idx="21">
                  <c:v>2.85</c:v>
                </c:pt>
                <c:pt idx="22">
                  <c:v>28</c:v>
                </c:pt>
                <c:pt idx="23">
                  <c:v>78.400000000000006</c:v>
                </c:pt>
                <c:pt idx="24">
                  <c:v>127.5</c:v>
                </c:pt>
                <c:pt idx="25">
                  <c:v>174.79999999999998</c:v>
                </c:pt>
                <c:pt idx="26">
                  <c:v>54.45</c:v>
                </c:pt>
                <c:pt idx="27">
                  <c:v>47.25</c:v>
                </c:pt>
                <c:pt idx="28">
                  <c:v>81</c:v>
                </c:pt>
                <c:pt idx="29">
                  <c:v>281.2</c:v>
                </c:pt>
                <c:pt idx="30">
                  <c:v>26.860000000000003</c:v>
                </c:pt>
                <c:pt idx="31">
                  <c:v>205</c:v>
                </c:pt>
                <c:pt idx="32">
                  <c:v>85.84</c:v>
                </c:pt>
                <c:pt idx="33">
                  <c:v>0</c:v>
                </c:pt>
                <c:pt idx="34">
                  <c:v>175.5</c:v>
                </c:pt>
                <c:pt idx="35">
                  <c:v>96.25</c:v>
                </c:pt>
                <c:pt idx="36">
                  <c:v>95</c:v>
                </c:pt>
                <c:pt idx="37">
                  <c:v>42.25</c:v>
                </c:pt>
                <c:pt idx="38">
                  <c:v>108</c:v>
                </c:pt>
                <c:pt idx="39">
                  <c:v>180</c:v>
                </c:pt>
                <c:pt idx="40">
                  <c:v>193.8</c:v>
                </c:pt>
                <c:pt idx="41">
                  <c:v>20</c:v>
                </c:pt>
                <c:pt idx="42">
                  <c:v>81</c:v>
                </c:pt>
                <c:pt idx="43">
                  <c:v>36</c:v>
                </c:pt>
                <c:pt idx="44">
                  <c:v>40</c:v>
                </c:pt>
                <c:pt idx="45">
                  <c:v>12.5</c:v>
                </c:pt>
                <c:pt idx="46">
                  <c:v>17.5</c:v>
                </c:pt>
                <c:pt idx="47">
                  <c:v>153</c:v>
                </c:pt>
                <c:pt idx="48">
                  <c:v>115</c:v>
                </c:pt>
                <c:pt idx="49">
                  <c:v>147</c:v>
                </c:pt>
                <c:pt idx="50">
                  <c:v>37.5</c:v>
                </c:pt>
                <c:pt idx="51">
                  <c:v>47</c:v>
                </c:pt>
                <c:pt idx="52">
                  <c:v>52.65</c:v>
                </c:pt>
                <c:pt idx="53">
                  <c:v>6.7200000000000006</c:v>
                </c:pt>
                <c:pt idx="54">
                  <c:v>71.5</c:v>
                </c:pt>
                <c:pt idx="55">
                  <c:v>87.89</c:v>
                </c:pt>
                <c:pt idx="56">
                  <c:v>24.75</c:v>
                </c:pt>
                <c:pt idx="57">
                  <c:v>159.6</c:v>
                </c:pt>
                <c:pt idx="58">
                  <c:v>57.2</c:v>
                </c:pt>
                <c:pt idx="59">
                  <c:v>31.749999999999996</c:v>
                </c:pt>
                <c:pt idx="60">
                  <c:v>67.61999999999999</c:v>
                </c:pt>
                <c:pt idx="61">
                  <c:v>17.001000000000001</c:v>
                </c:pt>
                <c:pt idx="62">
                  <c:v>60</c:v>
                </c:pt>
                <c:pt idx="63">
                  <c:v>25.3</c:v>
                </c:pt>
                <c:pt idx="64">
                  <c:v>22.8</c:v>
                </c:pt>
                <c:pt idx="65">
                  <c:v>39.960000000000008</c:v>
                </c:pt>
                <c:pt idx="66">
                  <c:v>57.75</c:v>
                </c:pt>
                <c:pt idx="67">
                  <c:v>131.21599999999998</c:v>
                </c:pt>
                <c:pt idx="68">
                  <c:v>82.799999999999983</c:v>
                </c:pt>
                <c:pt idx="69">
                  <c:v>47.25</c:v>
                </c:pt>
                <c:pt idx="70">
                  <c:v>43.400000000000006</c:v>
                </c:pt>
                <c:pt idx="71">
                  <c:v>41.4</c:v>
                </c:pt>
                <c:pt idx="72">
                  <c:v>51</c:v>
                </c:pt>
                <c:pt idx="73">
                  <c:v>57</c:v>
                </c:pt>
                <c:pt idx="74">
                  <c:v>40</c:v>
                </c:pt>
                <c:pt idx="75">
                  <c:v>16</c:v>
                </c:pt>
                <c:pt idx="76">
                  <c:v>13.5</c:v>
                </c:pt>
                <c:pt idx="77">
                  <c:v>48</c:v>
                </c:pt>
                <c:pt idx="78">
                  <c:v>13.950000000000001</c:v>
                </c:pt>
                <c:pt idx="79">
                  <c:v>130.19999999999999</c:v>
                </c:pt>
                <c:pt idx="80">
                  <c:v>140.4</c:v>
                </c:pt>
                <c:pt idx="81">
                  <c:v>301</c:v>
                </c:pt>
                <c:pt idx="82">
                  <c:v>186.9</c:v>
                </c:pt>
                <c:pt idx="83">
                  <c:v>62.56</c:v>
                </c:pt>
                <c:pt idx="84">
                  <c:v>73.5</c:v>
                </c:pt>
                <c:pt idx="85">
                  <c:v>166.45999999999998</c:v>
                </c:pt>
                <c:pt idx="86">
                  <c:v>36</c:v>
                </c:pt>
                <c:pt idx="87">
                  <c:v>177.45</c:v>
                </c:pt>
                <c:pt idx="88">
                  <c:v>13</c:v>
                </c:pt>
                <c:pt idx="89">
                  <c:v>3.15</c:v>
                </c:pt>
                <c:pt idx="90">
                  <c:v>210.48999999999998</c:v>
                </c:pt>
                <c:pt idx="91">
                  <c:v>139.88</c:v>
                </c:pt>
                <c:pt idx="92">
                  <c:v>52.5</c:v>
                </c:pt>
              </c:numCache>
            </c:numRef>
          </c:xVal>
          <c:yVal>
            <c:numRef>
              <c:f>'VO 1,3,4,5'!$C$185:$C$277</c:f>
              <c:numCache>
                <c:formatCode>General</c:formatCode>
                <c:ptCount val="93"/>
                <c:pt idx="0">
                  <c:v>199.60347767894768</c:v>
                </c:pt>
                <c:pt idx="1">
                  <c:v>517.38462739509032</c:v>
                </c:pt>
                <c:pt idx="2">
                  <c:v>618.41480638027122</c:v>
                </c:pt>
                <c:pt idx="3">
                  <c:v>1975.7930614532786</c:v>
                </c:pt>
                <c:pt idx="4">
                  <c:v>1602.0844912274822</c:v>
                </c:pt>
                <c:pt idx="5">
                  <c:v>1422.7473325271719</c:v>
                </c:pt>
                <c:pt idx="6">
                  <c:v>1100.3699969473325</c:v>
                </c:pt>
                <c:pt idx="7">
                  <c:v>29.931195794821765</c:v>
                </c:pt>
                <c:pt idx="8">
                  <c:v>621.85120702602569</c:v>
                </c:pt>
                <c:pt idx="9">
                  <c:v>42.173373095321992</c:v>
                </c:pt>
                <c:pt idx="10">
                  <c:v>1377.8593490920045</c:v>
                </c:pt>
                <c:pt idx="11">
                  <c:v>33.15282140021656</c:v>
                </c:pt>
                <c:pt idx="12">
                  <c:v>983.53237499168142</c:v>
                </c:pt>
                <c:pt idx="13">
                  <c:v>47.757524144672971</c:v>
                </c:pt>
                <c:pt idx="14">
                  <c:v>206.04672888973727</c:v>
                </c:pt>
                <c:pt idx="15">
                  <c:v>44.10634845855887</c:v>
                </c:pt>
                <c:pt idx="16">
                  <c:v>1563.4249839627446</c:v>
                </c:pt>
                <c:pt idx="17">
                  <c:v>274.77474180482625</c:v>
                </c:pt>
                <c:pt idx="18">
                  <c:v>1164.7165990390847</c:v>
                </c:pt>
                <c:pt idx="19">
                  <c:v>618.41480638027122</c:v>
                </c:pt>
                <c:pt idx="20">
                  <c:v>145.90971758903441</c:v>
                </c:pt>
                <c:pt idx="21">
                  <c:v>29.286870673742804</c:v>
                </c:pt>
                <c:pt idx="22">
                  <c:v>137.31871597464828</c:v>
                </c:pt>
                <c:pt idx="23">
                  <c:v>353.8119566571786</c:v>
                </c:pt>
                <c:pt idx="24">
                  <c:v>564.72104629035789</c:v>
                </c:pt>
                <c:pt idx="25">
                  <c:v>767.89823447058961</c:v>
                </c:pt>
                <c:pt idx="26">
                  <c:v>250.93471232490478</c:v>
                </c:pt>
                <c:pt idx="27">
                  <c:v>220.00710651311473</c:v>
                </c:pt>
                <c:pt idx="28">
                  <c:v>364.98025875588053</c:v>
                </c:pt>
                <c:pt idx="29">
                  <c:v>1224.9395203559313</c:v>
                </c:pt>
                <c:pt idx="30">
                  <c:v>132.42184505444823</c:v>
                </c:pt>
                <c:pt idx="31">
                  <c:v>897.62235884782012</c:v>
                </c:pt>
                <c:pt idx="32">
                  <c:v>385.77048266269497</c:v>
                </c:pt>
                <c:pt idx="33">
                  <c:v>17.04469337324258</c:v>
                </c:pt>
                <c:pt idx="34">
                  <c:v>770.90508503562489</c:v>
                </c:pt>
                <c:pt idx="35">
                  <c:v>430.48664606557475</c:v>
                </c:pt>
                <c:pt idx="36">
                  <c:v>425.11727005658344</c:v>
                </c:pt>
                <c:pt idx="37">
                  <c:v>198.52960247714941</c:v>
                </c:pt>
                <c:pt idx="38">
                  <c:v>480.95878055009319</c:v>
                </c:pt>
                <c:pt idx="39">
                  <c:v>790.23483866799359</c:v>
                </c:pt>
                <c:pt idx="40">
                  <c:v>849.51274980725793</c:v>
                </c:pt>
                <c:pt idx="41">
                  <c:v>102.95470951710381</c:v>
                </c:pt>
                <c:pt idx="42">
                  <c:v>364.98025875588053</c:v>
                </c:pt>
                <c:pt idx="43">
                  <c:v>171.6827224321928</c:v>
                </c:pt>
                <c:pt idx="44">
                  <c:v>188.86472566096504</c:v>
                </c:pt>
                <c:pt idx="45">
                  <c:v>70.738453463155849</c:v>
                </c:pt>
                <c:pt idx="46">
                  <c:v>92.21595749912116</c:v>
                </c:pt>
                <c:pt idx="47">
                  <c:v>674.25631687378097</c:v>
                </c:pt>
                <c:pt idx="48">
                  <c:v>511.02728620044462</c:v>
                </c:pt>
                <c:pt idx="49">
                  <c:v>648.48331203062264</c:v>
                </c:pt>
                <c:pt idx="50">
                  <c:v>178.12597364298239</c:v>
                </c:pt>
                <c:pt idx="51">
                  <c:v>218.93323131131646</c:v>
                </c:pt>
                <c:pt idx="52">
                  <c:v>243.20281087195727</c:v>
                </c:pt>
                <c:pt idx="53">
                  <c:v>45.910458797579956</c:v>
                </c:pt>
                <c:pt idx="54">
                  <c:v>324.17300108754648</c:v>
                </c:pt>
                <c:pt idx="55">
                  <c:v>394.57625931744076</c:v>
                </c:pt>
                <c:pt idx="56">
                  <c:v>123.35833835127085</c:v>
                </c:pt>
                <c:pt idx="57">
                  <c:v>702.60662220125516</c:v>
                </c:pt>
                <c:pt idx="58">
                  <c:v>262.7473395446857</c:v>
                </c:pt>
                <c:pt idx="59">
                  <c:v>153.42684400162227</c:v>
                </c:pt>
                <c:pt idx="60">
                  <c:v>307.50645795563736</c:v>
                </c:pt>
                <c:pt idx="61">
                  <c:v>90.072502596331816</c:v>
                </c:pt>
                <c:pt idx="62">
                  <c:v>274.77474180482625</c:v>
                </c:pt>
                <c:pt idx="63">
                  <c:v>125.72086379522703</c:v>
                </c:pt>
                <c:pt idx="64">
                  <c:v>114.98211177724438</c:v>
                </c:pt>
                <c:pt idx="65">
                  <c:v>188.69290562867735</c:v>
                </c:pt>
                <c:pt idx="66">
                  <c:v>265.1098649886419</c:v>
                </c:pt>
                <c:pt idx="67">
                  <c:v>580.68312728988724</c:v>
                </c:pt>
                <c:pt idx="68">
                  <c:v>372.71216020882798</c:v>
                </c:pt>
                <c:pt idx="69">
                  <c:v>220.00710651311473</c:v>
                </c:pt>
                <c:pt idx="70">
                  <c:v>203.46942840542147</c:v>
                </c:pt>
                <c:pt idx="71">
                  <c:v>194.87842679103531</c:v>
                </c:pt>
                <c:pt idx="72">
                  <c:v>236.11523454008872</c:v>
                </c:pt>
                <c:pt idx="73">
                  <c:v>261.88823938324708</c:v>
                </c:pt>
                <c:pt idx="74">
                  <c:v>188.86472566096504</c:v>
                </c:pt>
                <c:pt idx="75">
                  <c:v>85.772706288331563</c:v>
                </c:pt>
                <c:pt idx="76">
                  <c:v>75.033954270348914</c:v>
                </c:pt>
                <c:pt idx="77">
                  <c:v>223.22873211850953</c:v>
                </c:pt>
                <c:pt idx="78">
                  <c:v>76.966929633585792</c:v>
                </c:pt>
                <c:pt idx="79">
                  <c:v>576.31889846977913</c:v>
                </c:pt>
                <c:pt idx="80">
                  <c:v>620.13300670314845</c:v>
                </c:pt>
                <c:pt idx="81">
                  <c:v>1309.9904363383541</c:v>
                </c:pt>
                <c:pt idx="82">
                  <c:v>819.87379423762582</c:v>
                </c:pt>
                <c:pt idx="83">
                  <c:v>285.77122387124052</c:v>
                </c:pt>
                <c:pt idx="84">
                  <c:v>332.76400270193261</c:v>
                </c:pt>
                <c:pt idx="85">
                  <c:v>732.07375773859951</c:v>
                </c:pt>
                <c:pt idx="86">
                  <c:v>171.6827224321928</c:v>
                </c:pt>
                <c:pt idx="87">
                  <c:v>779.28131160965131</c:v>
                </c:pt>
                <c:pt idx="88">
                  <c:v>72.886203866752382</c:v>
                </c:pt>
                <c:pt idx="89">
                  <c:v>30.575520915900725</c:v>
                </c:pt>
                <c:pt idx="90">
                  <c:v>921.20465827931002</c:v>
                </c:pt>
                <c:pt idx="91">
                  <c:v>617.89934628340802</c:v>
                </c:pt>
                <c:pt idx="92">
                  <c:v>242.5584857508783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D1-994E-A96C-6C11F690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3438288"/>
        <c:axId val="1864306176"/>
      </c:scatterChart>
      <c:valAx>
        <c:axId val="187343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Celkem dětí od 0-19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64306176"/>
        <c:crosses val="autoZero"/>
        <c:crossBetween val="midCat"/>
      </c:valAx>
      <c:valAx>
        <c:axId val="1864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Prům. výše dotace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73438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1,3,4,5'!$DY$28:$DY$306</c:f>
              <c:numCache>
                <c:formatCode>General</c:formatCode>
                <c:ptCount val="279"/>
                <c:pt idx="0">
                  <c:v>-17.24006044322104</c:v>
                </c:pt>
                <c:pt idx="1">
                  <c:v>-86.347028276587423</c:v>
                </c:pt>
                <c:pt idx="2">
                  <c:v>-56.145817223701101</c:v>
                </c:pt>
                <c:pt idx="3">
                  <c:v>230.8541827762989</c:v>
                </c:pt>
                <c:pt idx="4">
                  <c:v>-16.486384943915326</c:v>
                </c:pt>
                <c:pt idx="5">
                  <c:v>-149.08988297414743</c:v>
                </c:pt>
                <c:pt idx="6">
                  <c:v>252.43298079224815</c:v>
                </c:pt>
                <c:pt idx="7">
                  <c:v>-60.045817223701107</c:v>
                </c:pt>
                <c:pt idx="8">
                  <c:v>-15.690863107295627</c:v>
                </c:pt>
                <c:pt idx="9">
                  <c:v>-38.683174287616993</c:v>
                </c:pt>
                <c:pt idx="10">
                  <c:v>550.8541827762989</c:v>
                </c:pt>
                <c:pt idx="11">
                  <c:v>-48.18327170990694</c:v>
                </c:pt>
                <c:pt idx="12">
                  <c:v>550.8541827762989</c:v>
                </c:pt>
                <c:pt idx="13">
                  <c:v>-37.818993587597156</c:v>
                </c:pt>
                <c:pt idx="14">
                  <c:v>-750.1458172237011</c:v>
                </c:pt>
                <c:pt idx="15">
                  <c:v>7.8541827762988987</c:v>
                </c:pt>
                <c:pt idx="16">
                  <c:v>-120.1458172237011</c:v>
                </c:pt>
                <c:pt idx="17">
                  <c:v>-32.367918308756543</c:v>
                </c:pt>
                <c:pt idx="18">
                  <c:v>-413.46080058779552</c:v>
                </c:pt>
                <c:pt idx="19">
                  <c:v>-77.198484362760809</c:v>
                </c:pt>
                <c:pt idx="20">
                  <c:v>-2.6993011403842999</c:v>
                </c:pt>
                <c:pt idx="21">
                  <c:v>-34.90551581718934</c:v>
                </c:pt>
                <c:pt idx="22">
                  <c:v>-154.1458172237011</c:v>
                </c:pt>
                <c:pt idx="23">
                  <c:v>33.931414801214594</c:v>
                </c:pt>
                <c:pt idx="24">
                  <c:v>57.979795359516515</c:v>
                </c:pt>
                <c:pt idx="25">
                  <c:v>-324.19936870459776</c:v>
                </c:pt>
                <c:pt idx="26">
                  <c:v>-100.55415946547853</c:v>
                </c:pt>
                <c:pt idx="27">
                  <c:v>53.834653684610743</c:v>
                </c:pt>
                <c:pt idx="28">
                  <c:v>-31.673851912691376</c:v>
                </c:pt>
                <c:pt idx="29">
                  <c:v>-42.182357509993501</c:v>
                </c:pt>
                <c:pt idx="30">
                  <c:v>47.772664170625426</c:v>
                </c:pt>
                <c:pt idx="31">
                  <c:v>-246.46168492963244</c:v>
                </c:pt>
                <c:pt idx="32">
                  <c:v>15.480612137140007</c:v>
                </c:pt>
                <c:pt idx="33">
                  <c:v>-17.145817223701101</c:v>
                </c:pt>
                <c:pt idx="34">
                  <c:v>-451.48461626024147</c:v>
                </c:pt>
                <c:pt idx="35">
                  <c:v>58.854182776298899</c:v>
                </c:pt>
                <c:pt idx="36">
                  <c:v>-844.79442870174114</c:v>
                </c:pt>
                <c:pt idx="37">
                  <c:v>-67.841924918206161</c:v>
                </c:pt>
                <c:pt idx="38">
                  <c:v>-338.1458172237011</c:v>
                </c:pt>
                <c:pt idx="39">
                  <c:v>0.60459116511064082</c:v>
                </c:pt>
                <c:pt idx="40">
                  <c:v>-110.87303870835572</c:v>
                </c:pt>
                <c:pt idx="41">
                  <c:v>-6.2527850570674985</c:v>
                </c:pt>
                <c:pt idx="42">
                  <c:v>-206.37764842687506</c:v>
                </c:pt>
                <c:pt idx="43">
                  <c:v>-35.145817223701101</c:v>
                </c:pt>
                <c:pt idx="44">
                  <c:v>-65.65432282100322</c:v>
                </c:pt>
                <c:pt idx="45">
                  <c:v>-38.476043098725896</c:v>
                </c:pt>
                <c:pt idx="46">
                  <c:v>62.497623331744251</c:v>
                </c:pt>
                <c:pt idx="47">
                  <c:v>514.31253913162527</c:v>
                </c:pt>
                <c:pt idx="48">
                  <c:v>-44.89710995434978</c:v>
                </c:pt>
                <c:pt idx="49">
                  <c:v>-4.1458172237011013</c:v>
                </c:pt>
                <c:pt idx="50">
                  <c:v>108.07640499852113</c:v>
                </c:pt>
                <c:pt idx="51">
                  <c:v>60.125821376259225</c:v>
                </c:pt>
                <c:pt idx="52">
                  <c:v>18.854182776298899</c:v>
                </c:pt>
                <c:pt idx="53">
                  <c:v>-30.145817223701101</c:v>
                </c:pt>
                <c:pt idx="54">
                  <c:v>-320.91323680711707</c:v>
                </c:pt>
                <c:pt idx="55">
                  <c:v>17.497623331744251</c:v>
                </c:pt>
                <c:pt idx="56">
                  <c:v>-36.145817223701101</c:v>
                </c:pt>
                <c:pt idx="57">
                  <c:v>-113.190181458099</c:v>
                </c:pt>
                <c:pt idx="58">
                  <c:v>9.8117223540017378</c:v>
                </c:pt>
                <c:pt idx="59">
                  <c:v>-44.770613029295227</c:v>
                </c:pt>
                <c:pt idx="60">
                  <c:v>20.109694523491918</c:v>
                </c:pt>
                <c:pt idx="61">
                  <c:v>-57.388604357047662</c:v>
                </c:pt>
                <c:pt idx="62">
                  <c:v>-306.1458172237011</c:v>
                </c:pt>
                <c:pt idx="63">
                  <c:v>-9.9259614209635458</c:v>
                </c:pt>
                <c:pt idx="64">
                  <c:v>-72.476043098725896</c:v>
                </c:pt>
                <c:pt idx="65">
                  <c:v>-58.252785057067499</c:v>
                </c:pt>
                <c:pt idx="66">
                  <c:v>-104.00999792372093</c:v>
                </c:pt>
                <c:pt idx="67">
                  <c:v>-22.609344501622147</c:v>
                </c:pt>
                <c:pt idx="68">
                  <c:v>59.312539131625229</c:v>
                </c:pt>
                <c:pt idx="69">
                  <c:v>1826.6402471095662</c:v>
                </c:pt>
                <c:pt idx="70">
                  <c:v>-25.579608693171444</c:v>
                </c:pt>
                <c:pt idx="71">
                  <c:v>-53.396293176726289</c:v>
                </c:pt>
                <c:pt idx="72">
                  <c:v>47.70475452063534</c:v>
                </c:pt>
                <c:pt idx="73">
                  <c:v>78.556210606808719</c:v>
                </c:pt>
                <c:pt idx="74">
                  <c:v>-25.145817223701101</c:v>
                </c:pt>
                <c:pt idx="75">
                  <c:v>-44.324483578143784</c:v>
                </c:pt>
                <c:pt idx="76">
                  <c:v>-66.809671212671546</c:v>
                </c:pt>
                <c:pt idx="77">
                  <c:v>17.779468648467123</c:v>
                </c:pt>
                <c:pt idx="78">
                  <c:v>-39.201002259844721</c:v>
                </c:pt>
                <c:pt idx="79">
                  <c:v>-151.63822520105956</c:v>
                </c:pt>
                <c:pt idx="80">
                  <c:v>11.354115212085446</c:v>
                </c:pt>
                <c:pt idx="81">
                  <c:v>14.887934908653619</c:v>
                </c:pt>
                <c:pt idx="82">
                  <c:v>96.047705009506601</c:v>
                </c:pt>
                <c:pt idx="83">
                  <c:v>-20.188277645998262</c:v>
                </c:pt>
                <c:pt idx="84">
                  <c:v>-55.046538210013338</c:v>
                </c:pt>
                <c:pt idx="85">
                  <c:v>438.8541827762989</c:v>
                </c:pt>
                <c:pt idx="86">
                  <c:v>-276.74176156268146</c:v>
                </c:pt>
                <c:pt idx="87">
                  <c:v>-225.25155688710117</c:v>
                </c:pt>
                <c:pt idx="88">
                  <c:v>-23.142181497480113</c:v>
                </c:pt>
                <c:pt idx="89">
                  <c:v>-36.037483890367767</c:v>
                </c:pt>
                <c:pt idx="90">
                  <c:v>-27.145817223701101</c:v>
                </c:pt>
                <c:pt idx="91">
                  <c:v>-56.458282690711599</c:v>
                </c:pt>
                <c:pt idx="92">
                  <c:v>-179.19069961385321</c:v>
                </c:pt>
                <c:pt idx="93">
                  <c:v>-61.984548696028021</c:v>
                </c:pt>
                <c:pt idx="94">
                  <c:v>-85.784221984978615</c:v>
                </c:pt>
                <c:pt idx="95">
                  <c:v>187.8541827762989</c:v>
                </c:pt>
                <c:pt idx="96">
                  <c:v>-203.03496819485758</c:v>
                </c:pt>
                <c:pt idx="97">
                  <c:v>-429.237677674564</c:v>
                </c:pt>
                <c:pt idx="98">
                  <c:v>-106.03898451876159</c:v>
                </c:pt>
                <c:pt idx="99">
                  <c:v>137.15276903077222</c:v>
                </c:pt>
                <c:pt idx="100">
                  <c:v>-35.743599781445596</c:v>
                </c:pt>
                <c:pt idx="101">
                  <c:v>-306.29612982120159</c:v>
                </c:pt>
                <c:pt idx="102">
                  <c:v>-38.683174287616993</c:v>
                </c:pt>
                <c:pt idx="103">
                  <c:v>1087.41345170056</c:v>
                </c:pt>
                <c:pt idx="104">
                  <c:v>-32.511255200188451</c:v>
                </c:pt>
                <c:pt idx="105">
                  <c:v>1087.41345170056</c:v>
                </c:pt>
                <c:pt idx="106">
                  <c:v>-42.818993587597156</c:v>
                </c:pt>
                <c:pt idx="107">
                  <c:v>-309.97359276585541</c:v>
                </c:pt>
                <c:pt idx="108">
                  <c:v>-99.145817223701101</c:v>
                </c:pt>
                <c:pt idx="109">
                  <c:v>-465.77578395188993</c:v>
                </c:pt>
                <c:pt idx="110">
                  <c:v>-12.553318061646394</c:v>
                </c:pt>
                <c:pt idx="111">
                  <c:v>121.99163563152604</c:v>
                </c:pt>
                <c:pt idx="112">
                  <c:v>-34.055860584938948</c:v>
                </c:pt>
                <c:pt idx="113">
                  <c:v>16.782870887387972</c:v>
                </c:pt>
                <c:pt idx="114">
                  <c:v>-38.643889595651352</c:v>
                </c:pt>
                <c:pt idx="115">
                  <c:v>51.854182776298899</c:v>
                </c:pt>
                <c:pt idx="116">
                  <c:v>-35.259589534909196</c:v>
                </c:pt>
                <c:pt idx="117">
                  <c:v>-20.145817223701101</c:v>
                </c:pt>
                <c:pt idx="118">
                  <c:v>-169.61451542421685</c:v>
                </c:pt>
                <c:pt idx="119">
                  <c:v>-115.31477457105282</c:v>
                </c:pt>
                <c:pt idx="120">
                  <c:v>-118.80967121267155</c:v>
                </c:pt>
                <c:pt idx="121">
                  <c:v>-40.386086459963742</c:v>
                </c:pt>
                <c:pt idx="122">
                  <c:v>-26.464202826716374</c:v>
                </c:pt>
                <c:pt idx="123">
                  <c:v>21.319343609466927</c:v>
                </c:pt>
                <c:pt idx="124">
                  <c:v>-426.87948467476235</c:v>
                </c:pt>
                <c:pt idx="125">
                  <c:v>90.41862262315469</c:v>
                </c:pt>
                <c:pt idx="126">
                  <c:v>-42.706105618225997</c:v>
                </c:pt>
                <c:pt idx="127">
                  <c:v>-121.40398199640492</c:v>
                </c:pt>
                <c:pt idx="128">
                  <c:v>-0.54735498763682955</c:v>
                </c:pt>
                <c:pt idx="129">
                  <c:v>-356.11696575708731</c:v>
                </c:pt>
                <c:pt idx="130">
                  <c:v>0.67590305402157469</c:v>
                </c:pt>
                <c:pt idx="131">
                  <c:v>-81.145817223701101</c:v>
                </c:pt>
                <c:pt idx="132">
                  <c:v>-87.198484362760809</c:v>
                </c:pt>
                <c:pt idx="133">
                  <c:v>193.9816124045457</c:v>
                </c:pt>
                <c:pt idx="134">
                  <c:v>-34.145817223701101</c:v>
                </c:pt>
                <c:pt idx="135">
                  <c:v>202.97802667584264</c:v>
                </c:pt>
                <c:pt idx="136">
                  <c:v>-141.50577890717659</c:v>
                </c:pt>
                <c:pt idx="137">
                  <c:v>-48.330901423820123</c:v>
                </c:pt>
                <c:pt idx="138">
                  <c:v>26.675903054021575</c:v>
                </c:pt>
                <c:pt idx="139">
                  <c:v>-137.13309260985466</c:v>
                </c:pt>
                <c:pt idx="140">
                  <c:v>653.36091968992719</c:v>
                </c:pt>
                <c:pt idx="141">
                  <c:v>-45.984548696028021</c:v>
                </c:pt>
                <c:pt idx="142">
                  <c:v>11.854182776298899</c:v>
                </c:pt>
                <c:pt idx="143">
                  <c:v>157.40102870700929</c:v>
                </c:pt>
                <c:pt idx="144">
                  <c:v>-53.734957084839763</c:v>
                </c:pt>
                <c:pt idx="145">
                  <c:v>-46.145817223701101</c:v>
                </c:pt>
                <c:pt idx="146">
                  <c:v>-36.145817223701101</c:v>
                </c:pt>
                <c:pt idx="147">
                  <c:v>-10.19508212383996</c:v>
                </c:pt>
                <c:pt idx="148">
                  <c:v>2.2675608122441488</c:v>
                </c:pt>
                <c:pt idx="149">
                  <c:v>-45.932765898805243</c:v>
                </c:pt>
                <c:pt idx="150">
                  <c:v>-143.82518398045568</c:v>
                </c:pt>
                <c:pt idx="151">
                  <c:v>81.854182776298899</c:v>
                </c:pt>
                <c:pt idx="152">
                  <c:v>48.899161095679972</c:v>
                </c:pt>
                <c:pt idx="153">
                  <c:v>101.27436529008585</c:v>
                </c:pt>
                <c:pt idx="154">
                  <c:v>77.29389438177401</c:v>
                </c:pt>
                <c:pt idx="155">
                  <c:v>22.623235914961867</c:v>
                </c:pt>
                <c:pt idx="156">
                  <c:v>-121.4599162459586</c:v>
                </c:pt>
                <c:pt idx="157">
                  <c:v>-17.993871070953631</c:v>
                </c:pt>
                <c:pt idx="158">
                  <c:v>20.675903054021575</c:v>
                </c:pt>
                <c:pt idx="159">
                  <c:v>-23.421742404419206</c:v>
                </c:pt>
                <c:pt idx="160">
                  <c:v>-75.350430515508279</c:v>
                </c:pt>
                <c:pt idx="161">
                  <c:v>-48.471007304558071</c:v>
                </c:pt>
                <c:pt idx="162">
                  <c:v>1479.2904921428531</c:v>
                </c:pt>
                <c:pt idx="163">
                  <c:v>-24.6993011403843</c:v>
                </c:pt>
                <c:pt idx="164">
                  <c:v>-22.040618074008577</c:v>
                </c:pt>
                <c:pt idx="165">
                  <c:v>-44.311372332131967</c:v>
                </c:pt>
                <c:pt idx="166">
                  <c:v>17.840573820615504</c:v>
                </c:pt>
                <c:pt idx="167">
                  <c:v>-9.1458172237011013</c:v>
                </c:pt>
                <c:pt idx="168">
                  <c:v>-131.19354513905483</c:v>
                </c:pt>
                <c:pt idx="169">
                  <c:v>-11.825798065438853</c:v>
                </c:pt>
                <c:pt idx="170">
                  <c:v>-64.586413171013135</c:v>
                </c:pt>
                <c:pt idx="171">
                  <c:v>-24.14921946262195</c:v>
                </c:pt>
                <c:pt idx="172">
                  <c:v>-68.586517700466814</c:v>
                </c:pt>
                <c:pt idx="173">
                  <c:v>28.02048709813981</c:v>
                </c:pt>
                <c:pt idx="174">
                  <c:v>-686.41003726083659</c:v>
                </c:pt>
                <c:pt idx="175">
                  <c:v>362.27940108425366</c:v>
                </c:pt>
                <c:pt idx="176">
                  <c:v>-89.023606879404326</c:v>
                </c:pt>
                <c:pt idx="177">
                  <c:v>-53.803751076666778</c:v>
                </c:pt>
                <c:pt idx="178">
                  <c:v>425.8541827762989</c:v>
                </c:pt>
                <c:pt idx="179">
                  <c:v>-521.29864771828557</c:v>
                </c:pt>
                <c:pt idx="180">
                  <c:v>-100.14309062691467</c:v>
                </c:pt>
                <c:pt idx="181">
                  <c:v>-38.119223516474754</c:v>
                </c:pt>
                <c:pt idx="182">
                  <c:v>-21.260105088239882</c:v>
                </c:pt>
                <c:pt idx="183">
                  <c:v>-3.2918432404438107</c:v>
                </c:pt>
                <c:pt idx="184">
                  <c:v>73.03661395090711</c:v>
                </c:pt>
                <c:pt idx="185">
                  <c:v>-126.37769290172295</c:v>
                </c:pt>
                <c:pt idx="186">
                  <c:v>-18.948892751572558</c:v>
                </c:pt>
                <c:pt idx="187">
                  <c:v>216.05614304259527</c:v>
                </c:pt>
                <c:pt idx="188">
                  <c:v>764.21741157026838</c:v>
                </c:pt>
                <c:pt idx="189">
                  <c:v>-39.407654492179546</c:v>
                </c:pt>
                <c:pt idx="190">
                  <c:v>434.33356665013349</c:v>
                </c:pt>
                <c:pt idx="191">
                  <c:v>-111.10866285242554</c:v>
                </c:pt>
                <c:pt idx="192">
                  <c:v>-130.39227685282228</c:v>
                </c:pt>
                <c:pt idx="193">
                  <c:v>-48.9976850768969</c:v>
                </c:pt>
                <c:pt idx="194">
                  <c:v>-17.849613737884795</c:v>
                </c:pt>
                <c:pt idx="195">
                  <c:v>-40.54735498763683</c:v>
                </c:pt>
                <c:pt idx="196">
                  <c:v>1569.5390642837776</c:v>
                </c:pt>
                <c:pt idx="197">
                  <c:v>-0.45534633858450491</c:v>
                </c:pt>
                <c:pt idx="198">
                  <c:v>1569.5390642837776</c:v>
                </c:pt>
                <c:pt idx="199">
                  <c:v>-34.663645195928837</c:v>
                </c:pt>
                <c:pt idx="200">
                  <c:v>-273.07123822429622</c:v>
                </c:pt>
                <c:pt idx="201">
                  <c:v>16.854182776298899</c:v>
                </c:pt>
                <c:pt idx="202">
                  <c:v>-422.5168699657761</c:v>
                </c:pt>
                <c:pt idx="203">
                  <c:v>-33.167637398321546</c:v>
                </c:pt>
                <c:pt idx="204">
                  <c:v>191.59350010651116</c:v>
                </c:pt>
                <c:pt idx="205">
                  <c:v>23.198766820417134</c:v>
                </c:pt>
                <c:pt idx="206">
                  <c:v>46.397459976219551</c:v>
                </c:pt>
                <c:pt idx="207">
                  <c:v>-42.730076808453369</c:v>
                </c:pt>
                <c:pt idx="208">
                  <c:v>47.433115920675014</c:v>
                </c:pt>
                <c:pt idx="209">
                  <c:v>-49.453996109953827</c:v>
                </c:pt>
                <c:pt idx="210">
                  <c:v>128.8541827762989</c:v>
                </c:pt>
                <c:pt idx="211">
                  <c:v>111.68937688127808</c:v>
                </c:pt>
                <c:pt idx="212">
                  <c:v>-121.2595895349092</c:v>
                </c:pt>
                <c:pt idx="213">
                  <c:v>-27.09491876831526</c:v>
                </c:pt>
                <c:pt idx="214">
                  <c:v>101.37793088453139</c:v>
                </c:pt>
                <c:pt idx="215">
                  <c:v>-8.7274033935880198</c:v>
                </c:pt>
                <c:pt idx="216">
                  <c:v>11.35499955392239</c:v>
                </c:pt>
                <c:pt idx="217">
                  <c:v>-92.058648738876627</c:v>
                </c:pt>
                <c:pt idx="218">
                  <c:v>-105.62043556022162</c:v>
                </c:pt>
                <c:pt idx="219">
                  <c:v>-38.256187295988347</c:v>
                </c:pt>
                <c:pt idx="220">
                  <c:v>-283.65357360759316</c:v>
                </c:pt>
                <c:pt idx="221">
                  <c:v>149.73020374832828</c:v>
                </c:pt>
                <c:pt idx="222">
                  <c:v>9.533279276199714</c:v>
                </c:pt>
                <c:pt idx="223">
                  <c:v>-37.324096945978425</c:v>
                </c:pt>
                <c:pt idx="224">
                  <c:v>-14.145817223701101</c:v>
                </c:pt>
                <c:pt idx="225">
                  <c:v>-89.959099468335097</c:v>
                </c:pt>
                <c:pt idx="226">
                  <c:v>-179.42356710631964</c:v>
                </c:pt>
                <c:pt idx="227">
                  <c:v>-44.145817223701101</c:v>
                </c:pt>
                <c:pt idx="228">
                  <c:v>-132.426028985177</c:v>
                </c:pt>
                <c:pt idx="229">
                  <c:v>17.365206270684936</c:v>
                </c:pt>
                <c:pt idx="230">
                  <c:v>-68.473525201641991</c:v>
                </c:pt>
                <c:pt idx="231">
                  <c:v>-103.32409694597843</c:v>
                </c:pt>
                <c:pt idx="232">
                  <c:v>172.55280836788788</c:v>
                </c:pt>
                <c:pt idx="233">
                  <c:v>201.81587380633263</c:v>
                </c:pt>
                <c:pt idx="234">
                  <c:v>-306.49305429333015</c:v>
                </c:pt>
                <c:pt idx="235">
                  <c:v>8.9543461318235984</c:v>
                </c:pt>
                <c:pt idx="236">
                  <c:v>-61.893511195020722</c:v>
                </c:pt>
                <c:pt idx="237">
                  <c:v>33.433115920675014</c:v>
                </c:pt>
                <c:pt idx="238">
                  <c:v>-65.173035135067892</c:v>
                </c:pt>
                <c:pt idx="239">
                  <c:v>-36.145817223701101</c:v>
                </c:pt>
                <c:pt idx="240">
                  <c:v>41.086763192882913</c:v>
                </c:pt>
                <c:pt idx="241">
                  <c:v>1.8464939566202645</c:v>
                </c:pt>
                <c:pt idx="242">
                  <c:v>-30.107643382161726</c:v>
                </c:pt>
                <c:pt idx="243">
                  <c:v>-157.35662090836684</c:v>
                </c:pt>
                <c:pt idx="244">
                  <c:v>118.89827675384305</c:v>
                </c:pt>
                <c:pt idx="245">
                  <c:v>122.19373102624931</c:v>
                </c:pt>
                <c:pt idx="246">
                  <c:v>38.892356617838274</c:v>
                </c:pt>
                <c:pt idx="247">
                  <c:v>-58.498974429334901</c:v>
                </c:pt>
                <c:pt idx="248">
                  <c:v>-48.680656390533073</c:v>
                </c:pt>
                <c:pt idx="249">
                  <c:v>39.501025570665099</c:v>
                </c:pt>
                <c:pt idx="250">
                  <c:v>-31.184875407077413</c:v>
                </c:pt>
                <c:pt idx="251">
                  <c:v>-33.068585198785406</c:v>
                </c:pt>
                <c:pt idx="252">
                  <c:v>-43.920041284958785</c:v>
                </c:pt>
                <c:pt idx="253">
                  <c:v>-127.1458172237011</c:v>
                </c:pt>
                <c:pt idx="254">
                  <c:v>527.71142387005011</c:v>
                </c:pt>
                <c:pt idx="255">
                  <c:v>59.329550326229466</c:v>
                </c:pt>
                <c:pt idx="256">
                  <c:v>-22.184875407077413</c:v>
                </c:pt>
                <c:pt idx="257">
                  <c:v>-46.292727582280747</c:v>
                </c:pt>
                <c:pt idx="258">
                  <c:v>6.4780942400560946</c:v>
                </c:pt>
                <c:pt idx="259">
                  <c:v>78.306618995620468</c:v>
                </c:pt>
                <c:pt idx="260">
                  <c:v>-25.145817223701101</c:v>
                </c:pt>
                <c:pt idx="261">
                  <c:v>154.12420803744394</c:v>
                </c:pt>
                <c:pt idx="262">
                  <c:v>-50.020204640483485</c:v>
                </c:pt>
                <c:pt idx="263">
                  <c:v>5.6207180178779481</c:v>
                </c:pt>
                <c:pt idx="264">
                  <c:v>-3.6313914903942148</c:v>
                </c:pt>
                <c:pt idx="265">
                  <c:v>-85.254491836812775</c:v>
                </c:pt>
                <c:pt idx="266">
                  <c:v>-48.393775279642369</c:v>
                </c:pt>
                <c:pt idx="267">
                  <c:v>-339.02639503334206</c:v>
                </c:pt>
                <c:pt idx="268">
                  <c:v>207.10112136197637</c:v>
                </c:pt>
                <c:pt idx="269">
                  <c:v>36.830367103852964</c:v>
                </c:pt>
                <c:pt idx="270">
                  <c:v>-70.011766607394804</c:v>
                </c:pt>
                <c:pt idx="271">
                  <c:v>186.04430277058574</c:v>
                </c:pt>
                <c:pt idx="272">
                  <c:v>-350.07198743770624</c:v>
                </c:pt>
                <c:pt idx="273">
                  <c:v>-86.552317210529054</c:v>
                </c:pt>
                <c:pt idx="274">
                  <c:v>-29.884754917360297</c:v>
                </c:pt>
                <c:pt idx="275">
                  <c:v>-22.016882953254761</c:v>
                </c:pt>
                <c:pt idx="276">
                  <c:v>-63.145817223701101</c:v>
                </c:pt>
                <c:pt idx="277">
                  <c:v>-4.9175233878748728</c:v>
                </c:pt>
                <c:pt idx="278">
                  <c:v>-65.736777547600795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0B-1A46-9131-DEDAC33C1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6148496"/>
        <c:axId val="1889019792"/>
      </c:scatterChart>
      <c:valAx>
        <c:axId val="187614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89019792"/>
        <c:crosses val="autoZero"/>
        <c:crossBetween val="midCat"/>
      </c:valAx>
      <c:valAx>
        <c:axId val="1889019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6148496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2015 - Provozní dotace - hlavní činnost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2015 -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1,3,4,5'!$CL$2:$CL$280</c:f>
              <c:numCache>
                <c:formatCode>General</c:formatCode>
                <c:ptCount val="279"/>
                <c:pt idx="0">
                  <c:v>26</c:v>
                </c:pt>
                <c:pt idx="1">
                  <c:v>-40</c:v>
                </c:pt>
                <c:pt idx="2">
                  <c:v>-20</c:v>
                </c:pt>
                <c:pt idx="3">
                  <c:v>267</c:v>
                </c:pt>
                <c:pt idx="4">
                  <c:v>92</c:v>
                </c:pt>
                <c:pt idx="5">
                  <c:v>-71</c:v>
                </c:pt>
                <c:pt idx="6">
                  <c:v>356</c:v>
                </c:pt>
                <c:pt idx="7">
                  <c:v>-23.900000000000002</c:v>
                </c:pt>
                <c:pt idx="8">
                  <c:v>45</c:v>
                </c:pt>
                <c:pt idx="9">
                  <c:v>0</c:v>
                </c:pt>
                <c:pt idx="10">
                  <c:v>587</c:v>
                </c:pt>
                <c:pt idx="11">
                  <c:v>-9.0681818181818183</c:v>
                </c:pt>
                <c:pt idx="12">
                  <c:v>587</c:v>
                </c:pt>
                <c:pt idx="13">
                  <c:v>-1</c:v>
                </c:pt>
                <c:pt idx="14">
                  <c:v>-714</c:v>
                </c:pt>
                <c:pt idx="15">
                  <c:v>44</c:v>
                </c:pt>
                <c:pt idx="16">
                  <c:v>-84</c:v>
                </c:pt>
                <c:pt idx="17">
                  <c:v>14.355140186915886</c:v>
                </c:pt>
                <c:pt idx="18">
                  <c:v>-358</c:v>
                </c:pt>
                <c:pt idx="19">
                  <c:v>-25</c:v>
                </c:pt>
                <c:pt idx="20">
                  <c:v>35</c:v>
                </c:pt>
                <c:pt idx="21">
                  <c:v>1.8650306748466259</c:v>
                </c:pt>
                <c:pt idx="22">
                  <c:v>-118</c:v>
                </c:pt>
                <c:pt idx="23">
                  <c:v>78</c:v>
                </c:pt>
                <c:pt idx="24">
                  <c:v>105</c:v>
                </c:pt>
                <c:pt idx="25">
                  <c:v>-256</c:v>
                </c:pt>
                <c:pt idx="26">
                  <c:v>-54</c:v>
                </c:pt>
                <c:pt idx="27">
                  <c:v>92</c:v>
                </c:pt>
                <c:pt idx="28">
                  <c:v>14</c:v>
                </c:pt>
                <c:pt idx="29">
                  <c:v>11</c:v>
                </c:pt>
                <c:pt idx="30">
                  <c:v>95</c:v>
                </c:pt>
                <c:pt idx="31">
                  <c:v>-175</c:v>
                </c:pt>
                <c:pt idx="32">
                  <c:v>77</c:v>
                </c:pt>
                <c:pt idx="33">
                  <c:v>19</c:v>
                </c:pt>
                <c:pt idx="34">
                  <c:v>-375</c:v>
                </c:pt>
                <c:pt idx="35">
                  <c:v>95</c:v>
                </c:pt>
                <c:pt idx="36">
                  <c:v>-784</c:v>
                </c:pt>
                <c:pt idx="37">
                  <c:v>-26</c:v>
                </c:pt>
                <c:pt idx="38">
                  <c:v>-302</c:v>
                </c:pt>
                <c:pt idx="39">
                  <c:v>44</c:v>
                </c:pt>
                <c:pt idx="40">
                  <c:v>-18.43</c:v>
                </c:pt>
                <c:pt idx="41">
                  <c:v>33</c:v>
                </c:pt>
                <c:pt idx="42">
                  <c:v>-133</c:v>
                </c:pt>
                <c:pt idx="43">
                  <c:v>1</c:v>
                </c:pt>
                <c:pt idx="44">
                  <c:v>-22</c:v>
                </c:pt>
                <c:pt idx="45">
                  <c:v>0</c:v>
                </c:pt>
                <c:pt idx="46">
                  <c:v>109</c:v>
                </c:pt>
                <c:pt idx="47">
                  <c:v>572</c:v>
                </c:pt>
                <c:pt idx="48">
                  <c:v>0</c:v>
                </c:pt>
                <c:pt idx="49">
                  <c:v>32</c:v>
                </c:pt>
                <c:pt idx="50">
                  <c:v>144.22222222222223</c:v>
                </c:pt>
                <c:pt idx="51">
                  <c:v>100</c:v>
                </c:pt>
                <c:pt idx="52">
                  <c:v>55</c:v>
                </c:pt>
                <c:pt idx="53">
                  <c:v>6</c:v>
                </c:pt>
                <c:pt idx="54">
                  <c:v>-277</c:v>
                </c:pt>
                <c:pt idx="55">
                  <c:v>64</c:v>
                </c:pt>
                <c:pt idx="56">
                  <c:v>0</c:v>
                </c:pt>
                <c:pt idx="57">
                  <c:v>23</c:v>
                </c:pt>
                <c:pt idx="58">
                  <c:v>53</c:v>
                </c:pt>
                <c:pt idx="59">
                  <c:v>-5</c:v>
                </c:pt>
                <c:pt idx="60">
                  <c:v>59</c:v>
                </c:pt>
                <c:pt idx="61">
                  <c:v>-20</c:v>
                </c:pt>
                <c:pt idx="62">
                  <c:v>-270</c:v>
                </c:pt>
                <c:pt idx="63">
                  <c:v>30</c:v>
                </c:pt>
                <c:pt idx="64">
                  <c:v>-34</c:v>
                </c:pt>
                <c:pt idx="65">
                  <c:v>-19</c:v>
                </c:pt>
                <c:pt idx="66">
                  <c:v>-66</c:v>
                </c:pt>
                <c:pt idx="67">
                  <c:v>27</c:v>
                </c:pt>
                <c:pt idx="68">
                  <c:v>117</c:v>
                </c:pt>
                <c:pt idx="69">
                  <c:v>1869</c:v>
                </c:pt>
                <c:pt idx="70">
                  <c:v>13</c:v>
                </c:pt>
                <c:pt idx="71">
                  <c:v>6</c:v>
                </c:pt>
                <c:pt idx="72">
                  <c:v>94</c:v>
                </c:pt>
                <c:pt idx="73">
                  <c:v>119</c:v>
                </c:pt>
                <c:pt idx="74">
                  <c:v>11</c:v>
                </c:pt>
                <c:pt idx="75">
                  <c:v>-2.4581005586592179</c:v>
                </c:pt>
                <c:pt idx="76">
                  <c:v>-23</c:v>
                </c:pt>
                <c:pt idx="77">
                  <c:v>59</c:v>
                </c:pt>
                <c:pt idx="78">
                  <c:v>0</c:v>
                </c:pt>
                <c:pt idx="79">
                  <c:v>-105.3</c:v>
                </c:pt>
                <c:pt idx="80">
                  <c:v>78</c:v>
                </c:pt>
                <c:pt idx="81">
                  <c:v>143</c:v>
                </c:pt>
                <c:pt idx="82">
                  <c:v>144</c:v>
                </c:pt>
                <c:pt idx="83">
                  <c:v>23</c:v>
                </c:pt>
                <c:pt idx="84">
                  <c:v>0</c:v>
                </c:pt>
                <c:pt idx="85">
                  <c:v>475</c:v>
                </c:pt>
                <c:pt idx="86">
                  <c:v>-232</c:v>
                </c:pt>
                <c:pt idx="87">
                  <c:v>26</c:v>
                </c:pt>
                <c:pt idx="88">
                  <c:v>15.73</c:v>
                </c:pt>
                <c:pt idx="89">
                  <c:v>0.10833333333333334</c:v>
                </c:pt>
                <c:pt idx="90">
                  <c:v>9</c:v>
                </c:pt>
                <c:pt idx="91">
                  <c:v>12</c:v>
                </c:pt>
                <c:pt idx="92">
                  <c:v>-130.16216216216216</c:v>
                </c:pt>
                <c:pt idx="93">
                  <c:v>-16</c:v>
                </c:pt>
                <c:pt idx="94">
                  <c:v>-34</c:v>
                </c:pt>
                <c:pt idx="95">
                  <c:v>224</c:v>
                </c:pt>
                <c:pt idx="96">
                  <c:v>-6</c:v>
                </c:pt>
                <c:pt idx="97">
                  <c:v>-312</c:v>
                </c:pt>
                <c:pt idx="98">
                  <c:v>-12</c:v>
                </c:pt>
                <c:pt idx="99">
                  <c:v>275</c:v>
                </c:pt>
                <c:pt idx="100">
                  <c:v>0.53749999999999998</c:v>
                </c:pt>
                <c:pt idx="101">
                  <c:v>-244</c:v>
                </c:pt>
                <c:pt idx="102">
                  <c:v>0</c:v>
                </c:pt>
                <c:pt idx="103">
                  <c:v>1193</c:v>
                </c:pt>
                <c:pt idx="104">
                  <c:v>6.954545454545455</c:v>
                </c:pt>
                <c:pt idx="105">
                  <c:v>1193</c:v>
                </c:pt>
                <c:pt idx="106">
                  <c:v>-6</c:v>
                </c:pt>
                <c:pt idx="107">
                  <c:v>-228</c:v>
                </c:pt>
                <c:pt idx="108">
                  <c:v>-63</c:v>
                </c:pt>
                <c:pt idx="109">
                  <c:v>-391</c:v>
                </c:pt>
                <c:pt idx="110">
                  <c:v>37.383177570093459</c:v>
                </c:pt>
                <c:pt idx="111">
                  <c:v>189</c:v>
                </c:pt>
                <c:pt idx="112">
                  <c:v>14</c:v>
                </c:pt>
                <c:pt idx="113">
                  <c:v>55</c:v>
                </c:pt>
                <c:pt idx="114">
                  <c:v>-1.6319018404907977</c:v>
                </c:pt>
                <c:pt idx="115">
                  <c:v>88</c:v>
                </c:pt>
                <c:pt idx="116">
                  <c:v>10</c:v>
                </c:pt>
                <c:pt idx="117">
                  <c:v>16</c:v>
                </c:pt>
                <c:pt idx="118">
                  <c:v>-85</c:v>
                </c:pt>
                <c:pt idx="119">
                  <c:v>-67</c:v>
                </c:pt>
                <c:pt idx="120">
                  <c:v>-75</c:v>
                </c:pt>
                <c:pt idx="121">
                  <c:v>10</c:v>
                </c:pt>
                <c:pt idx="122">
                  <c:v>32</c:v>
                </c:pt>
                <c:pt idx="123">
                  <c:v>73</c:v>
                </c:pt>
                <c:pt idx="124">
                  <c:v>-291</c:v>
                </c:pt>
                <c:pt idx="125">
                  <c:v>161</c:v>
                </c:pt>
                <c:pt idx="126">
                  <c:v>1</c:v>
                </c:pt>
                <c:pt idx="127">
                  <c:v>-40</c:v>
                </c:pt>
                <c:pt idx="128">
                  <c:v>40</c:v>
                </c:pt>
                <c:pt idx="129">
                  <c:v>-315</c:v>
                </c:pt>
                <c:pt idx="130">
                  <c:v>42</c:v>
                </c:pt>
                <c:pt idx="131">
                  <c:v>-45</c:v>
                </c:pt>
                <c:pt idx="132">
                  <c:v>-35</c:v>
                </c:pt>
                <c:pt idx="133">
                  <c:v>298.3</c:v>
                </c:pt>
                <c:pt idx="134">
                  <c:v>2</c:v>
                </c:pt>
                <c:pt idx="135">
                  <c:v>282</c:v>
                </c:pt>
                <c:pt idx="136">
                  <c:v>-92</c:v>
                </c:pt>
                <c:pt idx="137">
                  <c:v>-1</c:v>
                </c:pt>
                <c:pt idx="138">
                  <c:v>68</c:v>
                </c:pt>
                <c:pt idx="139">
                  <c:v>-97</c:v>
                </c:pt>
                <c:pt idx="140">
                  <c:v>714</c:v>
                </c:pt>
                <c:pt idx="141">
                  <c:v>0</c:v>
                </c:pt>
                <c:pt idx="142">
                  <c:v>48</c:v>
                </c:pt>
                <c:pt idx="143">
                  <c:v>208</c:v>
                </c:pt>
                <c:pt idx="144">
                  <c:v>-15</c:v>
                </c:pt>
                <c:pt idx="145">
                  <c:v>-10</c:v>
                </c:pt>
                <c:pt idx="146">
                  <c:v>0</c:v>
                </c:pt>
                <c:pt idx="147">
                  <c:v>39</c:v>
                </c:pt>
                <c:pt idx="148">
                  <c:v>54</c:v>
                </c:pt>
                <c:pt idx="149">
                  <c:v>0</c:v>
                </c:pt>
                <c:pt idx="150">
                  <c:v>5</c:v>
                </c:pt>
                <c:pt idx="151">
                  <c:v>118</c:v>
                </c:pt>
                <c:pt idx="152">
                  <c:v>91</c:v>
                </c:pt>
                <c:pt idx="153">
                  <c:v>147</c:v>
                </c:pt>
                <c:pt idx="154">
                  <c:v>121</c:v>
                </c:pt>
                <c:pt idx="155">
                  <c:v>80</c:v>
                </c:pt>
                <c:pt idx="156">
                  <c:v>-82</c:v>
                </c:pt>
                <c:pt idx="157">
                  <c:v>21</c:v>
                </c:pt>
                <c:pt idx="158">
                  <c:v>62</c:v>
                </c:pt>
                <c:pt idx="159">
                  <c:v>28</c:v>
                </c:pt>
                <c:pt idx="160">
                  <c:v>-26</c:v>
                </c:pt>
                <c:pt idx="161">
                  <c:v>16</c:v>
                </c:pt>
                <c:pt idx="162">
                  <c:v>1526</c:v>
                </c:pt>
                <c:pt idx="163">
                  <c:v>13</c:v>
                </c:pt>
                <c:pt idx="164">
                  <c:v>43</c:v>
                </c:pt>
                <c:pt idx="165">
                  <c:v>1</c:v>
                </c:pt>
                <c:pt idx="166">
                  <c:v>66</c:v>
                </c:pt>
                <c:pt idx="167">
                  <c:v>27</c:v>
                </c:pt>
                <c:pt idx="168">
                  <c:v>-84.530218384966986</c:v>
                </c:pt>
                <c:pt idx="169">
                  <c:v>31</c:v>
                </c:pt>
                <c:pt idx="170">
                  <c:v>-20</c:v>
                </c:pt>
                <c:pt idx="171">
                  <c:v>15</c:v>
                </c:pt>
                <c:pt idx="172">
                  <c:v>-7.4700000000000006</c:v>
                </c:pt>
                <c:pt idx="173">
                  <c:v>100</c:v>
                </c:pt>
                <c:pt idx="174">
                  <c:v>-554</c:v>
                </c:pt>
                <c:pt idx="175">
                  <c:v>434</c:v>
                </c:pt>
                <c:pt idx="176">
                  <c:v>-39</c:v>
                </c:pt>
                <c:pt idx="177">
                  <c:v>0</c:v>
                </c:pt>
                <c:pt idx="178">
                  <c:v>462</c:v>
                </c:pt>
                <c:pt idx="179">
                  <c:v>-472</c:v>
                </c:pt>
                <c:pt idx="180">
                  <c:v>238</c:v>
                </c:pt>
                <c:pt idx="181">
                  <c:v>2.86</c:v>
                </c:pt>
                <c:pt idx="182">
                  <c:v>17.225000000000001</c:v>
                </c:pt>
                <c:pt idx="183">
                  <c:v>40</c:v>
                </c:pt>
                <c:pt idx="184">
                  <c:v>146</c:v>
                </c:pt>
                <c:pt idx="185">
                  <c:v>-74.351351351351354</c:v>
                </c:pt>
                <c:pt idx="186">
                  <c:v>26</c:v>
                </c:pt>
                <c:pt idx="187">
                  <c:v>287</c:v>
                </c:pt>
                <c:pt idx="188">
                  <c:v>845</c:v>
                </c:pt>
                <c:pt idx="189">
                  <c:v>167</c:v>
                </c:pt>
                <c:pt idx="190">
                  <c:v>580</c:v>
                </c:pt>
                <c:pt idx="191">
                  <c:v>14</c:v>
                </c:pt>
                <c:pt idx="192">
                  <c:v>32</c:v>
                </c:pt>
                <c:pt idx="193">
                  <c:v>-12.725</c:v>
                </c:pt>
                <c:pt idx="194">
                  <c:v>46</c:v>
                </c:pt>
                <c:pt idx="195">
                  <c:v>0</c:v>
                </c:pt>
                <c:pt idx="196">
                  <c:v>1686</c:v>
                </c:pt>
                <c:pt idx="197">
                  <c:v>40.159090909090914</c:v>
                </c:pt>
                <c:pt idx="198">
                  <c:v>1686</c:v>
                </c:pt>
                <c:pt idx="199">
                  <c:v>2</c:v>
                </c:pt>
                <c:pt idx="200">
                  <c:v>-181</c:v>
                </c:pt>
                <c:pt idx="201">
                  <c:v>53</c:v>
                </c:pt>
                <c:pt idx="202">
                  <c:v>-348</c:v>
                </c:pt>
                <c:pt idx="203">
                  <c:v>18.542056074766357</c:v>
                </c:pt>
                <c:pt idx="204">
                  <c:v>260</c:v>
                </c:pt>
                <c:pt idx="205">
                  <c:v>90</c:v>
                </c:pt>
                <c:pt idx="206">
                  <c:v>90</c:v>
                </c:pt>
                <c:pt idx="207">
                  <c:v>-5.3619631901840483</c:v>
                </c:pt>
                <c:pt idx="208">
                  <c:v>90</c:v>
                </c:pt>
                <c:pt idx="209">
                  <c:v>0</c:v>
                </c:pt>
                <c:pt idx="210">
                  <c:v>165</c:v>
                </c:pt>
                <c:pt idx="211">
                  <c:v>202</c:v>
                </c:pt>
                <c:pt idx="212">
                  <c:v>-76</c:v>
                </c:pt>
                <c:pt idx="213">
                  <c:v>25</c:v>
                </c:pt>
                <c:pt idx="214">
                  <c:v>147</c:v>
                </c:pt>
                <c:pt idx="215">
                  <c:v>69</c:v>
                </c:pt>
                <c:pt idx="216">
                  <c:v>62</c:v>
                </c:pt>
                <c:pt idx="217">
                  <c:v>65</c:v>
                </c:pt>
                <c:pt idx="218">
                  <c:v>-31</c:v>
                </c:pt>
                <c:pt idx="219">
                  <c:v>4</c:v>
                </c:pt>
                <c:pt idx="220">
                  <c:v>-195</c:v>
                </c:pt>
                <c:pt idx="221">
                  <c:v>204</c:v>
                </c:pt>
                <c:pt idx="222">
                  <c:v>55</c:v>
                </c:pt>
                <c:pt idx="223">
                  <c:v>4</c:v>
                </c:pt>
                <c:pt idx="224">
                  <c:v>22</c:v>
                </c:pt>
                <c:pt idx="225">
                  <c:v>-36</c:v>
                </c:pt>
                <c:pt idx="226">
                  <c:v>-66.88</c:v>
                </c:pt>
                <c:pt idx="227">
                  <c:v>-8</c:v>
                </c:pt>
                <c:pt idx="228">
                  <c:v>-62</c:v>
                </c:pt>
                <c:pt idx="229">
                  <c:v>59</c:v>
                </c:pt>
                <c:pt idx="230">
                  <c:v>-17</c:v>
                </c:pt>
                <c:pt idx="231">
                  <c:v>-62</c:v>
                </c:pt>
                <c:pt idx="232">
                  <c:v>216</c:v>
                </c:pt>
                <c:pt idx="233">
                  <c:v>287</c:v>
                </c:pt>
                <c:pt idx="234">
                  <c:v>-253</c:v>
                </c:pt>
                <c:pt idx="235">
                  <c:v>48</c:v>
                </c:pt>
                <c:pt idx="236">
                  <c:v>-23.555555555555554</c:v>
                </c:pt>
                <c:pt idx="237">
                  <c:v>76</c:v>
                </c:pt>
                <c:pt idx="238">
                  <c:v>-5</c:v>
                </c:pt>
                <c:pt idx="239">
                  <c:v>0</c:v>
                </c:pt>
                <c:pt idx="240">
                  <c:v>85</c:v>
                </c:pt>
                <c:pt idx="241">
                  <c:v>60</c:v>
                </c:pt>
                <c:pt idx="242">
                  <c:v>18</c:v>
                </c:pt>
                <c:pt idx="243">
                  <c:v>4</c:v>
                </c:pt>
                <c:pt idx="244">
                  <c:v>177</c:v>
                </c:pt>
                <c:pt idx="245">
                  <c:v>163</c:v>
                </c:pt>
                <c:pt idx="246">
                  <c:v>87</c:v>
                </c:pt>
                <c:pt idx="247">
                  <c:v>-15</c:v>
                </c:pt>
                <c:pt idx="248">
                  <c:v>3</c:v>
                </c:pt>
                <c:pt idx="249">
                  <c:v>83</c:v>
                </c:pt>
                <c:pt idx="250">
                  <c:v>9</c:v>
                </c:pt>
                <c:pt idx="251">
                  <c:v>11</c:v>
                </c:pt>
                <c:pt idx="252">
                  <c:v>6</c:v>
                </c:pt>
                <c:pt idx="253">
                  <c:v>-91</c:v>
                </c:pt>
                <c:pt idx="254">
                  <c:v>629</c:v>
                </c:pt>
                <c:pt idx="255">
                  <c:v>102</c:v>
                </c:pt>
                <c:pt idx="256">
                  <c:v>18</c:v>
                </c:pt>
                <c:pt idx="257">
                  <c:v>13</c:v>
                </c:pt>
                <c:pt idx="258">
                  <c:v>55</c:v>
                </c:pt>
                <c:pt idx="259">
                  <c:v>126</c:v>
                </c:pt>
                <c:pt idx="260">
                  <c:v>11</c:v>
                </c:pt>
                <c:pt idx="261">
                  <c:v>202.19400711020822</c:v>
                </c:pt>
                <c:pt idx="262">
                  <c:v>-3</c:v>
                </c:pt>
                <c:pt idx="263">
                  <c:v>50</c:v>
                </c:pt>
                <c:pt idx="264">
                  <c:v>35</c:v>
                </c:pt>
                <c:pt idx="265">
                  <c:v>-15.120000000000001</c:v>
                </c:pt>
                <c:pt idx="266">
                  <c:v>24</c:v>
                </c:pt>
                <c:pt idx="267">
                  <c:v>-180</c:v>
                </c:pt>
                <c:pt idx="268">
                  <c:v>284</c:v>
                </c:pt>
                <c:pt idx="269">
                  <c:v>94</c:v>
                </c:pt>
                <c:pt idx="270">
                  <c:v>0</c:v>
                </c:pt>
                <c:pt idx="271">
                  <c:v>237</c:v>
                </c:pt>
                <c:pt idx="272">
                  <c:v>-303</c:v>
                </c:pt>
                <c:pt idx="273">
                  <c:v>278</c:v>
                </c:pt>
                <c:pt idx="274">
                  <c:v>13.389999999999999</c:v>
                </c:pt>
                <c:pt idx="275">
                  <c:v>20.041666666666668</c:v>
                </c:pt>
                <c:pt idx="276">
                  <c:v>-27</c:v>
                </c:pt>
                <c:pt idx="277">
                  <c:v>58</c:v>
                </c:pt>
                <c:pt idx="278">
                  <c:v>-13.054054054054054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E7-5F45-A349-75CB1389B5A7}"/>
            </c:ext>
          </c:extLst>
        </c:ser>
        <c:ser>
          <c:idx val="1"/>
          <c:order val="1"/>
          <c:tx>
            <c:v>Predicted 2015 - Výsledek hospodaření před zdaněním celkem</c:v>
          </c:tx>
          <c:spPr>
            <a:ln w="19050">
              <a:noFill/>
            </a:ln>
          </c:spPr>
          <c:xVal>
            <c:numRef>
              <c:f>'VO 1,3,4,5'!$CK$2:$CK$280</c:f>
              <c:numCache>
                <c:formatCode>General</c:formatCode>
                <c:ptCount val="279"/>
                <c:pt idx="0">
                  <c:v>137</c:v>
                </c:pt>
                <c:pt idx="1">
                  <c:v>197</c:v>
                </c:pt>
                <c:pt idx="2">
                  <c:v>0</c:v>
                </c:pt>
                <c:pt idx="3">
                  <c:v>0</c:v>
                </c:pt>
                <c:pt idx="4">
                  <c:v>1397</c:v>
                </c:pt>
                <c:pt idx="5">
                  <c:v>810</c:v>
                </c:pt>
                <c:pt idx="6">
                  <c:v>1302</c:v>
                </c:pt>
                <c:pt idx="7">
                  <c:v>0</c:v>
                </c:pt>
                <c:pt idx="8">
                  <c:v>474</c:v>
                </c:pt>
                <c:pt idx="9">
                  <c:v>49</c:v>
                </c:pt>
                <c:pt idx="10">
                  <c:v>0</c:v>
                </c:pt>
                <c:pt idx="11">
                  <c:v>57.340909090909086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204.26168224299064</c:v>
                </c:pt>
                <c:pt idx="18">
                  <c:v>373</c:v>
                </c:pt>
                <c:pt idx="19">
                  <c:v>310</c:v>
                </c:pt>
                <c:pt idx="20">
                  <c:v>30</c:v>
                </c:pt>
                <c:pt idx="21">
                  <c:v>12.064417177914111</c:v>
                </c:pt>
                <c:pt idx="22">
                  <c:v>0</c:v>
                </c:pt>
                <c:pt idx="23">
                  <c:v>153</c:v>
                </c:pt>
                <c:pt idx="24">
                  <c:v>210</c:v>
                </c:pt>
                <c:pt idx="25">
                  <c:v>619</c:v>
                </c:pt>
                <c:pt idx="26">
                  <c:v>201</c:v>
                </c:pt>
                <c:pt idx="27">
                  <c:v>39</c:v>
                </c:pt>
                <c:pt idx="28">
                  <c:v>184</c:v>
                </c:pt>
                <c:pt idx="29">
                  <c:v>329</c:v>
                </c:pt>
                <c:pt idx="30">
                  <c:v>214</c:v>
                </c:pt>
                <c:pt idx="31">
                  <c:v>682</c:v>
                </c:pt>
                <c:pt idx="32">
                  <c:v>490</c:v>
                </c:pt>
                <c:pt idx="33">
                  <c:v>0</c:v>
                </c:pt>
                <c:pt idx="34">
                  <c:v>779</c:v>
                </c:pt>
                <c:pt idx="35">
                  <c:v>0</c:v>
                </c:pt>
                <c:pt idx="36">
                  <c:v>476</c:v>
                </c:pt>
                <c:pt idx="37">
                  <c:v>110</c:v>
                </c:pt>
                <c:pt idx="38">
                  <c:v>0</c:v>
                </c:pt>
                <c:pt idx="39">
                  <c:v>140</c:v>
                </c:pt>
                <c:pt idx="40">
                  <c:v>1087.18</c:v>
                </c:pt>
                <c:pt idx="41">
                  <c:v>60</c:v>
                </c:pt>
                <c:pt idx="42">
                  <c:v>719</c:v>
                </c:pt>
                <c:pt idx="43">
                  <c:v>0</c:v>
                </c:pt>
                <c:pt idx="44">
                  <c:v>145</c:v>
                </c:pt>
                <c:pt idx="45">
                  <c:v>45</c:v>
                </c:pt>
                <c:pt idx="46">
                  <c:v>200</c:v>
                </c:pt>
                <c:pt idx="47">
                  <c:v>416</c:v>
                </c:pt>
                <c:pt idx="48">
                  <c:v>169</c:v>
                </c:pt>
                <c:pt idx="49">
                  <c:v>0</c:v>
                </c:pt>
                <c:pt idx="50">
                  <c:v>0</c:v>
                </c:pt>
                <c:pt idx="51">
                  <c:v>72</c:v>
                </c:pt>
                <c:pt idx="52">
                  <c:v>0</c:v>
                </c:pt>
                <c:pt idx="53">
                  <c:v>0</c:v>
                </c:pt>
                <c:pt idx="54">
                  <c:v>150</c:v>
                </c:pt>
                <c:pt idx="55">
                  <c:v>200</c:v>
                </c:pt>
                <c:pt idx="56">
                  <c:v>0</c:v>
                </c:pt>
                <c:pt idx="57">
                  <c:v>1932</c:v>
                </c:pt>
                <c:pt idx="58">
                  <c:v>136</c:v>
                </c:pt>
                <c:pt idx="59">
                  <c:v>70</c:v>
                </c:pt>
                <c:pt idx="60">
                  <c:v>53</c:v>
                </c:pt>
                <c:pt idx="61">
                  <c:v>24</c:v>
                </c:pt>
                <c:pt idx="62">
                  <c:v>0</c:v>
                </c:pt>
                <c:pt idx="63">
                  <c:v>73</c:v>
                </c:pt>
                <c:pt idx="64">
                  <c:v>45</c:v>
                </c:pt>
                <c:pt idx="65">
                  <c:v>60</c:v>
                </c:pt>
                <c:pt idx="66">
                  <c:v>36</c:v>
                </c:pt>
                <c:pt idx="67">
                  <c:v>260</c:v>
                </c:pt>
                <c:pt idx="68">
                  <c:v>416</c:v>
                </c:pt>
                <c:pt idx="69">
                  <c:v>120</c:v>
                </c:pt>
                <c:pt idx="70">
                  <c:v>47</c:v>
                </c:pt>
                <c:pt idx="71">
                  <c:v>449</c:v>
                </c:pt>
                <c:pt idx="72">
                  <c:v>196</c:v>
                </c:pt>
                <c:pt idx="73">
                  <c:v>83</c:v>
                </c:pt>
                <c:pt idx="74">
                  <c:v>0</c:v>
                </c:pt>
                <c:pt idx="75">
                  <c:v>110.47232097511427</c:v>
                </c:pt>
                <c:pt idx="76">
                  <c:v>148</c:v>
                </c:pt>
                <c:pt idx="77">
                  <c:v>98</c:v>
                </c:pt>
                <c:pt idx="78">
                  <c:v>59</c:v>
                </c:pt>
                <c:pt idx="79">
                  <c:v>196.82999999999998</c:v>
                </c:pt>
                <c:pt idx="80">
                  <c:v>589</c:v>
                </c:pt>
                <c:pt idx="81">
                  <c:v>1776</c:v>
                </c:pt>
                <c:pt idx="82">
                  <c:v>228</c:v>
                </c:pt>
                <c:pt idx="83">
                  <c:v>136</c:v>
                </c:pt>
                <c:pt idx="84">
                  <c:v>365</c:v>
                </c:pt>
                <c:pt idx="85">
                  <c:v>0</c:v>
                </c:pt>
                <c:pt idx="86">
                  <c:v>166</c:v>
                </c:pt>
                <c:pt idx="87">
                  <c:v>4154</c:v>
                </c:pt>
                <c:pt idx="88">
                  <c:v>52.650000000000006</c:v>
                </c:pt>
                <c:pt idx="89">
                  <c:v>0</c:v>
                </c:pt>
                <c:pt idx="90">
                  <c:v>0</c:v>
                </c:pt>
                <c:pt idx="91">
                  <c:v>624</c:v>
                </c:pt>
                <c:pt idx="92">
                  <c:v>248.78378378378378</c:v>
                </c:pt>
                <c:pt idx="93">
                  <c:v>190</c:v>
                </c:pt>
                <c:pt idx="94">
                  <c:v>302</c:v>
                </c:pt>
                <c:pt idx="95">
                  <c:v>0</c:v>
                </c:pt>
                <c:pt idx="96">
                  <c:v>3107</c:v>
                </c:pt>
                <c:pt idx="97">
                  <c:v>1566</c:v>
                </c:pt>
                <c:pt idx="98">
                  <c:v>1118</c:v>
                </c:pt>
                <c:pt idx="99">
                  <c:v>1964</c:v>
                </c:pt>
                <c:pt idx="100">
                  <c:v>2.6124999999999998</c:v>
                </c:pt>
                <c:pt idx="101">
                  <c:v>505</c:v>
                </c:pt>
                <c:pt idx="102">
                  <c:v>49</c:v>
                </c:pt>
                <c:pt idx="103">
                  <c:v>1341</c:v>
                </c:pt>
                <c:pt idx="104">
                  <c:v>64.11363636363636</c:v>
                </c:pt>
                <c:pt idx="105">
                  <c:v>1341</c:v>
                </c:pt>
                <c:pt idx="106">
                  <c:v>13</c:v>
                </c:pt>
                <c:pt idx="107">
                  <c:v>885</c:v>
                </c:pt>
                <c:pt idx="108">
                  <c:v>0</c:v>
                </c:pt>
                <c:pt idx="109">
                  <c:v>746</c:v>
                </c:pt>
                <c:pt idx="110">
                  <c:v>266.31775700934577</c:v>
                </c:pt>
                <c:pt idx="111">
                  <c:v>596</c:v>
                </c:pt>
                <c:pt idx="112">
                  <c:v>230</c:v>
                </c:pt>
                <c:pt idx="113">
                  <c:v>40</c:v>
                </c:pt>
                <c:pt idx="114">
                  <c:v>16.726993865030675</c:v>
                </c:pt>
                <c:pt idx="115">
                  <c:v>0</c:v>
                </c:pt>
                <c:pt idx="116">
                  <c:v>176</c:v>
                </c:pt>
                <c:pt idx="117">
                  <c:v>0</c:v>
                </c:pt>
                <c:pt idx="118">
                  <c:v>936</c:v>
                </c:pt>
                <c:pt idx="119">
                  <c:v>235</c:v>
                </c:pt>
                <c:pt idx="120">
                  <c:v>148</c:v>
                </c:pt>
                <c:pt idx="121">
                  <c:v>275</c:v>
                </c:pt>
                <c:pt idx="122">
                  <c:v>431</c:v>
                </c:pt>
                <c:pt idx="123">
                  <c:v>300</c:v>
                </c:pt>
                <c:pt idx="124">
                  <c:v>1926</c:v>
                </c:pt>
                <c:pt idx="125">
                  <c:v>665</c:v>
                </c:pt>
                <c:pt idx="126">
                  <c:v>146</c:v>
                </c:pt>
                <c:pt idx="127">
                  <c:v>874</c:v>
                </c:pt>
                <c:pt idx="128">
                  <c:v>85</c:v>
                </c:pt>
                <c:pt idx="129">
                  <c:v>96</c:v>
                </c:pt>
                <c:pt idx="130">
                  <c:v>100</c:v>
                </c:pt>
                <c:pt idx="131">
                  <c:v>0</c:v>
                </c:pt>
                <c:pt idx="132">
                  <c:v>310</c:v>
                </c:pt>
                <c:pt idx="133">
                  <c:v>1316.51</c:v>
                </c:pt>
                <c:pt idx="134">
                  <c:v>0</c:v>
                </c:pt>
                <c:pt idx="135">
                  <c:v>828</c:v>
                </c:pt>
                <c:pt idx="136">
                  <c:v>258</c:v>
                </c:pt>
                <c:pt idx="137">
                  <c:v>216</c:v>
                </c:pt>
                <c:pt idx="138">
                  <c:v>100</c:v>
                </c:pt>
                <c:pt idx="139">
                  <c:v>77</c:v>
                </c:pt>
                <c:pt idx="140">
                  <c:v>473</c:v>
                </c:pt>
                <c:pt idx="141">
                  <c:v>190</c:v>
                </c:pt>
                <c:pt idx="142">
                  <c:v>0</c:v>
                </c:pt>
                <c:pt idx="143">
                  <c:v>279.11111111111109</c:v>
                </c:pt>
                <c:pt idx="144">
                  <c:v>50</c:v>
                </c:pt>
                <c:pt idx="145">
                  <c:v>0</c:v>
                </c:pt>
                <c:pt idx="146">
                  <c:v>0</c:v>
                </c:pt>
                <c:pt idx="147">
                  <c:v>252</c:v>
                </c:pt>
                <c:pt idx="148">
                  <c:v>301</c:v>
                </c:pt>
                <c:pt idx="149">
                  <c:v>189</c:v>
                </c:pt>
                <c:pt idx="150">
                  <c:v>2176</c:v>
                </c:pt>
                <c:pt idx="151">
                  <c:v>0</c:v>
                </c:pt>
                <c:pt idx="152">
                  <c:v>115</c:v>
                </c:pt>
                <c:pt idx="153">
                  <c:v>185</c:v>
                </c:pt>
                <c:pt idx="154">
                  <c:v>146</c:v>
                </c:pt>
                <c:pt idx="155">
                  <c:v>410</c:v>
                </c:pt>
                <c:pt idx="156">
                  <c:v>64</c:v>
                </c:pt>
                <c:pt idx="157">
                  <c:v>55</c:v>
                </c:pt>
                <c:pt idx="158">
                  <c:v>100</c:v>
                </c:pt>
                <c:pt idx="159">
                  <c:v>295</c:v>
                </c:pt>
                <c:pt idx="160">
                  <c:v>255</c:v>
                </c:pt>
                <c:pt idx="161">
                  <c:v>547</c:v>
                </c:pt>
                <c:pt idx="162">
                  <c:v>204</c:v>
                </c:pt>
                <c:pt idx="163">
                  <c:v>30</c:v>
                </c:pt>
                <c:pt idx="164">
                  <c:v>558</c:v>
                </c:pt>
                <c:pt idx="165">
                  <c:v>177</c:v>
                </c:pt>
                <c:pt idx="166">
                  <c:v>232</c:v>
                </c:pt>
                <c:pt idx="167">
                  <c:v>0</c:v>
                </c:pt>
                <c:pt idx="168">
                  <c:v>203.10817673946164</c:v>
                </c:pt>
                <c:pt idx="169">
                  <c:v>129</c:v>
                </c:pt>
                <c:pt idx="170">
                  <c:v>163</c:v>
                </c:pt>
                <c:pt idx="171">
                  <c:v>58</c:v>
                </c:pt>
                <c:pt idx="172">
                  <c:v>482.21999999999997</c:v>
                </c:pt>
                <c:pt idx="173">
                  <c:v>692</c:v>
                </c:pt>
                <c:pt idx="174">
                  <c:v>1859</c:v>
                </c:pt>
                <c:pt idx="175">
                  <c:v>687</c:v>
                </c:pt>
                <c:pt idx="176">
                  <c:v>268</c:v>
                </c:pt>
                <c:pt idx="177">
                  <c:v>341</c:v>
                </c:pt>
                <c:pt idx="178">
                  <c:v>0</c:v>
                </c:pt>
                <c:pt idx="179">
                  <c:v>254</c:v>
                </c:pt>
                <c:pt idx="180">
                  <c:v>5832</c:v>
                </c:pt>
                <c:pt idx="181">
                  <c:v>93.34</c:v>
                </c:pt>
                <c:pt idx="182">
                  <c:v>45.174999999999997</c:v>
                </c:pt>
                <c:pt idx="183">
                  <c:v>138</c:v>
                </c:pt>
                <c:pt idx="184">
                  <c:v>711</c:v>
                </c:pt>
                <c:pt idx="185">
                  <c:v>306.67567567567568</c:v>
                </c:pt>
                <c:pt idx="186">
                  <c:v>170</c:v>
                </c:pt>
                <c:pt idx="187">
                  <c:v>672</c:v>
                </c:pt>
                <c:pt idx="188">
                  <c:v>862</c:v>
                </c:pt>
                <c:pt idx="189">
                  <c:v>3288</c:v>
                </c:pt>
                <c:pt idx="190">
                  <c:v>2115</c:v>
                </c:pt>
                <c:pt idx="191">
                  <c:v>1718</c:v>
                </c:pt>
                <c:pt idx="192">
                  <c:v>2438</c:v>
                </c:pt>
                <c:pt idx="193">
                  <c:v>2.4500000000000002</c:v>
                </c:pt>
                <c:pt idx="194">
                  <c:v>535</c:v>
                </c:pt>
                <c:pt idx="195">
                  <c:v>85</c:v>
                </c:pt>
                <c:pt idx="196">
                  <c:v>1551</c:v>
                </c:pt>
                <c:pt idx="197">
                  <c:v>86.295454545454547</c:v>
                </c:pt>
                <c:pt idx="198">
                  <c:v>1551</c:v>
                </c:pt>
                <c:pt idx="199">
                  <c:v>10</c:v>
                </c:pt>
                <c:pt idx="200">
                  <c:v>1080</c:v>
                </c:pt>
                <c:pt idx="201">
                  <c:v>0</c:v>
                </c:pt>
                <c:pt idx="202">
                  <c:v>741</c:v>
                </c:pt>
                <c:pt idx="203">
                  <c:v>300.56074766355141</c:v>
                </c:pt>
                <c:pt idx="204">
                  <c:v>623</c:v>
                </c:pt>
                <c:pt idx="205">
                  <c:v>592</c:v>
                </c:pt>
                <c:pt idx="206">
                  <c:v>144</c:v>
                </c:pt>
                <c:pt idx="207">
                  <c:v>23.604294478527606</c:v>
                </c:pt>
                <c:pt idx="208">
                  <c:v>124</c:v>
                </c:pt>
                <c:pt idx="209">
                  <c:v>257</c:v>
                </c:pt>
                <c:pt idx="210">
                  <c:v>0</c:v>
                </c:pt>
                <c:pt idx="211">
                  <c:v>1046</c:v>
                </c:pt>
                <c:pt idx="212">
                  <c:v>176</c:v>
                </c:pt>
                <c:pt idx="213">
                  <c:v>308</c:v>
                </c:pt>
                <c:pt idx="214">
                  <c:v>183</c:v>
                </c:pt>
                <c:pt idx="215">
                  <c:v>803</c:v>
                </c:pt>
                <c:pt idx="216">
                  <c:v>280</c:v>
                </c:pt>
                <c:pt idx="217">
                  <c:v>2335</c:v>
                </c:pt>
                <c:pt idx="218">
                  <c:v>743</c:v>
                </c:pt>
                <c:pt idx="219">
                  <c:v>118</c:v>
                </c:pt>
                <c:pt idx="220">
                  <c:v>1014</c:v>
                </c:pt>
                <c:pt idx="221">
                  <c:v>350</c:v>
                </c:pt>
                <c:pt idx="222">
                  <c:v>180</c:v>
                </c:pt>
                <c:pt idx="223">
                  <c:v>100</c:v>
                </c:pt>
                <c:pt idx="224">
                  <c:v>0</c:v>
                </c:pt>
                <c:pt idx="225">
                  <c:v>344</c:v>
                </c:pt>
                <c:pt idx="226">
                  <c:v>1475.3500000000001</c:v>
                </c:pt>
                <c:pt idx="227">
                  <c:v>0</c:v>
                </c:pt>
                <c:pt idx="228">
                  <c:v>662</c:v>
                </c:pt>
                <c:pt idx="229">
                  <c:v>106</c:v>
                </c:pt>
                <c:pt idx="230">
                  <c:v>296</c:v>
                </c:pt>
                <c:pt idx="231">
                  <c:v>100</c:v>
                </c:pt>
                <c:pt idx="232">
                  <c:v>141</c:v>
                </c:pt>
                <c:pt idx="233">
                  <c:v>947</c:v>
                </c:pt>
                <c:pt idx="234">
                  <c:v>335</c:v>
                </c:pt>
                <c:pt idx="235">
                  <c:v>56</c:v>
                </c:pt>
                <c:pt idx="236">
                  <c:v>42.333333333333336</c:v>
                </c:pt>
                <c:pt idx="237">
                  <c:v>124</c:v>
                </c:pt>
                <c:pt idx="238">
                  <c:v>464</c:v>
                </c:pt>
                <c:pt idx="239">
                  <c:v>0</c:v>
                </c:pt>
                <c:pt idx="240">
                  <c:v>150</c:v>
                </c:pt>
                <c:pt idx="241">
                  <c:v>425</c:v>
                </c:pt>
                <c:pt idx="242">
                  <c:v>231</c:v>
                </c:pt>
                <c:pt idx="243">
                  <c:v>2418</c:v>
                </c:pt>
                <c:pt idx="244">
                  <c:v>424</c:v>
                </c:pt>
                <c:pt idx="245">
                  <c:v>90</c:v>
                </c:pt>
                <c:pt idx="246">
                  <c:v>231</c:v>
                </c:pt>
                <c:pt idx="247">
                  <c:v>142</c:v>
                </c:pt>
                <c:pt idx="248">
                  <c:v>300</c:v>
                </c:pt>
                <c:pt idx="249">
                  <c:v>142</c:v>
                </c:pt>
                <c:pt idx="250">
                  <c:v>78</c:v>
                </c:pt>
                <c:pt idx="251">
                  <c:v>153</c:v>
                </c:pt>
                <c:pt idx="252">
                  <c:v>266</c:v>
                </c:pt>
                <c:pt idx="253">
                  <c:v>0</c:v>
                </c:pt>
                <c:pt idx="254">
                  <c:v>1258</c:v>
                </c:pt>
                <c:pt idx="255">
                  <c:v>126</c:v>
                </c:pt>
                <c:pt idx="256">
                  <c:v>78</c:v>
                </c:pt>
                <c:pt idx="257">
                  <c:v>447</c:v>
                </c:pt>
                <c:pt idx="258">
                  <c:v>239</c:v>
                </c:pt>
                <c:pt idx="259">
                  <c:v>223</c:v>
                </c:pt>
                <c:pt idx="260">
                  <c:v>0</c:v>
                </c:pt>
                <c:pt idx="261">
                  <c:v>230.26917216861349</c:v>
                </c:pt>
                <c:pt idx="262">
                  <c:v>210</c:v>
                </c:pt>
                <c:pt idx="263">
                  <c:v>159</c:v>
                </c:pt>
                <c:pt idx="264">
                  <c:v>48</c:v>
                </c:pt>
                <c:pt idx="265">
                  <c:v>656.37</c:v>
                </c:pt>
                <c:pt idx="266">
                  <c:v>700</c:v>
                </c:pt>
                <c:pt idx="267">
                  <c:v>2373</c:v>
                </c:pt>
                <c:pt idx="268">
                  <c:v>787</c:v>
                </c:pt>
                <c:pt idx="269">
                  <c:v>406</c:v>
                </c:pt>
                <c:pt idx="270">
                  <c:v>654</c:v>
                </c:pt>
                <c:pt idx="271">
                  <c:v>286</c:v>
                </c:pt>
                <c:pt idx="272">
                  <c:v>211</c:v>
                </c:pt>
                <c:pt idx="273">
                  <c:v>6342</c:v>
                </c:pt>
                <c:pt idx="274">
                  <c:v>137.66999999999999</c:v>
                </c:pt>
                <c:pt idx="275">
                  <c:v>114.18333333333332</c:v>
                </c:pt>
                <c:pt idx="276">
                  <c:v>0</c:v>
                </c:pt>
                <c:pt idx="277">
                  <c:v>517</c:v>
                </c:pt>
                <c:pt idx="278">
                  <c:v>319.3513513513513</c:v>
                </c:pt>
              </c:numCache>
            </c:numRef>
          </c:xVal>
          <c:yVal>
            <c:numRef>
              <c:f>'VO 1,3,4,5'!$DX$28:$DX$306</c:f>
              <c:numCache>
                <c:formatCode>General</c:formatCode>
                <c:ptCount val="279"/>
                <c:pt idx="0">
                  <c:v>43.24006044322104</c:v>
                </c:pt>
                <c:pt idx="1">
                  <c:v>46.34702827658743</c:v>
                </c:pt>
                <c:pt idx="2">
                  <c:v>36.145817223701101</c:v>
                </c:pt>
                <c:pt idx="3">
                  <c:v>36.145817223701101</c:v>
                </c:pt>
                <c:pt idx="4">
                  <c:v>108.48638494391533</c:v>
                </c:pt>
                <c:pt idx="5">
                  <c:v>78.089882974147429</c:v>
                </c:pt>
                <c:pt idx="6">
                  <c:v>103.56701920775187</c:v>
                </c:pt>
                <c:pt idx="7">
                  <c:v>36.145817223701101</c:v>
                </c:pt>
                <c:pt idx="8">
                  <c:v>60.690863107295627</c:v>
                </c:pt>
                <c:pt idx="9">
                  <c:v>38.683174287616993</c:v>
                </c:pt>
                <c:pt idx="10">
                  <c:v>36.145817223701101</c:v>
                </c:pt>
                <c:pt idx="11">
                  <c:v>39.11508989172512</c:v>
                </c:pt>
                <c:pt idx="12">
                  <c:v>36.145817223701101</c:v>
                </c:pt>
                <c:pt idx="13">
                  <c:v>36.818993587597156</c:v>
                </c:pt>
                <c:pt idx="14">
                  <c:v>36.145817223701101</c:v>
                </c:pt>
                <c:pt idx="15">
                  <c:v>36.145817223701101</c:v>
                </c:pt>
                <c:pt idx="16">
                  <c:v>36.145817223701101</c:v>
                </c:pt>
                <c:pt idx="17">
                  <c:v>46.723058495672433</c:v>
                </c:pt>
                <c:pt idx="18">
                  <c:v>55.460800587795525</c:v>
                </c:pt>
                <c:pt idx="19">
                  <c:v>52.198484362760809</c:v>
                </c:pt>
                <c:pt idx="20">
                  <c:v>37.6993011403843</c:v>
                </c:pt>
                <c:pt idx="21">
                  <c:v>36.770546492035969</c:v>
                </c:pt>
                <c:pt idx="22">
                  <c:v>36.145817223701101</c:v>
                </c:pt>
                <c:pt idx="23">
                  <c:v>44.068585198785406</c:v>
                </c:pt>
                <c:pt idx="24">
                  <c:v>47.020204640483485</c:v>
                </c:pt>
                <c:pt idx="25">
                  <c:v>68.199368704597745</c:v>
                </c:pt>
                <c:pt idx="26">
                  <c:v>46.554159465478527</c:v>
                </c:pt>
                <c:pt idx="27">
                  <c:v>38.165346315389257</c:v>
                </c:pt>
                <c:pt idx="28">
                  <c:v>45.673851912691376</c:v>
                </c:pt>
                <c:pt idx="29">
                  <c:v>53.182357509993501</c:v>
                </c:pt>
                <c:pt idx="30">
                  <c:v>47.227335829374574</c:v>
                </c:pt>
                <c:pt idx="31">
                  <c:v>71.461684929632455</c:v>
                </c:pt>
                <c:pt idx="32">
                  <c:v>61.519387862859993</c:v>
                </c:pt>
                <c:pt idx="33">
                  <c:v>36.145817223701101</c:v>
                </c:pt>
                <c:pt idx="34">
                  <c:v>76.484616260241467</c:v>
                </c:pt>
                <c:pt idx="35">
                  <c:v>36.145817223701101</c:v>
                </c:pt>
                <c:pt idx="36">
                  <c:v>60.794428701741168</c:v>
                </c:pt>
                <c:pt idx="37">
                  <c:v>41.841924918206161</c:v>
                </c:pt>
                <c:pt idx="38">
                  <c:v>36.145817223701101</c:v>
                </c:pt>
                <c:pt idx="39">
                  <c:v>43.395408834889359</c:v>
                </c:pt>
                <c:pt idx="40">
                  <c:v>92.443038708355729</c:v>
                </c:pt>
                <c:pt idx="41">
                  <c:v>39.252785057067499</c:v>
                </c:pt>
                <c:pt idx="42">
                  <c:v>73.377648426875069</c:v>
                </c:pt>
                <c:pt idx="43">
                  <c:v>36.145817223701101</c:v>
                </c:pt>
                <c:pt idx="44">
                  <c:v>43.65432282100322</c:v>
                </c:pt>
                <c:pt idx="45">
                  <c:v>38.476043098725896</c:v>
                </c:pt>
                <c:pt idx="46">
                  <c:v>46.502376668255749</c:v>
                </c:pt>
                <c:pt idx="47">
                  <c:v>57.687460868374771</c:v>
                </c:pt>
                <c:pt idx="48">
                  <c:v>44.89710995434978</c:v>
                </c:pt>
                <c:pt idx="49">
                  <c:v>36.145817223701101</c:v>
                </c:pt>
                <c:pt idx="50">
                  <c:v>36.145817223701101</c:v>
                </c:pt>
                <c:pt idx="51">
                  <c:v>39.874178623740775</c:v>
                </c:pt>
                <c:pt idx="52">
                  <c:v>36.145817223701101</c:v>
                </c:pt>
                <c:pt idx="53">
                  <c:v>36.145817223701101</c:v>
                </c:pt>
                <c:pt idx="54">
                  <c:v>43.913236807117087</c:v>
                </c:pt>
                <c:pt idx="55">
                  <c:v>46.502376668255749</c:v>
                </c:pt>
                <c:pt idx="56">
                  <c:v>36.145817223701101</c:v>
                </c:pt>
                <c:pt idx="57">
                  <c:v>136.190181458099</c:v>
                </c:pt>
                <c:pt idx="58">
                  <c:v>43.188277645998262</c:v>
                </c:pt>
                <c:pt idx="59">
                  <c:v>39.770613029295227</c:v>
                </c:pt>
                <c:pt idx="60">
                  <c:v>38.890305476508082</c:v>
                </c:pt>
                <c:pt idx="61">
                  <c:v>37.388604357047662</c:v>
                </c:pt>
                <c:pt idx="62">
                  <c:v>36.145817223701101</c:v>
                </c:pt>
                <c:pt idx="63">
                  <c:v>39.925961420963546</c:v>
                </c:pt>
                <c:pt idx="64">
                  <c:v>38.476043098725896</c:v>
                </c:pt>
                <c:pt idx="65">
                  <c:v>39.252785057067499</c:v>
                </c:pt>
                <c:pt idx="66">
                  <c:v>38.009997923720938</c:v>
                </c:pt>
                <c:pt idx="67">
                  <c:v>49.609344501622147</c:v>
                </c:pt>
                <c:pt idx="68">
                  <c:v>57.687460868374771</c:v>
                </c:pt>
                <c:pt idx="69">
                  <c:v>42.359752890433889</c:v>
                </c:pt>
                <c:pt idx="70">
                  <c:v>38.579608693171444</c:v>
                </c:pt>
                <c:pt idx="71">
                  <c:v>59.396293176726289</c:v>
                </c:pt>
                <c:pt idx="72">
                  <c:v>46.29524547936466</c:v>
                </c:pt>
                <c:pt idx="73">
                  <c:v>40.443789393191281</c:v>
                </c:pt>
                <c:pt idx="74">
                  <c:v>36.145817223701101</c:v>
                </c:pt>
                <c:pt idx="75">
                  <c:v>41.866383019484566</c:v>
                </c:pt>
                <c:pt idx="76">
                  <c:v>43.809671212671546</c:v>
                </c:pt>
                <c:pt idx="77">
                  <c:v>41.220531351532877</c:v>
                </c:pt>
                <c:pt idx="78">
                  <c:v>39.201002259844721</c:v>
                </c:pt>
                <c:pt idx="79">
                  <c:v>46.338225201059558</c:v>
                </c:pt>
                <c:pt idx="80">
                  <c:v>66.645884787914554</c:v>
                </c:pt>
                <c:pt idx="81">
                  <c:v>128.11206509134638</c:v>
                </c:pt>
                <c:pt idx="82">
                  <c:v>47.952294990493399</c:v>
                </c:pt>
                <c:pt idx="83">
                  <c:v>43.188277645998262</c:v>
                </c:pt>
                <c:pt idx="84">
                  <c:v>55.046538210013338</c:v>
                </c:pt>
                <c:pt idx="85">
                  <c:v>36.145817223701101</c:v>
                </c:pt>
                <c:pt idx="86">
                  <c:v>44.741761562681461</c:v>
                </c:pt>
                <c:pt idx="87">
                  <c:v>251.25155688710117</c:v>
                </c:pt>
                <c:pt idx="88">
                  <c:v>38.872181497480113</c:v>
                </c:pt>
                <c:pt idx="89">
                  <c:v>36.145817223701101</c:v>
                </c:pt>
                <c:pt idx="90">
                  <c:v>36.145817223701101</c:v>
                </c:pt>
                <c:pt idx="91">
                  <c:v>68.458282690711599</c:v>
                </c:pt>
                <c:pt idx="92">
                  <c:v>49.028537451691037</c:v>
                </c:pt>
                <c:pt idx="93">
                  <c:v>45.984548696028021</c:v>
                </c:pt>
                <c:pt idx="94">
                  <c:v>51.784221984978622</c:v>
                </c:pt>
                <c:pt idx="95">
                  <c:v>36.145817223701101</c:v>
                </c:pt>
                <c:pt idx="96">
                  <c:v>197.03496819485758</c:v>
                </c:pt>
                <c:pt idx="97">
                  <c:v>117.23767767456401</c:v>
                </c:pt>
                <c:pt idx="98">
                  <c:v>94.038984518761595</c:v>
                </c:pt>
                <c:pt idx="99">
                  <c:v>137.84723096922778</c:v>
                </c:pt>
                <c:pt idx="100">
                  <c:v>36.281099781445597</c:v>
                </c:pt>
                <c:pt idx="101">
                  <c:v>62.296129821201589</c:v>
                </c:pt>
                <c:pt idx="102">
                  <c:v>38.683174287616993</c:v>
                </c:pt>
                <c:pt idx="103">
                  <c:v>105.58654829944003</c:v>
                </c:pt>
                <c:pt idx="104">
                  <c:v>39.465800654733904</c:v>
                </c:pt>
                <c:pt idx="105">
                  <c:v>105.58654829944003</c:v>
                </c:pt>
                <c:pt idx="106">
                  <c:v>36.818993587597156</c:v>
                </c:pt>
                <c:pt idx="107">
                  <c:v>81.973592765855429</c:v>
                </c:pt>
                <c:pt idx="108">
                  <c:v>36.145817223701101</c:v>
                </c:pt>
                <c:pt idx="109">
                  <c:v>74.775783951889949</c:v>
                </c:pt>
                <c:pt idx="110">
                  <c:v>49.936495631739852</c:v>
                </c:pt>
                <c:pt idx="111">
                  <c:v>67.008364368473963</c:v>
                </c:pt>
                <c:pt idx="112">
                  <c:v>48.055860584938948</c:v>
                </c:pt>
                <c:pt idx="113">
                  <c:v>38.217129112612028</c:v>
                </c:pt>
                <c:pt idx="114">
                  <c:v>37.011987755160554</c:v>
                </c:pt>
                <c:pt idx="115">
                  <c:v>36.145817223701101</c:v>
                </c:pt>
                <c:pt idx="116">
                  <c:v>45.259589534909196</c:v>
                </c:pt>
                <c:pt idx="117">
                  <c:v>36.145817223701101</c:v>
                </c:pt>
                <c:pt idx="118">
                  <c:v>84.614515424216862</c:v>
                </c:pt>
                <c:pt idx="119">
                  <c:v>48.314774571052816</c:v>
                </c:pt>
                <c:pt idx="120">
                  <c:v>43.809671212671546</c:v>
                </c:pt>
                <c:pt idx="121">
                  <c:v>50.386086459963742</c:v>
                </c:pt>
                <c:pt idx="122">
                  <c:v>58.464202826716374</c:v>
                </c:pt>
                <c:pt idx="123">
                  <c:v>51.680656390533073</c:v>
                </c:pt>
                <c:pt idx="124">
                  <c:v>135.87948467476238</c:v>
                </c:pt>
                <c:pt idx="125">
                  <c:v>70.58137737684531</c:v>
                </c:pt>
                <c:pt idx="126">
                  <c:v>43.706105618225997</c:v>
                </c:pt>
                <c:pt idx="127">
                  <c:v>81.403981996404923</c:v>
                </c:pt>
                <c:pt idx="128">
                  <c:v>40.54735498763683</c:v>
                </c:pt>
                <c:pt idx="129">
                  <c:v>41.116965757087335</c:v>
                </c:pt>
                <c:pt idx="130">
                  <c:v>41.324096945978425</c:v>
                </c:pt>
                <c:pt idx="131">
                  <c:v>36.145817223701101</c:v>
                </c:pt>
                <c:pt idx="132">
                  <c:v>52.198484362760809</c:v>
                </c:pt>
                <c:pt idx="133">
                  <c:v>104.31838759545431</c:v>
                </c:pt>
                <c:pt idx="134">
                  <c:v>36.145817223701101</c:v>
                </c:pt>
                <c:pt idx="135">
                  <c:v>79.021973324157358</c:v>
                </c:pt>
                <c:pt idx="136">
                  <c:v>49.505778907176598</c:v>
                </c:pt>
                <c:pt idx="137">
                  <c:v>47.330901423820123</c:v>
                </c:pt>
                <c:pt idx="138">
                  <c:v>41.324096945978425</c:v>
                </c:pt>
                <c:pt idx="139">
                  <c:v>40.133092609854643</c:v>
                </c:pt>
                <c:pt idx="140">
                  <c:v>60.639080310072849</c:v>
                </c:pt>
                <c:pt idx="141">
                  <c:v>45.984548696028021</c:v>
                </c:pt>
                <c:pt idx="142">
                  <c:v>36.145817223701101</c:v>
                </c:pt>
                <c:pt idx="143">
                  <c:v>50.598971292990697</c:v>
                </c:pt>
                <c:pt idx="144">
                  <c:v>38.734957084839763</c:v>
                </c:pt>
                <c:pt idx="145">
                  <c:v>36.145817223701101</c:v>
                </c:pt>
                <c:pt idx="146">
                  <c:v>36.145817223701101</c:v>
                </c:pt>
                <c:pt idx="147">
                  <c:v>49.19508212383996</c:v>
                </c:pt>
                <c:pt idx="148">
                  <c:v>51.732439187755851</c:v>
                </c:pt>
                <c:pt idx="149">
                  <c:v>45.932765898805243</c:v>
                </c:pt>
                <c:pt idx="150">
                  <c:v>148.82518398045568</c:v>
                </c:pt>
                <c:pt idx="151">
                  <c:v>36.145817223701101</c:v>
                </c:pt>
                <c:pt idx="152">
                  <c:v>42.100838904320028</c:v>
                </c:pt>
                <c:pt idx="153">
                  <c:v>45.725634709914154</c:v>
                </c:pt>
                <c:pt idx="154">
                  <c:v>43.706105618225997</c:v>
                </c:pt>
                <c:pt idx="155">
                  <c:v>57.376764085038133</c:v>
                </c:pt>
                <c:pt idx="156">
                  <c:v>39.459916245958588</c:v>
                </c:pt>
                <c:pt idx="157">
                  <c:v>38.993871070953631</c:v>
                </c:pt>
                <c:pt idx="158">
                  <c:v>41.324096945978425</c:v>
                </c:pt>
                <c:pt idx="159">
                  <c:v>51.421742404419206</c:v>
                </c:pt>
                <c:pt idx="160">
                  <c:v>49.350430515508279</c:v>
                </c:pt>
                <c:pt idx="161">
                  <c:v>64.471007304558071</c:v>
                </c:pt>
                <c:pt idx="162">
                  <c:v>46.709507857146846</c:v>
                </c:pt>
                <c:pt idx="163">
                  <c:v>37.6993011403843</c:v>
                </c:pt>
                <c:pt idx="164">
                  <c:v>65.040618074008577</c:v>
                </c:pt>
                <c:pt idx="165">
                  <c:v>45.311372332131967</c:v>
                </c:pt>
                <c:pt idx="166">
                  <c:v>48.159426179384496</c:v>
                </c:pt>
                <c:pt idx="167">
                  <c:v>36.145817223701101</c:v>
                </c:pt>
                <c:pt idx="168">
                  <c:v>46.663326754087834</c:v>
                </c:pt>
                <c:pt idx="169">
                  <c:v>42.825798065438853</c:v>
                </c:pt>
                <c:pt idx="170">
                  <c:v>44.586413171013142</c:v>
                </c:pt>
                <c:pt idx="171">
                  <c:v>39.14921946262195</c:v>
                </c:pt>
                <c:pt idx="172">
                  <c:v>61.116517700466815</c:v>
                </c:pt>
                <c:pt idx="173">
                  <c:v>71.97951290186019</c:v>
                </c:pt>
                <c:pt idx="174">
                  <c:v>132.41003726083659</c:v>
                </c:pt>
                <c:pt idx="175">
                  <c:v>71.720598915746322</c:v>
                </c:pt>
                <c:pt idx="176">
                  <c:v>50.023606879404333</c:v>
                </c:pt>
                <c:pt idx="177">
                  <c:v>53.803751076666778</c:v>
                </c:pt>
                <c:pt idx="178">
                  <c:v>36.145817223701101</c:v>
                </c:pt>
                <c:pt idx="179">
                  <c:v>49.298647718285508</c:v>
                </c:pt>
                <c:pt idx="180">
                  <c:v>338.14309062691467</c:v>
                </c:pt>
                <c:pt idx="181">
                  <c:v>40.979223516474754</c:v>
                </c:pt>
                <c:pt idx="182">
                  <c:v>38.485105088239884</c:v>
                </c:pt>
                <c:pt idx="183">
                  <c:v>43.291843240443811</c:v>
                </c:pt>
                <c:pt idx="184">
                  <c:v>72.96338604909289</c:v>
                </c:pt>
                <c:pt idx="185">
                  <c:v>52.02634155037159</c:v>
                </c:pt>
                <c:pt idx="186">
                  <c:v>44.948892751572558</c:v>
                </c:pt>
                <c:pt idx="187">
                  <c:v>70.943856957404734</c:v>
                </c:pt>
                <c:pt idx="188">
                  <c:v>80.782588429731646</c:v>
                </c:pt>
                <c:pt idx="189">
                  <c:v>206.40765449217955</c:v>
                </c:pt>
                <c:pt idx="190">
                  <c:v>145.66643334986651</c:v>
                </c:pt>
                <c:pt idx="191">
                  <c:v>125.10866285242554</c:v>
                </c:pt>
                <c:pt idx="192">
                  <c:v>162.39227685282228</c:v>
                </c:pt>
                <c:pt idx="193">
                  <c:v>36.272685076896899</c:v>
                </c:pt>
                <c:pt idx="194">
                  <c:v>63.849613737884795</c:v>
                </c:pt>
                <c:pt idx="195">
                  <c:v>40.54735498763683</c:v>
                </c:pt>
                <c:pt idx="196">
                  <c:v>116.46093571622241</c:v>
                </c:pt>
                <c:pt idx="197">
                  <c:v>40.614437247675419</c:v>
                </c:pt>
                <c:pt idx="198">
                  <c:v>116.46093571622241</c:v>
                </c:pt>
                <c:pt idx="199">
                  <c:v>36.663645195928837</c:v>
                </c:pt>
                <c:pt idx="200">
                  <c:v>92.071238224296209</c:v>
                </c:pt>
                <c:pt idx="201">
                  <c:v>36.145817223701101</c:v>
                </c:pt>
                <c:pt idx="202">
                  <c:v>74.516869965776081</c:v>
                </c:pt>
                <c:pt idx="203">
                  <c:v>51.709693473087903</c:v>
                </c:pt>
                <c:pt idx="204">
                  <c:v>68.406499893488842</c:v>
                </c:pt>
                <c:pt idx="205">
                  <c:v>66.801233179582866</c:v>
                </c:pt>
                <c:pt idx="206">
                  <c:v>43.602540023780449</c:v>
                </c:pt>
                <c:pt idx="207">
                  <c:v>37.368113618269319</c:v>
                </c:pt>
                <c:pt idx="208">
                  <c:v>42.566884079324986</c:v>
                </c:pt>
                <c:pt idx="209">
                  <c:v>49.453996109953827</c:v>
                </c:pt>
                <c:pt idx="210">
                  <c:v>36.145817223701101</c:v>
                </c:pt>
                <c:pt idx="211">
                  <c:v>90.310623118721921</c:v>
                </c:pt>
                <c:pt idx="212">
                  <c:v>45.259589534909196</c:v>
                </c:pt>
                <c:pt idx="213">
                  <c:v>52.09491876831526</c:v>
                </c:pt>
                <c:pt idx="214">
                  <c:v>45.622069115468605</c:v>
                </c:pt>
                <c:pt idx="215">
                  <c:v>77.72740339358802</c:v>
                </c:pt>
                <c:pt idx="216">
                  <c:v>50.64500044607761</c:v>
                </c:pt>
                <c:pt idx="217">
                  <c:v>157.05864873887663</c:v>
                </c:pt>
                <c:pt idx="218">
                  <c:v>74.620435560221622</c:v>
                </c:pt>
                <c:pt idx="219">
                  <c:v>42.256187295988347</c:v>
                </c:pt>
                <c:pt idx="220">
                  <c:v>88.653573607593174</c:v>
                </c:pt>
                <c:pt idx="221">
                  <c:v>54.269796251671735</c:v>
                </c:pt>
                <c:pt idx="222">
                  <c:v>45.466720723800286</c:v>
                </c:pt>
                <c:pt idx="223">
                  <c:v>41.324096945978425</c:v>
                </c:pt>
                <c:pt idx="224">
                  <c:v>36.145817223701101</c:v>
                </c:pt>
                <c:pt idx="225">
                  <c:v>53.959099468335097</c:v>
                </c:pt>
                <c:pt idx="226">
                  <c:v>112.54356710631963</c:v>
                </c:pt>
                <c:pt idx="227">
                  <c:v>36.145817223701101</c:v>
                </c:pt>
                <c:pt idx="228">
                  <c:v>70.426028985176998</c:v>
                </c:pt>
                <c:pt idx="229">
                  <c:v>41.634793729315064</c:v>
                </c:pt>
                <c:pt idx="230">
                  <c:v>51.473525201641984</c:v>
                </c:pt>
                <c:pt idx="231">
                  <c:v>41.324096945978425</c:v>
                </c:pt>
                <c:pt idx="232">
                  <c:v>43.44719163211213</c:v>
                </c:pt>
                <c:pt idx="233">
                  <c:v>85.184126193667367</c:v>
                </c:pt>
                <c:pt idx="234">
                  <c:v>53.49305429333014</c:v>
                </c:pt>
                <c:pt idx="235">
                  <c:v>39.045653868176402</c:v>
                </c:pt>
                <c:pt idx="236">
                  <c:v>38.337955639465171</c:v>
                </c:pt>
                <c:pt idx="237">
                  <c:v>42.566884079324986</c:v>
                </c:pt>
                <c:pt idx="238">
                  <c:v>60.173035135067892</c:v>
                </c:pt>
                <c:pt idx="239">
                  <c:v>36.145817223701101</c:v>
                </c:pt>
                <c:pt idx="240">
                  <c:v>43.913236807117087</c:v>
                </c:pt>
                <c:pt idx="241">
                  <c:v>58.153506043379736</c:v>
                </c:pt>
                <c:pt idx="242">
                  <c:v>48.107643382161726</c:v>
                </c:pt>
                <c:pt idx="243">
                  <c:v>161.35662090836684</c:v>
                </c:pt>
                <c:pt idx="244">
                  <c:v>58.101723246156958</c:v>
                </c:pt>
                <c:pt idx="245">
                  <c:v>40.80626897375069</c:v>
                </c:pt>
                <c:pt idx="246">
                  <c:v>48.107643382161726</c:v>
                </c:pt>
                <c:pt idx="247">
                  <c:v>43.498974429334901</c:v>
                </c:pt>
                <c:pt idx="248">
                  <c:v>51.680656390533073</c:v>
                </c:pt>
                <c:pt idx="249">
                  <c:v>43.498974429334901</c:v>
                </c:pt>
                <c:pt idx="250">
                  <c:v>40.184875407077413</c:v>
                </c:pt>
                <c:pt idx="251">
                  <c:v>44.068585198785406</c:v>
                </c:pt>
                <c:pt idx="252">
                  <c:v>49.920041284958785</c:v>
                </c:pt>
                <c:pt idx="253">
                  <c:v>36.145817223701101</c:v>
                </c:pt>
                <c:pt idx="254">
                  <c:v>101.28857612994985</c:v>
                </c:pt>
                <c:pt idx="255">
                  <c:v>42.670449673770534</c:v>
                </c:pt>
                <c:pt idx="256">
                  <c:v>40.184875407077413</c:v>
                </c:pt>
                <c:pt idx="257">
                  <c:v>59.292727582280747</c:v>
                </c:pt>
                <c:pt idx="258">
                  <c:v>48.521905759943905</c:v>
                </c:pt>
                <c:pt idx="259">
                  <c:v>47.693381004379532</c:v>
                </c:pt>
                <c:pt idx="260">
                  <c:v>36.145817223701101</c:v>
                </c:pt>
                <c:pt idx="261">
                  <c:v>48.069799072764276</c:v>
                </c:pt>
                <c:pt idx="262">
                  <c:v>47.020204640483485</c:v>
                </c:pt>
                <c:pt idx="263">
                  <c:v>44.379281982122052</c:v>
                </c:pt>
                <c:pt idx="264">
                  <c:v>38.631391490394215</c:v>
                </c:pt>
                <c:pt idx="265">
                  <c:v>70.134491836812771</c:v>
                </c:pt>
                <c:pt idx="266">
                  <c:v>72.393775279642369</c:v>
                </c:pt>
                <c:pt idx="267">
                  <c:v>159.02639503334203</c:v>
                </c:pt>
                <c:pt idx="268">
                  <c:v>76.898878638023646</c:v>
                </c:pt>
                <c:pt idx="269">
                  <c:v>57.169632896147036</c:v>
                </c:pt>
                <c:pt idx="270">
                  <c:v>70.011766607394804</c:v>
                </c:pt>
                <c:pt idx="271">
                  <c:v>50.955697229414248</c:v>
                </c:pt>
                <c:pt idx="272">
                  <c:v>47.071987437706255</c:v>
                </c:pt>
                <c:pt idx="273">
                  <c:v>364.55231721052905</c:v>
                </c:pt>
                <c:pt idx="274">
                  <c:v>43.274754917360298</c:v>
                </c:pt>
                <c:pt idx="275">
                  <c:v>42.058549619921429</c:v>
                </c:pt>
                <c:pt idx="276">
                  <c:v>36.145817223701101</c:v>
                </c:pt>
                <c:pt idx="277">
                  <c:v>62.917523387874873</c:v>
                </c:pt>
                <c:pt idx="278">
                  <c:v>52.682723493546739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E7-5F45-A349-75CB1389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733984"/>
        <c:axId val="1780601776"/>
      </c:scatterChart>
      <c:valAx>
        <c:axId val="188873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Provozní dotace - hlavní činnost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80601776"/>
        <c:crosses val="autoZero"/>
        <c:crossBetween val="midCat"/>
      </c:valAx>
      <c:valAx>
        <c:axId val="1780601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2015 - Výsledek hospodaření před zdaněním celkem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887339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Chart Title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cs-CZ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 panose="020F0502020204030204"/>
            </a:rPr>
            <a:t>Chart Title</a:t>
          </a:r>
        </a:p>
      </cx:txPr>
    </cx:title>
    <cx:plotArea>
      <cx:plotAreaRegion>
        <cx:series layoutId="boxWhisker" uniqueId="{044727F6-361F-B64E-A97B-85AB6BD3C91C}">
          <cx:dataId val="0"/>
          <cx:layoutPr>
            <cx:statistics quartileMethod="exclusive"/>
          </cx:layoutPr>
        </cx:series>
      </cx:plotAreaRegion>
      <cx:axis id="0">
        <cx:catScaling/>
        <cx:majorGridlines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680065</xdr:colOff>
      <xdr:row>5</xdr:row>
      <xdr:rowOff>34233</xdr:rowOff>
    </xdr:from>
    <xdr:to>
      <xdr:col>29</xdr:col>
      <xdr:colOff>525766</xdr:colOff>
      <xdr:row>19</xdr:row>
      <xdr:rowOff>182989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1001C3D6-3ADC-9946-A112-A683FA3CCC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208565" y="2790133"/>
              <a:ext cx="13409301" cy="29935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187</xdr:row>
      <xdr:rowOff>0</xdr:rowOff>
    </xdr:from>
    <xdr:to>
      <xdr:col>11</xdr:col>
      <xdr:colOff>532205</xdr:colOff>
      <xdr:row>214</xdr:row>
      <xdr:rowOff>77871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52E4150-770E-8743-9FA1-C1FB338B0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566461</xdr:colOff>
      <xdr:row>106</xdr:row>
      <xdr:rowOff>69750</xdr:rowOff>
    </xdr:from>
    <xdr:to>
      <xdr:col>28</xdr:col>
      <xdr:colOff>58461</xdr:colOff>
      <xdr:row>119</xdr:row>
      <xdr:rowOff>192315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0ACB55F-5C8E-E34F-88F7-75A230F83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183445</xdr:colOff>
      <xdr:row>96</xdr:row>
      <xdr:rowOff>89909</xdr:rowOff>
    </xdr:from>
    <xdr:to>
      <xdr:col>72</xdr:col>
      <xdr:colOff>522111</xdr:colOff>
      <xdr:row>110</xdr:row>
      <xdr:rowOff>10886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5CCCAB4-6B06-1C4B-8259-24FF7220D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247805</xdr:colOff>
      <xdr:row>120</xdr:row>
      <xdr:rowOff>123903</xdr:rowOff>
    </xdr:from>
    <xdr:to>
      <xdr:col>77</xdr:col>
      <xdr:colOff>263013</xdr:colOff>
      <xdr:row>147</xdr:row>
      <xdr:rowOff>192924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837B510-1196-3C42-8449-21F666BB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</xdr:col>
      <xdr:colOff>0</xdr:colOff>
      <xdr:row>161</xdr:row>
      <xdr:rowOff>0</xdr:rowOff>
    </xdr:from>
    <xdr:to>
      <xdr:col>92</xdr:col>
      <xdr:colOff>434308</xdr:colOff>
      <xdr:row>188</xdr:row>
      <xdr:rowOff>56321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A246B2-B89A-6E45-A700-8C95A6075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113782</xdr:colOff>
      <xdr:row>167</xdr:row>
      <xdr:rowOff>180910</xdr:rowOff>
    </xdr:from>
    <xdr:to>
      <xdr:col>16</xdr:col>
      <xdr:colOff>995006</xdr:colOff>
      <xdr:row>178</xdr:row>
      <xdr:rowOff>11662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BDFF8B2-657C-C048-9527-E25B74D53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165619</xdr:colOff>
      <xdr:row>151</xdr:row>
      <xdr:rowOff>167691</xdr:rowOff>
    </xdr:from>
    <xdr:to>
      <xdr:col>12</xdr:col>
      <xdr:colOff>658067</xdr:colOff>
      <xdr:row>161</xdr:row>
      <xdr:rowOff>167172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35E23E2-68E8-3E4B-8CFC-56C95C8CD4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431800</xdr:colOff>
      <xdr:row>245</xdr:row>
      <xdr:rowOff>165100</xdr:rowOff>
    </xdr:from>
    <xdr:to>
      <xdr:col>26</xdr:col>
      <xdr:colOff>431800</xdr:colOff>
      <xdr:row>256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CDD643DA-33C5-5D45-BB1C-14B91DE60D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431800</xdr:colOff>
      <xdr:row>245</xdr:row>
      <xdr:rowOff>165100</xdr:rowOff>
    </xdr:from>
    <xdr:to>
      <xdr:col>27</xdr:col>
      <xdr:colOff>431800</xdr:colOff>
      <xdr:row>255</xdr:row>
      <xdr:rowOff>190500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3D292BF0-616E-E143-8318-B596C01F2D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873125</xdr:colOff>
      <xdr:row>55</xdr:row>
      <xdr:rowOff>176213</xdr:rowOff>
    </xdr:from>
    <xdr:to>
      <xdr:col>21</xdr:col>
      <xdr:colOff>500063</xdr:colOff>
      <xdr:row>79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A62CA1A-5E37-CB4E-9256-8631A4B8D3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92</xdr:col>
      <xdr:colOff>430427</xdr:colOff>
      <xdr:row>224</xdr:row>
      <xdr:rowOff>127000</xdr:rowOff>
    </xdr:from>
    <xdr:to>
      <xdr:col>110</xdr:col>
      <xdr:colOff>709827</xdr:colOff>
      <xdr:row>264</xdr:row>
      <xdr:rowOff>177800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1B49970-4256-CA43-ADD1-7200BBBACB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495300</xdr:colOff>
      <xdr:row>0</xdr:row>
      <xdr:rowOff>533400</xdr:rowOff>
    </xdr:from>
    <xdr:to>
      <xdr:col>40</xdr:col>
      <xdr:colOff>495300</xdr:colOff>
      <xdr:row>4</xdr:row>
      <xdr:rowOff>50800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FD8A490E-1303-9843-AA89-63C9EB893D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495300</xdr:colOff>
      <xdr:row>0</xdr:row>
      <xdr:rowOff>952500</xdr:rowOff>
    </xdr:from>
    <xdr:to>
      <xdr:col>41</xdr:col>
      <xdr:colOff>495300</xdr:colOff>
      <xdr:row>6</xdr:row>
      <xdr:rowOff>38100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16EFB719-67E5-D146-B6E1-59D503074F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63</xdr:col>
      <xdr:colOff>688879</xdr:colOff>
      <xdr:row>5</xdr:row>
      <xdr:rowOff>25016</xdr:rowOff>
    </xdr:from>
    <xdr:to>
      <xdr:col>69</xdr:col>
      <xdr:colOff>740064</xdr:colOff>
      <xdr:row>15</xdr:row>
      <xdr:rowOff>63501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6C781091-9BDF-2140-8C4C-496BBEB7CB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63</xdr:col>
      <xdr:colOff>727363</xdr:colOff>
      <xdr:row>18</xdr:row>
      <xdr:rowOff>140469</xdr:rowOff>
    </xdr:from>
    <xdr:to>
      <xdr:col>69</xdr:col>
      <xdr:colOff>752764</xdr:colOff>
      <xdr:row>28</xdr:row>
      <xdr:rowOff>140469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1B134056-D0F8-4641-8161-2D00C58ABB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457968</xdr:colOff>
      <xdr:row>31</xdr:row>
      <xdr:rowOff>38485</xdr:rowOff>
    </xdr:from>
    <xdr:to>
      <xdr:col>69</xdr:col>
      <xdr:colOff>457584</xdr:colOff>
      <xdr:row>42</xdr:row>
      <xdr:rowOff>25016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28B6DD24-8444-CB40-BF12-AB64681CDB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639.046822916665" createdVersion="6" refreshedVersion="6" minRefreshableVersion="3" recordCount="93" xr:uid="{69ECE496-0FBF-7343-B36F-730271DC2409}">
  <cacheSource type="worksheet">
    <worksheetSource ref="A2:GR95" sheet="Data"/>
  </cacheSource>
  <cacheFields count="200">
    <cacheField name="Název klubu" numFmtId="0">
      <sharedItems/>
    </cacheField>
    <cacheField name="Uveďte prosím počet členů vašeho klubu." numFmtId="0">
      <sharedItems containsSemiMixedTypes="0" containsString="0" containsNumber="1" containsInteger="1" minValue="10" maxValue="720"/>
    </cacheField>
    <cacheField name="Uveďte prosím u vybraných věkových skupin vašich členů přibližný procentní podíl členské základny. [do 6 let]" numFmtId="0">
      <sharedItems containsSemiMixedTypes="0" containsString="0" containsNumber="1" minValue="0" maxValue="40"/>
    </cacheField>
    <cacheField name="Uveďte prosím u vybraných věkových skupin vašich členů přibližný procentní podíl členské základny. [7 - 15 let]" numFmtId="0">
      <sharedItems containsSemiMixedTypes="0" containsString="0" containsNumber="1" minValue="0" maxValue="100"/>
    </cacheField>
    <cacheField name="Uveďte prosím u vybraných věkových skupin vašich členů přibližný procentní podíl členské základny. [16 - 19 let]" numFmtId="0">
      <sharedItems containsSemiMixedTypes="0" containsString="0" containsNumber="1" minValue="0" maxValue="35"/>
    </cacheField>
    <cacheField name="Uveďte prosím u vybraných věkových skupin vašich členů přibližný procentní podíl členské základny. [20 - 30 let]" numFmtId="0">
      <sharedItems containsSemiMixedTypes="0" containsString="0" containsNumber="1" minValue="0" maxValue="70"/>
    </cacheField>
    <cacheField name="Uveďte prosím u vybraných věkových skupin vašich členů přibližný procentní podíl členské základny. [31- 50 let]" numFmtId="0">
      <sharedItems containsSemiMixedTypes="0" containsString="0" containsNumber="1" minValue="0" maxValue="80"/>
    </cacheField>
    <cacheField name="Uveďte prosím u vybraných věkových skupin vašich členů přibližný procentní podíl členské základny. [50 a více let]" numFmtId="0">
      <sharedItems containsSemiMixedTypes="0" containsString="0" containsNumber="1" minValue="0" maxValue="40"/>
    </cacheField>
    <cacheField name="V jakém sportovním odvětví působí váš klub-" numFmtId="0">
      <sharedItems count="14">
        <s v="Atletika"/>
        <s v="Plavání"/>
        <s v="Biatlon"/>
        <s v="Florbal"/>
        <s v="Fotbal"/>
        <s v="Jezdectví"/>
        <s v="Kanoistika"/>
        <s v="Veslování"/>
        <s v="Volejbal"/>
        <s v="Zápas"/>
        <s v="Triatlon"/>
        <s v="Curling"/>
        <s v="Horolozectví"/>
        <s v="Akrobatický rock and roll" u="1"/>
      </sharedItems>
    </cacheField>
    <cacheField name="Zabýváme se především" numFmtId="0">
      <sharedItems/>
    </cacheField>
    <cacheField name="Interní prostředí (je reprezentováno vlivy, které přicházejí zevnitř organizace) [V rámci našeho klubu máme dostatek finančních zdrojů.]" numFmtId="0">
      <sharedItems containsSemiMixedTypes="0" containsString="0" containsNumber="1" containsInteger="1" minValue="1" maxValue="7"/>
    </cacheField>
    <cacheField name="Uveďte prosím procentní podíl finančních zdrojů vašeho klubu u následujících zdrojů [Členské příspěvky]" numFmtId="0">
      <sharedItems containsSemiMixedTypes="0" containsString="0" containsNumber="1" containsInteger="1" minValue="3" maxValue="80"/>
    </cacheField>
    <cacheField name="Uveďte prosím procentní podíl finančních zdrojů vašeho klubu u následujících zdrojů [Dotace, příspěvky od státu, krajů, měst a sportovních svazů]" numFmtId="0">
      <sharedItems containsSemiMixedTypes="0" containsString="0" containsNumber="1" containsInteger="1" minValue="0" maxValue="90"/>
    </cacheField>
    <cacheField name="Uveďte prosím procentní podíl finančních zdrojů vašeho klubu u následujících zdrojů [Sponsoring a dary]" numFmtId="0">
      <sharedItems containsSemiMixedTypes="0" containsString="0" containsNumber="1" containsInteger="1" minValue="0" maxValue="80"/>
    </cacheField>
    <cacheField name="Uveďte prosím procentní podíl finančních zdrojů vašeho klubu u následujících zdrojů [Ostatní činnost]" numFmtId="0">
      <sharedItems containsSemiMixedTypes="0" containsString="0" containsNumber="1" containsInteger="1" minValue="0" maxValue="85"/>
    </cacheField>
    <cacheField name="Kontrola strategie - Vyberte prosím na 7-mi bodové Likertově škále, do jaké míry souhlasíte či nesouhlasíte s danými tvrzeními. (1- rozhodně nesouhlasím, 7 - rozhodně souhlasím)   [Příjmy našeho klubu bez problémů pokrývají jeho provoz.]" numFmtId="0">
      <sharedItems containsSemiMixedTypes="0" containsString="0" containsNumber="1" containsInteger="1" minValue="1" maxValue="7" count="7">
        <n v="6"/>
        <n v="4"/>
        <n v="7"/>
        <n v="3"/>
        <n v="2"/>
        <n v="5"/>
        <n v="1"/>
      </sharedItems>
    </cacheField>
    <cacheField name="2015 - Aktiva celkem" numFmtId="0">
      <sharedItems containsSemiMixedTypes="0" containsString="0" containsNumber="1" containsInteger="1" minValue="0" maxValue="99113"/>
    </cacheField>
    <cacheField name="2016 - Aktiva celkem" numFmtId="0">
      <sharedItems containsSemiMixedTypes="0" containsString="0" containsNumber="1" containsInteger="1" minValue="0" maxValue="100110"/>
    </cacheField>
    <cacheField name="2017 - Aktiva celkem" numFmtId="0">
      <sharedItems containsSemiMixedTypes="0" containsString="0" containsNumber="1" containsInteger="1" minValue="3" maxValue="59187"/>
    </cacheField>
    <cacheField name="2015 - Dlouhodobý majetek celkem" numFmtId="0">
      <sharedItems containsSemiMixedTypes="0" containsString="0" containsNumber="1" containsInteger="1" minValue="0" maxValue="105784"/>
    </cacheField>
    <cacheField name="2016 - Dlouhodobý majetek celkem" numFmtId="0">
      <sharedItems containsSemiMixedTypes="0" containsString="0" containsNumber="1" containsInteger="1" minValue="0" maxValue="111548"/>
    </cacheField>
    <cacheField name="2017 - Dlouhodobý majetek celkem" numFmtId="0">
      <sharedItems containsSemiMixedTypes="0" containsString="0" containsNumber="1" containsInteger="1" minValue="0" maxValue="96279"/>
    </cacheField>
    <cacheField name="2015 - Oprávky k dl. Majetku" numFmtId="0">
      <sharedItems containsSemiMixedTypes="0" containsString="0" containsNumber="1" containsInteger="1" minValue="-33956" maxValue="5159"/>
    </cacheField>
    <cacheField name="2016 - Oprávky k dl. Majetku" numFmtId="0">
      <sharedItems containsString="0" containsBlank="1" containsNumber="1" containsInteger="1" minValue="-37114" maxValue="1582"/>
    </cacheField>
    <cacheField name="2017 - Oprávky k dl. Majetku" numFmtId="0">
      <sharedItems containsSemiMixedTypes="0" containsString="0" containsNumber="1" containsInteger="1" minValue="-39130" maxValue="6498"/>
    </cacheField>
    <cacheField name="2015 - Krátkodobý majetek" numFmtId="0">
      <sharedItems containsSemiMixedTypes="0" containsString="0" containsNumber="1" containsInteger="1" minValue="0" maxValue="15924"/>
    </cacheField>
    <cacheField name="2016 - Krátkodobý majetek" numFmtId="0">
      <sharedItems containsSemiMixedTypes="0" containsString="0" containsNumber="1" containsInteger="1" minValue="0" maxValue="13466"/>
    </cacheField>
    <cacheField name="2017 - Krátkodobý majetek" numFmtId="0">
      <sharedItems containsSemiMixedTypes="0" containsString="0" containsNumber="1" containsInteger="1" minValue="3" maxValue="18529"/>
    </cacheField>
    <cacheField name="2015 - Zásoby" numFmtId="0">
      <sharedItems containsString="0" containsBlank="1" containsNumber="1" containsInteger="1" minValue="0" maxValue="602"/>
    </cacheField>
    <cacheField name="2016 - Zásoby" numFmtId="0">
      <sharedItems containsSemiMixedTypes="0" containsString="0" containsNumber="1" containsInteger="1" minValue="0" maxValue="7070"/>
    </cacheField>
    <cacheField name="2017 - Zásoby" numFmtId="0">
      <sharedItems containsSemiMixedTypes="0" containsString="0" containsNumber="1" containsInteger="1" minValue="0" maxValue="668"/>
    </cacheField>
    <cacheField name="2015 - Pohledávky" numFmtId="0">
      <sharedItems containsSemiMixedTypes="0" containsString="0" containsNumber="1" containsInteger="1" minValue="-7" maxValue="6320"/>
    </cacheField>
    <cacheField name="2016 - Pohledávky" numFmtId="0">
      <sharedItems containsSemiMixedTypes="0" containsString="0" containsNumber="1" containsInteger="1" minValue="-8" maxValue="3247"/>
    </cacheField>
    <cacheField name="2017 - Pohledávky" numFmtId="0">
      <sharedItems containsSemiMixedTypes="0" containsString="0" containsNumber="1" containsInteger="1" minValue="-5" maxValue="3113"/>
    </cacheField>
    <cacheField name="2015 - Krátkodobý finanční majetek" numFmtId="0">
      <sharedItems containsSemiMixedTypes="0" containsString="0" containsNumber="1" containsInteger="1" minValue="-88" maxValue="11334"/>
    </cacheField>
    <cacheField name="2016 - Krátkodobý finanční majetek" numFmtId="0">
      <sharedItems containsSemiMixedTypes="0" containsString="0" containsNumber="1" containsInteger="1" minValue="-71" maxValue="10213"/>
    </cacheField>
    <cacheField name="2017 - Krátkodobý finanční majetek" numFmtId="0">
      <sharedItems containsSemiMixedTypes="0" containsString="0" containsNumber="1" containsInteger="1" minValue="-52" maxValue="187363"/>
    </cacheField>
    <cacheField name="2015 - Jiná aktiva celkem" numFmtId="0">
      <sharedItems containsString="0" containsBlank="1" containsNumber="1" containsInteger="1" minValue="-194" maxValue="366"/>
    </cacheField>
    <cacheField name="2016 - Jiná aktiva celkem" numFmtId="0">
      <sharedItems containsSemiMixedTypes="0" containsString="0" containsNumber="1" containsInteger="1" minValue="-194" maxValue="108"/>
    </cacheField>
    <cacheField name="2017 - Jiná aktiva celkem" numFmtId="0">
      <sharedItems containsString="0" containsBlank="1" containsNumber="1" containsInteger="1" minValue="-194" maxValue="125"/>
    </cacheField>
    <cacheField name="2015 - Pasiva celkem" numFmtId="0">
      <sharedItems containsSemiMixedTypes="0" containsString="0" containsNumber="1" containsInteger="1" minValue="0" maxValue="99113"/>
    </cacheField>
    <cacheField name="2016 - Pasiva celkem" numFmtId="0">
      <sharedItems containsSemiMixedTypes="0" containsString="0" containsNumber="1" containsInteger="1" minValue="0" maxValue="100110"/>
    </cacheField>
    <cacheField name="2017 - Pasiva celkem" numFmtId="0">
      <sharedItems containsSemiMixedTypes="0" containsString="0" containsNumber="1" containsInteger="1" minValue="3" maxValue="59187"/>
    </cacheField>
    <cacheField name="2015 - Vlastní zdroje" numFmtId="0">
      <sharedItems containsSemiMixedTypes="0" containsString="0" containsNumber="1" containsInteger="1" minValue="-4659" maxValue="92342"/>
    </cacheField>
    <cacheField name="2016 - Vlastní zdroje" numFmtId="0">
      <sharedItems containsSemiMixedTypes="0" containsString="0" containsNumber="1" containsInteger="1" minValue="-4289" maxValue="97717"/>
    </cacheField>
    <cacheField name="2017 - Vlastní zdroje" numFmtId="0">
      <sharedItems containsSemiMixedTypes="0" containsString="0" containsNumber="1" containsInteger="1" minValue="-4011" maxValue="55128"/>
    </cacheField>
    <cacheField name="2015 - Jmění celkem" numFmtId="0">
      <sharedItems containsSemiMixedTypes="0" containsString="0" containsNumber="1" containsInteger="1" minValue="0" maxValue="97020"/>
    </cacheField>
    <cacheField name="2016 - Jmění celkem" numFmtId="0">
      <sharedItems containsString="0" containsBlank="1" containsNumber="1" containsInteger="1" minValue="0" maxValue="94786"/>
    </cacheField>
    <cacheField name="2017 - Jmění celkem" numFmtId="0">
      <sharedItems containsSemiMixedTypes="0" containsString="0" containsNumber="1" containsInteger="1" minValue="-95" maxValue="56146"/>
    </cacheField>
    <cacheField name="2015 - Výsledek hospodaření celkem" numFmtId="0">
      <sharedItems containsSemiMixedTypes="0" containsString="0" containsNumber="1" containsInteger="1" minValue="-4859" maxValue="18055"/>
    </cacheField>
    <cacheField name="2016 - Výsledek hospodaření celkem" numFmtId="0">
      <sharedItems containsSemiMixedTypes="0" containsString="0" containsNumber="1" containsInteger="1" minValue="-4614" maxValue="19625"/>
    </cacheField>
    <cacheField name="2017 - Výsledek hospodaření celkem" numFmtId="0">
      <sharedItems containsSemiMixedTypes="0" containsString="0" containsNumber="1" containsInteger="1" minValue="-5253" maxValue="19273"/>
    </cacheField>
    <cacheField name="2015 - Cizí zdroje celkem" numFmtId="0">
      <sharedItems containsSemiMixedTypes="0" containsString="0" containsNumber="1" containsInteger="1" minValue="-3" maxValue="6771"/>
    </cacheField>
    <cacheField name="2016 - Cizí zdroje celkem" numFmtId="0">
      <sharedItems containsSemiMixedTypes="0" containsString="0" containsNumber="1" containsInteger="1" minValue="0" maxValue="4432"/>
    </cacheField>
    <cacheField name="2017 - Cizí zdroje celkem" numFmtId="0">
      <sharedItems containsSemiMixedTypes="0" containsString="0" containsNumber="1" containsInteger="1" minValue="0" maxValue="7496"/>
    </cacheField>
    <cacheField name="2015 - Rezervy" numFmtId="0">
      <sharedItems containsSemiMixedTypes="0" containsString="0" containsNumber="1" containsInteger="1" minValue="0" maxValue="30"/>
    </cacheField>
    <cacheField name="2016 - Rezervy" numFmtId="0">
      <sharedItems containsSemiMixedTypes="0" containsString="0" containsNumber="1" containsInteger="1" minValue="0" maxValue="30"/>
    </cacheField>
    <cacheField name="2017 - Rezervy" numFmtId="0">
      <sharedItems containsSemiMixedTypes="0" containsString="0" containsNumber="1" containsInteger="1" minValue="0" maxValue="30"/>
    </cacheField>
    <cacheField name="2015 - Dlouhodobé závazky" numFmtId="0">
      <sharedItems containsSemiMixedTypes="0" containsString="0" containsNumber="1" containsInteger="1" minValue="0" maxValue="1107"/>
    </cacheField>
    <cacheField name="2016 - Dlouhodobé závazky" numFmtId="0">
      <sharedItems containsSemiMixedTypes="0" containsString="0" containsNumber="1" containsInteger="1" minValue="0" maxValue="1108"/>
    </cacheField>
    <cacheField name="2017 - Dlouhodobé závazky" numFmtId="0">
      <sharedItems containsSemiMixedTypes="0" containsString="0" containsNumber="1" containsInteger="1" minValue="0" maxValue="1108"/>
    </cacheField>
    <cacheField name="2015 - Krátkodobé závakzky" numFmtId="0">
      <sharedItems containsSemiMixedTypes="0" containsString="0" containsNumber="1" containsInteger="1" minValue="-3" maxValue="6771"/>
    </cacheField>
    <cacheField name="2016 - Krátkodobé závakzky" numFmtId="0">
      <sharedItems containsSemiMixedTypes="0" containsString="0" containsNumber="1" containsInteger="1" minValue="-334" maxValue="4250"/>
    </cacheField>
    <cacheField name="2017 - Krátkodobé závakzky" numFmtId="0">
      <sharedItems containsSemiMixedTypes="0" containsString="0" containsNumber="1" containsInteger="1" minValue="0" maxValue="7108"/>
    </cacheField>
    <cacheField name="2015 - Jiná pasiva" numFmtId="0">
      <sharedItems containsString="0" containsBlank="1" containsNumber="1" containsInteger="1" minValue="0" maxValue="1336"/>
    </cacheField>
    <cacheField name="2016 - Jiná pasiva" numFmtId="0">
      <sharedItems containsSemiMixedTypes="0" containsString="0" containsNumber="1" containsInteger="1" minValue="0" maxValue="1445"/>
    </cacheField>
    <cacheField name="2017 - Jiná pasiva" numFmtId="0">
      <sharedItems containsSemiMixedTypes="0" containsString="0" containsNumber="1" containsInteger="1" minValue="-20" maxValue="838"/>
    </cacheField>
    <cacheField name="2015 - Náklady celkem - hlavní činnost" numFmtId="0">
      <sharedItems containsSemiMixedTypes="0" containsString="0" containsNumber="1" containsInteger="1" minValue="15" maxValue="19283"/>
    </cacheField>
    <cacheField name="2016 - Náklady celkem - hlavní činnost" numFmtId="0">
      <sharedItems containsSemiMixedTypes="0" containsString="0" containsNumber="1" containsInteger="1" minValue="24" maxValue="27371"/>
    </cacheField>
    <cacheField name="2017 - Náklady celkem - hlavní činnost" numFmtId="0">
      <sharedItems containsSemiMixedTypes="0" containsString="0" containsNumber="1" containsInteger="1" minValue="12" maxValue="23001"/>
    </cacheField>
    <cacheField name="2015 - Spotřebované nákupy celkem - hlavní činnost" numFmtId="0">
      <sharedItems containsSemiMixedTypes="0" containsString="0" containsNumber="1" containsInteger="1" minValue="5" maxValue="2533"/>
    </cacheField>
    <cacheField name="2016 - Spotřebované nákupy celkem - hlavní činnost" numFmtId="0">
      <sharedItems containsSemiMixedTypes="0" containsString="0" containsNumber="1" containsInteger="1" minValue="15" maxValue="15958"/>
    </cacheField>
    <cacheField name="2017 - Spotřebované nákupy celkem - hlavní činnost" numFmtId="0">
      <sharedItems containsSemiMixedTypes="0" containsString="0" containsNumber="1" containsInteger="1" minValue="10" maxValue="16058"/>
    </cacheField>
    <cacheField name="2015 - Služby celkem - hlavní činnost" numFmtId="0">
      <sharedItems containsSemiMixedTypes="0" containsString="0" containsNumber="1" containsInteger="1" minValue="-22" maxValue="11991"/>
    </cacheField>
    <cacheField name="2016 - Služby celkem - hlavní činnost" numFmtId="0">
      <sharedItems containsString="0" containsBlank="1" containsNumber="1" containsInteger="1" minValue="0" maxValue="8403"/>
    </cacheField>
    <cacheField name="2017 - Služby celkem - hlavní činnost" numFmtId="0">
      <sharedItems containsSemiMixedTypes="0" containsString="0" containsNumber="1" containsInteger="1" minValue="0" maxValue="10892"/>
    </cacheField>
    <cacheField name="2015 - Osobní náklady celkem - hlavní činnost" numFmtId="0">
      <sharedItems containsSemiMixedTypes="0" containsString="0" containsNumber="1" containsInteger="1" minValue="0" maxValue="3698"/>
    </cacheField>
    <cacheField name="2016 - Osobní náklady celkem - hlavní činnost" numFmtId="0">
      <sharedItems containsSemiMixedTypes="0" containsString="0" containsNumber="1" containsInteger="1" minValue="0" maxValue="4266"/>
    </cacheField>
    <cacheField name="2017 - Osobní náklady celkem - hlavní činnost" numFmtId="0">
      <sharedItems containsSemiMixedTypes="0" containsString="0" containsNumber="1" containsInteger="1" minValue="0" maxValue="5225"/>
    </cacheField>
    <cacheField name="2015 - Daně a poplatky - hlavní činnost" numFmtId="0">
      <sharedItems containsSemiMixedTypes="0" containsString="0" containsNumber="1" containsInteger="1" minValue="0" maxValue="290"/>
    </cacheField>
    <cacheField name="2016 - Daně a poplatky - hlavní činnost" numFmtId="0">
      <sharedItems containsString="0" containsBlank="1" containsNumber="1" minValue="0" maxValue="300"/>
    </cacheField>
    <cacheField name="2017 - Daně a poplatky - hlavní činnost" numFmtId="0">
      <sharedItems containsSemiMixedTypes="0" containsString="0" containsNumber="1" containsInteger="1" minValue="0" maxValue="338"/>
    </cacheField>
    <cacheField name="2015 - Ostatní náklady  - hlavní činnost" numFmtId="0">
      <sharedItems containsString="0" containsBlank="1" containsNumber="1" containsInteger="1" minValue="0" maxValue="2150"/>
    </cacheField>
    <cacheField name="2016 - Ostatní náklady  - hlavní činnost" numFmtId="0">
      <sharedItems containsSemiMixedTypes="0" containsString="0" containsNumber="1" containsInteger="1" minValue="0" maxValue="6587"/>
    </cacheField>
    <cacheField name="2017 - Ostatní náklady  - hlavní činnost" numFmtId="0">
      <sharedItems containsSemiMixedTypes="0" containsString="0" containsNumber="1" containsInteger="1" minValue="0" maxValue="5859"/>
    </cacheField>
    <cacheField name="2015 - Odpisy,prodaný majetek - hlavní činnost" numFmtId="0">
      <sharedItems containsString="0" containsBlank="1" containsNumber="1" containsInteger="1" minValue="0" maxValue="3136"/>
    </cacheField>
    <cacheField name="2016 - Odpisy,prodaný majetek - hlavní činnost" numFmtId="0">
      <sharedItems containsString="0" containsBlank="1" containsNumber="1" containsInteger="1" minValue="0" maxValue="5145"/>
    </cacheField>
    <cacheField name="2017 - Odpisy,prodaný majetek - hlavní činnost" numFmtId="0">
      <sharedItems containsSemiMixedTypes="0" containsString="0" containsNumber="1" containsInteger="1" minValue="0" maxValue="920"/>
    </cacheField>
    <cacheField name="2015 - Poskytnuté příspěvky - hlavní činnost" numFmtId="0">
      <sharedItems containsSemiMixedTypes="0" containsString="0" containsNumber="1" containsInteger="1" minValue="0" maxValue="163"/>
    </cacheField>
    <cacheField name="2016 - Poskytnuté příspěvky - hlavní činnost" numFmtId="0">
      <sharedItems containsString="0" containsBlank="1" containsNumber="1" containsInteger="1" minValue="0" maxValue="217"/>
    </cacheField>
    <cacheField name="2017 - Poskytnuté příspěvky - hlavní činnost" numFmtId="0">
      <sharedItems containsSemiMixedTypes="0" containsString="0" containsNumber="1" containsInteger="1" minValue="0" maxValue="331"/>
    </cacheField>
    <cacheField name="2015 - Daň z příjmu - hlavní činnost" numFmtId="0">
      <sharedItems containsSemiMixedTypes="0" containsString="0" containsNumber="1" containsInteger="1" minValue="0" maxValue="17"/>
    </cacheField>
    <cacheField name="2016 - Daň z příjmu - hlavní činnost" numFmtId="0">
      <sharedItems containsString="0" containsBlank="1" containsNumber="1" minValue="0" maxValue="142"/>
    </cacheField>
    <cacheField name="2017 - Daň z příjmu - hlavní činnost" numFmtId="0">
      <sharedItems containsSemiMixedTypes="0" containsString="0" containsNumber="1" containsInteger="1" minValue="0" maxValue="184"/>
    </cacheField>
    <cacheField name="2015 - Náklady celkem - hospodářská činnost" numFmtId="0">
      <sharedItems containsSemiMixedTypes="0" containsString="0" containsNumber="1" containsInteger="1" minValue="0" maxValue="3967"/>
    </cacheField>
    <cacheField name="2016  - Náklady celkem - hospodářská činnost" numFmtId="0">
      <sharedItems containsSemiMixedTypes="0" containsString="0" containsNumber="1" containsInteger="1" minValue="0" maxValue="4537"/>
    </cacheField>
    <cacheField name="2017  - Náklady celkem - hospodářská činnost" numFmtId="0">
      <sharedItems containsSemiMixedTypes="0" containsString="0" containsNumber="1" containsInteger="1" minValue="0" maxValue="3642"/>
    </cacheField>
    <cacheField name="2015 - Spotřebované nákupy celkem- hospodářská činnost" numFmtId="0">
      <sharedItems containsSemiMixedTypes="0" containsString="0" containsNumber="1" containsInteger="1" minValue="0" maxValue="1523"/>
    </cacheField>
    <cacheField name="2016  - Spotřebované nákupy celkem- hospodářská činnost" numFmtId="0">
      <sharedItems containsSemiMixedTypes="0" containsString="0" containsNumber="1" containsInteger="1" minValue="0" maxValue="2187"/>
    </cacheField>
    <cacheField name="2017  - Spotřebované nákupy celkem- hospodářská činnost" numFmtId="0">
      <sharedItems containsSemiMixedTypes="0" containsString="0" containsNumber="1" containsInteger="1" minValue="0" maxValue="1067"/>
    </cacheField>
    <cacheField name="2015 - Služby celkem- hospodářská činnost" numFmtId="0">
      <sharedItems containsSemiMixedTypes="0" containsString="0" containsNumber="1" containsInteger="1" minValue="0" maxValue="494"/>
    </cacheField>
    <cacheField name="2016  - Služby celkem- hospodářská činnost" numFmtId="0">
      <sharedItems containsSemiMixedTypes="0" containsString="0" containsNumber="1" containsInteger="1" minValue="0" maxValue="817"/>
    </cacheField>
    <cacheField name="2017  - Služby celkem- hospodářská činnost" numFmtId="0">
      <sharedItems containsSemiMixedTypes="0" containsString="0" containsNumber="1" containsInteger="1" minValue="0" maxValue="229"/>
    </cacheField>
    <cacheField name="2015 - Osobní náklady celkem- hospodářská činnost" numFmtId="0">
      <sharedItems containsSemiMixedTypes="0" containsString="0" containsNumber="1" containsInteger="1" minValue="0" maxValue="1418"/>
    </cacheField>
    <cacheField name="2016  - Osobní náklady celkem- hospodářská činnost" numFmtId="0">
      <sharedItems containsSemiMixedTypes="0" containsString="0" containsNumber="1" containsInteger="1" minValue="0" maxValue="1433"/>
    </cacheField>
    <cacheField name="2017  - Osobní náklady celkem- hospodářská činnost" numFmtId="0">
      <sharedItems containsString="0" containsBlank="1" containsNumber="1" containsInteger="1" minValue="0" maxValue="368"/>
    </cacheField>
    <cacheField name="2015 - Daně a poplatky- hospodářská činnost" numFmtId="0">
      <sharedItems containsSemiMixedTypes="0" containsString="0" containsNumber="1" containsInteger="1" minValue="0" maxValue="48"/>
    </cacheField>
    <cacheField name="2016  - Daně a poplatky- hospodářská činnost" numFmtId="0">
      <sharedItems containsSemiMixedTypes="0" containsString="0" containsNumber="1" containsInteger="1" minValue="0" maxValue="43"/>
    </cacheField>
    <cacheField name="2017  - Daně a poplatky- hospodářská činnost" numFmtId="0">
      <sharedItems containsSemiMixedTypes="0" containsString="0" containsNumber="1" containsInteger="1" minValue="0" maxValue="90"/>
    </cacheField>
    <cacheField name="2015 - Ostatní náklady - hospodářská činnost" numFmtId="0">
      <sharedItems containsSemiMixedTypes="0" containsString="0" containsNumber="1" containsInteger="1" minValue="-1" maxValue="221"/>
    </cacheField>
    <cacheField name="2016  - Ostatní náklady - hospodářská činnost" numFmtId="0">
      <sharedItems containsSemiMixedTypes="0" containsString="0" containsNumber="1" containsInteger="1" minValue="0" maxValue="223"/>
    </cacheField>
    <cacheField name="2017  - Ostatní náklady - hospodářská činnost" numFmtId="0">
      <sharedItems containsSemiMixedTypes="0" containsString="0" containsNumber="1" containsInteger="1" minValue="0" maxValue="322"/>
    </cacheField>
    <cacheField name="2015 - Odpisy,prodaný majetek- hospodářská činnost" numFmtId="0">
      <sharedItems containsSemiMixedTypes="0" containsString="0" containsNumber="1" containsInteger="1" minValue="0" maxValue="379"/>
    </cacheField>
    <cacheField name="2016  - Odpisy,prodaný majetek- hospodářská činnost" numFmtId="0">
      <sharedItems containsSemiMixedTypes="0" containsString="0" containsNumber="1" containsInteger="1" minValue="0" maxValue="440"/>
    </cacheField>
    <cacheField name="2017  - Odpisy,prodaný majetek- hospodářská činnost" numFmtId="0">
      <sharedItems containsSemiMixedTypes="0" containsString="0" containsNumber="1" containsInteger="1" minValue="0" maxValue="327"/>
    </cacheField>
    <cacheField name="2015 - Poskytnuté příspěvky- hospodářská činnost" numFmtId="0">
      <sharedItems containsSemiMixedTypes="0" containsString="0" containsNumber="1" containsInteger="1" minValue="0" maxValue="15"/>
    </cacheField>
    <cacheField name="2016  - Poskytnuté příspěvky- hospodářská činnost" numFmtId="0">
      <sharedItems containsSemiMixedTypes="0" containsString="0" containsNumber="1" containsInteger="1" minValue="0" maxValue="15"/>
    </cacheField>
    <cacheField name="2017  - Poskytnuté příspěvky- hospodářská činnost" numFmtId="0">
      <sharedItems containsSemiMixedTypes="0" containsString="0" containsNumber="1" containsInteger="1" minValue="0" maxValue="0"/>
    </cacheField>
    <cacheField name="2015 - Daň z příjmu- hospodářská činnost" numFmtId="0">
      <sharedItems containsSemiMixedTypes="0" containsString="0" containsNumber="1" containsInteger="1" minValue="0" maxValue="0"/>
    </cacheField>
    <cacheField name="2016  - Daň z příjmu- hospodářská činnost" numFmtId="0">
      <sharedItems containsSemiMixedTypes="0" containsString="0" containsNumber="1" containsInteger="1" minValue="0" maxValue="352"/>
    </cacheField>
    <cacheField name="2017  - Daň z příjmu- hospodářská činnost" numFmtId="0">
      <sharedItems containsString="0" containsBlank="1" containsNumber="1" containsInteger="1" minValue="0" maxValue="2594"/>
    </cacheField>
    <cacheField name="2015 - Výnosy celkem - hlavní činnost" numFmtId="0">
      <sharedItems containsSemiMixedTypes="0" containsString="0" containsNumber="1" containsInteger="1" minValue="14" maxValue="16666"/>
    </cacheField>
    <cacheField name="2016  - Výnosy celkem - hlavní činnost" numFmtId="0">
      <sharedItems containsSemiMixedTypes="0" containsString="0" containsNumber="1" containsInteger="1" minValue="18" maxValue="20917"/>
    </cacheField>
    <cacheField name="2017  - Výnosy celkem - hlavní činnost" numFmtId="0">
      <sharedItems containsSemiMixedTypes="0" containsString="0" containsNumber="1" containsInteger="1" minValue="14" maxValue="21042"/>
    </cacheField>
    <cacheField name="2015 - Tržby za vlastní výkony a zboží - hlavní činnost" numFmtId="0">
      <sharedItems containsSemiMixedTypes="0" containsString="0" containsNumber="1" containsInteger="1" minValue="0" maxValue="4973"/>
    </cacheField>
    <cacheField name="2016  - Tržby za vlastní výkony a zboží - hlavní činnost" numFmtId="0">
      <sharedItems containsSemiMixedTypes="0" containsString="0" containsNumber="1" containsInteger="1" minValue="0" maxValue="4675"/>
    </cacheField>
    <cacheField name="2017  - Tržby za vlastní výkony a zboží - hlavní činnost" numFmtId="0">
      <sharedItems containsSemiMixedTypes="0" containsString="0" containsNumber="1" containsInteger="1" minValue="0" maxValue="4696"/>
    </cacheField>
    <cacheField name="2015 - Ostatní výnosy  - hlavní činnost" numFmtId="0">
      <sharedItems containsSemiMixedTypes="0" containsString="0" containsNumber="1" containsInteger="1" minValue="-42" maxValue="5487"/>
    </cacheField>
    <cacheField name="2016  - Ostatní výnosy  - hlavní činnost" numFmtId="0">
      <sharedItems containsSemiMixedTypes="0" containsString="0" containsNumber="1" containsInteger="1" minValue="-3" maxValue="4158"/>
    </cacheField>
    <cacheField name="2017  - Ostatní výnosy  - hlavní činnost" numFmtId="0">
      <sharedItems containsSemiMixedTypes="0" containsString="0" containsNumber="1" containsInteger="1" minValue="-25" maxValue="3207"/>
    </cacheField>
    <cacheField name="2015 - Tržby z prodeje majetku - hlavní činnost" numFmtId="0">
      <sharedItems containsSemiMixedTypes="0" containsString="0" containsNumber="1" containsInteger="1" minValue="0" maxValue="80"/>
    </cacheField>
    <cacheField name="2016  - Tržby z prodeje majetku - hlavní činnost" numFmtId="0">
      <sharedItems containsSemiMixedTypes="0" containsString="0" containsNumber="1" containsInteger="1" minValue="0" maxValue="536"/>
    </cacheField>
    <cacheField name="2017  - Tržby z prodeje majetku - hlavní činnost" numFmtId="0">
      <sharedItems containsString="0" containsBlank="1" containsNumber="1" containsInteger="1" minValue="0" maxValue="72"/>
    </cacheField>
    <cacheField name="2015 - Přijaté příspěvky celkem - hlavní činnost" numFmtId="0">
      <sharedItems containsSemiMixedTypes="0" containsString="0" containsNumber="1" containsInteger="1" minValue="0" maxValue="9207"/>
    </cacheField>
    <cacheField name="2016  - Přijaté příspěvky celkem - hlavní činnost" numFmtId="0">
      <sharedItems containsSemiMixedTypes="0" containsString="0" containsNumber="1" containsInteger="1" minValue="0" maxValue="7141"/>
    </cacheField>
    <cacheField name="2017  - Přijaté příspěvky celkem - hlavní činnost" numFmtId="0">
      <sharedItems containsSemiMixedTypes="0" containsString="0" containsNumber="1" containsInteger="1" minValue="0" maxValue="6442"/>
    </cacheField>
    <cacheField name="2015 - Přijaté příspěvky zůčtov. Mezi org - hlavní činnost" numFmtId="0">
      <sharedItems containsSemiMixedTypes="0" containsString="0" containsNumber="1" containsInteger="1" minValue="0" maxValue="3094"/>
    </cacheField>
    <cacheField name="2016  - Přijaté příspěvky zůčtov. Mezi org - hlavní činnost" numFmtId="0">
      <sharedItems containsSemiMixedTypes="0" containsString="0" containsNumber="1" containsInteger="1" minValue="0" maxValue="1518"/>
    </cacheField>
    <cacheField name="2017  - Přijaté příspěvky zůčtov. Mezi org - hlavní činnost" numFmtId="0">
      <sharedItems containsString="0" containsBlank="1" containsNumber="1" containsInteger="1" minValue="0" maxValue="1308"/>
    </cacheField>
    <cacheField name="2015 - Přijaté přispěvky-dary - hlavní činnost" numFmtId="0">
      <sharedItems containsSemiMixedTypes="0" containsString="0" containsNumber="1" containsInteger="1" minValue="0" maxValue="6153"/>
    </cacheField>
    <cacheField name="2016  - Přijaté přispěvky-dary - hlavní činnost" numFmtId="0">
      <sharedItems containsSemiMixedTypes="0" containsString="0" containsNumber="1" containsInteger="1" minValue="0" maxValue="3812"/>
    </cacheField>
    <cacheField name="2017  - Přijaté přispěvky-dary - hlavní činnost" numFmtId="0">
      <sharedItems containsSemiMixedTypes="0" containsString="0" containsNumber="1" containsInteger="1" minValue="0" maxValue="5142"/>
    </cacheField>
    <cacheField name="2015 - Přijaté členské příspěvky - hlavní činnost" numFmtId="0">
      <sharedItems containsSemiMixedTypes="0" containsString="0" containsNumber="1" containsInteger="1" minValue="0" maxValue="4474"/>
    </cacheField>
    <cacheField name="2016  - Přijaté členské příspěvky - hlavní činnost" numFmtId="0">
      <sharedItems containsSemiMixedTypes="0" containsString="0" containsNumber="1" containsInteger="1" minValue="0" maxValue="5319"/>
    </cacheField>
    <cacheField name="2017  - Přijaté členské příspěvky - hlavní činnost" numFmtId="0">
      <sharedItems containsSemiMixedTypes="0" containsString="0" containsNumber="1" containsInteger="1" minValue="0" maxValue="5908"/>
    </cacheField>
    <cacheField name="2015 - Provozní dotace - hlavní činnost" numFmtId="0">
      <sharedItems containsSemiMixedTypes="0" containsString="0" containsNumber="1" containsInteger="1" minValue="0" maxValue="5722"/>
    </cacheField>
    <cacheField name="2016  - Provozní dotace - hlavní činnost" numFmtId="0">
      <sharedItems containsSemiMixedTypes="0" containsString="0" containsNumber="1" containsInteger="1" minValue="0" maxValue="9998"/>
    </cacheField>
    <cacheField name="2017  - Provozní dotace - hlavní činnost" numFmtId="0">
      <sharedItems containsSemiMixedTypes="0" containsString="0" containsNumber="1" containsInteger="1" minValue="0" maxValue="11335"/>
    </cacheField>
    <cacheField name="2015 - Výsledek hospodaření před zdaněním - hlavní činnost" numFmtId="0">
      <sharedItems containsSemiMixedTypes="0" containsString="0" containsNumber="1" containsInteger="1" minValue="-2617" maxValue="1789"/>
    </cacheField>
    <cacheField name="2016  - Výsledek hospodaření před zdaněním - hlavní činnost" numFmtId="0">
      <sharedItems containsSemiMixedTypes="0" containsString="0" containsNumber="1" containsInteger="1" minValue="-6389" maxValue="1434"/>
    </cacheField>
    <cacheField name="2017  - Výsledek hospodaření před zdaněním - hlavní činnost" numFmtId="0">
      <sharedItems containsSemiMixedTypes="0" containsString="0" containsNumber="1" containsInteger="1" minValue="-1959" maxValue="1847"/>
    </cacheField>
    <cacheField name="2015 - Výsledek hospodaření po zdaněním - hlavní činnost" numFmtId="0">
      <sharedItems containsSemiMixedTypes="0" containsString="0" containsNumber="1" containsInteger="1" minValue="-2949" maxValue="1789"/>
    </cacheField>
    <cacheField name="2016  - Výsledek hospodaření po zdaněním - hlavní činnost" numFmtId="0">
      <sharedItems containsSemiMixedTypes="0" containsString="0" containsNumber="1" containsInteger="1" minValue="-6454" maxValue="1434"/>
    </cacheField>
    <cacheField name="2017  - Výsledek hospodaření po zdaněním - hlavní činnost" numFmtId="0">
      <sharedItems containsSemiMixedTypes="0" containsString="0" containsNumber="1" containsInteger="1" minValue="-1959" maxValue="1805"/>
    </cacheField>
    <cacheField name="2015 - Výnosy celkem - hospodářská činnost" numFmtId="0">
      <sharedItems containsSemiMixedTypes="0" containsString="0" containsNumber="1" containsInteger="1" minValue="0" maxValue="5768"/>
    </cacheField>
    <cacheField name="2016  - Výnosy celkem - hospodářská činnost" numFmtId="0">
      <sharedItems containsSemiMixedTypes="0" containsString="0" containsNumber="1" containsInteger="1" minValue="0" maxValue="5843"/>
    </cacheField>
    <cacheField name="2017  - Výnosy celkem - hospodářská činnost" numFmtId="0">
      <sharedItems containsSemiMixedTypes="0" containsString="0" containsNumber="1" containsInteger="1" minValue="0" maxValue="15554"/>
    </cacheField>
    <cacheField name="2015 - Tržby za vlastní výkony a zboží  - hospodářská činnost" numFmtId="0">
      <sharedItems containsSemiMixedTypes="0" containsString="0" containsNumber="1" containsInteger="1" minValue="0" maxValue="5768"/>
    </cacheField>
    <cacheField name="2016  - Tržby za vlastní výkony a zboží  - hospodářská činnost" numFmtId="0">
      <sharedItems containsSemiMixedTypes="0" containsString="0" containsNumber="1" containsInteger="1" minValue="0" maxValue="5843"/>
    </cacheField>
    <cacheField name="2017  - Tržby za vlastní výkony a zboží  - hospodářská činnost" numFmtId="0">
      <sharedItems containsSemiMixedTypes="0" containsString="0" containsNumber="1" containsInteger="1" minValue="0" maxValue="3354"/>
    </cacheField>
    <cacheField name="2015 - Ostatní výnosy   - hospodářská činnost" numFmtId="0">
      <sharedItems containsSemiMixedTypes="0" containsString="0" containsNumber="1" containsInteger="1" minValue="0" maxValue="399"/>
    </cacheField>
    <cacheField name="2016  - Ostatní výnosy   - hospodářská činnost" numFmtId="0">
      <sharedItems containsSemiMixedTypes="0" containsString="0" containsNumber="1" containsInteger="1" minValue="0" maxValue="441"/>
    </cacheField>
    <cacheField name="2017  - Ostatní výnosy   - hospodářská činnost" numFmtId="0">
      <sharedItems containsSemiMixedTypes="0" containsString="0" containsNumber="1" containsInteger="1" minValue="0" maxValue="314"/>
    </cacheField>
    <cacheField name="2015 - Tržby z prodeje majetku  - hospodářská činnost" numFmtId="0">
      <sharedItems containsSemiMixedTypes="0" containsString="0" containsNumber="1" containsInteger="1" minValue="0" maxValue="500"/>
    </cacheField>
    <cacheField name="2016  - Tržby z prodeje maetku  - hospodářská činnost" numFmtId="0">
      <sharedItems containsSemiMixedTypes="0" containsString="0" containsNumber="1" containsInteger="1" minValue="0" maxValue="157"/>
    </cacheField>
    <cacheField name="2017  - Tržby z prodeje maetku  - hospodářská činnost" numFmtId="0">
      <sharedItems containsSemiMixedTypes="0" containsString="0" containsNumber="1" containsInteger="1" minValue="0" maxValue="12200"/>
    </cacheField>
    <cacheField name="2015 - Přijaté příspěvky celkem  - hospodářská činnost" numFmtId="0">
      <sharedItems containsSemiMixedTypes="0" containsString="0" containsNumber="1" containsInteger="1" minValue="0" maxValue="20"/>
    </cacheField>
    <cacheField name="2016  - Přijaté příspěvky celkem  - hospodářská činnost" numFmtId="0">
      <sharedItems containsSemiMixedTypes="0" containsString="0" containsNumber="1" containsInteger="1" minValue="0" maxValue="25"/>
    </cacheField>
    <cacheField name="2017  - Přijaté příspěvky celkem  - hospodářská činnost" numFmtId="0">
      <sharedItems containsSemiMixedTypes="0" containsString="0" containsNumber="1" containsInteger="1" minValue="0" maxValue="292"/>
    </cacheField>
    <cacheField name="2015 - Přijaté příspěvky zůčtov. Mezi org  - hospodářská činnost" numFmtId="0">
      <sharedItems containsSemiMixedTypes="0" containsString="0" containsNumber="1" containsInteger="1" minValue="0" maxValue="0"/>
    </cacheField>
    <cacheField name="2016  - Přijaté příspěvky zůčtov. Mezi org  - hospodářská činnost" numFmtId="0">
      <sharedItems containsSemiMixedTypes="0" containsString="0" containsNumber="1" containsInteger="1" minValue="0" maxValue="0"/>
    </cacheField>
    <cacheField name="2017  - Přijaté příspěvky zůčtov. Mezi org  - hospodářská činnost" numFmtId="0">
      <sharedItems containsSemiMixedTypes="0" containsString="0" containsNumber="1" containsInteger="1" minValue="0" maxValue="6"/>
    </cacheField>
    <cacheField name="2015 - Přijaté přispěvky-dary  - hospodářská činnost" numFmtId="0">
      <sharedItems containsSemiMixedTypes="0" containsString="0" containsNumber="1" containsInteger="1" minValue="0" maxValue="20"/>
    </cacheField>
    <cacheField name="2016  - Přijaté přispěvky-dary  - hospodářská činnost" numFmtId="0">
      <sharedItems containsString="0" containsBlank="1" containsNumber="1" containsInteger="1" minValue="0" maxValue="25"/>
    </cacheField>
    <cacheField name="2017  - Přijaté přispěvky-dary  - hospodářská činnost" numFmtId="0">
      <sharedItems containsSemiMixedTypes="0" containsString="0" containsNumber="1" containsInteger="1" minValue="0" maxValue="292"/>
    </cacheField>
    <cacheField name="2015 - Přijaté členské příspěvky  - hospodářská činnost" numFmtId="0">
      <sharedItems containsString="0" containsBlank="1" containsNumber="1" containsInteger="1" minValue="0" maxValue="0"/>
    </cacheField>
    <cacheField name="2016  - Přijaté členské příspěvky  - hospodářská činnost" numFmtId="0">
      <sharedItems containsString="0" containsBlank="1" containsNumber="1" containsInteger="1" minValue="0" maxValue="0"/>
    </cacheField>
    <cacheField name="2017  - Přijaté členské příspěvky  - hospodářská činnost" numFmtId="0">
      <sharedItems containsSemiMixedTypes="0" containsString="0" containsNumber="1" containsInteger="1" minValue="0" maxValue="0"/>
    </cacheField>
    <cacheField name="2015 - Provozní dotace  - hospodářská činnost" numFmtId="0">
      <sharedItems containsSemiMixedTypes="0" containsString="0" containsNumber="1" containsInteger="1" minValue="0" maxValue="423"/>
    </cacheField>
    <cacheField name="2016  - Provozní dotace  - hospodářská činnost" numFmtId="0">
      <sharedItems containsString="0" containsBlank="1" containsNumber="1" containsInteger="1" minValue="0" maxValue="209"/>
    </cacheField>
    <cacheField name="2017  - Provozní dotace  - hospodářská činnost" numFmtId="0">
      <sharedItems containsSemiMixedTypes="0" containsString="0" containsNumber="1" containsInteger="1" minValue="0" maxValue="1103"/>
    </cacheField>
    <cacheField name="2015 - Výsledek hospodaření před zdaněním  - hospodářská činnost" numFmtId="0">
      <sharedItems containsSemiMixedTypes="0" containsString="0" containsNumber="1" containsInteger="1" minValue="0" maxValue="2496"/>
    </cacheField>
    <cacheField name="2016  - Výsledek hospodaření před zdaněním  - hospodářská činnost" numFmtId="0">
      <sharedItems containsSemiMixedTypes="0" containsString="0" containsNumber="1" containsInteger="1" minValue="-209" maxValue="2645"/>
    </cacheField>
    <cacheField name="2017 - Výsledek hospodaření před zdaněním  - hospodářská činnost" numFmtId="0">
      <sharedItems containsSemiMixedTypes="0" containsString="0" containsNumber="1" containsInteger="1" minValue="-80" maxValue="14506"/>
    </cacheField>
    <cacheField name="2015 - Výsledek hospodaření po zdaněním - hospodářská činnost" numFmtId="0">
      <sharedItems containsSemiMixedTypes="0" containsString="0" containsNumber="1" containsInteger="1" minValue="0" maxValue="2496"/>
    </cacheField>
    <cacheField name="2016  - Výsledek hospodaření po zdaněním - hospodářská činnost" numFmtId="0">
      <sharedItems containsSemiMixedTypes="0" containsString="0" containsNumber="1" containsInteger="1" minValue="-209" maxValue="2293"/>
    </cacheField>
    <cacheField name="2017  - Výsledek hospodaření po zdaněním - hospodářská činnost" numFmtId="0">
      <sharedItems containsSemiMixedTypes="0" containsString="0" containsNumber="1" containsInteger="1" minValue="-80" maxValue="11912"/>
    </cacheField>
    <cacheField name="2015 - Náklady celkem" numFmtId="0">
      <sharedItems containsSemiMixedTypes="0" containsString="0" containsNumber="1" containsInteger="1" minValue="15" maxValue="19404"/>
    </cacheField>
    <cacheField name="2016  - Náklady celkem" numFmtId="0">
      <sharedItems containsSemiMixedTypes="0" containsString="0" containsNumber="1" containsInteger="1" minValue="24" maxValue="28268"/>
    </cacheField>
    <cacheField name="2017  - Náklady celkem" numFmtId="0">
      <sharedItems containsSemiMixedTypes="0" containsString="0" containsNumber="1" containsInteger="1" minValue="12" maxValue="26643"/>
    </cacheField>
    <cacheField name="2015 - Výnosy celkem" numFmtId="0">
      <sharedItems containsSemiMixedTypes="0" containsString="0" containsNumber="1" containsInteger="1" minValue="14" maxValue="19283"/>
    </cacheField>
    <cacheField name="2016  - Výnosy celkem" numFmtId="0">
      <sharedItems containsSemiMixedTypes="0" containsString="0" containsNumber="1" containsInteger="1" minValue="18" maxValue="24107"/>
    </cacheField>
    <cacheField name="2017  - Výnosy celkem" numFmtId="0">
      <sharedItems containsSemiMixedTypes="0" containsString="0" containsNumber="1" containsInteger="1" minValue="14" maxValue="36596"/>
    </cacheField>
    <cacheField name="2015 - Výsledek hospodaření před zdaněním celkem" numFmtId="0">
      <sharedItems containsSemiMixedTypes="0" containsString="0" containsNumber="1" containsInteger="1" minValue="-1912" maxValue="1869"/>
    </cacheField>
    <cacheField name="2016  - Výsledek hospodaření před zdaněním celkem" numFmtId="0">
      <sharedItems containsSemiMixedTypes="0" containsString="0" containsNumber="1" containsInteger="1" minValue="-4161" maxValue="1872"/>
    </cacheField>
    <cacheField name="2017  - Výsledek hospodaření před zdaněním celkem" numFmtId="0">
      <sharedItems containsSemiMixedTypes="0" containsString="0" containsNumber="1" containsInteger="1" minValue="-1018" maxValue="9953"/>
    </cacheField>
    <cacheField name="2015 - Výsledek hospodaření po zdanění celkem" numFmtId="0">
      <sharedItems containsSemiMixedTypes="0" containsString="0" containsNumber="1" containsInteger="1" minValue="-1912" maxValue="1869"/>
    </cacheField>
    <cacheField name="2016  - Výsledek hospodaření po zdanění celkem" numFmtId="0">
      <sharedItems containsSemiMixedTypes="0" containsString="0" containsNumber="1" containsInteger="1" minValue="-4161" maxValue="1875"/>
    </cacheField>
    <cacheField name="2017  - Výsledek hospodaření po zdanění celkem" numFmtId="0">
      <sharedItems containsSemiMixedTypes="0" containsString="0" containsNumber="1" containsInteger="1" minValue="-1018" maxValue="9953"/>
    </cacheField>
    <cacheField name="Poznámky 2015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639.046828819446" createdVersion="6" refreshedVersion="6" minRefreshableVersion="3" recordCount="95" xr:uid="{032E1C0B-64FE-B34E-A4A9-A1D5B72F7AFD}">
  <cacheSource type="worksheet">
    <worksheetSource ref="A2:GR95" sheet="Data"/>
  </cacheSource>
  <cacheFields count="200">
    <cacheField name="Název klubu" numFmtId="0">
      <sharedItems containsMixedTypes="1" containsNumber="1" containsInteger="1" minValue="94" maxValue="94" count="94">
        <s v="Athletic club Mariánské Lázně, o.s."/>
        <s v="AK Chemopetrol Litvínov"/>
        <s v="PSK Olymp Praha"/>
        <s v="TJ Sokol Kolín-atletika"/>
        <s v="TJ Vodní stavby Tábor"/>
        <s v="TJ Dukla Praha"/>
        <s v="KB Vyškov"/>
        <s v="Black Angels"/>
        <s v="FBK Kobra Tatran Hostinné"/>
        <s v="SK Bivoj Litvínov"/>
        <s v="Hippos Žďár n/S."/>
        <s v="TJ Slavoj Dubá"/>
        <s v="FOTBALOVÝ KLUB LETY"/>
        <s v="Sportovní klub OTAVA Katovice o.s."/>
        <s v="KMS JUVENTUS Bruntál, o.s."/>
        <s v="FK Jakartovice"/>
        <s v="FC Odra Petřkovice"/>
        <s v="SK Slavia Jesenice"/>
        <s v="FK Český lev Těchlovice"/>
        <s v="SK Řetězárna"/>
        <s v="Tělovýchovná jednota TJ KLIMKOVICE"/>
        <s v="Tělocvičná jednota Sokol Klášterec nad Orlicí"/>
        <s v="Tělovýchovná jednota Poličná"/>
        <s v="Tělovýchovná jednota SOKOL Klecany"/>
        <s v="FC Sporting Mladá Boleslav"/>
        <s v="Tělovýchovná jednota Svitavy"/>
        <s v="Tělovýchovná jednota Tatran Míčov"/>
        <s v="Jezd.stáj Wagrann-Dita Harvanová"/>
        <s v="Loko Trutnov"/>
        <s v="Veslařský klub Přerov"/>
        <s v="SK Volejbal Kolín"/>
        <s v="Otava Strakonice"/>
        <s v="TJ Sokol Dědice"/>
        <s v="T.J. Sokol Vítkovice"/>
        <s v="FBC Lutín"/>
        <s v="SK Chrlice"/>
        <s v="Tělovýchovná jednota Žichovice"/>
        <s v="TJ Sokol Zdíkov, o.s."/>
        <s v="SK Lišany"/>
        <s v="TJ Kaplice"/>
        <s v="SK Slavia Praha"/>
        <s v="SK Volejbal Ústí nad Labem"/>
        <s v="TJ Spartak Kaplice"/>
        <s v="Tělovýchovná jednota AFK Hořín"/>
        <s v="AK Šternberk"/>
        <s v="TJ VTŽ Chomutov"/>
        <s v="KB Střelka Brno"/>
        <s v="Tělovýchovná jednota Sokol Dolní Počernice"/>
        <s v="Tri Club Vajgar Jindřichův Hradec"/>
        <s v="TJ Sokol Chrudim"/>
        <s v="SK Veselí nad Moravou"/>
        <s v="TJ Sokol Plotiště nad Labem"/>
        <s v="TJ Spartak Přerov"/>
        <s v="TJ Nové Město na Moravě"/>
        <s v="Jihočeský klub maratonců"/>
        <s v="SKP Nymburk"/>
        <s v="TJ Kralupy"/>
        <s v="CC RIPER"/>
        <s v="TJ Šumavan Vimperk"/>
        <s v="FBC Slavia Praha"/>
        <s v="Fbc Orel Nové Město na Moravě"/>
        <s v="FBC Vipers Most"/>
        <s v="Tělovýchovná jednota sportovní klub Hřebeč"/>
        <s v="FK SVATÁ"/>
        <s v="SPORTOVNÍ KLUBY PRAHA 4"/>
        <s v="TJ Sokol Daleké Dušníky"/>
        <s v="SK Lhota"/>
        <s v="Sportovní klub Nepoměřice"/>
        <s v="TJ Sokol Hvozdná"/>
        <s v="Tělovýchovná jednota Sokol Štěpánkovice"/>
        <s v="Tělovýchovná jednota Dolany u Jaroměře /o.Náchod/"/>
        <s v="Sportovní klub Slaný"/>
        <s v="Tělovýchovná jednota Sokol Březová n.Svit."/>
        <s v="Sportovní klub Doubravan Újezd"/>
        <s v="Tělovýchovná jednota Sokol Čistá"/>
        <s v="TJ Sokol Žilina"/>
        <s v="TJ TIS, o.s."/>
        <s v="Tělovýchovná jednota Police"/>
        <s v="Sportovní klub MFC Svoboda"/>
        <s v="SK Velké Přítočno"/>
        <s v="Tělovýchovná jednota SLAVOJ ÚŠTĚK"/>
        <s v="Atleticko-Fotbalový Klub Loděnice"/>
        <s v="Sportovní fotbalový klub Meziboří"/>
        <s v="TJ Union Děčín, o.s."/>
        <s v="TJ Sokol Srbeč"/>
        <s v="HO Atlas Opava"/>
        <s v="SPORT KLUB Náchod"/>
        <s v="T.B.C. Králův Dvůr"/>
        <s v="SK Lipová - lázně"/>
        <s v="Tělovýchovná jednota Sokol  M a r t i n i c e"/>
        <s v="Klub plav.sportů Ostrava"/>
        <s v="Sport.plavecký klub Liberec"/>
        <n v="94"/>
        <s v="Průměr"/>
      </sharedItems>
    </cacheField>
    <cacheField name="Uveďte prosím počet členů vašeho klubu." numFmtId="0">
      <sharedItems containsSemiMixedTypes="0" containsString="0" containsNumber="1" minValue="10" maxValue="15450"/>
    </cacheField>
    <cacheField name="Uveďte prosím u vybraných věkových skupin vašich členů přibližný procentní podíl členské základny. [do 6 let]" numFmtId="0">
      <sharedItems containsSemiMixedTypes="0" containsString="0" containsNumber="1" minValue="0" maxValue="471.3"/>
    </cacheField>
    <cacheField name="Uveďte prosím u vybraných věkových skupin vašich členů přibližný procentní podíl členské základny. [7 - 15 let]" numFmtId="0">
      <sharedItems containsSemiMixedTypes="0" containsString="0" containsNumber="1" minValue="0" maxValue="3322.6800000000003"/>
    </cacheField>
    <cacheField name="Uveďte prosím u vybraných věkových skupin vašich členů přibližný procentní podíl členské základny. [16 - 19 let]" numFmtId="0">
      <sharedItems containsSemiMixedTypes="0" containsString="0" containsNumber="1" minValue="0" maxValue="1153.5"/>
    </cacheField>
    <cacheField name="Uveďte prosím u vybraných věkových skupin vašich členů přibližný procentní podíl členské základny. [20 - 30 let]" numFmtId="0">
      <sharedItems containsSemiMixedTypes="0" containsString="0" containsNumber="1" minValue="0" maxValue="1739.83"/>
    </cacheField>
    <cacheField name="Uveďte prosím u vybraných věkových skupin vašich členů přibližný procentní podíl členské základny. [31- 50 let]" numFmtId="0">
      <sharedItems containsSemiMixedTypes="0" containsString="0" containsNumber="1" minValue="0" maxValue="1800.6200000000001"/>
    </cacheField>
    <cacheField name="Uveďte prosím u vybraných věkových skupin vašich členů přibližný procentní podíl členské základny. [50 a více let]" numFmtId="0">
      <sharedItems containsSemiMixedTypes="0" containsString="0" containsNumber="1" minValue="0" maxValue="812.06999999999994"/>
    </cacheField>
    <cacheField name="V jakém sportovním odvětví působí váš klub-" numFmtId="0">
      <sharedItems containsMixedTypes="1" containsNumber="1" containsInteger="1" minValue="0" maxValue="0" count="14">
        <s v="Atletika"/>
        <s v="Plavání"/>
        <s v="Biatlon"/>
        <s v="Florbal"/>
        <s v="Fotbal"/>
        <s v="Jezdectví"/>
        <s v="Kanoistika"/>
        <s v="Veslování"/>
        <s v="Volejbal"/>
        <s v="Zápas"/>
        <s v="Triatlon"/>
        <s v="Curling"/>
        <s v="Horolozectví"/>
        <n v="0"/>
      </sharedItems>
    </cacheField>
    <cacheField name="Zabýváme se především" numFmtId="0">
      <sharedItems containsMixedTypes="1" containsNumber="1" containsInteger="1" minValue="0" maxValue="0" count="4">
        <s v="Výchovou mládeže"/>
        <s v="Výkonnostním sportem"/>
        <s v="Sportem pro všechny"/>
        <n v="0"/>
      </sharedItems>
    </cacheField>
    <cacheField name="Interní prostředí (je reprezentováno vlivy, které přicházejí zevnitř organizace) [V rámci našeho klubu máme dostatek finančních zdrojů.]" numFmtId="0">
      <sharedItems containsSemiMixedTypes="0" containsString="0" containsNumber="1" minValue="1" maxValue="311" count="11">
        <n v="5"/>
        <n v="4"/>
        <n v="7"/>
        <n v="3"/>
        <n v="1"/>
        <n v="2"/>
        <n v="6"/>
        <n v="308"/>
        <n v="3.2765957446808511"/>
        <n v="311" u="1"/>
        <n v="3.3085106382978724" u="1"/>
      </sharedItems>
    </cacheField>
    <cacheField name="Uveďte prosím procentní podíl finančních zdrojů vašeho klubu u následujících zdrojů [Členské příspěvky]" numFmtId="0">
      <sharedItems containsSemiMixedTypes="0" containsString="0" containsNumber="1" minValue="3" maxValue="2371"/>
    </cacheField>
    <cacheField name="Uveďte prosím procentní podíl finančních zdrojů vašeho klubu u následujících zdrojů [Dotace, příspěvky od státu, krajů, měst a sportovních svazů]" numFmtId="0">
      <sharedItems containsSemiMixedTypes="0" containsString="0" containsNumber="1" minValue="0" maxValue="4109"/>
    </cacheField>
    <cacheField name="Uveďte prosím procentní podíl finančních zdrojů vašeho klubu u následujících zdrojů [Sponsoring a dary]" numFmtId="0">
      <sharedItems containsSemiMixedTypes="0" containsString="0" containsNumber="1" minValue="0" maxValue="1612"/>
    </cacheField>
    <cacheField name="Uveďte prosím procentní podíl finančních zdrojů vašeho klubu u následujících zdrojů [Ostatní činnost]" numFmtId="0">
      <sharedItems containsSemiMixedTypes="0" containsString="0" containsNumber="1" minValue="0" maxValue="1208"/>
    </cacheField>
    <cacheField name="Kontrola strategie - Vyberte prosím na 7-mi bodové Likertově škále, do jaké míry souhlasíte či nesouhlasíte s danými tvrzeními. (1- rozhodně nesouhlasím, 7 - rozhodně souhlasím)   [Příjmy našeho klubu bez problémů pokrývají jeho provoz.]" numFmtId="0">
      <sharedItems containsSemiMixedTypes="0" containsString="0" containsNumber="1" minValue="1" maxValue="414"/>
    </cacheField>
    <cacheField name="2015 - Aktiva celkem" numFmtId="0">
      <sharedItems containsSemiMixedTypes="0" containsString="0" containsNumber="1" minValue="0" maxValue="452584"/>
    </cacheField>
    <cacheField name="2016 - Aktiva celkem" numFmtId="0">
      <sharedItems containsSemiMixedTypes="0" containsString="0" containsNumber="1" minValue="0" maxValue="418337"/>
    </cacheField>
    <cacheField name="2017 - Aktiva celkem" numFmtId="0">
      <sharedItems containsSemiMixedTypes="0" containsString="0" containsNumber="1" minValue="3" maxValue="348972"/>
    </cacheField>
    <cacheField name="2015 - Dlouhodobý majetek celkem" numFmtId="0">
      <sharedItems containsSemiMixedTypes="0" containsString="0" containsNumber="1" minValue="0" maxValue="494000"/>
    </cacheField>
    <cacheField name="2016 - Dlouhodobý majetek celkem" numFmtId="0">
      <sharedItems containsSemiMixedTypes="0" containsString="0" containsNumber="1" minValue="0" maxValue="478764"/>
    </cacheField>
    <cacheField name="2017 - Dlouhodobý majetek celkem" numFmtId="0">
      <sharedItems containsSemiMixedTypes="0" containsString="0" containsNumber="1" minValue="0" maxValue="378007"/>
    </cacheField>
    <cacheField name="2015 - Oprávky k dl. Majetku" numFmtId="0">
      <sharedItems containsSemiMixedTypes="0" containsString="0" containsNumber="1" minValue="-120229" maxValue="5159"/>
    </cacheField>
    <cacheField name="2016 - Oprávky k dl. Majetku" numFmtId="0">
      <sharedItems containsString="0" containsBlank="1" containsNumber="1" minValue="-139410" maxValue="1582"/>
    </cacheField>
    <cacheField name="2017 - Oprávky k dl. Majetku" numFmtId="0">
      <sharedItems containsSemiMixedTypes="0" containsString="0" containsNumber="1" minValue="-110372" maxValue="6498"/>
    </cacheField>
    <cacheField name="2015 - Krátkodobý majetek" numFmtId="0">
      <sharedItems containsSemiMixedTypes="0" containsString="0" containsNumber="1" minValue="0" maxValue="89070"/>
    </cacheField>
    <cacheField name="2016 - Krátkodobý majetek" numFmtId="0">
      <sharedItems containsSemiMixedTypes="0" containsString="0" containsNumber="1" minValue="0" maxValue="86051"/>
    </cacheField>
    <cacheField name="2017 - Krátkodobý majetek" numFmtId="0">
      <sharedItems containsSemiMixedTypes="0" containsString="0" containsNumber="1" minValue="3" maxValue="101853"/>
    </cacheField>
    <cacheField name="2015 - Zásoby" numFmtId="0">
      <sharedItems containsString="0" containsBlank="1" containsNumber="1" minValue="0" maxValue="1477"/>
    </cacheField>
    <cacheField name="2016 - Zásoby" numFmtId="0">
      <sharedItems containsSemiMixedTypes="0" containsString="0" containsNumber="1" minValue="0" maxValue="8351"/>
    </cacheField>
    <cacheField name="2017 - Zásoby" numFmtId="0">
      <sharedItems containsSemiMixedTypes="0" containsString="0" containsNumber="1" minValue="0" maxValue="1485"/>
    </cacheField>
    <cacheField name="2015 - Pohledávky" numFmtId="0">
      <sharedItems containsSemiMixedTypes="0" containsString="0" containsNumber="1" minValue="-7" maxValue="18390"/>
    </cacheField>
    <cacheField name="2016 - Pohledávky" numFmtId="0">
      <sharedItems containsSemiMixedTypes="0" containsString="0" containsNumber="1" minValue="-8" maxValue="12132"/>
    </cacheField>
    <cacheField name="2017 - Pohledávky" numFmtId="0">
      <sharedItems containsSemiMixedTypes="0" containsString="0" containsNumber="1" minValue="-5" maxValue="13233"/>
    </cacheField>
    <cacheField name="2015 - Krátkodobý finanční majetek" numFmtId="0">
      <sharedItems containsSemiMixedTypes="0" containsString="0" containsNumber="1" minValue="-88" maxValue="68183"/>
    </cacheField>
    <cacheField name="2016 - Krátkodobý finanční majetek" numFmtId="0">
      <sharedItems containsSemiMixedTypes="0" containsString="0" containsNumber="1" minValue="-71" maxValue="72235"/>
    </cacheField>
    <cacheField name="2017 - Krátkodobý finanční majetek" numFmtId="0">
      <sharedItems containsSemiMixedTypes="0" containsString="0" containsNumber="1" minValue="-52" maxValue="272188"/>
    </cacheField>
    <cacheField name="2015 - Jiná aktiva celkem" numFmtId="0">
      <sharedItems containsString="0" containsBlank="1" containsNumber="1" minValue="-194" maxValue="948"/>
    </cacheField>
    <cacheField name="2016 - Jiná aktiva celkem" numFmtId="0">
      <sharedItems containsSemiMixedTypes="0" containsString="0" containsNumber="1" minValue="-194" maxValue="343"/>
    </cacheField>
    <cacheField name="2017 - Jiná aktiva celkem" numFmtId="0">
      <sharedItems containsString="0" containsBlank="1" containsNumber="1" minValue="-194" maxValue="788"/>
    </cacheField>
    <cacheField name="2015 - Pasiva celkem" numFmtId="0">
      <sharedItems containsSemiMixedTypes="0" containsString="0" containsNumber="1" minValue="0" maxValue="452584"/>
    </cacheField>
    <cacheField name="2016 - Pasiva celkem" numFmtId="0">
      <sharedItems containsSemiMixedTypes="0" containsString="0" containsNumber="1" minValue="0" maxValue="419202"/>
    </cacheField>
    <cacheField name="2017 - Pasiva celkem" numFmtId="0">
      <sharedItems containsSemiMixedTypes="0" containsString="0" containsNumber="1" minValue="3" maxValue="348871"/>
    </cacheField>
    <cacheField name="2015 - Vlastní zdroje" numFmtId="0">
      <sharedItems containsSemiMixedTypes="0" containsString="0" containsNumber="1" minValue="-4659" maxValue="414477"/>
    </cacheField>
    <cacheField name="2016 - Vlastní zdroje" numFmtId="0">
      <sharedItems containsSemiMixedTypes="0" containsString="0" containsNumber="1" minValue="-4289" maxValue="391620"/>
    </cacheField>
    <cacheField name="2017 - Vlastní zdroje" numFmtId="0">
      <sharedItems containsSemiMixedTypes="0" containsString="0" containsNumber="1" minValue="-4011" maxValue="310755"/>
    </cacheField>
    <cacheField name="2015 - Jmění celkem" numFmtId="0">
      <sharedItems containsSemiMixedTypes="0" containsString="0" containsNumber="1" minValue="0" maxValue="404620"/>
    </cacheField>
    <cacheField name="2016 - Jmění celkem" numFmtId="0">
      <sharedItems containsString="0" containsBlank="1" containsNumber="1" minValue="0" maxValue="367953"/>
    </cacheField>
    <cacheField name="2017 - Jmění celkem" numFmtId="0">
      <sharedItems containsSemiMixedTypes="0" containsString="0" containsNumber="1" minValue="-95" maxValue="279345"/>
    </cacheField>
    <cacheField name="2015 - Výsledek hospodaření celkem" numFmtId="0">
      <sharedItems containsSemiMixedTypes="0" containsString="0" containsNumber="1" minValue="-4859" maxValue="18055"/>
    </cacheField>
    <cacheField name="2016 - Výsledek hospodaření celkem" numFmtId="0">
      <sharedItems containsSemiMixedTypes="0" containsString="0" containsNumber="1" minValue="-4614" maxValue="23729"/>
    </cacheField>
    <cacheField name="2017 - Výsledek hospodaření celkem" numFmtId="0">
      <sharedItems containsSemiMixedTypes="0" containsString="0" containsNumber="1" minValue="-5253" maxValue="31727"/>
    </cacheField>
    <cacheField name="2015 - Cizí zdroje celkem" numFmtId="0">
      <sharedItems containsSemiMixedTypes="0" containsString="0" containsNumber="1" minValue="-3" maxValue="34808"/>
    </cacheField>
    <cacheField name="2016 - Cizí zdroje celkem" numFmtId="0">
      <sharedItems containsSemiMixedTypes="0" containsString="0" containsNumber="1" minValue="0" maxValue="27611"/>
    </cacheField>
    <cacheField name="2017 - Cizí zdroje celkem" numFmtId="0">
      <sharedItems containsSemiMixedTypes="0" containsString="0" containsNumber="1" containsInteger="1" minValue="0" maxValue="36754"/>
    </cacheField>
    <cacheField name="2015 - Rezervy" numFmtId="0">
      <sharedItems containsSemiMixedTypes="0" containsString="0" containsNumber="1" minValue="0" maxValue="30"/>
    </cacheField>
    <cacheField name="2016 - Rezervy" numFmtId="0">
      <sharedItems containsSemiMixedTypes="0" containsString="0" containsNumber="1" minValue="0" maxValue="30"/>
    </cacheField>
    <cacheField name="2017 - Rezervy" numFmtId="0">
      <sharedItems containsSemiMixedTypes="0" containsString="0" containsNumber="1" minValue="0" maxValue="30"/>
    </cacheField>
    <cacheField name="2015 - Dlouhodobé závazky" numFmtId="0">
      <sharedItems containsSemiMixedTypes="0" containsString="0" containsNumber="1" minValue="0" maxValue="1591"/>
    </cacheField>
    <cacheField name="2016 - Dlouhodobé závazky" numFmtId="0">
      <sharedItems containsSemiMixedTypes="0" containsString="0" containsNumber="1" minValue="0" maxValue="1988"/>
    </cacheField>
    <cacheField name="2017 - Dlouhodobé závazky" numFmtId="0">
      <sharedItems containsSemiMixedTypes="0" containsString="0" containsNumber="1" minValue="0" maxValue="1571"/>
    </cacheField>
    <cacheField name="2015 - Krátkodobé závakzky" numFmtId="0">
      <sharedItems containsSemiMixedTypes="0" containsString="0" containsNumber="1" minValue="-3" maxValue="28387"/>
    </cacheField>
    <cacheField name="2016 - Krátkodobé závakzky" numFmtId="0">
      <sharedItems containsSemiMixedTypes="0" containsString="0" containsNumber="1" minValue="-334" maxValue="19677"/>
    </cacheField>
    <cacheField name="2017 - Krátkodobé závakzky" numFmtId="0">
      <sharedItems containsSemiMixedTypes="0" containsString="0" containsNumber="1" minValue="0" maxValue="28208"/>
    </cacheField>
    <cacheField name="2015 - Jiná pasiva" numFmtId="0">
      <sharedItems containsString="0" containsBlank="1" containsNumber="1" minValue="0" maxValue="4976"/>
    </cacheField>
    <cacheField name="2016 - Jiná pasiva" numFmtId="0">
      <sharedItems containsSemiMixedTypes="0" containsString="0" containsNumber="1" minValue="0" maxValue="5996"/>
    </cacheField>
    <cacheField name="2017 - Jiná pasiva" numFmtId="0">
      <sharedItems containsSemiMixedTypes="0" containsString="0" containsNumber="1" minValue="-20" maxValue="3864"/>
    </cacheField>
    <cacheField name="2015 - Náklady celkem - hlavní činnost" numFmtId="0">
      <sharedItems containsSemiMixedTypes="0" containsString="0" containsNumber="1" minValue="15" maxValue="175884"/>
    </cacheField>
    <cacheField name="2016 - Náklady celkem - hlavní činnost" numFmtId="0">
      <sharedItems containsSemiMixedTypes="0" containsString="0" containsNumber="1" minValue="24" maxValue="198545"/>
    </cacheField>
    <cacheField name="2017 - Náklady celkem - hlavní činnost" numFmtId="0">
      <sharedItems containsSemiMixedTypes="0" containsString="0" containsNumber="1" minValue="12" maxValue="199973"/>
    </cacheField>
    <cacheField name="2015 - Spotřebované nákupy celkem - hlavní činnost" numFmtId="0">
      <sharedItems containsSemiMixedTypes="0" containsString="0" containsNumber="1" minValue="5" maxValue="33814"/>
    </cacheField>
    <cacheField name="2016 - Spotřebované nákupy celkem - hlavní činnost" numFmtId="0">
      <sharedItems containsSemiMixedTypes="0" containsString="0" containsNumber="1" minValue="15" maxValue="112650"/>
    </cacheField>
    <cacheField name="2017 - Spotřebované nákupy celkem - hlavní činnost" numFmtId="0">
      <sharedItems containsSemiMixedTypes="0" containsString="0" containsNumber="1" minValue="10" maxValue="111142"/>
    </cacheField>
    <cacheField name="2015 - Služby celkem - hlavní činnost" numFmtId="0">
      <sharedItems containsSemiMixedTypes="0" containsString="0" containsNumber="1" minValue="-22" maxValue="95946"/>
    </cacheField>
    <cacheField name="2016 - Služby celkem - hlavní činnost" numFmtId="0">
      <sharedItems containsString="0" containsBlank="1" containsNumber="1" minValue="0" maxValue="25889"/>
    </cacheField>
    <cacheField name="2017 - Služby celkem - hlavní činnost" numFmtId="0">
      <sharedItems containsSemiMixedTypes="0" containsString="0" containsNumber="1" minValue="0" maxValue="32327"/>
    </cacheField>
    <cacheField name="2015 - Osobní náklady celkem - hlavní činnost" numFmtId="0">
      <sharedItems containsSemiMixedTypes="0" containsString="0" containsNumber="1" minValue="0" maxValue="22032"/>
    </cacheField>
    <cacheField name="2016 - Osobní náklady celkem - hlavní činnost" numFmtId="0">
      <sharedItems containsSemiMixedTypes="0" containsString="0" containsNumber="1" minValue="0" maxValue="29294"/>
    </cacheField>
    <cacheField name="2017 - Osobní náklady celkem - hlavní činnost" numFmtId="0">
      <sharedItems containsSemiMixedTypes="0" containsString="0" containsNumber="1" minValue="0" maxValue="35913"/>
    </cacheField>
    <cacheField name="2015 - Daně a poplatky - hlavní činnost" numFmtId="0">
      <sharedItems containsSemiMixedTypes="0" containsString="0" containsNumber="1" minValue="0" maxValue="1370"/>
    </cacheField>
    <cacheField name="2016 - Daně a poplatky - hlavní činnost" numFmtId="0">
      <sharedItems containsString="0" containsBlank="1" containsNumber="1" minValue="0" maxValue="1041.5"/>
    </cacheField>
    <cacheField name="2017 - Daně a poplatky - hlavní činnost" numFmtId="0">
      <sharedItems containsSemiMixedTypes="0" containsString="0" containsNumber="1" minValue="0" maxValue="1296"/>
    </cacheField>
    <cacheField name="2015 - Ostatní náklady  - hlavní činnost" numFmtId="0">
      <sharedItems containsString="0" containsBlank="1" containsNumber="1" minValue="0" maxValue="12179"/>
    </cacheField>
    <cacheField name="2016 - Ostatní náklady  - hlavní činnost" numFmtId="0">
      <sharedItems containsSemiMixedTypes="0" containsString="0" containsNumber="1" minValue="0" maxValue="18001"/>
    </cacheField>
    <cacheField name="2017 - Ostatní náklady  - hlavní činnost" numFmtId="0">
      <sharedItems containsSemiMixedTypes="0" containsString="0" containsNumber="1" minValue="0" maxValue="19375"/>
    </cacheField>
    <cacheField name="2015 - Odpisy,prodaný majetek - hlavní činnost" numFmtId="0">
      <sharedItems containsString="0" containsBlank="1" containsNumber="1" minValue="0" maxValue="9878"/>
    </cacheField>
    <cacheField name="2016 - Odpisy,prodaný majetek - hlavní činnost" numFmtId="0">
      <sharedItems containsString="0" containsBlank="1" containsNumber="1" minValue="0" maxValue="14817"/>
    </cacheField>
    <cacheField name="2017 - Odpisy,prodaný majetek - hlavní činnost" numFmtId="0">
      <sharedItems containsSemiMixedTypes="0" containsString="0" containsNumber="1" minValue="0" maxValue="5119"/>
    </cacheField>
    <cacheField name="2015 - Poskytnuté příspěvky - hlavní činnost" numFmtId="0">
      <sharedItems containsSemiMixedTypes="0" containsString="0" containsNumber="1" minValue="0" maxValue="1263"/>
    </cacheField>
    <cacheField name="2016 - Poskytnuté příspěvky - hlavní činnost" numFmtId="0">
      <sharedItems containsString="0" containsBlank="1" containsNumber="1" minValue="0" maxValue="1596"/>
    </cacheField>
    <cacheField name="2017 - Poskytnuté příspěvky - hlavní činnost" numFmtId="0">
      <sharedItems containsSemiMixedTypes="0" containsString="0" containsNumber="1" minValue="0" maxValue="1509"/>
    </cacheField>
    <cacheField name="2015 - Daň z příjmu - hlavní činnost" numFmtId="0">
      <sharedItems containsSemiMixedTypes="0" containsString="0" containsNumber="1" minValue="0" maxValue="17"/>
    </cacheField>
    <cacheField name="2016 - Daň z příjmu - hlavní činnost" numFmtId="0">
      <sharedItems containsString="0" containsBlank="1" containsNumber="1" minValue="0" maxValue="216.5"/>
    </cacheField>
    <cacheField name="2017 - Daň z příjmu - hlavní činnost" numFmtId="0">
      <sharedItems containsSemiMixedTypes="0" containsString="0" containsNumber="1" minValue="0" maxValue="210"/>
    </cacheField>
    <cacheField name="2015 - Náklady celkem - hospodářská činnost" numFmtId="0">
      <sharedItems containsSemiMixedTypes="0" containsString="0" containsNumber="1" minValue="0" maxValue="14090"/>
    </cacheField>
    <cacheField name="2016  - Náklady celkem - hospodářská činnost" numFmtId="0">
      <sharedItems containsSemiMixedTypes="0" containsString="0" containsNumber="1" minValue="0" maxValue="16888"/>
    </cacheField>
    <cacheField name="2017  - Náklady celkem - hospodářská činnost" numFmtId="0">
      <sharedItems containsSemiMixedTypes="0" containsString="0" containsNumber="1" minValue="0" maxValue="15789"/>
    </cacheField>
    <cacheField name="2015 - Spotřebované nákupy celkem- hospodářská činnost" numFmtId="0">
      <sharedItems containsSemiMixedTypes="0" containsString="0" containsNumber="1" minValue="0" maxValue="5693"/>
    </cacheField>
    <cacheField name="2016  - Spotřebované nákupy celkem- hospodářská činnost" numFmtId="0">
      <sharedItems containsSemiMixedTypes="0" containsString="0" containsNumber="1" minValue="0" maxValue="9049"/>
    </cacheField>
    <cacheField name="2017  - Spotřebované nákupy celkem- hospodářská činnost" numFmtId="0">
      <sharedItems containsSemiMixedTypes="0" containsString="0" containsNumber="1" minValue="0" maxValue="8793"/>
    </cacheField>
    <cacheField name="2015 - Služby celkem- hospodářská činnost" numFmtId="0">
      <sharedItems containsSemiMixedTypes="0" containsString="0" containsNumber="1" minValue="0" maxValue="3044"/>
    </cacheField>
    <cacheField name="2016  - Služby celkem- hospodářská činnost" numFmtId="0">
      <sharedItems containsSemiMixedTypes="0" containsString="0" containsNumber="1" minValue="0" maxValue="2038"/>
    </cacheField>
    <cacheField name="2017  - Služby celkem- hospodářská činnost" numFmtId="0">
      <sharedItems containsSemiMixedTypes="0" containsString="0" containsNumber="1" minValue="0" maxValue="663"/>
    </cacheField>
    <cacheField name="2015 - Osobní náklady celkem- hospodářská činnost" numFmtId="0">
      <sharedItems containsSemiMixedTypes="0" containsString="0" containsNumber="1" minValue="0" maxValue="2986"/>
    </cacheField>
    <cacheField name="2016  - Osobní náklady celkem- hospodářská činnost" numFmtId="0">
      <sharedItems containsSemiMixedTypes="0" containsString="0" containsNumber="1" minValue="0" maxValue="3027"/>
    </cacheField>
    <cacheField name="2017  - Osobní náklady celkem- hospodářská činnost" numFmtId="0">
      <sharedItems containsString="0" containsBlank="1" containsNumber="1" minValue="0" maxValue="1701"/>
    </cacheField>
    <cacheField name="2015 - Daně a poplatky- hospodářská činnost" numFmtId="0">
      <sharedItems containsSemiMixedTypes="0" containsString="0" containsNumber="1" minValue="0" maxValue="133"/>
    </cacheField>
    <cacheField name="2016  - Daně a poplatky- hospodářská činnost" numFmtId="0">
      <sharedItems containsSemiMixedTypes="0" containsString="0" containsNumber="1" minValue="0" maxValue="158"/>
    </cacheField>
    <cacheField name="2017  - Daně a poplatky- hospodářská činnost" numFmtId="0">
      <sharedItems containsSemiMixedTypes="0" containsString="0" containsNumber="1" minValue="0" maxValue="253"/>
    </cacheField>
    <cacheField name="2015 - Ostatní náklady - hospodářská činnost" numFmtId="0">
      <sharedItems containsSemiMixedTypes="0" containsString="0" containsNumber="1" minValue="-1" maxValue="506"/>
    </cacheField>
    <cacheField name="2016  - Ostatní náklady - hospodářská činnost" numFmtId="0">
      <sharedItems containsSemiMixedTypes="0" containsString="0" containsNumber="1" minValue="0" maxValue="495"/>
    </cacheField>
    <cacheField name="2017  - Ostatní náklady - hospodářská činnost" numFmtId="0">
      <sharedItems containsSemiMixedTypes="0" containsString="0" containsNumber="1" minValue="0" maxValue="551"/>
    </cacheField>
    <cacheField name="2015 - Odpisy,prodaný majetek- hospodářská činnost" numFmtId="0">
      <sharedItems containsSemiMixedTypes="0" containsString="0" containsNumber="1" minValue="0" maxValue="1392"/>
    </cacheField>
    <cacheField name="2016  - Odpisy,prodaný majetek- hospodářská činnost" numFmtId="0">
      <sharedItems containsSemiMixedTypes="0" containsString="0" containsNumber="1" minValue="0" maxValue="1322"/>
    </cacheField>
    <cacheField name="2017  - Odpisy,prodaný majetek- hospodářská činnost" numFmtId="0">
      <sharedItems containsSemiMixedTypes="0" containsString="0" containsNumber="1" minValue="0" maxValue="1072"/>
    </cacheField>
    <cacheField name="2015 - Poskytnuté příspěvky- hospodářská činnost" numFmtId="0">
      <sharedItems containsSemiMixedTypes="0" containsString="0" containsNumber="1" minValue="0" maxValue="15"/>
    </cacheField>
    <cacheField name="2016  - Poskytnuté příspěvky- hospodářská činnost" numFmtId="0">
      <sharedItems containsSemiMixedTypes="0" containsString="0" containsNumber="1" minValue="0" maxValue="24"/>
    </cacheField>
    <cacheField name="2017  - Poskytnuté příspěvky- hospodářská činnost" numFmtId="0">
      <sharedItems containsSemiMixedTypes="0" containsString="0" containsNumber="1" containsInteger="1" minValue="0" maxValue="0"/>
    </cacheField>
    <cacheField name="2015 - Daň z příjmu- hospodářská činnost" numFmtId="0">
      <sharedItems containsSemiMixedTypes="0" containsString="0" containsNumber="1" containsInteger="1" minValue="0" maxValue="0"/>
    </cacheField>
    <cacheField name="2016  - Daň z příjmu- hospodářská činnost" numFmtId="0">
      <sharedItems containsSemiMixedTypes="0" containsString="0" containsNumber="1" minValue="0" maxValue="766"/>
    </cacheField>
    <cacheField name="2017  - Daň z příjmu- hospodářská činnost" numFmtId="0">
      <sharedItems containsString="0" containsBlank="1" containsNumber="1" minValue="0" maxValue="2751"/>
    </cacheField>
    <cacheField name="2015 - Výnosy celkem - hlavní činnost" numFmtId="0">
      <sharedItems containsSemiMixedTypes="0" containsString="0" containsNumber="1" minValue="14" maxValue="162918"/>
    </cacheField>
    <cacheField name="2016  - Výnosy celkem - hlavní činnost" numFmtId="0">
      <sharedItems containsSemiMixedTypes="0" containsString="0" containsNumber="1" minValue="18" maxValue="191282"/>
    </cacheField>
    <cacheField name="2017  - Výnosy celkem - hlavní činnost" numFmtId="0">
      <sharedItems containsSemiMixedTypes="0" containsString="0" containsNumber="1" minValue="14" maxValue="198674"/>
    </cacheField>
    <cacheField name="2015 - Tržby za vlastní výkony a zboží - hlavní činnost" numFmtId="0">
      <sharedItems containsSemiMixedTypes="0" containsString="0" containsNumber="1" minValue="0" maxValue="31911"/>
    </cacheField>
    <cacheField name="2016  - Tržby za vlastní výkony a zboží - hlavní činnost" numFmtId="0">
      <sharedItems containsSemiMixedTypes="0" containsString="0" containsNumber="1" minValue="0" maxValue="26342"/>
    </cacheField>
    <cacheField name="2017  - Tržby za vlastní výkony a zboží - hlavní činnost" numFmtId="0">
      <sharedItems containsSemiMixedTypes="0" containsString="0" containsNumber="1" minValue="0" maxValue="27391"/>
    </cacheField>
    <cacheField name="2015 - Ostatní výnosy  - hlavní činnost" numFmtId="0">
      <sharedItems containsSemiMixedTypes="0" containsString="0" containsNumber="1" minValue="-42" maxValue="20199"/>
    </cacheField>
    <cacheField name="2016  - Ostatní výnosy  - hlavní činnost" numFmtId="0">
      <sharedItems containsSemiMixedTypes="0" containsString="0" containsNumber="1" minValue="-3" maxValue="17960"/>
    </cacheField>
    <cacheField name="2017  - Ostatní výnosy  - hlavní činnost" numFmtId="0">
      <sharedItems containsSemiMixedTypes="0" containsString="0" containsNumber="1" minValue="-25" maxValue="12706"/>
    </cacheField>
    <cacheField name="2015 - Tržby z prodeje majetku - hlavní činnost" numFmtId="0">
      <sharedItems containsSemiMixedTypes="0" containsString="0" containsNumber="1" minValue="0" maxValue="112"/>
    </cacheField>
    <cacheField name="2016  - Tržby z prodeje majetku - hlavní činnost" numFmtId="0">
      <sharedItems containsSemiMixedTypes="0" containsString="0" containsNumber="1" minValue="0" maxValue="975"/>
    </cacheField>
    <cacheField name="2017  - Tržby z prodeje majetku - hlavní činnost" numFmtId="0">
      <sharedItems containsString="0" containsBlank="1" containsNumber="1" minValue="0" maxValue="140"/>
    </cacheField>
    <cacheField name="2015 - Přijaté příspěvky celkem - hlavní činnost" numFmtId="0">
      <sharedItems containsSemiMixedTypes="0" containsString="0" containsNumber="1" minValue="0" maxValue="75781"/>
    </cacheField>
    <cacheField name="2016  - Přijaté příspěvky celkem - hlavní činnost" numFmtId="0">
      <sharedItems containsSemiMixedTypes="0" containsString="0" containsNumber="1" minValue="0" maxValue="66285"/>
    </cacheField>
    <cacheField name="2017  - Přijaté příspěvky celkem - hlavní činnost" numFmtId="0">
      <sharedItems containsSemiMixedTypes="0" containsString="0" containsNumber="1" minValue="0" maxValue="70607"/>
    </cacheField>
    <cacheField name="2015 - Přijaté příspěvky zůčtov. Mezi org - hlavní činnost" numFmtId="0">
      <sharedItems containsSemiMixedTypes="0" containsString="0" containsNumber="1" minValue="0" maxValue="11069"/>
    </cacheField>
    <cacheField name="2016  - Přijaté příspěvky zůčtov. Mezi org - hlavní činnost" numFmtId="0">
      <sharedItems containsSemiMixedTypes="0" containsString="0" containsNumber="1" minValue="0" maxValue="4826"/>
    </cacheField>
    <cacheField name="2017  - Přijaté příspěvky zůčtov. Mezi org - hlavní činnost" numFmtId="0">
      <sharedItems containsString="0" containsBlank="1" containsNumber="1" minValue="0" maxValue="5206"/>
    </cacheField>
    <cacheField name="2015 - Přijaté přispěvky-dary - hlavní činnost" numFmtId="0">
      <sharedItems containsSemiMixedTypes="0" containsString="0" containsNumber="1" minValue="0" maxValue="24391"/>
    </cacheField>
    <cacheField name="2016  - Přijaté přispěvky-dary - hlavní činnost" numFmtId="0">
      <sharedItems containsSemiMixedTypes="0" containsString="0" containsNumber="1" minValue="0" maxValue="20520"/>
    </cacheField>
    <cacheField name="2017  - Přijaté přispěvky-dary - hlavní činnost" numFmtId="0">
      <sharedItems containsSemiMixedTypes="0" containsString="0" containsNumber="1" minValue="0" maxValue="21209"/>
    </cacheField>
    <cacheField name="2015 - Přijaté členské příspěvky - hlavní činnost" numFmtId="0">
      <sharedItems containsSemiMixedTypes="0" containsString="0" containsNumber="1" containsInteger="1" minValue="0" maxValue="37130"/>
    </cacheField>
    <cacheField name="2016  - Přijaté členské příspěvky - hlavní činnost" numFmtId="0">
      <sharedItems containsSemiMixedTypes="0" containsString="0" containsNumber="1" minValue="0" maxValue="43315"/>
    </cacheField>
    <cacheField name="2017  - Přijaté členské příspěvky - hlavní činnost" numFmtId="0">
      <sharedItems containsSemiMixedTypes="0" containsString="0" containsNumber="1" minValue="0" maxValue="44401"/>
    </cacheField>
    <cacheField name="2015 - Provozní dotace - hlavní činnost" numFmtId="0">
      <sharedItems containsSemiMixedTypes="0" containsString="0" containsNumber="1" minValue="0" maxValue="43400" count="68">
        <n v="137"/>
        <n v="197"/>
        <n v="0"/>
        <n v="1397"/>
        <n v="2187"/>
        <n v="13"/>
        <n v="1366"/>
        <n v="373"/>
        <n v="310"/>
        <n v="201"/>
        <n v="39"/>
        <n v="184"/>
        <n v="329"/>
        <n v="214"/>
        <n v="682"/>
        <n v="490"/>
        <n v="779"/>
        <n v="476"/>
        <n v="110"/>
        <n v="140"/>
        <n v="5722"/>
        <n v="60"/>
        <n v="5438"/>
        <n v="365"/>
        <n v="148"/>
        <n v="166"/>
        <n v="1315"/>
        <n v="30"/>
        <n v="719"/>
        <n v="145"/>
        <n v="45"/>
        <n v="98"/>
        <n v="589"/>
        <n v="4154"/>
        <n v="405"/>
        <n v="200"/>
        <n v="810"/>
        <n v="1302"/>
        <n v="416"/>
        <n v="136"/>
        <n v="59"/>
        <n v="474"/>
        <n v="49"/>
        <n v="2523"/>
        <n v="207"/>
        <n v="153"/>
        <n v="210"/>
        <n v="169"/>
        <n v="72"/>
        <n v="150"/>
        <n v="1932"/>
        <n v="70"/>
        <n v="53"/>
        <n v="24"/>
        <n v="73"/>
        <n v="36"/>
        <n v="260"/>
        <n v="120"/>
        <n v="47"/>
        <n v="83"/>
        <n v="624"/>
        <n v="619"/>
        <n v="449"/>
        <n v="196"/>
        <n v="1776"/>
        <n v="228"/>
        <n v="43400"/>
        <n v="461.70212765957444"/>
      </sharedItems>
    </cacheField>
    <cacheField name="2016  - Provozní dotace - hlavní činnost" numFmtId="0">
      <sharedItems containsSemiMixedTypes="0" containsString="0" containsNumber="1" minValue="0" maxValue="72962" count="79">
        <n v="190"/>
        <n v="302"/>
        <n v="0"/>
        <n v="3107"/>
        <n v="1566"/>
        <n v="5358"/>
        <n v="13"/>
        <n v="746"/>
        <n v="1781"/>
        <n v="596"/>
        <n v="230"/>
        <n v="235"/>
        <n v="148"/>
        <n v="275"/>
        <n v="431"/>
        <n v="300"/>
        <n v="1926"/>
        <n v="665"/>
        <n v="146"/>
        <n v="874"/>
        <n v="85"/>
        <n v="96"/>
        <n v="100"/>
        <n v="310"/>
        <n v="6929"/>
        <n v="9998"/>
        <n v="341"/>
        <n v="129"/>
        <n v="254"/>
        <n v="1621"/>
        <n v="40"/>
        <n v="828"/>
        <n v="258"/>
        <n v="216"/>
        <n v="163"/>
        <n v="692"/>
        <n v="5832"/>
        <n v="718"/>
        <n v="77"/>
        <n v="1118"/>
        <n v="1964"/>
        <n v="885"/>
        <n v="473"/>
        <n v="268"/>
        <n v="417"/>
        <n v="58"/>
        <n v="138"/>
        <n v="209"/>
        <n v="505"/>
        <n v="49"/>
        <n v="1341"/>
        <n v="2821"/>
        <n v="287"/>
        <n v="176"/>
        <n v="2512"/>
        <n v="50"/>
        <n v="252"/>
        <n v="301"/>
        <n v="189"/>
        <n v="2176"/>
        <n v="115"/>
        <n v="185"/>
        <n v="410"/>
        <n v="64"/>
        <n v="55"/>
        <n v="295"/>
        <n v="255"/>
        <n v="547"/>
        <n v="204"/>
        <n v="30"/>
        <n v="232"/>
        <n v="711"/>
        <n v="936"/>
        <n v="558"/>
        <n v="177"/>
        <n v="1859"/>
        <n v="687"/>
        <n v="72962"/>
        <n v="776.19148936170211"/>
      </sharedItems>
    </cacheField>
    <cacheField name="2017  - Provozní dotace - hlavní činnost" numFmtId="0">
      <sharedItems containsSemiMixedTypes="0" containsString="0" containsNumber="1" minValue="0" maxValue="86864" count="82">
        <n v="170"/>
        <n v="672"/>
        <n v="862"/>
        <n v="3288"/>
        <n v="2115"/>
        <n v="7293"/>
        <n v="10"/>
        <n v="741"/>
        <n v="2010"/>
        <n v="623"/>
        <n v="592"/>
        <n v="176"/>
        <n v="308"/>
        <n v="183"/>
        <n v="803"/>
        <n v="280"/>
        <n v="2335"/>
        <n v="743"/>
        <n v="118"/>
        <n v="1014"/>
        <n v="350"/>
        <n v="180"/>
        <n v="100"/>
        <n v="0"/>
        <n v="344"/>
        <n v="7765"/>
        <n v="11335"/>
        <n v="654"/>
        <n v="286"/>
        <n v="210"/>
        <n v="211"/>
        <n v="1688"/>
        <n v="144"/>
        <n v="662"/>
        <n v="106"/>
        <n v="296"/>
        <n v="159"/>
        <n v="700"/>
        <n v="6342"/>
        <n v="1059"/>
        <n v="141"/>
        <n v="1718"/>
        <n v="2438"/>
        <n v="1080"/>
        <n v="947"/>
        <n v="406"/>
        <n v="1054"/>
        <n v="48"/>
        <n v="196"/>
        <n v="535"/>
        <n v="85"/>
        <n v="1551"/>
        <n v="3797"/>
        <n v="405"/>
        <n v="124"/>
        <n v="257"/>
        <n v="335"/>
        <n v="56"/>
        <n v="381"/>
        <n v="464"/>
        <n v="150"/>
        <n v="425"/>
        <n v="231"/>
        <n v="2418"/>
        <n v="424"/>
        <n v="90"/>
        <n v="142"/>
        <n v="300"/>
        <n v="78"/>
        <n v="153"/>
        <n v="266"/>
        <n v="1258"/>
        <n v="126"/>
        <n v="223"/>
        <n v="517"/>
        <n v="1046"/>
        <n v="447"/>
        <n v="239"/>
        <n v="2373"/>
        <n v="787"/>
        <n v="86864"/>
        <n v="924.08510638297878"/>
      </sharedItems>
    </cacheField>
    <cacheField name="2015 - Výsledek hospodaření před zdaněním - hlavní činnost" numFmtId="0">
      <sharedItems containsSemiMixedTypes="0" containsString="0" containsNumber="1" minValue="-10016" maxValue="1789"/>
    </cacheField>
    <cacheField name="2016  - Výsledek hospodaření před zdaněním - hlavní činnost" numFmtId="0">
      <sharedItems containsSemiMixedTypes="0" containsString="0" containsNumber="1" minValue="-6794" maxValue="1434"/>
    </cacheField>
    <cacheField name="2017  - Výsledek hospodaření před zdaněním - hlavní činnost" numFmtId="0">
      <sharedItems containsSemiMixedTypes="0" containsString="0" containsNumber="1" minValue="-2091" maxValue="1847"/>
    </cacheField>
    <cacheField name="2015 - Výsledek hospodaření po zdaněním - hlavní činnost" numFmtId="0">
      <sharedItems containsSemiMixedTypes="0" containsString="0" containsNumber="1" minValue="-13175" maxValue="1789"/>
    </cacheField>
    <cacheField name="2016  - Výsledek hospodaření po zdaněním - hlavní činnost" numFmtId="0">
      <sharedItems containsSemiMixedTypes="0" containsString="0" containsNumber="1" minValue="-7036" maxValue="1434"/>
    </cacheField>
    <cacheField name="2017  - Výsledek hospodaření po zdaněním - hlavní činnost" numFmtId="0">
      <sharedItems containsSemiMixedTypes="0" containsString="0" containsNumber="1" minValue="-2344" maxValue="1805"/>
    </cacheField>
    <cacheField name="2015 - Výnosy celkem - hospodářská činnost" numFmtId="0">
      <sharedItems containsSemiMixedTypes="0" containsString="0" containsNumber="1" minValue="0" maxValue="26526"/>
    </cacheField>
    <cacheField name="2016  - Výnosy celkem - hospodářská činnost" numFmtId="0">
      <sharedItems containsSemiMixedTypes="0" containsString="0" containsNumber="1" minValue="0" maxValue="28689"/>
    </cacheField>
    <cacheField name="2017  - Výnosy celkem - hospodářská činnost" numFmtId="0">
      <sharedItems containsSemiMixedTypes="0" containsString="0" containsNumber="1" minValue="0" maxValue="35798"/>
    </cacheField>
    <cacheField name="2015 - Tržby za vlastní výkony a zboží  - hospodářská činnost" numFmtId="0">
      <sharedItems containsSemiMixedTypes="0" containsString="0" containsNumber="1" minValue="0" maxValue="24773"/>
    </cacheField>
    <cacheField name="2016  - Tržby za vlastní výkony a zboží  - hospodářská činnost" numFmtId="0">
      <sharedItems containsSemiMixedTypes="0" containsString="0" containsNumber="1" minValue="0" maxValue="27028"/>
    </cacheField>
    <cacheField name="2017  - Tržby za vlastní výkony a zboží  - hospodářská činnost" numFmtId="0">
      <sharedItems containsSemiMixedTypes="0" containsString="0" containsNumber="1" minValue="0" maxValue="22376"/>
    </cacheField>
    <cacheField name="2015 - Ostatní výnosy   - hospodářská činnost" numFmtId="0">
      <sharedItems containsSemiMixedTypes="0" containsString="0" containsNumber="1" minValue="0" maxValue="804"/>
    </cacheField>
    <cacheField name="2016  - Ostatní výnosy   - hospodářská činnost" numFmtId="0">
      <sharedItems containsSemiMixedTypes="0" containsString="0" containsNumber="1" minValue="0" maxValue="1002"/>
    </cacheField>
    <cacheField name="2017  - Ostatní výnosy   - hospodářská činnost" numFmtId="0">
      <sharedItems containsSemiMixedTypes="0" containsString="0" containsNumber="1" minValue="0" maxValue="670"/>
    </cacheField>
    <cacheField name="2015 - Tržby z prodeje majetku  - hospodářská činnost" numFmtId="0">
      <sharedItems containsSemiMixedTypes="0" containsString="0" containsNumber="1" minValue="0" maxValue="500"/>
    </cacheField>
    <cacheField name="2016  - Tržby z prodeje maetku  - hospodářská činnost" numFmtId="0">
      <sharedItems containsSemiMixedTypes="0" containsString="0" containsNumber="1" minValue="0" maxValue="158"/>
    </cacheField>
    <cacheField name="2017  - Tržby z prodeje maetku  - hospodářská činnost" numFmtId="0">
      <sharedItems containsSemiMixedTypes="0" containsString="0" containsNumber="1" minValue="0" maxValue="12211"/>
    </cacheField>
    <cacheField name="2015 - Přijaté příspěvky celkem  - hospodářská činnost" numFmtId="0">
      <sharedItems containsSemiMixedTypes="0" containsString="0" containsNumber="1" minValue="0" maxValue="27"/>
    </cacheField>
    <cacheField name="2016  - Přijaté příspěvky celkem  - hospodářská činnost" numFmtId="0">
      <sharedItems containsSemiMixedTypes="0" containsString="0" containsNumber="1" minValue="0" maxValue="45"/>
    </cacheField>
    <cacheField name="2017  - Přijaté příspěvky celkem  - hospodářská činnost" numFmtId="0">
      <sharedItems containsSemiMixedTypes="0" containsString="0" containsNumber="1" minValue="0" maxValue="332"/>
    </cacheField>
    <cacheField name="2015 - Přijaté příspěvky zůčtov. Mezi org  - hospodářská činnost" numFmtId="0">
      <sharedItems containsSemiMixedTypes="0" containsString="0" containsNumber="1" containsInteger="1" minValue="0" maxValue="0"/>
    </cacheField>
    <cacheField name="2016  - Přijaté příspěvky zůčtov. Mezi org  - hospodářská činnost" numFmtId="0">
      <sharedItems containsSemiMixedTypes="0" containsString="0" containsNumber="1" containsInteger="1" minValue="0" maxValue="0"/>
    </cacheField>
    <cacheField name="2017  - Přijaté příspěvky zůčtov. Mezi org  - hospodářská činnost" numFmtId="0">
      <sharedItems containsSemiMixedTypes="0" containsString="0" containsNumber="1" minValue="0" maxValue="6"/>
    </cacheField>
    <cacheField name="2015 - Přijaté přispěvky-dary  - hospodářská činnost" numFmtId="0">
      <sharedItems containsSemiMixedTypes="0" containsString="0" containsNumber="1" minValue="0" maxValue="27"/>
    </cacheField>
    <cacheField name="2016  - Přijaté přispěvky-dary  - hospodářská činnost" numFmtId="0">
      <sharedItems containsString="0" containsBlank="1" containsNumber="1" minValue="0" maxValue="45"/>
    </cacheField>
    <cacheField name="2017  - Přijaté přispěvky-dary  - hospodářská činnost" numFmtId="0">
      <sharedItems containsSemiMixedTypes="0" containsString="0" containsNumber="1" minValue="0" maxValue="332"/>
    </cacheField>
    <cacheField name="2015 - Přijaté členské příspěvky  - hospodářská činnost" numFmtId="0">
      <sharedItems containsString="0" containsBlank="1" containsNumber="1" containsInteger="1" minValue="0" maxValue="0"/>
    </cacheField>
    <cacheField name="2016  - Přijaté členské příspěvky  - hospodářská činnost" numFmtId="0">
      <sharedItems containsString="0" containsBlank="1" containsNumber="1" containsInteger="1" minValue="0" maxValue="0"/>
    </cacheField>
    <cacheField name="2017  - Přijaté členské příspěvky  - hospodářská činnost" numFmtId="0">
      <sharedItems containsSemiMixedTypes="0" containsString="0" containsNumber="1" containsInteger="1" minValue="0" maxValue="0"/>
    </cacheField>
    <cacheField name="2015 - Provozní dotace  - hospodářská činnost" numFmtId="0">
      <sharedItems containsSemiMixedTypes="0" containsString="0" containsNumber="1" minValue="0" maxValue="423"/>
    </cacheField>
    <cacheField name="2016  - Provozní dotace  - hospodářská činnost" numFmtId="0">
      <sharedItems containsString="0" containsBlank="1" containsNumber="1" minValue="0" maxValue="209"/>
    </cacheField>
    <cacheField name="2017  - Provozní dotace  - hospodářská činnost" numFmtId="0">
      <sharedItems containsSemiMixedTypes="0" containsString="0" containsNumber="1" minValue="0" maxValue="1103"/>
    </cacheField>
    <cacheField name="2015 - Výsledek hospodaření před zdaněním  - hospodářská činnost" numFmtId="0">
      <sharedItems containsSemiMixedTypes="0" containsString="0" containsNumber="1" minValue="0" maxValue="12806"/>
    </cacheField>
    <cacheField name="2016  - Výsledek hospodaření před zdaněním  - hospodářská činnost" numFmtId="0">
      <sharedItems containsSemiMixedTypes="0" containsString="0" containsNumber="1" minValue="-209" maxValue="12605"/>
    </cacheField>
    <cacheField name="2017 - Výsledek hospodaření před zdaněním  - hospodářská činnost" numFmtId="0">
      <sharedItems containsSemiMixedTypes="0" containsString="0" containsNumber="1" minValue="-80" maxValue="23776"/>
    </cacheField>
    <cacheField name="2015 - Výsledek hospodaření po zdaněním - hospodářská činnost" numFmtId="0">
      <sharedItems containsSemiMixedTypes="0" containsString="0" containsNumber="1" minValue="0" maxValue="12330"/>
    </cacheField>
    <cacheField name="2016  - Výsledek hospodaření po zdaněním - hospodářská činnost" numFmtId="0">
      <sharedItems containsSemiMixedTypes="0" containsString="0" containsNumber="1" minValue="-209" maxValue="11830"/>
    </cacheField>
    <cacheField name="2017  - Výsledek hospodaření po zdaněním - hospodářská činnost" numFmtId="0">
      <sharedItems containsSemiMixedTypes="0" containsString="0" containsNumber="1" minValue="-80" maxValue="21000"/>
    </cacheField>
    <cacheField name="2015 - Náklady celkem" numFmtId="0">
      <sharedItems containsSemiMixedTypes="0" containsString="0" containsNumber="1" containsInteger="1" minValue="15" maxValue="189974"/>
    </cacheField>
    <cacheField name="2016  - Náklady celkem" numFmtId="0">
      <sharedItems containsSemiMixedTypes="0" containsString="0" containsNumber="1" minValue="24" maxValue="215433"/>
    </cacheField>
    <cacheField name="2017  - Náklady celkem" numFmtId="0">
      <sharedItems containsSemiMixedTypes="0" containsString="0" containsNumber="1" minValue="12" maxValue="215762"/>
    </cacheField>
    <cacheField name="2015 - Výnosy celkem" numFmtId="0">
      <sharedItems containsSemiMixedTypes="0" containsString="0" containsNumber="1" minValue="14" maxValue="189444"/>
    </cacheField>
    <cacheField name="2016  - Výnosy celkem" numFmtId="0">
      <sharedItems containsSemiMixedTypes="0" containsString="0" containsNumber="1" minValue="18" maxValue="219971"/>
    </cacheField>
    <cacheField name="2017  - Výnosy celkem" numFmtId="0">
      <sharedItems containsSemiMixedTypes="0" containsString="0" containsNumber="1" minValue="14" maxValue="234463"/>
    </cacheField>
    <cacheField name="2015 - Výsledek hospodaření před zdaněním celkem" numFmtId="0">
      <sharedItems containsSemiMixedTypes="0" containsString="0" containsNumber="1" minValue="-1912" maxValue="1869"/>
    </cacheField>
    <cacheField name="2016  - Výsledek hospodaření před zdaněním celkem" numFmtId="0">
      <sharedItems containsSemiMixedTypes="0" containsString="0" containsNumber="1" minValue="-4161" maxValue="4538"/>
    </cacheField>
    <cacheField name="2017  - Výsledek hospodaření před zdaněním celkem" numFmtId="0">
      <sharedItems containsSemiMixedTypes="0" containsString="0" containsNumber="1" minValue="-1018" maxValue="18712"/>
    </cacheField>
    <cacheField name="2015 - Výsledek hospodaření po zdanění celkem" numFmtId="0">
      <sharedItems containsSemiMixedTypes="0" containsString="0" containsNumber="1" minValue="-1912" maxValue="1869"/>
    </cacheField>
    <cacheField name="2016  - Výsledek hospodaření po zdanění celkem" numFmtId="0">
      <sharedItems containsSemiMixedTypes="0" containsString="0" containsNumber="1" containsInteger="1" minValue="-4161" maxValue="4794"/>
    </cacheField>
    <cacheField name="2017  - Výsledek hospodaření po zdanění celkem" numFmtId="0">
      <sharedItems containsSemiMixedTypes="0" containsString="0" containsNumber="1" minValue="-1018" maxValue="18656"/>
    </cacheField>
    <cacheField name="Poznámky 2015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s v="Athletic club Mariánské Lázně, o.s."/>
    <n v="50"/>
    <n v="40"/>
    <n v="45"/>
    <n v="0"/>
    <n v="5"/>
    <n v="10"/>
    <n v="0"/>
    <x v="0"/>
    <s v="Výchovou mládeže"/>
    <n v="5"/>
    <n v="30"/>
    <n v="40"/>
    <n v="30"/>
    <n v="0"/>
    <x v="0"/>
    <n v="48"/>
    <n v="43"/>
    <n v="59"/>
    <n v="151"/>
    <n v="215"/>
    <n v="244"/>
    <n v="-151"/>
    <n v="-215"/>
    <n v="-244"/>
    <n v="48"/>
    <n v="43"/>
    <n v="59"/>
    <n v="0"/>
    <n v="0"/>
    <n v="0"/>
    <n v="0"/>
    <n v="0"/>
    <n v="0"/>
    <n v="48"/>
    <n v="43"/>
    <n v="59"/>
    <m/>
    <n v="0"/>
    <n v="0"/>
    <n v="48"/>
    <n v="43"/>
    <n v="59"/>
    <n v="46"/>
    <n v="60"/>
    <n v="56"/>
    <n v="60"/>
    <n v="60"/>
    <n v="60"/>
    <n v="-14"/>
    <n v="-29"/>
    <n v="-4"/>
    <n v="2"/>
    <n v="12"/>
    <n v="3"/>
    <n v="0"/>
    <n v="0"/>
    <n v="0"/>
    <n v="0"/>
    <n v="0"/>
    <n v="0"/>
    <n v="2"/>
    <n v="12"/>
    <n v="2"/>
    <n v="0"/>
    <n v="0"/>
    <n v="0"/>
    <n v="248"/>
    <n v="323"/>
    <n v="232"/>
    <n v="75"/>
    <n v="82"/>
    <n v="55"/>
    <n v="170"/>
    <n v="172"/>
    <n v="80"/>
    <n v="0"/>
    <n v="0"/>
    <n v="64"/>
    <n v="3"/>
    <n v="4"/>
    <n v="4"/>
    <m/>
    <n v="0"/>
    <n v="0"/>
    <n v="0"/>
    <n v="6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226"/>
    <n v="273"/>
    <n v="265"/>
    <n v="0"/>
    <n v="4"/>
    <n v="47"/>
    <n v="40"/>
    <n v="22"/>
    <n v="0"/>
    <n v="0"/>
    <n v="0"/>
    <n v="0"/>
    <n v="49"/>
    <n v="57"/>
    <n v="39"/>
    <n v="0"/>
    <n v="0"/>
    <n v="0"/>
    <n v="6"/>
    <n v="14"/>
    <n v="0"/>
    <n v="43"/>
    <n v="43"/>
    <n v="39"/>
    <n v="137"/>
    <n v="190"/>
    <n v="170"/>
    <n v="-22"/>
    <n v="-50"/>
    <n v="24"/>
    <n v="-22"/>
    <n v="-50"/>
    <n v="24"/>
    <n v="48"/>
    <n v="34"/>
    <n v="2"/>
    <n v="48"/>
    <n v="3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4"/>
    <n v="2"/>
    <n v="48"/>
    <n v="34"/>
    <n v="2"/>
    <n v="248"/>
    <n v="323"/>
    <n v="232"/>
    <n v="274"/>
    <n v="307"/>
    <n v="258"/>
    <n v="26"/>
    <n v="-16"/>
    <n v="26"/>
    <n v="26"/>
    <n v="-16"/>
    <n v="26"/>
    <s v="v příloze počet členů,"/>
  </r>
  <r>
    <s v="AK Chemopetrol Litvínov"/>
    <n v="208"/>
    <n v="0"/>
    <n v="46"/>
    <n v="10"/>
    <n v="11"/>
    <n v="25"/>
    <n v="8"/>
    <x v="0"/>
    <s v="Výchovou mládeže"/>
    <n v="4"/>
    <n v="30"/>
    <n v="60"/>
    <n v="2"/>
    <n v="8"/>
    <x v="1"/>
    <n v="50"/>
    <n v="29"/>
    <n v="304"/>
    <n v="0"/>
    <n v="0"/>
    <n v="0"/>
    <n v="0"/>
    <n v="0"/>
    <n v="0"/>
    <n v="50"/>
    <n v="29"/>
    <n v="304"/>
    <n v="0"/>
    <n v="0"/>
    <n v="0"/>
    <n v="0"/>
    <n v="0"/>
    <n v="0"/>
    <n v="50"/>
    <n v="29"/>
    <n v="304"/>
    <n v="0"/>
    <n v="0"/>
    <n v="0"/>
    <n v="50"/>
    <n v="29"/>
    <n v="304"/>
    <n v="50"/>
    <n v="29"/>
    <n v="304"/>
    <n v="5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"/>
    <n v="742"/>
    <n v="846"/>
    <n v="415"/>
    <n v="137"/>
    <n v="120"/>
    <n v="282"/>
    <n v="505"/>
    <n v="578"/>
    <n v="22"/>
    <n v="85"/>
    <n v="126"/>
    <n v="4"/>
    <n v="15"/>
    <n v="22"/>
    <n v="0"/>
    <n v="0"/>
    <n v="0"/>
    <m/>
    <n v="0"/>
    <n v="0"/>
    <n v="0"/>
    <n v="0"/>
    <n v="0"/>
    <n v="0"/>
    <n v="0"/>
    <n v="0"/>
    <n v="21"/>
    <n v="19"/>
    <n v="25"/>
    <n v="0"/>
    <n v="0"/>
    <n v="0"/>
    <n v="19"/>
    <n v="16"/>
    <n v="24"/>
    <n v="200"/>
    <n v="0"/>
    <n v="0"/>
    <n v="0"/>
    <n v="0"/>
    <n v="0"/>
    <n v="0"/>
    <n v="3"/>
    <n v="1"/>
    <n v="0"/>
    <n v="0"/>
    <n v="0"/>
    <n v="0"/>
    <n v="0"/>
    <n v="0"/>
    <n v="0"/>
    <n v="0"/>
    <n v="0"/>
    <n v="668"/>
    <n v="672"/>
    <n v="1100"/>
    <n v="84"/>
    <n v="0"/>
    <n v="0"/>
    <n v="0"/>
    <n v="0"/>
    <n v="0"/>
    <n v="0"/>
    <n v="0"/>
    <n v="0"/>
    <n v="387"/>
    <n v="370"/>
    <n v="428"/>
    <n v="0"/>
    <n v="0"/>
    <m/>
    <n v="5"/>
    <n v="10"/>
    <n v="40"/>
    <n v="382"/>
    <n v="360"/>
    <n v="388"/>
    <n v="197"/>
    <n v="302"/>
    <n v="672"/>
    <n v="-54"/>
    <n v="-70"/>
    <n v="254"/>
    <n v="-54"/>
    <n v="-70"/>
    <n v="254"/>
    <n v="36"/>
    <n v="55"/>
    <n v="59"/>
    <n v="36"/>
    <n v="55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6"/>
    <n v="33"/>
    <n v="14"/>
    <n v="36"/>
    <n v="33"/>
    <n v="744"/>
    <n v="761"/>
    <n v="871"/>
    <n v="704"/>
    <n v="727"/>
    <n v="1159"/>
    <n v="-40"/>
    <n v="-34"/>
    <n v="287"/>
    <n v="-40"/>
    <n v="-34"/>
    <n v="287"/>
    <s v="v přiloze dotace"/>
  </r>
  <r>
    <s v="PSK Olymp Praha"/>
    <n v="350"/>
    <n v="0"/>
    <n v="20"/>
    <n v="20"/>
    <n v="30"/>
    <n v="20"/>
    <n v="10"/>
    <x v="0"/>
    <s v="Výkonnostním sportem"/>
    <n v="7"/>
    <n v="59"/>
    <n v="15"/>
    <n v="1"/>
    <n v="25"/>
    <x v="2"/>
    <n v="4805"/>
    <n v="4932"/>
    <n v="5863"/>
    <n v="2110"/>
    <n v="2190"/>
    <n v="2343"/>
    <n v="-2110"/>
    <n v="-2190"/>
    <n v="2343"/>
    <n v="4805"/>
    <n v="4932"/>
    <n v="5863"/>
    <n v="0"/>
    <n v="0"/>
    <n v="0"/>
    <n v="0"/>
    <n v="0"/>
    <n v="85"/>
    <n v="4771"/>
    <n v="4931"/>
    <n v="5738"/>
    <n v="34"/>
    <n v="1"/>
    <n v="40"/>
    <n v="4805"/>
    <n v="4932"/>
    <n v="5863"/>
    <n v="4677"/>
    <n v="4806"/>
    <n v="5653"/>
    <n v="4698"/>
    <n v="4582"/>
    <n v="4807"/>
    <n v="-31"/>
    <n v="224"/>
    <n v="846"/>
    <n v="128"/>
    <n v="126"/>
    <n v="210"/>
    <n v="0"/>
    <n v="0"/>
    <n v="0"/>
    <n v="0"/>
    <n v="0"/>
    <n v="0"/>
    <n v="128"/>
    <n v="126"/>
    <n v="209"/>
    <m/>
    <n v="0"/>
    <n v="1"/>
    <n v="5145"/>
    <n v="6342"/>
    <n v="7889"/>
    <n v="601"/>
    <n v="5069"/>
    <n v="525"/>
    <n v="3565"/>
    <m/>
    <n v="5541"/>
    <n v="962"/>
    <n v="1165"/>
    <n v="1804"/>
    <n v="13"/>
    <m/>
    <n v="14"/>
    <n v="0"/>
    <n v="108"/>
    <n v="0"/>
    <n v="0"/>
    <m/>
    <n v="0"/>
    <n v="4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5"/>
    <n v="6566"/>
    <n v="8734"/>
    <n v="1331"/>
    <n v="0"/>
    <n v="2411"/>
    <n v="0"/>
    <n v="0"/>
    <n v="1"/>
    <n v="0"/>
    <n v="0"/>
    <n v="0"/>
    <n v="3788"/>
    <n v="0"/>
    <n v="5460"/>
    <n v="0"/>
    <n v="0"/>
    <n v="0"/>
    <n v="1978"/>
    <n v="0"/>
    <n v="5142"/>
    <n v="1810"/>
    <n v="1810"/>
    <n v="318"/>
    <n v="0"/>
    <n v="0"/>
    <n v="862"/>
    <n v="0"/>
    <n v="224"/>
    <n v="845"/>
    <n v="-20"/>
    <n v="224"/>
    <n v="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5"/>
    <n v="6342"/>
    <n v="7889"/>
    <n v="5125"/>
    <n v="6566"/>
    <n v="8734"/>
    <n v="-20"/>
    <n v="224"/>
    <n v="845"/>
    <n v="-20"/>
    <n v="224"/>
    <n v="845"/>
    <m/>
  </r>
  <r>
    <s v="TJ Sokol Kolín-atletika"/>
    <n v="570"/>
    <n v="5"/>
    <n v="65"/>
    <n v="10"/>
    <n v="10"/>
    <n v="5"/>
    <n v="5"/>
    <x v="0"/>
    <s v="Výkonnostním sportem"/>
    <n v="5"/>
    <n v="20"/>
    <n v="65"/>
    <n v="10"/>
    <n v="5"/>
    <x v="0"/>
    <n v="746"/>
    <n v="767"/>
    <n v="1354"/>
    <n v="0"/>
    <n v="157"/>
    <n v="205"/>
    <n v="0"/>
    <n v="-39"/>
    <n v="-102"/>
    <n v="746"/>
    <n v="610"/>
    <n v="1149"/>
    <n v="0"/>
    <n v="0"/>
    <n v="0"/>
    <n v="0"/>
    <n v="84"/>
    <n v="91"/>
    <n v="746"/>
    <n v="494"/>
    <n v="1058"/>
    <n v="0"/>
    <n v="32"/>
    <n v="0"/>
    <n v="746"/>
    <n v="767"/>
    <n v="1354"/>
    <n v="613"/>
    <n v="606"/>
    <n v="924"/>
    <n v="0"/>
    <n v="0"/>
    <n v="150"/>
    <n v="613"/>
    <n v="606"/>
    <n v="774"/>
    <n v="133"/>
    <n v="161"/>
    <n v="430"/>
    <n v="0"/>
    <n v="0"/>
    <n v="0"/>
    <n v="0"/>
    <n v="0"/>
    <n v="0"/>
    <n v="133"/>
    <n v="161"/>
    <n v="409"/>
    <n v="0"/>
    <n v="5"/>
    <n v="21"/>
    <n v="3773"/>
    <n v="4337"/>
    <n v="5708"/>
    <n v="656"/>
    <n v="674"/>
    <n v="741"/>
    <n v="1980"/>
    <n v="2490"/>
    <n v="2675"/>
    <n v="975"/>
    <n v="1056"/>
    <n v="2119"/>
    <n v="0"/>
    <n v="0"/>
    <n v="1"/>
    <n v="20"/>
    <n v="60"/>
    <n v="44"/>
    <n v="40"/>
    <n v="39"/>
    <n v="27"/>
    <n v="85"/>
    <n v="18"/>
    <n v="101"/>
    <n v="17"/>
    <n v="0"/>
    <n v="0"/>
    <n v="0"/>
    <n v="0"/>
    <n v="83"/>
    <n v="0"/>
    <n v="0"/>
    <n v="47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0"/>
    <n v="4083"/>
    <n v="5621"/>
    <n v="231"/>
    <n v="295"/>
    <n v="917"/>
    <n v="26"/>
    <n v="1"/>
    <n v="0"/>
    <n v="0"/>
    <n v="0"/>
    <n v="0"/>
    <n v="3783"/>
    <n v="680"/>
    <n v="1416"/>
    <n v="3094"/>
    <n v="0"/>
    <n v="0"/>
    <n v="0"/>
    <n v="47"/>
    <n v="751"/>
    <n v="689"/>
    <n v="633"/>
    <n v="665"/>
    <n v="0"/>
    <n v="3107"/>
    <n v="3288"/>
    <n v="267"/>
    <n v="-254"/>
    <n v="-87"/>
    <n v="267"/>
    <n v="-254"/>
    <n v="-87"/>
    <n v="0"/>
    <n v="248"/>
    <n v="337"/>
    <n v="0"/>
    <n v="0"/>
    <n v="174"/>
    <n v="0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254"/>
    <n v="0"/>
    <n v="248"/>
    <n v="254"/>
    <n v="3773"/>
    <n v="4337"/>
    <n v="5791"/>
    <n v="4040"/>
    <n v="4331"/>
    <n v="5958"/>
    <n v="267"/>
    <n v="-6"/>
    <n v="167"/>
    <n v="267"/>
    <n v="-6"/>
    <n v="167"/>
    <m/>
  </r>
  <r>
    <s v="TJ Vodní stavby Tábor"/>
    <n v="450"/>
    <n v="5"/>
    <n v="60"/>
    <n v="17"/>
    <n v="10"/>
    <n v="6"/>
    <n v="2"/>
    <x v="0"/>
    <s v="Výkonnostním sportem"/>
    <n v="3"/>
    <n v="20"/>
    <n v="60"/>
    <n v="15"/>
    <n v="5"/>
    <x v="3"/>
    <n v="6474"/>
    <n v="6207"/>
    <n v="6074"/>
    <n v="11846"/>
    <n v="11841"/>
    <n v="11184"/>
    <n v="-6290"/>
    <n v="-6404"/>
    <n v="6498"/>
    <n v="918"/>
    <n v="770"/>
    <n v="1388"/>
    <n v="0"/>
    <n v="0"/>
    <n v="0"/>
    <n v="0"/>
    <n v="93"/>
    <n v="0"/>
    <n v="918"/>
    <n v="677"/>
    <n v="1388"/>
    <n v="0"/>
    <n v="0"/>
    <n v="0"/>
    <n v="6474"/>
    <n v="6207"/>
    <n v="6071"/>
    <n v="6474"/>
    <n v="6207"/>
    <n v="6071"/>
    <n v="6381"/>
    <n v="6519"/>
    <n v="5491"/>
    <n v="93"/>
    <n v="-312"/>
    <n v="580"/>
    <n v="0"/>
    <n v="0"/>
    <n v="3"/>
    <n v="0"/>
    <n v="0"/>
    <n v="0"/>
    <n v="0"/>
    <n v="0"/>
    <n v="0"/>
    <n v="0"/>
    <n v="0"/>
    <n v="3"/>
    <n v="0"/>
    <n v="0"/>
    <n v="0"/>
    <n v="5835"/>
    <n v="7169"/>
    <n v="7198"/>
    <n v="2024"/>
    <n v="1796"/>
    <n v="2383"/>
    <n v="780"/>
    <n v="1195"/>
    <n v="983"/>
    <n v="1078"/>
    <n v="1450"/>
    <n v="1257"/>
    <n v="16"/>
    <n v="19"/>
    <n v="21"/>
    <n v="1890"/>
    <n v="2639"/>
    <n v="2495"/>
    <n v="6"/>
    <n v="5145"/>
    <n v="5"/>
    <n v="40"/>
    <n v="63"/>
    <n v="54"/>
    <n v="0"/>
    <n v="0"/>
    <n v="0"/>
    <n v="572"/>
    <n v="608"/>
    <n v="451"/>
    <n v="0"/>
    <n v="0"/>
    <n v="0"/>
    <n v="200"/>
    <n v="258"/>
    <n v="188"/>
    <n v="148"/>
    <n v="208"/>
    <n v="135"/>
    <n v="10"/>
    <n v="5"/>
    <n v="5"/>
    <n v="28"/>
    <n v="28"/>
    <n v="29"/>
    <n v="125"/>
    <n v="110"/>
    <n v="94"/>
    <n v="0"/>
    <n v="0"/>
    <n v="0"/>
    <n v="0"/>
    <n v="0"/>
    <n v="0"/>
    <n v="5634"/>
    <n v="6584"/>
    <n v="7481"/>
    <n v="0"/>
    <n v="0"/>
    <n v="0"/>
    <n v="2440"/>
    <n v="2904"/>
    <n v="2836"/>
    <n v="0"/>
    <n v="0"/>
    <n v="0"/>
    <n v="1800"/>
    <n v="2111"/>
    <n v="2530"/>
    <n v="313"/>
    <n v="338"/>
    <n v="107"/>
    <n v="545"/>
    <n v="592"/>
    <n v="946"/>
    <n v="940"/>
    <n v="1180"/>
    <n v="1477"/>
    <n v="1397"/>
    <n v="1566"/>
    <n v="2115"/>
    <n v="-200"/>
    <n v="-585"/>
    <n v="283"/>
    <n v="-200"/>
    <n v="-585"/>
    <n v="283"/>
    <n v="865"/>
    <n v="881"/>
    <n v="748"/>
    <n v="467"/>
    <n v="440"/>
    <n v="434"/>
    <n v="399"/>
    <n v="441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273"/>
    <n v="297"/>
    <n v="294"/>
    <n v="273"/>
    <n v="297"/>
    <n v="6407"/>
    <n v="7777"/>
    <n v="7649"/>
    <n v="6499"/>
    <n v="7465"/>
    <n v="8229"/>
    <n v="92"/>
    <n v="-312"/>
    <n v="580"/>
    <n v="94"/>
    <n v="-312"/>
    <n v="580"/>
    <m/>
  </r>
  <r>
    <s v="TJ Dukla Praha"/>
    <n v="140"/>
    <n v="0"/>
    <n v="90"/>
    <n v="3"/>
    <n v="3"/>
    <n v="4"/>
    <n v="0"/>
    <x v="1"/>
    <s v="Výchovou mládeže"/>
    <n v="7"/>
    <n v="65"/>
    <n v="25"/>
    <n v="5"/>
    <n v="5"/>
    <x v="2"/>
    <n v="7447"/>
    <n v="7156"/>
    <n v="7144"/>
    <n v="1582"/>
    <n v="1582"/>
    <n v="1723"/>
    <n v="-1513"/>
    <n v="1582"/>
    <n v="1612"/>
    <n v="7378"/>
    <n v="7156"/>
    <n v="7024"/>
    <n v="130"/>
    <n v="7070"/>
    <n v="131"/>
    <n v="50"/>
    <n v="263"/>
    <n v="52"/>
    <n v="7192"/>
    <n v="6816"/>
    <n v="6841"/>
    <n v="6"/>
    <n v="7"/>
    <n v="0"/>
    <n v="7447"/>
    <n v="7156"/>
    <n v="7144"/>
    <n v="5493"/>
    <n v="5410"/>
    <n v="5081"/>
    <n v="6665"/>
    <n v="5493"/>
    <n v="5249"/>
    <n v="-1172"/>
    <n v="-83"/>
    <n v="-168"/>
    <n v="1954"/>
    <n v="1745"/>
    <n v="2063"/>
    <n v="0"/>
    <n v="0"/>
    <n v="0"/>
    <n v="0"/>
    <n v="0"/>
    <n v="0"/>
    <n v="618"/>
    <n v="300"/>
    <n v="748"/>
    <n v="1336"/>
    <n v="1445"/>
    <n v="0"/>
    <n v="15197"/>
    <n v="15011"/>
    <n v="18453"/>
    <n v="1551"/>
    <n v="2045"/>
    <n v="3051"/>
    <n v="8682"/>
    <n v="8403"/>
    <n v="10892"/>
    <n v="3698"/>
    <n v="4266"/>
    <n v="4315"/>
    <n v="14"/>
    <n v="0.5"/>
    <n v="0"/>
    <n v="1020"/>
    <n v="36"/>
    <n v="48"/>
    <n v="69"/>
    <n v="69"/>
    <n v="30"/>
    <n v="163"/>
    <n v="191"/>
    <n v="117"/>
    <n v="0"/>
    <n v="0.5"/>
    <n v="0"/>
    <n v="742"/>
    <n v="996"/>
    <n v="301"/>
    <n v="52"/>
    <n v="3"/>
    <n v="9"/>
    <n v="494"/>
    <n v="817"/>
    <n v="229"/>
    <n v="56"/>
    <n v="176"/>
    <n v="0"/>
    <n v="0"/>
    <n v="0"/>
    <n v="0"/>
    <n v="140"/>
    <n v="0"/>
    <n v="63"/>
    <n v="0"/>
    <n v="0"/>
    <n v="0"/>
    <n v="0"/>
    <n v="0"/>
    <n v="0"/>
    <n v="0"/>
    <n v="0"/>
    <n v="0"/>
    <n v="13918"/>
    <n v="15137"/>
    <n v="18218"/>
    <n v="3898"/>
    <n v="3369"/>
    <n v="4430"/>
    <n v="8"/>
    <n v="9"/>
    <n v="50"/>
    <n v="20"/>
    <n v="0"/>
    <n v="0"/>
    <n v="7805"/>
    <n v="6401"/>
    <n v="6442"/>
    <n v="1552"/>
    <n v="0"/>
    <n v="0"/>
    <n v="1779"/>
    <n v="1082"/>
    <n v="534"/>
    <n v="4474"/>
    <n v="5319"/>
    <n v="5908"/>
    <n v="2187"/>
    <n v="5358"/>
    <n v="7293"/>
    <n v="1279"/>
    <n v="126"/>
    <n v="-235"/>
    <n v="-1281"/>
    <n v="126"/>
    <n v="-235"/>
    <n v="851"/>
    <n v="787"/>
    <n v="368"/>
    <n v="849"/>
    <n v="782"/>
    <n v="76"/>
    <n v="2"/>
    <n v="0"/>
    <n v="0"/>
    <n v="0"/>
    <n v="0"/>
    <n v="0"/>
    <n v="0"/>
    <n v="5"/>
    <n v="292"/>
    <n v="0"/>
    <n v="0"/>
    <n v="0"/>
    <n v="0"/>
    <n v="5"/>
    <n v="292"/>
    <n v="0"/>
    <n v="0"/>
    <n v="0"/>
    <n v="0"/>
    <m/>
    <n v="0"/>
    <n v="109"/>
    <n v="-209"/>
    <n v="67"/>
    <n v="109"/>
    <n v="-209"/>
    <n v="67"/>
    <n v="15939"/>
    <n v="16007"/>
    <n v="18754"/>
    <n v="14769"/>
    <n v="15924"/>
    <n v="18586"/>
    <n v="-1170"/>
    <n v="-83"/>
    <n v="-168"/>
    <n v="-1172"/>
    <n v="-83"/>
    <n v="-168"/>
    <m/>
  </r>
  <r>
    <s v="KB Vyškov"/>
    <n v="11"/>
    <n v="0"/>
    <n v="30"/>
    <n v="35"/>
    <n v="20"/>
    <n v="15"/>
    <n v="0"/>
    <x v="2"/>
    <s v="Sportem pro všechny"/>
    <n v="1"/>
    <n v="20"/>
    <n v="70"/>
    <n v="10"/>
    <n v="0"/>
    <x v="4"/>
    <n v="8"/>
    <n v="2"/>
    <n v="3"/>
    <n v="0"/>
    <n v="0"/>
    <n v="0"/>
    <n v="0"/>
    <n v="0"/>
    <n v="0"/>
    <n v="8"/>
    <n v="2"/>
    <n v="3"/>
    <n v="0"/>
    <n v="0"/>
    <n v="0"/>
    <n v="0"/>
    <n v="0"/>
    <n v="0"/>
    <n v="8"/>
    <n v="2"/>
    <n v="3"/>
    <n v="0"/>
    <n v="0"/>
    <n v="0"/>
    <n v="8"/>
    <n v="2"/>
    <n v="3"/>
    <n v="8"/>
    <n v="2"/>
    <n v="3"/>
    <n v="0"/>
    <n v="0"/>
    <n v="0"/>
    <n v="8"/>
    <n v="2"/>
    <n v="3"/>
    <n v="0"/>
    <n v="0"/>
    <n v="0"/>
    <n v="0"/>
    <n v="0"/>
    <n v="0"/>
    <n v="0"/>
    <n v="0"/>
    <n v="0"/>
    <n v="0"/>
    <n v="0"/>
    <n v="0"/>
    <n v="0"/>
    <n v="0"/>
    <n v="0"/>
    <n v="15"/>
    <n v="24"/>
    <n v="12"/>
    <n v="10"/>
    <n v="23"/>
    <n v="10"/>
    <n v="5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"/>
    <n v="14"/>
    <n v="0"/>
    <n v="0"/>
    <n v="0"/>
    <n v="0"/>
    <n v="0"/>
    <n v="0"/>
    <n v="0"/>
    <n v="0"/>
    <n v="0"/>
    <n v="1"/>
    <n v="5"/>
    <n v="4"/>
    <n v="0"/>
    <n v="0"/>
    <n v="0"/>
    <n v="0"/>
    <n v="0"/>
    <n v="0"/>
    <n v="0"/>
    <n v="0"/>
    <n v="0"/>
    <n v="13"/>
    <n v="13"/>
    <n v="10"/>
    <n v="-2"/>
    <n v="-6"/>
    <n v="2"/>
    <n v="-2"/>
    <n v="-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15"/>
    <n v="24"/>
    <n v="12"/>
    <n v="14"/>
    <n v="18"/>
    <n v="14"/>
    <n v="-1"/>
    <n v="-6"/>
    <n v="2"/>
    <n v="-2"/>
    <n v="-6"/>
    <n v="2"/>
    <m/>
  </r>
  <r>
    <s v="Black Angels"/>
    <n v="450"/>
    <n v="5"/>
    <n v="45"/>
    <n v="30"/>
    <n v="15"/>
    <n v="5"/>
    <n v="0"/>
    <x v="3"/>
    <s v="Výkonnostním sportem"/>
    <n v="2"/>
    <n v="70"/>
    <n v="15"/>
    <n v="10"/>
    <n v="5"/>
    <x v="1"/>
    <n v="424"/>
    <n v="39"/>
    <n v="39"/>
    <n v="0"/>
    <n v="0"/>
    <n v="0"/>
    <n v="0"/>
    <n v="0"/>
    <n v="0"/>
    <n v="424"/>
    <n v="39"/>
    <n v="39"/>
    <n v="0"/>
    <n v="0"/>
    <n v="0"/>
    <n v="316"/>
    <n v="6"/>
    <n v="6"/>
    <n v="108"/>
    <n v="33"/>
    <n v="33"/>
    <n v="0"/>
    <n v="0"/>
    <n v="0"/>
    <n v="424"/>
    <n v="39"/>
    <n v="39"/>
    <n v="8"/>
    <n v="-467"/>
    <n v="-349"/>
    <n v="0"/>
    <n v="0"/>
    <n v="0"/>
    <n v="8"/>
    <n v="-467"/>
    <n v="-349"/>
    <n v="416"/>
    <n v="506"/>
    <n v="388"/>
    <n v="0"/>
    <n v="0"/>
    <n v="0"/>
    <n v="0"/>
    <n v="0"/>
    <n v="0"/>
    <n v="416"/>
    <n v="506"/>
    <n v="388"/>
    <n v="0"/>
    <n v="0"/>
    <n v="0"/>
    <n v="4481"/>
    <n v="6426"/>
    <n v="5859"/>
    <n v="299"/>
    <n v="5804"/>
    <n v="5347"/>
    <n v="3747"/>
    <n v="0"/>
    <n v="0"/>
    <n v="392"/>
    <n v="610"/>
    <n v="502"/>
    <n v="0"/>
    <n v="0"/>
    <n v="0"/>
    <n v="44"/>
    <n v="12"/>
    <n v="5859"/>
    <n v="0"/>
    <n v="0"/>
    <n v="0"/>
    <n v="0"/>
    <n v="0"/>
    <n v="0"/>
    <n v="0"/>
    <n v="0"/>
    <n v="0"/>
    <n v="0"/>
    <n v="250"/>
    <n v="78"/>
    <n v="0"/>
    <n v="25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7"/>
    <n v="6040"/>
    <n v="5510"/>
    <n v="2502"/>
    <n v="2408"/>
    <n v="0"/>
    <n v="60"/>
    <n v="0"/>
    <n v="1"/>
    <n v="0"/>
    <n v="536"/>
    <n v="72"/>
    <n v="1835"/>
    <n v="2350"/>
    <n v="4696"/>
    <n v="120"/>
    <n v="0"/>
    <n v="0"/>
    <n v="0"/>
    <n v="224"/>
    <n v="0"/>
    <n v="1715"/>
    <n v="2126"/>
    <n v="4696"/>
    <n v="0"/>
    <n v="746"/>
    <n v="741"/>
    <n v="-85"/>
    <n v="-386"/>
    <n v="-349"/>
    <n v="-85"/>
    <n v="-386"/>
    <n v="-349"/>
    <n v="0"/>
    <n v="245"/>
    <n v="79"/>
    <n v="0"/>
    <n v="245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1"/>
    <n v="0"/>
    <n v="-5"/>
    <n v="1"/>
    <n v="4481"/>
    <n v="6676"/>
    <n v="5937"/>
    <n v="4397"/>
    <n v="6285"/>
    <n v="5589"/>
    <n v="-84"/>
    <n v="-391"/>
    <n v="-348"/>
    <n v="-85"/>
    <n v="-391"/>
    <n v="-348"/>
    <s v="priloha"/>
  </r>
  <r>
    <s v="FBK Kobra Tatran Hostinné"/>
    <n v="80"/>
    <n v="10"/>
    <n v="50"/>
    <n v="15"/>
    <n v="10"/>
    <n v="15"/>
    <n v="0"/>
    <x v="3"/>
    <s v="Výchovou mládeže"/>
    <n v="7"/>
    <n v="20"/>
    <n v="60"/>
    <n v="15"/>
    <n v="5"/>
    <x v="2"/>
    <n v="406"/>
    <n v="610"/>
    <n v="707"/>
    <n v="90"/>
    <n v="304"/>
    <n v="304"/>
    <n v="-30"/>
    <n v="-57"/>
    <n v="-91"/>
    <n v="346"/>
    <n v="363"/>
    <n v="494"/>
    <n v="0"/>
    <n v="0"/>
    <n v="0"/>
    <n v="0"/>
    <n v="77"/>
    <n v="0"/>
    <n v="346"/>
    <n v="286"/>
    <n v="494"/>
    <n v="0"/>
    <n v="0"/>
    <n v="0"/>
    <n v="406"/>
    <n v="610"/>
    <n v="707"/>
    <n v="156"/>
    <n v="406"/>
    <n v="530"/>
    <n v="60"/>
    <n v="156"/>
    <n v="406"/>
    <n v="96"/>
    <n v="250"/>
    <n v="124"/>
    <n v="250"/>
    <n v="204"/>
    <n v="177"/>
    <n v="0"/>
    <n v="0"/>
    <n v="0"/>
    <n v="0"/>
    <n v="0"/>
    <n v="0"/>
    <n v="250"/>
    <n v="204"/>
    <n v="177"/>
    <n v="0"/>
    <n v="0"/>
    <n v="0"/>
    <n v="3205"/>
    <n v="3614"/>
    <n v="4133"/>
    <n v="950"/>
    <n v="909"/>
    <n v="955"/>
    <n v="1921"/>
    <n v="2361"/>
    <n v="2881"/>
    <n v="297"/>
    <n v="300"/>
    <n v="263"/>
    <n v="0"/>
    <n v="0"/>
    <n v="0"/>
    <n v="17"/>
    <n v="17"/>
    <n v="0"/>
    <n v="20"/>
    <n v="27"/>
    <n v="34"/>
    <n v="0"/>
    <n v="0"/>
    <n v="0"/>
    <n v="0"/>
    <n v="0"/>
    <n v="0"/>
    <n v="0"/>
    <n v="15"/>
    <n v="2"/>
    <n v="0"/>
    <n v="1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5"/>
    <n v="3565"/>
    <n v="3957"/>
    <n v="642"/>
    <n v="808"/>
    <n v="807"/>
    <n v="1"/>
    <n v="0"/>
    <n v="0"/>
    <n v="0"/>
    <n v="0"/>
    <n v="0"/>
    <n v="996"/>
    <n v="976"/>
    <n v="1140"/>
    <n v="0"/>
    <n v="0"/>
    <n v="0"/>
    <n v="412"/>
    <n v="308"/>
    <n v="351"/>
    <n v="584"/>
    <n v="668"/>
    <n v="789"/>
    <n v="1366"/>
    <n v="1781"/>
    <n v="2010"/>
    <n v="-200"/>
    <n v="-49"/>
    <n v="-176"/>
    <n v="-200"/>
    <n v="-49"/>
    <n v="-176"/>
    <n v="296"/>
    <n v="314"/>
    <n v="302"/>
    <n v="296"/>
    <n v="314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300"/>
    <n v="0"/>
    <n v="299"/>
    <n v="300"/>
    <n v="3205"/>
    <n v="3629"/>
    <n v="4135"/>
    <n v="3301"/>
    <n v="3879"/>
    <n v="4259"/>
    <n v="96"/>
    <n v="250"/>
    <n v="124"/>
    <n v="-200"/>
    <n v="250"/>
    <n v="124"/>
    <m/>
  </r>
  <r>
    <s v="SK Bivoj Litvínov"/>
    <n v="366"/>
    <n v="10"/>
    <n v="43"/>
    <n v="20"/>
    <n v="20"/>
    <n v="6"/>
    <n v="1"/>
    <x v="3"/>
    <s v="Výchovou mládeže"/>
    <n v="3"/>
    <n v="50"/>
    <n v="20"/>
    <n v="30"/>
    <n v="0"/>
    <x v="5"/>
    <n v="723"/>
    <n v="905"/>
    <n v="1212"/>
    <n v="0"/>
    <n v="0"/>
    <n v="0"/>
    <n v="0"/>
    <n v="0"/>
    <n v="0"/>
    <n v="723"/>
    <n v="905"/>
    <n v="1212"/>
    <n v="0"/>
    <n v="5"/>
    <n v="0"/>
    <n v="385"/>
    <n v="484"/>
    <n v="755"/>
    <n v="277"/>
    <n v="464"/>
    <n v="457"/>
    <n v="61"/>
    <n v="3"/>
    <n v="0"/>
    <n v="723"/>
    <n v="905"/>
    <n v="1212"/>
    <n v="-113"/>
    <n v="77"/>
    <n v="336"/>
    <n v="0"/>
    <m/>
    <n v="0"/>
    <n v="-113"/>
    <n v="77"/>
    <n v="336"/>
    <n v="836"/>
    <n v="828"/>
    <n v="876"/>
    <n v="0"/>
    <n v="0"/>
    <n v="0"/>
    <n v="0"/>
    <n v="0"/>
    <n v="0"/>
    <n v="60"/>
    <n v="110"/>
    <n v="134"/>
    <n v="776"/>
    <n v="718"/>
    <n v="742"/>
    <n v="2272"/>
    <n v="2298"/>
    <n v="1976"/>
    <n v="225"/>
    <n v="294"/>
    <n v="209"/>
    <n v="1808"/>
    <n v="1553"/>
    <n v="1259"/>
    <n v="40"/>
    <n v="220"/>
    <n v="322"/>
    <n v="192"/>
    <n v="0"/>
    <n v="0"/>
    <n v="6"/>
    <n v="14"/>
    <n v="48"/>
    <n v="0"/>
    <n v="0"/>
    <n v="0"/>
    <n v="1"/>
    <n v="217"/>
    <n v="138"/>
    <n v="0"/>
    <n v="0"/>
    <n v="0"/>
    <n v="82"/>
    <n v="133"/>
    <n v="187"/>
    <n v="30"/>
    <n v="3"/>
    <n v="5"/>
    <n v="22"/>
    <n v="85"/>
    <n v="182"/>
    <n v="30"/>
    <n v="0"/>
    <n v="0"/>
    <n v="0"/>
    <n v="0"/>
    <n v="0"/>
    <n v="0"/>
    <n v="20"/>
    <n v="0"/>
    <n v="0"/>
    <n v="0"/>
    <n v="0"/>
    <n v="0"/>
    <n v="0"/>
    <n v="0"/>
    <n v="0"/>
    <n v="25"/>
    <n v="0"/>
    <n v="1617"/>
    <n v="2080"/>
    <n v="1952"/>
    <n v="326"/>
    <n v="121"/>
    <n v="29"/>
    <n v="0"/>
    <n v="60"/>
    <n v="30"/>
    <n v="0"/>
    <n v="0"/>
    <n v="0"/>
    <n v="918"/>
    <n v="1303"/>
    <n v="1270"/>
    <n v="0"/>
    <n v="0"/>
    <n v="0"/>
    <n v="168"/>
    <n v="259"/>
    <n v="126"/>
    <n v="750"/>
    <n v="1044"/>
    <n v="1144"/>
    <n v="373"/>
    <n v="596"/>
    <n v="623"/>
    <n v="-655"/>
    <n v="-218"/>
    <n v="-24"/>
    <n v="-655"/>
    <n v="-218"/>
    <n v="-24"/>
    <n v="379"/>
    <n v="540"/>
    <n v="471"/>
    <n v="379"/>
    <n v="54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432"/>
    <n v="284"/>
    <n v="297"/>
    <n v="407"/>
    <n v="284"/>
    <n v="2354"/>
    <n v="2431"/>
    <n v="2163"/>
    <n v="1996"/>
    <n v="2620"/>
    <n v="2423"/>
    <n v="-358"/>
    <n v="189"/>
    <n v="260"/>
    <n v="-358"/>
    <n v="189"/>
    <n v="260"/>
    <s v="v příloze rozlišení dotací"/>
  </r>
  <r>
    <s v="Hippos Žďár n/S."/>
    <n v="200"/>
    <n v="0"/>
    <n v="60"/>
    <n v="10"/>
    <n v="25"/>
    <n v="5"/>
    <n v="0"/>
    <x v="3"/>
    <s v="Výchovou mládeže"/>
    <n v="5"/>
    <n v="30"/>
    <n v="60"/>
    <n v="10"/>
    <n v="0"/>
    <x v="0"/>
    <n v="36"/>
    <n v="44"/>
    <n v="136"/>
    <n v="0"/>
    <n v="0"/>
    <n v="0"/>
    <n v="0"/>
    <n v="0"/>
    <n v="0"/>
    <n v="36"/>
    <n v="44"/>
    <n v="136"/>
    <n v="0"/>
    <n v="0"/>
    <n v="0"/>
    <n v="0"/>
    <n v="0"/>
    <n v="60"/>
    <n v="33"/>
    <n v="44"/>
    <n v="76"/>
    <n v="3"/>
    <n v="0"/>
    <n v="0"/>
    <n v="36"/>
    <n v="44"/>
    <n v="136"/>
    <n v="11"/>
    <n v="25"/>
    <n v="115"/>
    <n v="23"/>
    <n v="23"/>
    <n v="23"/>
    <n v="-12"/>
    <n v="2"/>
    <n v="91"/>
    <n v="25"/>
    <n v="19"/>
    <n v="21"/>
    <n v="0"/>
    <n v="0"/>
    <n v="0"/>
    <n v="0"/>
    <n v="0"/>
    <n v="0"/>
    <n v="25"/>
    <n v="19"/>
    <n v="21"/>
    <n v="0"/>
    <n v="0"/>
    <n v="0"/>
    <n v="897"/>
    <n v="1125"/>
    <n v="1414"/>
    <n v="279"/>
    <n v="326"/>
    <n v="334"/>
    <n v="612"/>
    <n v="724"/>
    <n v="818"/>
    <n v="0"/>
    <n v="22"/>
    <n v="253"/>
    <n v="0"/>
    <n v="0"/>
    <n v="0"/>
    <n v="6"/>
    <n v="3"/>
    <n v="0"/>
    <n v="0"/>
    <n v="0"/>
    <n v="0"/>
    <n v="0"/>
    <n v="5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"/>
    <n v="1139"/>
    <n v="1504"/>
    <n v="0"/>
    <n v="11"/>
    <n v="49"/>
    <n v="5"/>
    <n v="53"/>
    <n v="0"/>
    <n v="0"/>
    <n v="0"/>
    <n v="0"/>
    <n v="557"/>
    <n v="845"/>
    <n v="862"/>
    <n v="0"/>
    <n v="29"/>
    <n v="32"/>
    <n v="47"/>
    <n v="45"/>
    <n v="68"/>
    <n v="510"/>
    <n v="771"/>
    <n v="763"/>
    <n v="310"/>
    <n v="230"/>
    <n v="592"/>
    <n v="-25"/>
    <n v="14"/>
    <n v="89"/>
    <n v="-25"/>
    <n v="14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"/>
    <n v="1125"/>
    <n v="1414"/>
    <n v="872"/>
    <n v="1139"/>
    <n v="1504"/>
    <n v="-25"/>
    <n v="14"/>
    <n v="90"/>
    <n v="-25"/>
    <n v="14"/>
    <n v="89"/>
    <m/>
  </r>
  <r>
    <s v="TJ Slavoj Dubá"/>
    <n v="121"/>
    <n v="0"/>
    <n v="33"/>
    <n v="12"/>
    <n v="29"/>
    <n v="19"/>
    <n v="7"/>
    <x v="4"/>
    <s v="Sportem pro všechny"/>
    <n v="3"/>
    <n v="10"/>
    <n v="87"/>
    <n v="0"/>
    <n v="3"/>
    <x v="1"/>
    <n v="575"/>
    <n v="498"/>
    <n v="422"/>
    <n v="2297"/>
    <n v="2297"/>
    <n v="2297"/>
    <n v="-1787"/>
    <n v="-1865"/>
    <n v="-1943"/>
    <n v="65"/>
    <n v="66"/>
    <n v="68"/>
    <n v="0"/>
    <n v="0"/>
    <n v="0"/>
    <n v="12"/>
    <n v="5"/>
    <n v="21"/>
    <n v="53"/>
    <n v="61"/>
    <n v="47"/>
    <n v="0"/>
    <n v="0"/>
    <n v="0"/>
    <n v="575"/>
    <n v="498"/>
    <n v="422"/>
    <n v="575"/>
    <n v="498"/>
    <n v="422"/>
    <n v="629"/>
    <n v="31"/>
    <n v="30"/>
    <n v="-54"/>
    <n v="467"/>
    <n v="392"/>
    <n v="0"/>
    <n v="0"/>
    <n v="0"/>
    <n v="0"/>
    <n v="0"/>
    <n v="0"/>
    <n v="0"/>
    <n v="0"/>
    <n v="0"/>
    <n v="0"/>
    <n v="0"/>
    <n v="0"/>
    <n v="0"/>
    <n v="0"/>
    <n v="0"/>
    <n v="317"/>
    <n v="399"/>
    <n v="349"/>
    <n v="74"/>
    <n v="222"/>
    <n v="175"/>
    <n v="105"/>
    <m/>
    <n v="0"/>
    <n v="0"/>
    <n v="18"/>
    <n v="37"/>
    <n v="0"/>
    <n v="0"/>
    <n v="0"/>
    <n v="60"/>
    <n v="81"/>
    <n v="59"/>
    <n v="60"/>
    <n v="78"/>
    <n v="78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242"/>
    <n v="199"/>
    <n v="0"/>
    <n v="0"/>
    <n v="0"/>
    <n v="7"/>
    <n v="0"/>
    <n v="0"/>
    <n v="0"/>
    <n v="0"/>
    <n v="0"/>
    <n v="23"/>
    <n v="7"/>
    <n v="23"/>
    <n v="0"/>
    <n v="0"/>
    <n v="0"/>
    <n v="0"/>
    <n v="0"/>
    <n v="0"/>
    <n v="23"/>
    <n v="7"/>
    <n v="23"/>
    <n v="201"/>
    <n v="235"/>
    <n v="176"/>
    <n v="-86"/>
    <n v="-157"/>
    <n v="-150"/>
    <n v="-86"/>
    <n v="-157"/>
    <n v="-150"/>
    <n v="32"/>
    <n v="90"/>
    <n v="74"/>
    <n v="0"/>
    <n v="3"/>
    <n v="0"/>
    <n v="32"/>
    <n v="8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90"/>
    <n v="74"/>
    <n v="32"/>
    <n v="90"/>
    <n v="74"/>
    <n v="317"/>
    <n v="399"/>
    <n v="349"/>
    <n v="263"/>
    <n v="332"/>
    <n v="273"/>
    <n v="-54"/>
    <n v="-67"/>
    <n v="-76"/>
    <n v="-54"/>
    <n v="-67"/>
    <n v="-76"/>
    <s v="příloha"/>
  </r>
  <r>
    <s v="FOTBALOVÝ KLUB LETY"/>
    <n v="105"/>
    <n v="0"/>
    <n v="35"/>
    <n v="10"/>
    <n v="25"/>
    <n v="25"/>
    <n v="5"/>
    <x v="4"/>
    <s v="Výchovou mládeže"/>
    <n v="1"/>
    <n v="10"/>
    <n v="30"/>
    <n v="30"/>
    <n v="30"/>
    <x v="6"/>
    <n v="781"/>
    <n v="706"/>
    <n v="2174"/>
    <n v="1587"/>
    <n v="1587"/>
    <n v="1421"/>
    <n v="-1124"/>
    <n v="-1152"/>
    <n v="-1009"/>
    <n v="318"/>
    <n v="271"/>
    <n v="1762"/>
    <n v="0"/>
    <n v="0"/>
    <n v="0"/>
    <n v="26"/>
    <n v="23"/>
    <n v="30"/>
    <n v="277"/>
    <n v="234"/>
    <n v="1718"/>
    <n v="15"/>
    <n v="14"/>
    <n v="14"/>
    <n v="781"/>
    <n v="706"/>
    <n v="2174"/>
    <n v="781"/>
    <n v="706"/>
    <n v="732"/>
    <n v="814"/>
    <n v="814"/>
    <n v="814"/>
    <n v="-33"/>
    <n v="-108"/>
    <n v="-82"/>
    <n v="0"/>
    <n v="0"/>
    <n v="1442"/>
    <n v="0"/>
    <n v="0"/>
    <n v="0"/>
    <n v="0"/>
    <n v="0"/>
    <n v="0"/>
    <n v="0"/>
    <n v="0"/>
    <n v="1442"/>
    <n v="0"/>
    <n v="0"/>
    <n v="0"/>
    <n v="422"/>
    <n v="905"/>
    <n v="1087"/>
    <n v="113"/>
    <n v="443"/>
    <n v="558"/>
    <n v="202"/>
    <n v="0"/>
    <n v="0"/>
    <n v="0"/>
    <n v="126"/>
    <n v="352"/>
    <n v="0"/>
    <n v="2"/>
    <n v="9"/>
    <n v="60"/>
    <n v="305"/>
    <n v="129"/>
    <n v="47"/>
    <n v="29"/>
    <n v="24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644"/>
    <n v="931"/>
    <n v="0"/>
    <n v="0"/>
    <n v="0"/>
    <n v="63"/>
    <n v="232"/>
    <n v="179"/>
    <n v="0"/>
    <n v="0"/>
    <n v="0"/>
    <n v="236"/>
    <n v="264"/>
    <n v="444"/>
    <n v="31"/>
    <n v="0"/>
    <n v="0"/>
    <n v="166"/>
    <n v="161"/>
    <n v="259"/>
    <n v="70"/>
    <n v="103"/>
    <n v="185"/>
    <n v="39"/>
    <n v="148"/>
    <n v="308"/>
    <n v="-84"/>
    <n v="-261"/>
    <n v="-156"/>
    <n v="-84"/>
    <n v="-261"/>
    <n v="-156"/>
    <n v="176"/>
    <n v="186"/>
    <n v="181"/>
    <n v="176"/>
    <n v="186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186"/>
    <n v="181"/>
    <n v="176"/>
    <n v="186"/>
    <n v="181"/>
    <n v="422"/>
    <n v="905"/>
    <n v="1087"/>
    <n v="514"/>
    <n v="830"/>
    <n v="1112"/>
    <n v="92"/>
    <n v="-75"/>
    <n v="25"/>
    <n v="92"/>
    <n v="-75"/>
    <n v="25"/>
    <s v="v rozvaze 2015 vysvetleno"/>
  </r>
  <r>
    <s v="Sportovní klub OTAVA Katovice o.s."/>
    <n v="180"/>
    <n v="0"/>
    <n v="35"/>
    <n v="10"/>
    <n v="15"/>
    <n v="20"/>
    <n v="20"/>
    <x v="4"/>
    <s v="Výkonnostním sportem"/>
    <n v="4"/>
    <n v="15"/>
    <n v="30"/>
    <n v="20"/>
    <n v="35"/>
    <x v="2"/>
    <n v="468"/>
    <n v="612"/>
    <n v="511"/>
    <n v="350"/>
    <n v="350"/>
    <n v="350"/>
    <n v="0"/>
    <n v="0"/>
    <n v="0"/>
    <n v="118"/>
    <n v="262"/>
    <n v="161"/>
    <n v="0"/>
    <n v="0"/>
    <n v="0"/>
    <n v="5"/>
    <n v="8"/>
    <n v="0"/>
    <n v="113"/>
    <n v="254"/>
    <n v="161"/>
    <n v="0"/>
    <n v="0"/>
    <n v="0"/>
    <n v="468"/>
    <n v="612"/>
    <n v="511"/>
    <n v="204"/>
    <n v="205"/>
    <n v="352"/>
    <n v="190"/>
    <n v="204"/>
    <n v="205"/>
    <n v="14"/>
    <n v="1"/>
    <n v="147"/>
    <n v="264"/>
    <n v="407"/>
    <n v="159"/>
    <n v="0"/>
    <n v="0"/>
    <n v="0"/>
    <n v="49"/>
    <n v="53"/>
    <n v="52"/>
    <n v="215"/>
    <n v="224"/>
    <n v="107"/>
    <n v="0"/>
    <n v="130"/>
    <n v="0"/>
    <n v="610"/>
    <n v="900"/>
    <n v="992"/>
    <n v="109"/>
    <n v="251"/>
    <n v="787"/>
    <n v="388"/>
    <n v="488"/>
    <n v="0"/>
    <n v="0"/>
    <n v="133"/>
    <n v="0"/>
    <n v="0"/>
    <n v="0"/>
    <n v="0"/>
    <n v="87"/>
    <n v="0"/>
    <n v="178"/>
    <n v="0"/>
    <n v="0"/>
    <n v="0"/>
    <n v="26"/>
    <n v="28"/>
    <n v="27"/>
    <n v="0"/>
    <n v="0"/>
    <n v="0"/>
    <n v="21"/>
    <n v="77"/>
    <n v="65"/>
    <n v="21"/>
    <n v="77"/>
    <n v="4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472"/>
    <n v="561"/>
    <n v="731"/>
    <n v="46"/>
    <n v="79"/>
    <n v="506"/>
    <n v="185"/>
    <n v="155"/>
    <n v="17"/>
    <n v="0"/>
    <n v="0"/>
    <n v="0"/>
    <n v="57"/>
    <n v="52"/>
    <n v="25"/>
    <n v="0"/>
    <n v="0"/>
    <n v="0"/>
    <n v="0"/>
    <n v="0"/>
    <n v="0"/>
    <n v="57"/>
    <n v="52"/>
    <n v="25"/>
    <n v="184"/>
    <n v="275"/>
    <n v="183"/>
    <n v="-138"/>
    <n v="-339"/>
    <n v="-261"/>
    <n v="-138"/>
    <n v="-339"/>
    <n v="-261"/>
    <n v="173"/>
    <n v="426"/>
    <n v="473"/>
    <n v="173"/>
    <n v="426"/>
    <n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349"/>
    <n v="433"/>
    <n v="152"/>
    <n v="340"/>
    <n v="408"/>
    <n v="631"/>
    <n v="977"/>
    <n v="1057"/>
    <n v="645"/>
    <n v="987"/>
    <n v="1204"/>
    <n v="14"/>
    <n v="10"/>
    <n v="147"/>
    <n v="14"/>
    <n v="1"/>
    <n v="147"/>
    <m/>
  </r>
  <r>
    <s v="KMS JUVENTUS Bruntál, o.s."/>
    <n v="296"/>
    <n v="5"/>
    <n v="70"/>
    <n v="20"/>
    <n v="3"/>
    <n v="1"/>
    <n v="1"/>
    <x v="4"/>
    <s v="Výchovou mládeže"/>
    <n v="1"/>
    <n v="25"/>
    <n v="60"/>
    <n v="5"/>
    <n v="10"/>
    <x v="4"/>
    <n v="5"/>
    <n v="25"/>
    <n v="31"/>
    <n v="0"/>
    <n v="0"/>
    <n v="71"/>
    <n v="0"/>
    <n v="0"/>
    <n v="-71"/>
    <n v="5"/>
    <n v="25"/>
    <n v="31"/>
    <n v="0"/>
    <n v="0"/>
    <n v="0"/>
    <n v="0"/>
    <n v="0"/>
    <n v="0"/>
    <n v="5"/>
    <n v="25"/>
    <n v="31"/>
    <n v="0"/>
    <n v="0"/>
    <n v="0"/>
    <n v="5"/>
    <n v="25"/>
    <n v="31"/>
    <n v="-94"/>
    <n v="-63"/>
    <n v="6"/>
    <n v="0"/>
    <n v="0"/>
    <n v="-95"/>
    <n v="11"/>
    <n v="32"/>
    <n v="101"/>
    <n v="99"/>
    <n v="88"/>
    <n v="25"/>
    <n v="0"/>
    <n v="0"/>
    <n v="0"/>
    <n v="0"/>
    <n v="0"/>
    <n v="0"/>
    <n v="99"/>
    <n v="88"/>
    <n v="25"/>
    <n v="0"/>
    <n v="0"/>
    <n v="0"/>
    <n v="656"/>
    <n v="813"/>
    <n v="1154"/>
    <n v="99"/>
    <n v="574"/>
    <n v="522"/>
    <n v="331"/>
    <n v="0"/>
    <n v="0"/>
    <n v="186"/>
    <n v="201"/>
    <n v="558"/>
    <n v="0"/>
    <n v="0"/>
    <n v="0"/>
    <n v="7"/>
    <n v="2"/>
    <n v="2"/>
    <n v="0"/>
    <n v="0"/>
    <n v="72"/>
    <n v="32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824"/>
    <n v="1223"/>
    <n v="113"/>
    <n v="152"/>
    <n v="100"/>
    <n v="0"/>
    <n v="0"/>
    <n v="5"/>
    <n v="0"/>
    <n v="0"/>
    <n v="0"/>
    <n v="209"/>
    <n v="241"/>
    <n v="315"/>
    <n v="44"/>
    <n v="0"/>
    <n v="0"/>
    <n v="80"/>
    <n v="93"/>
    <n v="75"/>
    <n v="85"/>
    <n v="148"/>
    <n v="240"/>
    <n v="329"/>
    <n v="431"/>
    <n v="803"/>
    <n v="-4"/>
    <n v="11"/>
    <n v="69"/>
    <n v="-4"/>
    <n v="11"/>
    <n v="69"/>
    <n v="15"/>
    <n v="21"/>
    <n v="0"/>
    <n v="15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1"/>
    <n v="0"/>
    <n v="15"/>
    <n v="21"/>
    <n v="0"/>
    <n v="656"/>
    <n v="813"/>
    <n v="1154"/>
    <n v="667"/>
    <n v="845"/>
    <n v="1223"/>
    <n v="11"/>
    <n v="32"/>
    <n v="69"/>
    <n v="11"/>
    <n v="32"/>
    <n v="69"/>
    <m/>
  </r>
  <r>
    <s v="FK Jakartovice"/>
    <n v="79"/>
    <n v="4"/>
    <n v="15"/>
    <n v="15"/>
    <n v="28"/>
    <n v="22"/>
    <n v="16"/>
    <x v="4"/>
    <s v="Výchovou mládeže"/>
    <n v="5"/>
    <n v="10"/>
    <n v="80"/>
    <n v="3"/>
    <n v="7"/>
    <x v="1"/>
    <n v="242"/>
    <n v="339"/>
    <n v="378"/>
    <n v="42"/>
    <n v="68"/>
    <n v="68"/>
    <n v="-42"/>
    <n v="-68"/>
    <n v="-68"/>
    <n v="242"/>
    <n v="339"/>
    <n v="378"/>
    <n v="16"/>
    <n v="0"/>
    <n v="0"/>
    <n v="0"/>
    <n v="0"/>
    <n v="0"/>
    <n v="226"/>
    <n v="339"/>
    <n v="378"/>
    <n v="0"/>
    <n v="0"/>
    <n v="0"/>
    <n v="242"/>
    <n v="339"/>
    <n v="378"/>
    <n v="5"/>
    <n v="115"/>
    <n v="177"/>
    <n v="69"/>
    <n v="69"/>
    <n v="115"/>
    <n v="-64"/>
    <n v="46"/>
    <n v="62"/>
    <n v="237"/>
    <n v="224"/>
    <n v="201"/>
    <n v="0"/>
    <n v="0"/>
    <n v="0"/>
    <n v="16"/>
    <n v="0"/>
    <n v="0"/>
    <n v="221"/>
    <n v="224"/>
    <n v="221"/>
    <n v="0"/>
    <n v="0"/>
    <n v="-20"/>
    <n v="304"/>
    <n v="327"/>
    <n v="292"/>
    <n v="83"/>
    <n v="228"/>
    <n v="186"/>
    <n v="211"/>
    <n v="0"/>
    <n v="0"/>
    <n v="0"/>
    <n v="24"/>
    <n v="35"/>
    <n v="0"/>
    <n v="0"/>
    <n v="1"/>
    <n v="9"/>
    <n v="74"/>
    <n v="55"/>
    <n v="0"/>
    <n v="0"/>
    <n v="0"/>
    <n v="1"/>
    <n v="1"/>
    <n v="15"/>
    <n v="0"/>
    <n v="0"/>
    <n v="0"/>
    <n v="94"/>
    <n v="38"/>
    <n v="21"/>
    <n v="94"/>
    <n v="38"/>
    <n v="2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5"/>
    <n v="422"/>
    <n v="322"/>
    <n v="13"/>
    <n v="22"/>
    <n v="0"/>
    <n v="5"/>
    <n v="65"/>
    <n v="0"/>
    <n v="0"/>
    <n v="0"/>
    <n v="0"/>
    <n v="33"/>
    <n v="35"/>
    <n v="42"/>
    <n v="33"/>
    <n v="35"/>
    <n v="0"/>
    <n v="0"/>
    <n v="0"/>
    <n v="20"/>
    <n v="0"/>
    <n v="0"/>
    <n v="22"/>
    <n v="214"/>
    <n v="300"/>
    <n v="280"/>
    <n v="-39"/>
    <n v="95"/>
    <n v="30"/>
    <n v="-39"/>
    <n v="95"/>
    <n v="30"/>
    <n v="228"/>
    <n v="16"/>
    <n v="53"/>
    <n v="228"/>
    <n v="16"/>
    <n v="34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5"/>
    <n v="32"/>
    <n v="134"/>
    <n v="15"/>
    <n v="32"/>
    <n v="398"/>
    <n v="365"/>
    <n v="313"/>
    <n v="493"/>
    <n v="438"/>
    <n v="375"/>
    <n v="95"/>
    <n v="73"/>
    <n v="62"/>
    <n v="95"/>
    <n v="110"/>
    <n v="62"/>
    <m/>
  </r>
  <r>
    <s v="FC Odra Petřkovice"/>
    <n v="250"/>
    <n v="5"/>
    <n v="65"/>
    <n v="12"/>
    <n v="8"/>
    <n v="8"/>
    <n v="2"/>
    <x v="4"/>
    <s v="Výchovou mládeže"/>
    <n v="3"/>
    <n v="10"/>
    <n v="60"/>
    <n v="20"/>
    <n v="10"/>
    <x v="6"/>
    <n v="85"/>
    <n v="121"/>
    <n v="515"/>
    <n v="45"/>
    <n v="45"/>
    <n v="45"/>
    <n v="-18"/>
    <n v="-27"/>
    <n v="-36"/>
    <n v="58"/>
    <n v="103"/>
    <n v="506"/>
    <n v="0"/>
    <n v="0"/>
    <n v="41"/>
    <n v="36"/>
    <n v="48"/>
    <n v="3"/>
    <n v="19"/>
    <n v="29"/>
    <n v="454"/>
    <n v="3"/>
    <n v="0"/>
    <n v="8"/>
    <n v="85"/>
    <n v="121"/>
    <n v="515"/>
    <n v="-191"/>
    <n v="-481"/>
    <n v="-416"/>
    <n v="0"/>
    <n v="0"/>
    <n v="0"/>
    <n v="-191"/>
    <n v="-481"/>
    <n v="-416"/>
    <n v="276"/>
    <n v="603"/>
    <n v="931"/>
    <n v="0"/>
    <n v="0"/>
    <n v="0"/>
    <n v="28"/>
    <n v="0"/>
    <n v="0"/>
    <n v="191"/>
    <n v="75"/>
    <n v="93"/>
    <n v="57"/>
    <n v="527"/>
    <n v="838"/>
    <n v="1695"/>
    <n v="3233"/>
    <n v="3648"/>
    <n v="304"/>
    <n v="431"/>
    <n v="2873"/>
    <n v="1230"/>
    <n v="2170"/>
    <n v="0"/>
    <n v="141"/>
    <n v="560"/>
    <n v="653"/>
    <n v="0"/>
    <n v="2"/>
    <n v="0"/>
    <n v="10"/>
    <n v="24"/>
    <n v="113"/>
    <n v="9"/>
    <n v="9"/>
    <n v="9"/>
    <n v="0"/>
    <n v="36"/>
    <n v="0"/>
    <n v="0"/>
    <n v="0"/>
    <n v="0"/>
    <n v="689"/>
    <n v="841"/>
    <n v="992"/>
    <n v="63"/>
    <n v="28"/>
    <n v="992"/>
    <n v="470"/>
    <n v="810"/>
    <n v="0"/>
    <n v="0"/>
    <n v="0"/>
    <n v="0"/>
    <n v="9"/>
    <n v="3"/>
    <n v="0"/>
    <n v="0"/>
    <n v="0"/>
    <n v="0"/>
    <n v="0"/>
    <n v="0"/>
    <n v="0"/>
    <n v="0"/>
    <n v="0"/>
    <n v="0"/>
    <n v="0"/>
    <n v="0"/>
    <n v="0"/>
    <n v="1520"/>
    <n v="2994"/>
    <n v="4705"/>
    <n v="402"/>
    <n v="426"/>
    <n v="951"/>
    <n v="135"/>
    <n v="241"/>
    <n v="98"/>
    <n v="0"/>
    <n v="0"/>
    <n v="0"/>
    <n v="301"/>
    <n v="401"/>
    <n v="470"/>
    <n v="0"/>
    <n v="0"/>
    <n v="0"/>
    <n v="74"/>
    <n v="160"/>
    <n v="186"/>
    <n v="227"/>
    <n v="240"/>
    <n v="283"/>
    <n v="682"/>
    <n v="1926"/>
    <n v="2335"/>
    <n v="-175"/>
    <n v="-240"/>
    <n v="65"/>
    <n v="-175"/>
    <n v="-240"/>
    <n v="65"/>
    <n v="689"/>
    <n v="789"/>
    <n v="0"/>
    <n v="689"/>
    <n v="7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-51"/>
    <n v="0"/>
    <n v="147"/>
    <n v="-51"/>
    <n v="0"/>
    <n v="2384"/>
    <n v="4074"/>
    <n v="4640"/>
    <n v="2209"/>
    <n v="3783"/>
    <n v="4705"/>
    <n v="-175"/>
    <n v="-291"/>
    <n v="65"/>
    <n v="-28"/>
    <n v="-291"/>
    <n v="65"/>
    <m/>
  </r>
  <r>
    <s v="SK Slavia Jesenice"/>
    <n v="148"/>
    <n v="1"/>
    <n v="53"/>
    <n v="4"/>
    <n v="22"/>
    <n v="19"/>
    <n v="1"/>
    <x v="4"/>
    <s v="Výkonnostním sportem"/>
    <n v="1"/>
    <n v="30"/>
    <n v="40"/>
    <n v="25"/>
    <n v="5"/>
    <x v="3"/>
    <n v="3399"/>
    <n v="3525"/>
    <n v="3569"/>
    <n v="3176"/>
    <n v="3176"/>
    <n v="3296"/>
    <n v="0"/>
    <n v="0"/>
    <n v="-41"/>
    <n v="223"/>
    <n v="349"/>
    <n v="273"/>
    <n v="0"/>
    <n v="0"/>
    <n v="0"/>
    <n v="61"/>
    <n v="72"/>
    <n v="131"/>
    <n v="140"/>
    <n v="262"/>
    <n v="139"/>
    <n v="22"/>
    <n v="15"/>
    <n v="3"/>
    <n v="3399"/>
    <n v="3525"/>
    <n v="3569"/>
    <n v="3232"/>
    <n v="3394"/>
    <n v="3351"/>
    <n v="3315"/>
    <n v="3315"/>
    <n v="3315"/>
    <n v="-83"/>
    <n v="79"/>
    <n v="36"/>
    <n v="167"/>
    <n v="131"/>
    <n v="218"/>
    <n v="0"/>
    <n v="0"/>
    <n v="0"/>
    <n v="0"/>
    <n v="0"/>
    <n v="0"/>
    <n v="167"/>
    <n v="131"/>
    <n v="210"/>
    <n v="0"/>
    <n v="78"/>
    <n v="8"/>
    <n v="1525"/>
    <n v="1410"/>
    <n v="1977"/>
    <n v="477"/>
    <n v="1348"/>
    <n v="1616"/>
    <n v="1029"/>
    <n v="0"/>
    <n v="0"/>
    <n v="0"/>
    <n v="0"/>
    <n v="185"/>
    <n v="2"/>
    <n v="1"/>
    <n v="0"/>
    <n v="17"/>
    <n v="25"/>
    <n v="123"/>
    <n v="0"/>
    <n v="0"/>
    <n v="41"/>
    <n v="0"/>
    <n v="0"/>
    <n v="0"/>
    <n v="0"/>
    <n v="0"/>
    <n v="12"/>
    <n v="351"/>
    <n v="300"/>
    <n v="237"/>
    <n v="231"/>
    <n v="300"/>
    <n v="237"/>
    <n v="119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322"/>
    <n v="1324"/>
    <n v="1571"/>
    <n v="281"/>
    <n v="268"/>
    <n v="235"/>
    <n v="0"/>
    <n v="0"/>
    <n v="0"/>
    <n v="0"/>
    <n v="0"/>
    <n v="0"/>
    <n v="551"/>
    <n v="391"/>
    <n v="593"/>
    <n v="0"/>
    <n v="0"/>
    <n v="0"/>
    <n v="134"/>
    <n v="50"/>
    <n v="95"/>
    <n v="417"/>
    <n v="341"/>
    <n v="498"/>
    <n v="490"/>
    <n v="665"/>
    <n v="743"/>
    <n v="-203"/>
    <n v="-86"/>
    <n v="-394"/>
    <n v="-203"/>
    <n v="-86"/>
    <n v="-406"/>
    <n v="631"/>
    <n v="547"/>
    <n v="600"/>
    <n v="631"/>
    <n v="547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247"/>
    <n v="363"/>
    <n v="280"/>
    <n v="247"/>
    <n v="363"/>
    <n v="1876"/>
    <n v="1710"/>
    <n v="2214"/>
    <n v="1953"/>
    <n v="1871"/>
    <n v="2171"/>
    <n v="77"/>
    <n v="161"/>
    <n v="-31"/>
    <n v="77"/>
    <n v="161"/>
    <n v="-43"/>
    <m/>
  </r>
  <r>
    <s v="FK Český lev Těchlovice"/>
    <n v="47"/>
    <n v="0"/>
    <n v="0"/>
    <n v="0"/>
    <n v="10"/>
    <n v="80"/>
    <n v="10"/>
    <x v="4"/>
    <s v="Sportem pro všechny"/>
    <n v="4"/>
    <n v="10"/>
    <n v="70"/>
    <n v="15"/>
    <n v="5"/>
    <x v="5"/>
    <n v="2441"/>
    <n v="2450"/>
    <n v="2466"/>
    <n v="2380"/>
    <n v="2435"/>
    <n v="2435"/>
    <n v="0"/>
    <n v="0"/>
    <n v="0"/>
    <n v="61"/>
    <n v="15"/>
    <n v="31"/>
    <n v="0"/>
    <n v="0"/>
    <n v="0"/>
    <n v="8"/>
    <n v="1"/>
    <n v="14"/>
    <n v="45"/>
    <n v="7"/>
    <n v="10"/>
    <n v="8"/>
    <n v="7"/>
    <n v="7"/>
    <n v="2441"/>
    <n v="2450"/>
    <n v="2466"/>
    <n v="2444"/>
    <n v="2445"/>
    <n v="2449"/>
    <n v="2408"/>
    <n v="2408"/>
    <n v="2408"/>
    <n v="36"/>
    <n v="37"/>
    <n v="41"/>
    <n v="-3"/>
    <n v="5"/>
    <n v="17"/>
    <n v="0"/>
    <n v="0"/>
    <n v="0"/>
    <n v="0"/>
    <n v="0"/>
    <n v="0"/>
    <n v="-3"/>
    <n v="5"/>
    <n v="17"/>
    <n v="0"/>
    <n v="0"/>
    <n v="0"/>
    <n v="177"/>
    <n v="196"/>
    <n v="145"/>
    <n v="71"/>
    <n v="141"/>
    <n v="97"/>
    <n v="70"/>
    <n v="0"/>
    <n v="0"/>
    <n v="11"/>
    <n v="11"/>
    <n v="11"/>
    <n v="0"/>
    <n v="0"/>
    <n v="0"/>
    <n v="19"/>
    <n v="36"/>
    <n v="28"/>
    <n v="0"/>
    <n v="0"/>
    <n v="0"/>
    <n v="6"/>
    <n v="8"/>
    <n v="9"/>
    <n v="0"/>
    <n v="0"/>
    <n v="0"/>
    <n v="32"/>
    <n v="17"/>
    <n v="6"/>
    <n v="3"/>
    <n v="17"/>
    <n v="6"/>
    <n v="23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47"/>
    <n v="179"/>
    <n v="149"/>
    <n v="0"/>
    <n v="17"/>
    <n v="0"/>
    <n v="14"/>
    <n v="0"/>
    <n v="2"/>
    <n v="0"/>
    <n v="0"/>
    <n v="0"/>
    <n v="133"/>
    <n v="16"/>
    <n v="0"/>
    <n v="0"/>
    <n v="0"/>
    <n v="0"/>
    <n v="114"/>
    <n v="0"/>
    <n v="0"/>
    <n v="19"/>
    <n v="16"/>
    <n v="29"/>
    <n v="0"/>
    <n v="146"/>
    <n v="118"/>
    <n v="-30"/>
    <n v="-17"/>
    <n v="4"/>
    <n v="-30"/>
    <n v="-17"/>
    <n v="4"/>
    <n v="81"/>
    <n v="35"/>
    <n v="6"/>
    <n v="44"/>
    <n v="35"/>
    <n v="6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8"/>
    <n v="0"/>
    <n v="49"/>
    <n v="18"/>
    <n v="0"/>
    <n v="209"/>
    <n v="213"/>
    <n v="151"/>
    <n v="228"/>
    <n v="214"/>
    <n v="155"/>
    <n v="19"/>
    <n v="1"/>
    <n v="4"/>
    <n v="19"/>
    <n v="1"/>
    <n v="4"/>
    <m/>
  </r>
  <r>
    <s v="SK Řetězárna"/>
    <n v="351"/>
    <n v="20"/>
    <n v="18"/>
    <n v="12"/>
    <n v="25"/>
    <n v="15"/>
    <n v="10"/>
    <x v="4"/>
    <s v="Sportem pro všechny"/>
    <n v="2"/>
    <n v="5"/>
    <n v="20"/>
    <n v="60"/>
    <n v="15"/>
    <x v="5"/>
    <n v="1878"/>
    <n v="687"/>
    <n v="1729"/>
    <n v="1795"/>
    <n v="1173"/>
    <n v="1795"/>
    <n v="-990"/>
    <n v="-1047"/>
    <n v="-1047"/>
    <n v="1073"/>
    <n v="561"/>
    <n v="981"/>
    <n v="0"/>
    <n v="0"/>
    <n v="0"/>
    <n v="11"/>
    <n v="96"/>
    <n v="96"/>
    <n v="1062"/>
    <n v="465"/>
    <n v="885"/>
    <n v="0"/>
    <n v="0"/>
    <n v="0"/>
    <n v="1878"/>
    <n v="687"/>
    <n v="1729"/>
    <n v="1799"/>
    <n v="562"/>
    <n v="1605"/>
    <n v="1936"/>
    <n v="602"/>
    <n v="1799"/>
    <n v="-137"/>
    <n v="-40"/>
    <n v="-194"/>
    <n v="79"/>
    <n v="125"/>
    <n v="124"/>
    <n v="30"/>
    <n v="30"/>
    <n v="30"/>
    <n v="0"/>
    <n v="0"/>
    <n v="0"/>
    <n v="32"/>
    <n v="6"/>
    <n v="6"/>
    <n v="18"/>
    <n v="89"/>
    <n v="88"/>
    <n v="1734"/>
    <n v="1618"/>
    <n v="2058"/>
    <n v="406"/>
    <n v="996"/>
    <n v="1418"/>
    <n v="784"/>
    <n v="0"/>
    <n v="0"/>
    <n v="458"/>
    <n v="549"/>
    <n v="549"/>
    <n v="4"/>
    <n v="2"/>
    <n v="9"/>
    <n v="25"/>
    <n v="14"/>
    <n v="25"/>
    <n v="57"/>
    <n v="57"/>
    <n v="57"/>
    <n v="0"/>
    <n v="0"/>
    <n v="0"/>
    <n v="0"/>
    <n v="0"/>
    <n v="0"/>
    <n v="580"/>
    <n v="887"/>
    <n v="1073"/>
    <n v="229"/>
    <n v="587"/>
    <n v="749"/>
    <n v="56"/>
    <n v="0"/>
    <n v="0"/>
    <n v="295"/>
    <n v="300"/>
    <n v="324"/>
    <n v="0"/>
    <n v="0"/>
    <n v="0"/>
    <n v="0"/>
    <n v="0"/>
    <n v="0"/>
    <n v="0"/>
    <n v="0"/>
    <n v="0"/>
    <n v="0"/>
    <n v="0"/>
    <n v="0"/>
    <n v="0"/>
    <n v="0"/>
    <n v="0"/>
    <n v="1516"/>
    <n v="1368"/>
    <n v="1833"/>
    <n v="170"/>
    <n v="122"/>
    <n v="168"/>
    <n v="0"/>
    <n v="0"/>
    <n v="0"/>
    <n v="0"/>
    <n v="0"/>
    <n v="0"/>
    <n v="567"/>
    <n v="372"/>
    <n v="651"/>
    <n v="0"/>
    <n v="0"/>
    <n v="0"/>
    <n v="455"/>
    <n v="292"/>
    <n v="504"/>
    <n v="112"/>
    <n v="79"/>
    <n v="148"/>
    <n v="779"/>
    <n v="874"/>
    <n v="1014"/>
    <n v="-218"/>
    <n v="-250"/>
    <n v="-225"/>
    <n v="-218"/>
    <n v="-250"/>
    <n v="-225"/>
    <n v="423"/>
    <n v="1097"/>
    <n v="1103"/>
    <n v="0"/>
    <n v="888"/>
    <n v="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"/>
    <n v="209"/>
    <n v="1103"/>
    <n v="82"/>
    <n v="210"/>
    <n v="30"/>
    <n v="82"/>
    <n v="210"/>
    <n v="30"/>
    <n v="2314"/>
    <n v="2505"/>
    <n v="3131"/>
    <n v="1939"/>
    <n v="2465"/>
    <n v="2936"/>
    <n v="-375"/>
    <n v="-40"/>
    <n v="-195"/>
    <n v="-136"/>
    <n v="-40"/>
    <n v="-195"/>
    <m/>
  </r>
  <r>
    <s v="Tělovýchovná jednota TJ KLIMKOVICE"/>
    <n v="175"/>
    <n v="5"/>
    <n v="25"/>
    <n v="25"/>
    <n v="30"/>
    <n v="10"/>
    <n v="5"/>
    <x v="4"/>
    <s v="Výchovou mládeže"/>
    <n v="5"/>
    <n v="10"/>
    <n v="70"/>
    <n v="15"/>
    <n v="5"/>
    <x v="4"/>
    <n v="251"/>
    <n v="323"/>
    <n v="490"/>
    <n v="227"/>
    <n v="1102"/>
    <n v="1197"/>
    <n v="-227"/>
    <n v="1102"/>
    <n v="-1144"/>
    <n v="251"/>
    <n v="323"/>
    <n v="438"/>
    <n v="0"/>
    <n v="0"/>
    <n v="0"/>
    <n v="0"/>
    <n v="5"/>
    <n v="8"/>
    <n v="251"/>
    <n v="318"/>
    <n v="430"/>
    <n v="0"/>
    <n v="0"/>
    <m/>
    <n v="251"/>
    <n v="323"/>
    <n v="490"/>
    <n v="247"/>
    <n v="286"/>
    <n v="490"/>
    <n v="152"/>
    <n v="152"/>
    <n v="152"/>
    <n v="95"/>
    <n v="132"/>
    <n v="338"/>
    <n v="4"/>
    <n v="36"/>
    <n v="0"/>
    <n v="0"/>
    <n v="0"/>
    <n v="0"/>
    <n v="0"/>
    <n v="0"/>
    <n v="0"/>
    <n v="4"/>
    <n v="0"/>
    <n v="0"/>
    <n v="0"/>
    <n v="36"/>
    <n v="0"/>
    <n v="532"/>
    <n v="651"/>
    <n v="822"/>
    <n v="136"/>
    <n v="266"/>
    <n v="257"/>
    <n v="209"/>
    <n v="168"/>
    <n v="233"/>
    <n v="140"/>
    <n v="189"/>
    <n v="268"/>
    <n v="0"/>
    <n v="0"/>
    <n v="0"/>
    <n v="26"/>
    <n v="8"/>
    <n v="2"/>
    <n v="0"/>
    <n v="0"/>
    <n v="42"/>
    <n v="0"/>
    <n v="2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"/>
    <n v="691"/>
    <n v="1026"/>
    <n v="114"/>
    <n v="107"/>
    <n v="198"/>
    <n v="31"/>
    <n v="0"/>
    <n v="0"/>
    <n v="0"/>
    <n v="0"/>
    <n v="0"/>
    <n v="482"/>
    <n v="498"/>
    <n v="478"/>
    <n v="23"/>
    <n v="0"/>
    <n v="1"/>
    <n v="429"/>
    <n v="448"/>
    <n v="431"/>
    <n v="30"/>
    <n v="50"/>
    <n v="46"/>
    <n v="0"/>
    <n v="85"/>
    <n v="350"/>
    <n v="95"/>
    <n v="39"/>
    <n v="204"/>
    <n v="95"/>
    <n v="39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651"/>
    <n v="822"/>
    <n v="627"/>
    <n v="691"/>
    <n v="1026"/>
    <n v="95"/>
    <n v="40"/>
    <n v="204"/>
    <n v="95"/>
    <n v="39"/>
    <n v="204"/>
    <s v="priloha"/>
  </r>
  <r>
    <s v="Tělocvičná jednota Sokol Klášterec nad Orlicí"/>
    <n v="190"/>
    <n v="0"/>
    <n v="40"/>
    <n v="10"/>
    <n v="25"/>
    <n v="20"/>
    <n v="5"/>
    <x v="4"/>
    <s v="Sportem pro všechny"/>
    <n v="1"/>
    <n v="20"/>
    <n v="25"/>
    <n v="5"/>
    <n v="50"/>
    <x v="4"/>
    <n v="2168"/>
    <n v="1594"/>
    <n v="1582"/>
    <n v="4139"/>
    <n v="4254"/>
    <n v="4255"/>
    <n v="-2464"/>
    <n v="-2772"/>
    <n v="-2920"/>
    <n v="492"/>
    <n v="112"/>
    <n v="247"/>
    <n v="34"/>
    <n v="34"/>
    <n v="37"/>
    <n v="30"/>
    <n v="34"/>
    <n v="25"/>
    <n v="417"/>
    <n v="44"/>
    <n v="185"/>
    <n v="11"/>
    <n v="0"/>
    <n v="0"/>
    <n v="2168"/>
    <n v="1594"/>
    <n v="1582"/>
    <n v="1527"/>
    <n v="1060"/>
    <n v="1115"/>
    <n v="2711"/>
    <n v="2711"/>
    <n v="2712"/>
    <n v="-1185"/>
    <n v="-1661"/>
    <n v="-1597"/>
    <n v="641"/>
    <n v="534"/>
    <n v="467"/>
    <n v="0"/>
    <n v="0"/>
    <n v="0"/>
    <n v="0"/>
    <n v="0"/>
    <n v="0"/>
    <n v="641"/>
    <n v="534"/>
    <n v="467"/>
    <n v="0"/>
    <n v="0"/>
    <n v="0"/>
    <n v="1949"/>
    <n v="762"/>
    <n v="559"/>
    <n v="359"/>
    <n v="188"/>
    <n v="306"/>
    <n v="1536"/>
    <n v="361"/>
    <n v="0"/>
    <n v="26"/>
    <n v="29"/>
    <n v="45"/>
    <n v="1"/>
    <n v="4"/>
    <n v="4"/>
    <n v="12"/>
    <n v="8"/>
    <n v="24"/>
    <n v="0"/>
    <n v="157"/>
    <n v="147"/>
    <n v="15"/>
    <n v="15"/>
    <n v="33"/>
    <n v="0"/>
    <n v="0"/>
    <n v="0"/>
    <n v="343"/>
    <n v="667"/>
    <n v="621"/>
    <n v="343"/>
    <n v="652"/>
    <n v="603"/>
    <n v="0"/>
    <n v="0"/>
    <n v="0"/>
    <n v="0"/>
    <n v="15"/>
    <n v="18"/>
    <n v="0"/>
    <n v="0"/>
    <n v="0"/>
    <n v="0"/>
    <n v="0"/>
    <n v="0"/>
    <n v="0"/>
    <n v="0"/>
    <n v="0"/>
    <n v="0"/>
    <n v="0"/>
    <n v="0"/>
    <n v="0"/>
    <n v="0"/>
    <n v="0"/>
    <n v="869"/>
    <n v="305"/>
    <n v="376"/>
    <n v="168"/>
    <n v="73"/>
    <n v="82"/>
    <n v="0"/>
    <n v="0"/>
    <n v="0"/>
    <n v="0"/>
    <n v="0"/>
    <n v="1"/>
    <n v="234"/>
    <n v="136"/>
    <n v="113"/>
    <n v="0"/>
    <n v="0"/>
    <n v="0"/>
    <n v="176"/>
    <n v="78"/>
    <n v="65"/>
    <n v="48"/>
    <n v="58"/>
    <n v="48"/>
    <n v="476"/>
    <n v="96"/>
    <n v="180"/>
    <n v="-1080"/>
    <n v="-457"/>
    <n v="-183"/>
    <n v="-1080"/>
    <n v="-457"/>
    <n v="-183"/>
    <n v="639"/>
    <n v="809"/>
    <n v="859"/>
    <n v="639"/>
    <n v="809"/>
    <n v="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142"/>
    <n v="238"/>
    <n v="296"/>
    <n v="142"/>
    <n v="238"/>
    <n v="2292"/>
    <n v="1429"/>
    <n v="1180"/>
    <n v="1508"/>
    <n v="1114"/>
    <n v="1235"/>
    <n v="-784"/>
    <n v="-315"/>
    <n v="55"/>
    <n v="-784"/>
    <n v="-315"/>
    <n v="55"/>
    <m/>
  </r>
  <r>
    <s v="Tělovýchovná jednota Poličná"/>
    <n v="169"/>
    <n v="5"/>
    <n v="10"/>
    <n v="10"/>
    <n v="15"/>
    <n v="45"/>
    <n v="15"/>
    <x v="4"/>
    <s v="Výchovou mládeže"/>
    <n v="1"/>
    <n v="70"/>
    <n v="25"/>
    <n v="5"/>
    <n v="0"/>
    <x v="6"/>
    <n v="2108"/>
    <n v="2110"/>
    <n v="2073"/>
    <n v="2036"/>
    <n v="2036"/>
    <n v="2036"/>
    <n v="-11"/>
    <n v="-34"/>
    <n v="-58"/>
    <n v="83"/>
    <n v="108"/>
    <n v="95"/>
    <n v="0"/>
    <n v="0"/>
    <n v="0"/>
    <n v="0"/>
    <n v="-3"/>
    <n v="-5"/>
    <n v="75"/>
    <n v="111"/>
    <n v="100"/>
    <n v="0"/>
    <n v="0"/>
    <n v="0"/>
    <n v="2108"/>
    <n v="2110"/>
    <n v="2073"/>
    <n v="2028"/>
    <n v="2070"/>
    <n v="2073"/>
    <n v="2054"/>
    <n v="2028"/>
    <n v="2069"/>
    <n v="-26"/>
    <n v="42"/>
    <n v="4"/>
    <n v="80"/>
    <n v="40"/>
    <n v="0"/>
    <n v="0"/>
    <n v="0"/>
    <n v="0"/>
    <n v="40"/>
    <n v="0"/>
    <n v="0"/>
    <n v="40"/>
    <n v="40"/>
    <n v="0"/>
    <n v="0"/>
    <n v="0"/>
    <n v="0"/>
    <n v="265"/>
    <n v="246"/>
    <n v="207"/>
    <n v="113"/>
    <n v="190"/>
    <n v="161"/>
    <n v="104"/>
    <n v="0"/>
    <n v="0"/>
    <n v="15"/>
    <n v="10"/>
    <n v="0"/>
    <n v="0"/>
    <n v="1"/>
    <n v="2"/>
    <n v="3"/>
    <n v="2"/>
    <n v="0"/>
    <n v="11"/>
    <n v="23"/>
    <n v="23"/>
    <n v="19"/>
    <n v="20"/>
    <n v="21"/>
    <n v="0"/>
    <n v="0"/>
    <n v="0"/>
    <n v="8"/>
    <n v="8"/>
    <n v="6"/>
    <n v="8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245"/>
    <n v="189"/>
    <n v="17"/>
    <n v="46"/>
    <n v="18"/>
    <n v="0"/>
    <n v="2"/>
    <n v="0"/>
    <n v="0"/>
    <n v="0"/>
    <n v="0"/>
    <n v="100"/>
    <n v="97"/>
    <n v="71"/>
    <n v="0"/>
    <n v="0"/>
    <n v="0"/>
    <n v="78"/>
    <n v="60"/>
    <n v="48"/>
    <n v="22"/>
    <n v="37"/>
    <n v="23"/>
    <n v="110"/>
    <n v="100"/>
    <n v="100"/>
    <n v="-38"/>
    <n v="-1"/>
    <n v="-18"/>
    <n v="-38"/>
    <n v="-1"/>
    <n v="-18"/>
    <n v="20"/>
    <n v="51"/>
    <n v="28"/>
    <n v="20"/>
    <n v="51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3"/>
    <n v="22"/>
    <n v="12"/>
    <n v="43"/>
    <n v="22"/>
    <n v="273"/>
    <n v="254"/>
    <n v="213"/>
    <n v="247"/>
    <n v="296"/>
    <n v="217"/>
    <n v="-26"/>
    <n v="42"/>
    <n v="4"/>
    <n v="-26"/>
    <n v="42"/>
    <n v="4"/>
    <m/>
  </r>
  <r>
    <s v="Tělovýchovná jednota SOKOL Klecany"/>
    <n v="180"/>
    <n v="20"/>
    <n v="20"/>
    <n v="20"/>
    <n v="30"/>
    <n v="9"/>
    <n v="1"/>
    <x v="4"/>
    <s v="Výchovou mládeže"/>
    <n v="5"/>
    <n v="10"/>
    <n v="50"/>
    <n v="10"/>
    <n v="30"/>
    <x v="1"/>
    <n v="279"/>
    <n v="217"/>
    <n v="255"/>
    <n v="811"/>
    <n v="811"/>
    <n v="811"/>
    <n v="-811"/>
    <n v="-811"/>
    <n v="-811"/>
    <n v="279"/>
    <n v="217"/>
    <n v="255"/>
    <n v="0"/>
    <n v="0"/>
    <n v="0"/>
    <n v="151"/>
    <n v="131"/>
    <n v="180"/>
    <n v="128"/>
    <n v="52"/>
    <n v="64"/>
    <n v="0"/>
    <n v="0"/>
    <n v="11"/>
    <n v="279"/>
    <n v="217"/>
    <n v="255"/>
    <n v="158"/>
    <n v="113"/>
    <n v="136"/>
    <n v="0"/>
    <n v="0"/>
    <n v="0"/>
    <n v="158"/>
    <n v="113"/>
    <n v="136"/>
    <n v="121"/>
    <n v="104"/>
    <n v="119"/>
    <n v="0"/>
    <n v="0"/>
    <n v="0"/>
    <n v="0"/>
    <n v="0"/>
    <n v="0"/>
    <n v="69"/>
    <n v="104"/>
    <n v="119"/>
    <n v="52"/>
    <n v="0"/>
    <n v="0"/>
    <n v="1858"/>
    <n v="1475"/>
    <n v="1221"/>
    <n v="950"/>
    <n v="1346"/>
    <n v="1084"/>
    <n v="785"/>
    <n v="0"/>
    <n v="0"/>
    <n v="0"/>
    <n v="36"/>
    <n v="52"/>
    <n v="56"/>
    <n v="90"/>
    <n v="83"/>
    <n v="66"/>
    <n v="1"/>
    <n v="1"/>
    <n v="0"/>
    <n v="0"/>
    <n v="0"/>
    <n v="1"/>
    <n v="0"/>
    <n v="1"/>
    <n v="0"/>
    <n v="2"/>
    <n v="0"/>
    <n v="63"/>
    <n v="58"/>
    <n v="68"/>
    <n v="1"/>
    <n v="58"/>
    <n v="6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"/>
    <n v="1121"/>
    <n v="952"/>
    <n v="720"/>
    <n v="207"/>
    <n v="211"/>
    <n v="-42"/>
    <n v="0"/>
    <n v="0"/>
    <n v="0"/>
    <n v="0"/>
    <n v="0"/>
    <n v="580"/>
    <n v="914"/>
    <n v="741"/>
    <n v="0"/>
    <n v="0"/>
    <n v="184"/>
    <n v="580"/>
    <n v="792"/>
    <n v="442"/>
    <n v="0"/>
    <n v="122"/>
    <n v="115"/>
    <n v="0"/>
    <n v="0"/>
    <n v="0"/>
    <n v="-600"/>
    <n v="-352"/>
    <n v="-269"/>
    <n v="-600"/>
    <n v="-352"/>
    <n v="-269"/>
    <n v="361"/>
    <n v="367"/>
    <n v="359"/>
    <n v="361"/>
    <n v="367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309"/>
    <n v="291"/>
    <n v="298"/>
    <n v="309"/>
    <n v="291"/>
    <n v="1921"/>
    <n v="1533"/>
    <n v="1289"/>
    <n v="1619"/>
    <n v="1488"/>
    <n v="1311"/>
    <n v="-302"/>
    <n v="-45"/>
    <n v="22"/>
    <n v="-302"/>
    <n v="-43"/>
    <n v="22"/>
    <m/>
  </r>
  <r>
    <s v="FC Sporting Mladá Boleslav"/>
    <n v="225"/>
    <n v="10"/>
    <n v="55"/>
    <n v="15"/>
    <n v="15"/>
    <n v="5"/>
    <n v="0"/>
    <x v="4"/>
    <s v="Výchovou mládeže"/>
    <n v="2"/>
    <n v="30"/>
    <n v="60"/>
    <n v="0"/>
    <n v="10"/>
    <x v="5"/>
    <n v="76"/>
    <n v="52"/>
    <n v="65"/>
    <n v="0"/>
    <n v="0"/>
    <n v="0"/>
    <n v="0"/>
    <n v="0"/>
    <n v="0"/>
    <n v="76"/>
    <n v="52"/>
    <n v="65"/>
    <n v="0"/>
    <n v="0"/>
    <n v="0"/>
    <n v="0"/>
    <n v="0"/>
    <n v="0"/>
    <n v="76"/>
    <n v="51"/>
    <n v="64"/>
    <n v="0"/>
    <n v="1"/>
    <n v="1"/>
    <n v="76"/>
    <n v="51"/>
    <n v="65"/>
    <n v="32"/>
    <n v="5"/>
    <n v="-31"/>
    <n v="32"/>
    <n v="15"/>
    <n v="15"/>
    <n v="44"/>
    <n v="-10"/>
    <n v="-46"/>
    <n v="0"/>
    <n v="47"/>
    <n v="96"/>
    <n v="0"/>
    <n v="0"/>
    <n v="0"/>
    <n v="0"/>
    <n v="0"/>
    <n v="0"/>
    <n v="0"/>
    <n v="47"/>
    <n v="49"/>
    <n v="0"/>
    <n v="0"/>
    <n v="47"/>
    <n v="460"/>
    <n v="642"/>
    <n v="703"/>
    <n v="43"/>
    <n v="467"/>
    <n v="489"/>
    <n v="138"/>
    <n v="0"/>
    <n v="0"/>
    <n v="70"/>
    <n v="137"/>
    <n v="174"/>
    <n v="0"/>
    <n v="1"/>
    <n v="0"/>
    <n v="206"/>
    <n v="1"/>
    <n v="0"/>
    <n v="0"/>
    <n v="0"/>
    <n v="0"/>
    <n v="3"/>
    <n v="36"/>
    <n v="40"/>
    <n v="0"/>
    <n v="0"/>
    <n v="0"/>
    <n v="0"/>
    <n v="22"/>
    <n v="7"/>
    <n v="0"/>
    <n v="2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601"/>
    <n v="659"/>
    <n v="0"/>
    <n v="129"/>
    <n v="61"/>
    <n v="134"/>
    <n v="0"/>
    <n v="0"/>
    <n v="0"/>
    <n v="0"/>
    <n v="0"/>
    <n v="230"/>
    <n v="162"/>
    <n v="254"/>
    <n v="40"/>
    <n v="22"/>
    <n v="0"/>
    <n v="50"/>
    <n v="0"/>
    <n v="0"/>
    <n v="140"/>
    <n v="140"/>
    <n v="254"/>
    <n v="140"/>
    <n v="310"/>
    <n v="344"/>
    <n v="44"/>
    <n v="-41"/>
    <n v="-44"/>
    <n v="44"/>
    <n v="-41"/>
    <n v="-44"/>
    <n v="0"/>
    <n v="28"/>
    <n v="15"/>
    <n v="0"/>
    <n v="28"/>
    <n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0"/>
    <n v="6"/>
    <n v="8"/>
    <n v="460"/>
    <n v="664"/>
    <n v="710"/>
    <n v="504"/>
    <n v="629"/>
    <n v="674"/>
    <n v="44"/>
    <n v="-35"/>
    <n v="-36"/>
    <n v="44"/>
    <n v="-35"/>
    <n v="-36"/>
    <m/>
  </r>
  <r>
    <s v="Tělovýchovná jednota Svitavy"/>
    <n v="285"/>
    <n v="11"/>
    <n v="41"/>
    <n v="16"/>
    <n v="10"/>
    <n v="18"/>
    <n v="4"/>
    <x v="4"/>
    <s v="Výchovou mládeže"/>
    <n v="3"/>
    <n v="10"/>
    <n v="75"/>
    <n v="15"/>
    <n v="0"/>
    <x v="4"/>
    <n v="29418"/>
    <n v="29491"/>
    <n v="29318"/>
    <n v="29358"/>
    <n v="29358"/>
    <n v="29358"/>
    <n v="-6092"/>
    <n v="-7129"/>
    <n v="-8049"/>
    <n v="6152"/>
    <n v="7262"/>
    <n v="8009"/>
    <n v="134"/>
    <n v="134"/>
    <n v="52"/>
    <n v="2162"/>
    <n v="2081"/>
    <n v="2001"/>
    <n v="4050"/>
    <n v="5241"/>
    <n v="6150"/>
    <n v="-194"/>
    <n v="-194"/>
    <n v="-194"/>
    <n v="29418"/>
    <n v="29491"/>
    <n v="29318"/>
    <n v="28124"/>
    <n v="28717"/>
    <n v="27424"/>
    <n v="10069"/>
    <n v="9092"/>
    <n v="8151"/>
    <n v="18055"/>
    <n v="19625"/>
    <n v="19273"/>
    <n v="1294"/>
    <n v="774"/>
    <n v="1894"/>
    <n v="0"/>
    <n v="0"/>
    <n v="0"/>
    <n v="1107"/>
    <n v="1108"/>
    <n v="1108"/>
    <n v="187"/>
    <n v="-334"/>
    <n v="686"/>
    <n v="0"/>
    <n v="0"/>
    <n v="100"/>
    <n v="11792"/>
    <n v="11878"/>
    <n v="13836"/>
    <n v="402"/>
    <n v="7717"/>
    <n v="9067"/>
    <n v="5658"/>
    <n v="0"/>
    <n v="0"/>
    <n v="293"/>
    <n v="443"/>
    <n v="1373"/>
    <n v="2"/>
    <n v="25"/>
    <n v="6"/>
    <n v="2150"/>
    <n v="2387"/>
    <n v="1955"/>
    <n v="3136"/>
    <n v="1037"/>
    <n v="920"/>
    <n v="151"/>
    <n v="127"/>
    <n v="331"/>
    <n v="0"/>
    <n v="142"/>
    <n v="184"/>
    <n v="105"/>
    <n v="28"/>
    <n v="37"/>
    <n v="0"/>
    <n v="28"/>
    <n v="37"/>
    <n v="7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0"/>
    <n v="10900"/>
    <n v="12998"/>
    <n v="12711"/>
    <n v="1144"/>
    <n v="2127"/>
    <n v="1728"/>
    <n v="1166"/>
    <n v="1125"/>
    <n v="-25"/>
    <n v="0"/>
    <n v="0"/>
    <n v="0"/>
    <n v="2868"/>
    <n v="2817"/>
    <n v="3243"/>
    <n v="371"/>
    <n v="319"/>
    <n v="463"/>
    <n v="1254"/>
    <n v="960"/>
    <n v="783"/>
    <n v="1243"/>
    <n v="1538"/>
    <n v="1997"/>
    <n v="5722"/>
    <n v="6929"/>
    <n v="7765"/>
    <n v="-892"/>
    <n v="1262"/>
    <n v="-940"/>
    <n v="-1087"/>
    <n v="1120"/>
    <n v="-1125"/>
    <n v="900"/>
    <n v="478"/>
    <n v="810"/>
    <n v="400"/>
    <n v="478"/>
    <n v="81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450"/>
    <n v="773"/>
    <n v="795"/>
    <n v="450"/>
    <n v="773"/>
    <n v="11897"/>
    <n v="11906"/>
    <n v="13873"/>
    <n v="11800"/>
    <n v="13476"/>
    <n v="13521"/>
    <n v="-97"/>
    <n v="1570"/>
    <n v="-352"/>
    <n v="-292"/>
    <n v="1570"/>
    <n v="-352"/>
    <s v="priloha"/>
  </r>
  <r>
    <s v="Tělovýchovná jednota Tatran Míčov"/>
    <n v="100"/>
    <n v="5"/>
    <n v="6"/>
    <n v="9"/>
    <n v="15"/>
    <n v="30"/>
    <n v="35"/>
    <x v="4"/>
    <s v="Sportem pro všechny"/>
    <n v="4"/>
    <n v="5"/>
    <n v="70"/>
    <n v="20"/>
    <n v="5"/>
    <x v="0"/>
    <n v="1700"/>
    <n v="1701"/>
    <n v="1707"/>
    <n v="1630"/>
    <n v="1630"/>
    <n v="1630"/>
    <n v="0"/>
    <n v="0"/>
    <n v="0"/>
    <n v="70"/>
    <n v="71"/>
    <n v="77"/>
    <n v="0"/>
    <n v="0"/>
    <n v="0"/>
    <n v="0"/>
    <n v="0"/>
    <n v="0"/>
    <n v="70"/>
    <n v="71"/>
    <n v="77"/>
    <n v="70"/>
    <n v="0"/>
    <n v="0"/>
    <n v="1700"/>
    <n v="1701"/>
    <n v="1707"/>
    <n v="1700"/>
    <n v="1701"/>
    <n v="1707"/>
    <n v="1700"/>
    <n v="1699"/>
    <n v="170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02"/>
    <n v="145"/>
    <n v="130"/>
    <n v="48"/>
    <n v="131"/>
    <n v="108"/>
    <n v="33"/>
    <n v="0"/>
    <n v="0"/>
    <n v="0"/>
    <n v="0"/>
    <n v="0"/>
    <n v="0"/>
    <n v="0"/>
    <n v="0"/>
    <n v="12"/>
    <n v="7"/>
    <n v="16"/>
    <n v="0"/>
    <n v="0"/>
    <n v="0"/>
    <n v="9"/>
    <n v="7"/>
    <n v="6"/>
    <n v="0"/>
    <n v="0"/>
    <n v="0"/>
    <n v="38"/>
    <n v="35"/>
    <n v="30"/>
    <n v="0"/>
    <n v="35"/>
    <n v="3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131"/>
    <n v="110"/>
    <n v="9"/>
    <n v="8"/>
    <n v="11"/>
    <n v="0"/>
    <n v="0"/>
    <n v="0"/>
    <n v="0"/>
    <n v="0"/>
    <n v="0"/>
    <n v="59"/>
    <n v="123"/>
    <n v="99"/>
    <n v="0"/>
    <n v="0"/>
    <n v="0"/>
    <n v="57"/>
    <n v="121"/>
    <n v="89"/>
    <n v="2"/>
    <n v="2"/>
    <n v="10"/>
    <n v="60"/>
    <n v="0"/>
    <n v="0"/>
    <n v="26"/>
    <n v="-14"/>
    <n v="-20"/>
    <n v="26"/>
    <n v="-14"/>
    <n v="-20"/>
    <n v="45"/>
    <n v="51"/>
    <n v="42"/>
    <n v="45"/>
    <n v="51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6"/>
    <n v="12"/>
    <n v="7"/>
    <n v="16"/>
    <n v="12"/>
    <n v="140"/>
    <n v="180"/>
    <n v="160"/>
    <n v="173"/>
    <n v="182"/>
    <n v="152"/>
    <n v="33"/>
    <n v="2"/>
    <n v="-8"/>
    <n v="33"/>
    <n v="2"/>
    <n v="-8"/>
    <m/>
  </r>
  <r>
    <s v="Jezd.stáj Wagrann-Dita Harvanová"/>
    <n v="50"/>
    <n v="30"/>
    <n v="35"/>
    <n v="15"/>
    <n v="0"/>
    <n v="10"/>
    <n v="10"/>
    <x v="5"/>
    <s v="Sportem pro všechny"/>
    <n v="2"/>
    <n v="70"/>
    <n v="0"/>
    <n v="10"/>
    <n v="20"/>
    <x v="4"/>
    <n v="60"/>
    <n v="87"/>
    <n v="98"/>
    <n v="48"/>
    <n v="48"/>
    <n v="48"/>
    <n v="0"/>
    <m/>
    <n v="0"/>
    <n v="12"/>
    <n v="39"/>
    <n v="50"/>
    <n v="0"/>
    <n v="0"/>
    <n v="0"/>
    <n v="0"/>
    <n v="0"/>
    <n v="0"/>
    <n v="12"/>
    <n v="39"/>
    <n v="50"/>
    <n v="0"/>
    <n v="0"/>
    <n v="0"/>
    <n v="60"/>
    <n v="87"/>
    <n v="98"/>
    <n v="60"/>
    <n v="87"/>
    <n v="98"/>
    <n v="49"/>
    <n v="60"/>
    <n v="87"/>
    <n v="11"/>
    <n v="27"/>
    <n v="11"/>
    <n v="0"/>
    <n v="0"/>
    <n v="0"/>
    <n v="0"/>
    <n v="0"/>
    <n v="0"/>
    <n v="0"/>
    <n v="0"/>
    <n v="0"/>
    <n v="0"/>
    <n v="0"/>
    <n v="0"/>
    <n v="0"/>
    <n v="0"/>
    <n v="0"/>
    <n v="219"/>
    <n v="136"/>
    <n v="161"/>
    <n v="201"/>
    <n v="110"/>
    <n v="110"/>
    <n v="15"/>
    <n v="26"/>
    <n v="45"/>
    <n v="0"/>
    <n v="0"/>
    <n v="0"/>
    <n v="0"/>
    <n v="0"/>
    <n v="0"/>
    <n v="0"/>
    <n v="0"/>
    <n v="6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163"/>
    <n v="172"/>
    <n v="0"/>
    <n v="15"/>
    <n v="85"/>
    <n v="0"/>
    <n v="0"/>
    <n v="0"/>
    <n v="0"/>
    <n v="0"/>
    <n v="0"/>
    <n v="230"/>
    <n v="0"/>
    <n v="0"/>
    <n v="0"/>
    <n v="148"/>
    <n v="87"/>
    <n v="25"/>
    <n v="25"/>
    <n v="25"/>
    <n v="205"/>
    <n v="123"/>
    <n v="62"/>
    <n v="0"/>
    <n v="0"/>
    <n v="0"/>
    <n v="11"/>
    <n v="27"/>
    <n v="11"/>
    <n v="11"/>
    <n v="2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136"/>
    <n v="161"/>
    <n v="230"/>
    <n v="163"/>
    <n v="172"/>
    <n v="11"/>
    <n v="27"/>
    <n v="11"/>
    <n v="11"/>
    <n v="27"/>
    <n v="11"/>
    <m/>
  </r>
  <r>
    <s v="Loko Trutnov"/>
    <n v="40"/>
    <n v="0"/>
    <n v="25"/>
    <n v="15"/>
    <n v="15"/>
    <n v="35"/>
    <n v="10"/>
    <x v="6"/>
    <s v="Výkonnostním sportem"/>
    <n v="1"/>
    <n v="15"/>
    <n v="55"/>
    <n v="25"/>
    <n v="5"/>
    <x v="4"/>
    <n v="52718"/>
    <n v="18274"/>
    <n v="28832"/>
    <n v="47417"/>
    <n v="20411"/>
    <n v="19521"/>
    <n v="-5466"/>
    <n v="-9298"/>
    <n v="-9218"/>
    <n v="10767"/>
    <n v="7161"/>
    <n v="18529"/>
    <n v="26"/>
    <n v="0"/>
    <n v="0"/>
    <n v="6320"/>
    <n v="1973"/>
    <n v="998"/>
    <n v="4055"/>
    <n v="5164"/>
    <n v="17513"/>
    <n v="366"/>
    <n v="24"/>
    <n v="18"/>
    <n v="52718"/>
    <n v="18274"/>
    <n v="28832"/>
    <n v="50432"/>
    <n v="16081"/>
    <n v="25743"/>
    <n v="50885"/>
    <n v="20695"/>
    <n v="20404"/>
    <n v="-453"/>
    <n v="-4614"/>
    <n v="5339"/>
    <n v="2286"/>
    <n v="2193"/>
    <n v="3089"/>
    <n v="0"/>
    <n v="0"/>
    <n v="0"/>
    <n v="0"/>
    <n v="0"/>
    <n v="0"/>
    <n v="2264"/>
    <n v="2134"/>
    <n v="3074"/>
    <n v="22"/>
    <n v="59"/>
    <n v="15"/>
    <n v="19283"/>
    <n v="27371"/>
    <n v="23001"/>
    <n v="2179"/>
    <n v="15958"/>
    <n v="16058"/>
    <n v="11991"/>
    <n v="0"/>
    <n v="0"/>
    <n v="3309"/>
    <n v="4127"/>
    <n v="5225"/>
    <n v="123"/>
    <n v="30"/>
    <n v="28"/>
    <n v="1681"/>
    <n v="6587"/>
    <n v="1499"/>
    <n v="0"/>
    <n v="604"/>
    <n v="191"/>
    <n v="0"/>
    <n v="0"/>
    <n v="0"/>
    <n v="0"/>
    <n v="65"/>
    <n v="0"/>
    <n v="121"/>
    <n v="897"/>
    <n v="3642"/>
    <n v="14"/>
    <n v="491"/>
    <n v="677"/>
    <n v="99"/>
    <n v="0"/>
    <n v="0"/>
    <n v="0"/>
    <n v="36"/>
    <n v="39"/>
    <n v="0"/>
    <n v="0"/>
    <n v="0"/>
    <n v="8"/>
    <n v="18"/>
    <n v="5"/>
    <n v="0"/>
    <n v="0"/>
    <n v="327"/>
    <n v="0"/>
    <n v="0"/>
    <n v="0"/>
    <n v="0"/>
    <n v="352"/>
    <n v="2594"/>
    <n v="16666"/>
    <n v="20917"/>
    <n v="21042"/>
    <n v="4973"/>
    <n v="4675"/>
    <n v="4696"/>
    <n v="933"/>
    <n v="2099"/>
    <n v="1546"/>
    <n v="80"/>
    <n v="415"/>
    <n v="0"/>
    <n v="5242"/>
    <n v="3730"/>
    <n v="3465"/>
    <n v="1845"/>
    <n v="0"/>
    <n v="0"/>
    <n v="460"/>
    <n v="943"/>
    <n v="213"/>
    <n v="2937"/>
    <n v="2788"/>
    <n v="3252"/>
    <n v="5438"/>
    <n v="9998"/>
    <n v="11335"/>
    <n v="-2617"/>
    <n v="-6389"/>
    <n v="-1959"/>
    <n v="-2949"/>
    <n v="-6454"/>
    <n v="-1959"/>
    <n v="2617"/>
    <n v="3190"/>
    <n v="15554"/>
    <n v="2411"/>
    <n v="3134"/>
    <n v="3354"/>
    <n v="206"/>
    <n v="56"/>
    <n v="0"/>
    <n v="0"/>
    <n v="0"/>
    <n v="12200"/>
    <n v="0"/>
    <n v="0"/>
    <n v="0"/>
    <n v="0"/>
    <n v="0"/>
    <n v="0"/>
    <n v="0"/>
    <n v="0"/>
    <n v="0"/>
    <n v="0"/>
    <n v="0"/>
    <n v="0"/>
    <n v="0"/>
    <n v="0"/>
    <n v="0"/>
    <n v="2496"/>
    <n v="2645"/>
    <n v="14506"/>
    <n v="2496"/>
    <n v="2293"/>
    <n v="11912"/>
    <n v="19404"/>
    <n v="28268"/>
    <n v="26643"/>
    <n v="19283"/>
    <n v="24107"/>
    <n v="36596"/>
    <n v="-121"/>
    <n v="-4161"/>
    <n v="9953"/>
    <n v="-453"/>
    <n v="-4161"/>
    <n v="9953"/>
    <m/>
  </r>
  <r>
    <s v="Veslařský klub Přerov"/>
    <n v="105"/>
    <n v="0"/>
    <n v="40"/>
    <n v="30"/>
    <n v="5"/>
    <n v="5"/>
    <n v="20"/>
    <x v="7"/>
    <s v="Výkonnostním sportem"/>
    <n v="1"/>
    <n v="35"/>
    <n v="50"/>
    <n v="15"/>
    <n v="0"/>
    <x v="5"/>
    <n v="1140"/>
    <n v="862"/>
    <n v="2236"/>
    <n v="2092"/>
    <n v="2163"/>
    <n v="3409"/>
    <n v="-1247"/>
    <n v="-1301"/>
    <n v="-1531"/>
    <n v="295"/>
    <n v="495"/>
    <n v="358"/>
    <n v="0"/>
    <n v="0"/>
    <n v="0"/>
    <n v="0"/>
    <n v="10"/>
    <n v="0"/>
    <n v="295"/>
    <n v="485"/>
    <n v="358"/>
    <n v="0"/>
    <n v="0"/>
    <n v="0"/>
    <n v="1140"/>
    <n v="1357"/>
    <n v="2236"/>
    <n v="1140"/>
    <n v="1355"/>
    <n v="2233"/>
    <n v="1140"/>
    <n v="1355"/>
    <n v="2233"/>
    <n v="0"/>
    <n v="0"/>
    <n v="0"/>
    <n v="0"/>
    <n v="2"/>
    <n v="3"/>
    <n v="0"/>
    <n v="0"/>
    <n v="0"/>
    <n v="0"/>
    <n v="0"/>
    <n v="0"/>
    <n v="0"/>
    <n v="2"/>
    <n v="3"/>
    <n v="0"/>
    <n v="0"/>
    <n v="0"/>
    <n v="804"/>
    <n v="873"/>
    <n v="1133"/>
    <n v="136"/>
    <n v="111"/>
    <n v="212"/>
    <n v="533"/>
    <n v="586"/>
    <n v="636"/>
    <n v="70"/>
    <n v="100"/>
    <n v="170"/>
    <n v="0"/>
    <n v="8"/>
    <n v="4"/>
    <n v="19"/>
    <n v="4"/>
    <n v="32"/>
    <n v="46"/>
    <n v="54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873"/>
    <n v="1133"/>
    <n v="49"/>
    <n v="85"/>
    <n v="21"/>
    <n v="117"/>
    <n v="49"/>
    <n v="72"/>
    <n v="0"/>
    <n v="10"/>
    <n v="40"/>
    <n v="273"/>
    <n v="388"/>
    <n v="346"/>
    <n v="0"/>
    <n v="0"/>
    <n v="0"/>
    <n v="115"/>
    <n v="85"/>
    <n v="54"/>
    <n v="273"/>
    <n v="303"/>
    <n v="292"/>
    <n v="365"/>
    <n v="341"/>
    <n v="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873"/>
    <n v="1133"/>
    <n v="804"/>
    <n v="873"/>
    <n v="1133"/>
    <n v="0"/>
    <n v="0"/>
    <n v="0"/>
    <n v="0"/>
    <n v="0"/>
    <n v="0"/>
    <s v="priloha"/>
  </r>
  <r>
    <s v="SK Volejbal Kolín"/>
    <n v="203"/>
    <n v="2"/>
    <n v="70"/>
    <n v="10"/>
    <n v="10"/>
    <n v="4"/>
    <n v="4"/>
    <x v="8"/>
    <s v="Sportem pro všechny"/>
    <n v="5"/>
    <n v="15"/>
    <n v="50"/>
    <n v="30"/>
    <n v="5"/>
    <x v="0"/>
    <n v="812"/>
    <n v="1538"/>
    <n v="1596"/>
    <n v="539"/>
    <n v="1316"/>
    <n v="1445"/>
    <n v="0"/>
    <n v="0"/>
    <n v="0"/>
    <n v="273"/>
    <n v="222"/>
    <n v="151"/>
    <n v="0"/>
    <n v="0"/>
    <n v="0"/>
    <n v="0"/>
    <n v="0"/>
    <n v="0"/>
    <n v="273"/>
    <n v="222"/>
    <n v="151"/>
    <n v="0"/>
    <n v="0"/>
    <n v="0"/>
    <n v="812"/>
    <n v="1538"/>
    <n v="1496"/>
    <n v="758"/>
    <n v="1220"/>
    <n v="1457"/>
    <n v="0"/>
    <n v="0"/>
    <n v="0"/>
    <n v="758"/>
    <n v="1220"/>
    <n v="1457"/>
    <n v="54"/>
    <n v="318"/>
    <n v="139"/>
    <n v="0"/>
    <n v="0"/>
    <n v="0"/>
    <n v="0"/>
    <n v="0"/>
    <n v="0"/>
    <n v="54"/>
    <n v="318"/>
    <n v="139"/>
    <n v="0"/>
    <n v="0"/>
    <n v="0"/>
    <n v="1590"/>
    <n v="2018"/>
    <n v="1953"/>
    <n v="208"/>
    <n v="1866"/>
    <n v="1802"/>
    <n v="1277"/>
    <n v="0"/>
    <n v="0"/>
    <n v="89"/>
    <n v="60"/>
    <n v="84"/>
    <n v="2"/>
    <n v="2"/>
    <n v="2"/>
    <n v="14"/>
    <n v="90"/>
    <n v="18"/>
    <n v="0"/>
    <n v="0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"/>
    <n v="2480"/>
    <n v="2190"/>
    <n v="197"/>
    <n v="356"/>
    <n v="198"/>
    <n v="0"/>
    <n v="0"/>
    <n v="55"/>
    <n v="0"/>
    <n v="0"/>
    <n v="0"/>
    <n v="5189"/>
    <n v="2124"/>
    <n v="1651"/>
    <n v="1271"/>
    <n v="1518"/>
    <n v="1308"/>
    <n v="391"/>
    <n v="400"/>
    <n v="95"/>
    <n v="206"/>
    <n v="206"/>
    <n v="248"/>
    <n v="0"/>
    <n v="0"/>
    <n v="286"/>
    <n v="475"/>
    <n v="462"/>
    <n v="237"/>
    <n v="475"/>
    <n v="46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0"/>
    <n v="2018"/>
    <n v="1953"/>
    <n v="2065"/>
    <n v="2480"/>
    <n v="2190"/>
    <n v="475"/>
    <n v="462"/>
    <n v="237"/>
    <n v="475"/>
    <n v="462"/>
    <n v="237"/>
    <s v="priloha"/>
  </r>
  <r>
    <s v="Otava Strakonice"/>
    <n v="30"/>
    <n v="5"/>
    <n v="40"/>
    <n v="0"/>
    <n v="5"/>
    <n v="30"/>
    <n v="20"/>
    <x v="6"/>
    <s v="Výkonnostním sportem"/>
    <n v="3"/>
    <n v="20"/>
    <n v="50"/>
    <n v="10"/>
    <n v="20"/>
    <x v="6"/>
    <n v="837"/>
    <n v="868"/>
    <n v="865"/>
    <n v="746"/>
    <n v="746"/>
    <n v="746"/>
    <n v="0"/>
    <n v="0"/>
    <n v="0"/>
    <n v="91"/>
    <n v="122"/>
    <n v="119"/>
    <n v="4"/>
    <n v="4"/>
    <n v="5"/>
    <n v="0"/>
    <n v="0"/>
    <n v="0"/>
    <n v="87"/>
    <n v="118"/>
    <n v="114"/>
    <n v="0"/>
    <n v="0"/>
    <n v="0"/>
    <n v="837"/>
    <n v="868"/>
    <n v="865"/>
    <n v="837"/>
    <n v="868"/>
    <n v="865"/>
    <n v="0"/>
    <n v="0"/>
    <n v="0"/>
    <n v="837"/>
    <n v="868"/>
    <n v="865"/>
    <n v="0"/>
    <n v="0"/>
    <n v="0"/>
    <n v="0"/>
    <n v="0"/>
    <n v="0"/>
    <n v="0"/>
    <n v="0"/>
    <n v="0"/>
    <n v="0"/>
    <n v="0"/>
    <n v="0"/>
    <n v="0"/>
    <n v="0"/>
    <n v="0"/>
    <n v="247"/>
    <n v="179"/>
    <n v="296"/>
    <n v="144"/>
    <n v="163"/>
    <n v="267"/>
    <n v="98"/>
    <n v="0"/>
    <n v="0"/>
    <n v="0"/>
    <n v="12"/>
    <n v="24"/>
    <n v="1"/>
    <n v="1"/>
    <n v="1"/>
    <n v="4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205"/>
    <n v="290"/>
    <n v="40"/>
    <n v="49"/>
    <n v="58"/>
    <n v="0"/>
    <n v="0"/>
    <n v="0"/>
    <n v="0"/>
    <n v="0"/>
    <n v="0"/>
    <n v="21"/>
    <n v="27"/>
    <n v="22"/>
    <n v="0"/>
    <n v="0"/>
    <n v="0"/>
    <n v="0"/>
    <n v="0"/>
    <n v="0"/>
    <n v="21"/>
    <n v="27"/>
    <n v="22"/>
    <n v="148"/>
    <n v="129"/>
    <n v="210"/>
    <n v="-38"/>
    <n v="26"/>
    <n v="-6"/>
    <n v="-38"/>
    <n v="26"/>
    <n v="-6"/>
    <n v="15"/>
    <n v="5"/>
    <n v="3"/>
    <n v="15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3"/>
    <n v="15"/>
    <n v="5"/>
    <n v="3"/>
    <n v="247"/>
    <n v="179"/>
    <n v="296"/>
    <n v="224"/>
    <n v="210"/>
    <n v="293"/>
    <n v="-23"/>
    <n v="31"/>
    <n v="-3"/>
    <n v="-23"/>
    <n v="31"/>
    <n v="-3"/>
    <m/>
  </r>
  <r>
    <s v="TJ Sokol Dědice"/>
    <n v="180"/>
    <n v="10"/>
    <n v="0"/>
    <n v="10"/>
    <n v="20"/>
    <n v="40"/>
    <n v="20"/>
    <x v="8"/>
    <s v="Sportem pro všechny"/>
    <n v="1"/>
    <n v="10"/>
    <n v="0"/>
    <n v="80"/>
    <n v="10"/>
    <x v="6"/>
    <n v="14189"/>
    <n v="13585"/>
    <n v="12494"/>
    <n v="19776"/>
    <n v="19776"/>
    <n v="19777"/>
    <n v="-6212"/>
    <n v="-6628"/>
    <n v="-7495"/>
    <n v="625"/>
    <n v="437"/>
    <n v="176"/>
    <n v="0"/>
    <n v="0"/>
    <n v="0"/>
    <n v="158"/>
    <n v="130"/>
    <n v="33"/>
    <n v="467"/>
    <n v="307"/>
    <n v="143"/>
    <n v="0"/>
    <n v="0"/>
    <n v="0"/>
    <n v="14189"/>
    <n v="13585"/>
    <n v="12494"/>
    <n v="13523"/>
    <n v="13050"/>
    <n v="12149"/>
    <n v="17402"/>
    <n v="17402"/>
    <n v="17482"/>
    <n v="-3879"/>
    <n v="-4352"/>
    <n v="-5253"/>
    <n v="666"/>
    <n v="535"/>
    <n v="345"/>
    <n v="0"/>
    <n v="0"/>
    <n v="0"/>
    <n v="320"/>
    <n v="240"/>
    <n v="80"/>
    <n v="232"/>
    <n v="245"/>
    <n v="248"/>
    <n v="114"/>
    <n v="50"/>
    <n v="17"/>
    <n v="869"/>
    <n v="1022"/>
    <n v="731"/>
    <n v="175"/>
    <n v="362"/>
    <n v="348"/>
    <n v="87"/>
    <n v="0"/>
    <n v="0"/>
    <n v="144"/>
    <n v="115"/>
    <n v="60"/>
    <n v="0"/>
    <n v="0"/>
    <n v="4"/>
    <n v="253"/>
    <n v="238"/>
    <n v="95"/>
    <n v="191"/>
    <n v="291"/>
    <n v="191"/>
    <n v="19"/>
    <n v="16"/>
    <n v="33"/>
    <n v="0"/>
    <n v="0"/>
    <n v="0"/>
    <n v="338"/>
    <n v="267"/>
    <n v="358"/>
    <n v="81"/>
    <n v="138"/>
    <n v="130"/>
    <n v="28"/>
    <n v="0"/>
    <n v="0"/>
    <n v="0"/>
    <n v="0"/>
    <n v="0"/>
    <n v="5"/>
    <n v="0"/>
    <n v="4"/>
    <n v="0"/>
    <n v="5"/>
    <n v="0"/>
    <n v="224"/>
    <n v="124"/>
    <n v="224"/>
    <n v="0"/>
    <n v="0"/>
    <n v="0"/>
    <n v="0"/>
    <n v="0"/>
    <n v="0"/>
    <n v="400"/>
    <n v="480"/>
    <n v="377"/>
    <n v="0"/>
    <n v="0"/>
    <n v="0"/>
    <n v="14"/>
    <n v="30"/>
    <n v="0"/>
    <n v="0"/>
    <n v="0"/>
    <n v="0"/>
    <n v="220"/>
    <n v="196"/>
    <n v="166"/>
    <n v="0"/>
    <n v="0"/>
    <n v="0"/>
    <n v="0"/>
    <n v="0"/>
    <n v="0"/>
    <n v="220"/>
    <n v="196"/>
    <n v="166"/>
    <n v="166"/>
    <n v="254"/>
    <n v="211"/>
    <n v="-469"/>
    <n v="-542"/>
    <n v="-354"/>
    <n v="-469"/>
    <n v="-542"/>
    <n v="-354"/>
    <n v="575"/>
    <n v="337"/>
    <n v="409"/>
    <n v="575"/>
    <n v="337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70"/>
    <n v="51"/>
    <n v="237"/>
    <n v="70"/>
    <n v="51"/>
    <n v="1207"/>
    <n v="1289"/>
    <n v="1089"/>
    <n v="975"/>
    <n v="817"/>
    <n v="786"/>
    <n v="-232"/>
    <n v="-472"/>
    <n v="-303"/>
    <n v="-232"/>
    <n v="-472"/>
    <n v="-303"/>
    <m/>
  </r>
  <r>
    <s v="T.J. Sokol Vítkovice"/>
    <n v="70"/>
    <n v="5"/>
    <n v="40"/>
    <n v="30"/>
    <n v="10"/>
    <n v="10"/>
    <n v="5"/>
    <x v="9"/>
    <s v="Výkonnostním sportem"/>
    <n v="6"/>
    <n v="20"/>
    <n v="35"/>
    <n v="35"/>
    <n v="10"/>
    <x v="0"/>
    <n v="7501"/>
    <n v="6750"/>
    <n v="6526"/>
    <n v="11246"/>
    <n v="11701"/>
    <n v="12007"/>
    <n v="5159"/>
    <n v="-6016"/>
    <n v="-6438"/>
    <n v="1414"/>
    <n v="1065"/>
    <n v="957"/>
    <n v="0"/>
    <n v="0"/>
    <n v="0"/>
    <n v="273"/>
    <n v="111"/>
    <n v="175"/>
    <n v="1064"/>
    <n v="851"/>
    <n v="680"/>
    <n v="77"/>
    <n v="103"/>
    <n v="102"/>
    <n v="7501"/>
    <n v="6750"/>
    <n v="6526"/>
    <n v="7216"/>
    <n v="6135"/>
    <n v="6066"/>
    <n v="8306"/>
    <n v="8306"/>
    <n v="8306"/>
    <n v="-1090"/>
    <n v="-2171"/>
    <n v="-2240"/>
    <n v="285"/>
    <n v="615"/>
    <n v="460"/>
    <n v="0"/>
    <n v="0"/>
    <n v="0"/>
    <n v="0"/>
    <n v="0"/>
    <n v="77"/>
    <n v="144"/>
    <n v="324"/>
    <n v="176"/>
    <n v="141"/>
    <n v="291"/>
    <n v="207"/>
    <n v="4321"/>
    <n v="3568"/>
    <n v="3621"/>
    <n v="591"/>
    <n v="2750"/>
    <n v="2414"/>
    <n v="2920"/>
    <n v="0"/>
    <n v="0"/>
    <n v="293"/>
    <n v="370"/>
    <n v="539"/>
    <n v="102"/>
    <n v="107"/>
    <n v="213"/>
    <n v="60"/>
    <n v="60"/>
    <n v="68"/>
    <n v="355"/>
    <n v="281"/>
    <n v="387"/>
    <n v="0"/>
    <n v="0"/>
    <n v="0"/>
    <n v="0"/>
    <n v="0"/>
    <n v="0"/>
    <n v="268"/>
    <n v="267"/>
    <n v="268"/>
    <n v="90"/>
    <n v="125"/>
    <n v="138"/>
    <n v="34"/>
    <n v="0"/>
    <n v="0"/>
    <n v="34"/>
    <n v="29"/>
    <n v="17"/>
    <n v="0"/>
    <n v="1"/>
    <n v="0"/>
    <n v="0"/>
    <n v="0"/>
    <n v="0"/>
    <n v="110"/>
    <n v="112"/>
    <n v="113"/>
    <n v="0"/>
    <n v="0"/>
    <n v="0"/>
    <n v="0"/>
    <n v="0"/>
    <n v="0"/>
    <n v="3355"/>
    <n v="2882"/>
    <n v="3305"/>
    <n v="0"/>
    <n v="0"/>
    <n v="0"/>
    <n v="14"/>
    <n v="0"/>
    <n v="471"/>
    <n v="0"/>
    <n v="0"/>
    <n v="0"/>
    <n v="2026"/>
    <n v="1261"/>
    <n v="1145"/>
    <n v="0"/>
    <n v="0"/>
    <n v="0"/>
    <n v="463"/>
    <n v="463"/>
    <n v="479"/>
    <n v="1563"/>
    <n v="798"/>
    <n v="667"/>
    <n v="1315"/>
    <n v="1621"/>
    <n v="1688"/>
    <n v="-966"/>
    <n v="-686"/>
    <n v="-316"/>
    <n v="-966"/>
    <n v="-686"/>
    <n v="-316"/>
    <n v="546"/>
    <n v="560"/>
    <n v="515"/>
    <n v="546"/>
    <n v="552"/>
    <n v="51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293"/>
    <n v="247"/>
    <n v="278"/>
    <n v="293"/>
    <n v="247"/>
    <n v="4589"/>
    <n v="3835"/>
    <n v="3889"/>
    <n v="3901"/>
    <n v="3442"/>
    <n v="3820"/>
    <n v="-688"/>
    <n v="-393"/>
    <n v="-69"/>
    <n v="-688"/>
    <n v="-393"/>
    <n v="-69"/>
    <m/>
  </r>
  <r>
    <s v="FBC Lutín"/>
    <n v="30"/>
    <n v="0"/>
    <n v="100"/>
    <n v="0"/>
    <n v="0"/>
    <n v="0"/>
    <n v="0"/>
    <x v="3"/>
    <s v="Výchovou mládeže"/>
    <n v="4"/>
    <n v="70"/>
    <n v="30"/>
    <n v="0"/>
    <n v="0"/>
    <x v="2"/>
    <n v="35"/>
    <n v="90"/>
    <n v="282"/>
    <n v="0"/>
    <n v="0"/>
    <n v="0"/>
    <n v="0"/>
    <n v="0"/>
    <n v="0"/>
    <n v="35"/>
    <n v="90"/>
    <n v="282"/>
    <n v="0"/>
    <n v="0"/>
    <n v="0"/>
    <n v="0"/>
    <n v="0"/>
    <n v="0"/>
    <n v="35"/>
    <n v="90"/>
    <n v="179"/>
    <n v="0"/>
    <n v="0"/>
    <n v="103"/>
    <n v="35"/>
    <n v="90"/>
    <n v="282"/>
    <n v="35"/>
    <n v="90"/>
    <n v="179"/>
    <n v="0"/>
    <n v="0"/>
    <n v="0"/>
    <n v="35"/>
    <n v="90"/>
    <n v="179"/>
    <n v="0"/>
    <n v="0"/>
    <n v="103"/>
    <n v="0"/>
    <n v="0"/>
    <n v="0"/>
    <n v="0"/>
    <n v="0"/>
    <n v="0"/>
    <n v="0"/>
    <n v="0"/>
    <n v="103"/>
    <n v="0"/>
    <n v="0"/>
    <n v="0"/>
    <n v="30"/>
    <n v="108"/>
    <n v="260"/>
    <n v="5"/>
    <n v="108"/>
    <n v="72"/>
    <n v="25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63"/>
    <n v="350"/>
    <n v="0"/>
    <n v="0"/>
    <n v="4"/>
    <n v="0"/>
    <n v="0"/>
    <n v="0"/>
    <n v="0"/>
    <n v="0"/>
    <n v="0"/>
    <n v="35"/>
    <n v="123"/>
    <n v="202"/>
    <n v="0"/>
    <n v="0"/>
    <n v="5"/>
    <n v="0"/>
    <n v="10"/>
    <n v="8"/>
    <n v="35"/>
    <n v="113"/>
    <n v="189"/>
    <n v="30"/>
    <n v="40"/>
    <n v="144"/>
    <n v="35"/>
    <n v="55"/>
    <n v="90"/>
    <n v="35"/>
    <n v="55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08"/>
    <n v="260"/>
    <n v="65"/>
    <n v="163"/>
    <n v="350"/>
    <n v="35"/>
    <n v="55"/>
    <n v="90"/>
    <n v="35"/>
    <n v="55"/>
    <n v="90"/>
    <m/>
  </r>
  <r>
    <s v="SK Chrlice"/>
    <n v="180"/>
    <n v="10"/>
    <n v="25"/>
    <n v="10"/>
    <n v="30"/>
    <n v="15"/>
    <n v="10"/>
    <x v="4"/>
    <s v="Výchovou mládeže"/>
    <n v="5"/>
    <n v="15"/>
    <n v="50"/>
    <n v="5"/>
    <n v="30"/>
    <x v="2"/>
    <n v="675"/>
    <n v="939"/>
    <n v="884"/>
    <n v="964"/>
    <n v="1175"/>
    <n v="1363"/>
    <n v="-409"/>
    <n v="-511"/>
    <n v="-619"/>
    <n v="121"/>
    <n v="274"/>
    <n v="140"/>
    <n v="0"/>
    <n v="0"/>
    <n v="0"/>
    <n v="-7"/>
    <n v="-8"/>
    <n v="0"/>
    <n v="122"/>
    <n v="282"/>
    <n v="136"/>
    <n v="6"/>
    <n v="0"/>
    <n v="4"/>
    <n v="675"/>
    <n v="939"/>
    <n v="884"/>
    <n v="630"/>
    <n v="913"/>
    <n v="850"/>
    <n v="507"/>
    <n v="507"/>
    <n v="507"/>
    <n v="123"/>
    <n v="406"/>
    <n v="343"/>
    <n v="45"/>
    <n v="26"/>
    <n v="34"/>
    <n v="0"/>
    <n v="0"/>
    <n v="0"/>
    <n v="0"/>
    <n v="0"/>
    <n v="0"/>
    <n v="45"/>
    <n v="26"/>
    <n v="34"/>
    <n v="0"/>
    <n v="0"/>
    <n v="0"/>
    <n v="1384"/>
    <n v="1041"/>
    <n v="1219"/>
    <n v="403"/>
    <n v="613"/>
    <n v="754"/>
    <n v="644"/>
    <n v="0"/>
    <n v="0"/>
    <n v="238"/>
    <n v="278"/>
    <n v="295"/>
    <n v="8"/>
    <n v="7"/>
    <n v="14"/>
    <n v="7"/>
    <n v="8"/>
    <n v="8"/>
    <n v="59"/>
    <n v="102"/>
    <n v="108"/>
    <n v="26"/>
    <n v="28"/>
    <n v="26"/>
    <n v="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1000"/>
    <n v="782"/>
    <n v="28"/>
    <n v="0"/>
    <n v="0"/>
    <n v="12"/>
    <n v="4"/>
    <n v="0"/>
    <n v="0"/>
    <n v="0"/>
    <n v="0"/>
    <n v="151"/>
    <n v="168"/>
    <n v="120"/>
    <n v="0"/>
    <n v="0"/>
    <n v="0"/>
    <n v="20"/>
    <n v="21"/>
    <n v="0"/>
    <n v="131"/>
    <n v="147"/>
    <n v="120"/>
    <n v="719"/>
    <n v="828"/>
    <n v="662"/>
    <n v="-473"/>
    <n v="-37"/>
    <n v="-423"/>
    <n v="-481"/>
    <n v="-41"/>
    <n v="-437"/>
    <n v="341"/>
    <n v="323"/>
    <n v="375"/>
    <n v="313"/>
    <n v="299"/>
    <n v="358"/>
    <n v="28"/>
    <n v="24"/>
    <n v="1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41"/>
    <n v="323"/>
    <n v="375"/>
    <n v="341"/>
    <n v="323"/>
    <n v="375"/>
    <n v="1384"/>
    <n v="1041"/>
    <n v="1219"/>
    <n v="1251"/>
    <n v="1323"/>
    <n v="1157"/>
    <n v="-133"/>
    <n v="282"/>
    <n v="-62"/>
    <n v="-140"/>
    <n v="282"/>
    <n v="-62"/>
    <m/>
  </r>
  <r>
    <s v="Tělovýchovná jednota Žichovice"/>
    <n v="90"/>
    <n v="0"/>
    <n v="30"/>
    <n v="10"/>
    <n v="30"/>
    <n v="25"/>
    <n v="5"/>
    <x v="4"/>
    <s v="Výkonnostním sportem"/>
    <n v="2"/>
    <n v="5"/>
    <n v="50"/>
    <n v="40"/>
    <n v="5"/>
    <x v="4"/>
    <n v="1559"/>
    <n v="1475"/>
    <n v="1626"/>
    <n v="1450"/>
    <n v="1462"/>
    <n v="1462"/>
    <n v="-96"/>
    <n v="-145"/>
    <n v="-194"/>
    <n v="205"/>
    <n v="158"/>
    <n v="358"/>
    <n v="0"/>
    <n v="0"/>
    <n v="0"/>
    <n v="18"/>
    <n v="15"/>
    <n v="11"/>
    <n v="187"/>
    <n v="143"/>
    <n v="347"/>
    <n v="0"/>
    <n v="0"/>
    <n v="0"/>
    <n v="1559"/>
    <n v="1475"/>
    <n v="1626"/>
    <n v="1439"/>
    <n v="1345"/>
    <n v="1404"/>
    <n v="1454"/>
    <n v="1454"/>
    <n v="1454"/>
    <n v="-15"/>
    <n v="-109"/>
    <n v="-50"/>
    <n v="120"/>
    <n v="130"/>
    <n v="222"/>
    <n v="0"/>
    <n v="0"/>
    <n v="0"/>
    <n v="0"/>
    <n v="0"/>
    <n v="0"/>
    <n v="120"/>
    <n v="130"/>
    <n v="222"/>
    <n v="0"/>
    <n v="0"/>
    <n v="0"/>
    <n v="579"/>
    <n v="643"/>
    <n v="499"/>
    <n v="65"/>
    <n v="558"/>
    <n v="421"/>
    <n v="421"/>
    <n v="0"/>
    <n v="0"/>
    <n v="0"/>
    <n v="12"/>
    <n v="0"/>
    <n v="0"/>
    <n v="9"/>
    <n v="4"/>
    <n v="28"/>
    <n v="4"/>
    <n v="10"/>
    <n v="48"/>
    <n v="49"/>
    <n v="49"/>
    <n v="13"/>
    <n v="11"/>
    <n v="15"/>
    <n v="0"/>
    <n v="0"/>
    <n v="0"/>
    <n v="38"/>
    <n v="7"/>
    <n v="26"/>
    <n v="38"/>
    <n v="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544"/>
    <n v="537"/>
    <n v="264"/>
    <n v="286"/>
    <n v="355"/>
    <n v="286"/>
    <n v="0"/>
    <n v="0"/>
    <n v="0"/>
    <n v="0"/>
    <n v="0"/>
    <n v="0"/>
    <n v="0"/>
    <n v="76"/>
    <n v="0"/>
    <n v="0"/>
    <n v="0"/>
    <n v="0"/>
    <n v="0"/>
    <n v="76"/>
    <n v="0"/>
    <n v="0"/>
    <n v="0"/>
    <n v="0"/>
    <n v="258"/>
    <n v="106"/>
    <n v="-29"/>
    <n v="-99"/>
    <n v="38"/>
    <n v="-29"/>
    <n v="-99"/>
    <n v="38"/>
    <n v="68"/>
    <n v="14"/>
    <n v="47"/>
    <n v="68"/>
    <n v="1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"/>
    <n v="21"/>
    <n v="30"/>
    <n v="7"/>
    <n v="21"/>
    <n v="617"/>
    <n v="650"/>
    <n v="525"/>
    <n v="618"/>
    <n v="558"/>
    <n v="584"/>
    <n v="1"/>
    <n v="-92"/>
    <n v="59"/>
    <n v="1"/>
    <n v="-92"/>
    <n v="59"/>
    <m/>
  </r>
  <r>
    <s v="TJ Sokol Zdíkov, o.s."/>
    <n v="80"/>
    <n v="9"/>
    <n v="21"/>
    <n v="20"/>
    <n v="15"/>
    <n v="25"/>
    <n v="10"/>
    <x v="4"/>
    <s v="Sportem pro všechny"/>
    <n v="3"/>
    <n v="30"/>
    <n v="60"/>
    <n v="10"/>
    <n v="0"/>
    <x v="0"/>
    <n v="224"/>
    <n v="203"/>
    <n v="185"/>
    <n v="372"/>
    <n v="372"/>
    <n v="221"/>
    <n v="-372"/>
    <n v="-372"/>
    <n v="-221"/>
    <n v="224"/>
    <n v="203"/>
    <n v="185"/>
    <n v="0"/>
    <n v="0"/>
    <n v="0"/>
    <n v="3"/>
    <n v="0"/>
    <n v="0"/>
    <n v="221"/>
    <n v="203"/>
    <n v="185"/>
    <n v="0"/>
    <n v="0"/>
    <n v="0"/>
    <n v="224"/>
    <n v="203"/>
    <n v="185"/>
    <n v="204"/>
    <n v="203"/>
    <n v="185"/>
    <n v="401"/>
    <n v="402"/>
    <n v="402"/>
    <n v="-197"/>
    <n v="-198"/>
    <n v="-217"/>
    <n v="20"/>
    <n v="0"/>
    <n v="0"/>
    <n v="0"/>
    <n v="0"/>
    <n v="0"/>
    <n v="0"/>
    <n v="0"/>
    <n v="0"/>
    <n v="20"/>
    <n v="0"/>
    <n v="0"/>
    <n v="0"/>
    <n v="0"/>
    <n v="0"/>
    <n v="408"/>
    <n v="449"/>
    <n v="557"/>
    <n v="164"/>
    <n v="140"/>
    <n v="172"/>
    <n v="169"/>
    <n v="170"/>
    <n v="248"/>
    <n v="14"/>
    <n v="53"/>
    <n v="66"/>
    <n v="0"/>
    <n v="0"/>
    <n v="0"/>
    <n v="46"/>
    <n v="68"/>
    <n v="60"/>
    <n v="0"/>
    <n v="0"/>
    <n v="0"/>
    <n v="15"/>
    <n v="1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"/>
    <n v="448"/>
    <n v="540"/>
    <n v="87"/>
    <n v="129"/>
    <n v="108"/>
    <n v="0"/>
    <n v="0"/>
    <n v="4"/>
    <n v="1"/>
    <n v="0"/>
    <n v="0"/>
    <n v="152"/>
    <n v="103"/>
    <n v="131"/>
    <n v="21"/>
    <n v="1"/>
    <n v="0"/>
    <n v="102"/>
    <n v="78"/>
    <n v="106"/>
    <n v="29"/>
    <n v="24"/>
    <n v="25"/>
    <n v="145"/>
    <n v="216"/>
    <n v="296"/>
    <n v="-23"/>
    <n v="-1"/>
    <n v="-18"/>
    <n v="-23"/>
    <n v="-1"/>
    <n v="-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449"/>
    <n v="557"/>
    <n v="386"/>
    <n v="448"/>
    <n v="540"/>
    <n v="-22"/>
    <n v="-1"/>
    <n v="-17"/>
    <n v="-23"/>
    <n v="-1"/>
    <n v="-18"/>
    <m/>
  </r>
  <r>
    <s v="SK Lišany"/>
    <n v="50"/>
    <n v="0"/>
    <n v="23"/>
    <n v="2"/>
    <n v="34"/>
    <n v="28"/>
    <n v="13"/>
    <x v="4"/>
    <s v="Výkonnostním sportem"/>
    <n v="4"/>
    <n v="3"/>
    <n v="5"/>
    <n v="7"/>
    <n v="85"/>
    <x v="1"/>
    <n v="1103"/>
    <n v="1211"/>
    <n v="1115"/>
    <n v="1000"/>
    <n v="1085"/>
    <n v="1085"/>
    <n v="0"/>
    <n v="0"/>
    <n v="0"/>
    <n v="103"/>
    <n v="126"/>
    <n v="30"/>
    <n v="0"/>
    <n v="0"/>
    <n v="0"/>
    <n v="0"/>
    <n v="21"/>
    <n v="6"/>
    <n v="103"/>
    <n v="105"/>
    <n v="24"/>
    <n v="0"/>
    <n v="0"/>
    <n v="0"/>
    <n v="1103"/>
    <n v="1211"/>
    <n v="1115"/>
    <n v="1103"/>
    <n v="1171"/>
    <n v="1109"/>
    <n v="1103"/>
    <n v="1103"/>
    <n v="1103"/>
    <n v="0"/>
    <n v="68"/>
    <n v="6"/>
    <n v="0"/>
    <n v="40"/>
    <n v="6"/>
    <n v="0"/>
    <n v="0"/>
    <n v="0"/>
    <n v="0"/>
    <n v="0"/>
    <n v="0"/>
    <n v="0"/>
    <n v="40"/>
    <n v="6"/>
    <n v="0"/>
    <n v="0"/>
    <n v="0"/>
    <n v="234"/>
    <n v="206"/>
    <n v="341"/>
    <n v="103"/>
    <n v="195"/>
    <n v="331"/>
    <n v="127"/>
    <n v="0"/>
    <n v="0"/>
    <n v="4"/>
    <n v="4"/>
    <n v="1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43"/>
    <n v="152"/>
    <n v="0"/>
    <n v="30"/>
    <n v="13"/>
    <n v="69"/>
    <n v="0"/>
    <n v="9"/>
    <n v="0"/>
    <n v="0"/>
    <m/>
    <n v="24"/>
    <n v="13"/>
    <n v="30"/>
    <n v="0"/>
    <n v="0"/>
    <n v="0"/>
    <n v="21"/>
    <n v="10"/>
    <n v="27"/>
    <n v="3"/>
    <n v="3"/>
    <n v="3"/>
    <n v="45"/>
    <n v="100"/>
    <n v="100"/>
    <n v="-96"/>
    <n v="-63"/>
    <n v="-189"/>
    <n v="-96"/>
    <n v="-63"/>
    <n v="-189"/>
    <n v="96"/>
    <n v="131"/>
    <n v="127"/>
    <n v="96"/>
    <n v="131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31"/>
    <n v="127"/>
    <n v="96"/>
    <n v="131"/>
    <n v="127"/>
    <n v="234"/>
    <n v="206"/>
    <n v="341"/>
    <n v="234"/>
    <n v="274"/>
    <n v="279"/>
    <n v="0"/>
    <n v="68"/>
    <n v="-62"/>
    <n v="0"/>
    <n v="68"/>
    <n v="-62"/>
    <m/>
  </r>
  <r>
    <s v="TJ Kaplice"/>
    <n v="120"/>
    <n v="5"/>
    <n v="25"/>
    <n v="10"/>
    <n v="20"/>
    <n v="30"/>
    <n v="10"/>
    <x v="6"/>
    <s v="Sportem pro všechny"/>
    <n v="5"/>
    <n v="10"/>
    <n v="70"/>
    <n v="15"/>
    <n v="5"/>
    <x v="2"/>
    <n v="157"/>
    <n v="101"/>
    <n v="121"/>
    <n v="0"/>
    <n v="0"/>
    <n v="0"/>
    <n v="0"/>
    <n v="0"/>
    <n v="0"/>
    <n v="157"/>
    <n v="101"/>
    <n v="121"/>
    <n v="0"/>
    <n v="0"/>
    <n v="0"/>
    <n v="2"/>
    <n v="0"/>
    <n v="46"/>
    <n v="155"/>
    <n v="101"/>
    <n v="75"/>
    <n v="0"/>
    <n v="0"/>
    <n v="0"/>
    <n v="157"/>
    <n v="101"/>
    <n v="121"/>
    <n v="90"/>
    <n v="70"/>
    <n v="121"/>
    <n v="0"/>
    <n v="0"/>
    <n v="0"/>
    <n v="90"/>
    <n v="70"/>
    <n v="121"/>
    <n v="67"/>
    <n v="31"/>
    <n v="0"/>
    <n v="0"/>
    <n v="0"/>
    <n v="0"/>
    <n v="0"/>
    <n v="0"/>
    <n v="0"/>
    <n v="47"/>
    <n v="31"/>
    <n v="0"/>
    <n v="20"/>
    <n v="0"/>
    <n v="0"/>
    <n v="151"/>
    <n v="252"/>
    <n v="181"/>
    <n v="32"/>
    <n v="247"/>
    <n v="174"/>
    <n v="113"/>
    <n v="0"/>
    <n v="0"/>
    <n v="0"/>
    <n v="0"/>
    <n v="0"/>
    <n v="0"/>
    <n v="0"/>
    <n v="0"/>
    <n v="3"/>
    <n v="3"/>
    <n v="3"/>
    <n v="0"/>
    <n v="0"/>
    <n v="0"/>
    <n v="3"/>
    <n v="2"/>
    <n v="4"/>
    <n v="0"/>
    <n v="0"/>
    <n v="0"/>
    <n v="0"/>
    <n v="26"/>
    <n v="0"/>
    <n v="0"/>
    <n v="16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07"/>
    <n v="228"/>
    <n v="231"/>
    <n v="12"/>
    <n v="0"/>
    <n v="22"/>
    <n v="0"/>
    <n v="0"/>
    <n v="0"/>
    <n v="0"/>
    <n v="0"/>
    <n v="0"/>
    <n v="97"/>
    <n v="65"/>
    <n v="50"/>
    <n v="0"/>
    <n v="0"/>
    <n v="0"/>
    <n v="60"/>
    <n v="0"/>
    <n v="0"/>
    <n v="37"/>
    <n v="65"/>
    <n v="50"/>
    <n v="98"/>
    <n v="163"/>
    <n v="159"/>
    <n v="56"/>
    <n v="-24"/>
    <n v="50"/>
    <n v="56"/>
    <n v="-24"/>
    <n v="50"/>
    <n v="3"/>
    <n v="30"/>
    <n v="0"/>
    <n v="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3"/>
    <n v="4"/>
    <n v="0"/>
    <n v="151"/>
    <n v="278"/>
    <n v="181"/>
    <n v="210"/>
    <n v="258"/>
    <n v="231"/>
    <n v="59"/>
    <n v="-20"/>
    <n v="50"/>
    <n v="59"/>
    <n v="-20"/>
    <n v="50"/>
    <m/>
  </r>
  <r>
    <s v="SK Slavia Praha"/>
    <n v="180"/>
    <n v="3"/>
    <n v="45"/>
    <n v="30"/>
    <n v="10"/>
    <n v="10"/>
    <n v="2"/>
    <x v="1"/>
    <s v="Výkonnostním sportem"/>
    <n v="3"/>
    <n v="60"/>
    <n v="30"/>
    <n v="9"/>
    <n v="1"/>
    <x v="5"/>
    <n v="659"/>
    <n v="752"/>
    <n v="803"/>
    <n v="0"/>
    <n v="0"/>
    <n v="0"/>
    <n v="0"/>
    <n v="0"/>
    <n v="0"/>
    <n v="658"/>
    <n v="752"/>
    <n v="803"/>
    <n v="0"/>
    <n v="0"/>
    <n v="0"/>
    <n v="0"/>
    <n v="0"/>
    <n v="80"/>
    <n v="633"/>
    <n v="722"/>
    <n v="691"/>
    <n v="25"/>
    <n v="30"/>
    <n v="111"/>
    <n v="658"/>
    <n v="752"/>
    <n v="803"/>
    <n v="636"/>
    <n v="711"/>
    <n v="763"/>
    <n v="558"/>
    <n v="611"/>
    <n v="739"/>
    <n v="78"/>
    <n v="100"/>
    <n v="24"/>
    <n v="22"/>
    <n v="41"/>
    <n v="40"/>
    <n v="0"/>
    <n v="0"/>
    <n v="0"/>
    <n v="0"/>
    <n v="0"/>
    <n v="0"/>
    <n v="22"/>
    <n v="41"/>
    <n v="40"/>
    <n v="0"/>
    <n v="0"/>
    <n v="0"/>
    <n v="1409"/>
    <n v="1448"/>
    <n v="1447"/>
    <n v="86"/>
    <n v="19"/>
    <n v="18"/>
    <n v="1067"/>
    <n v="1107"/>
    <n v="995"/>
    <n v="252"/>
    <n v="318"/>
    <n v="426"/>
    <n v="0"/>
    <n v="0"/>
    <n v="5"/>
    <n v="3"/>
    <n v="3"/>
    <n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"/>
    <n v="1548"/>
    <n v="1471"/>
    <n v="51"/>
    <n v="47"/>
    <n v="80"/>
    <n v="847"/>
    <n v="809"/>
    <n v="781"/>
    <n v="0"/>
    <n v="0"/>
    <n v="0"/>
    <n v="0"/>
    <n v="0"/>
    <n v="0"/>
    <n v="0"/>
    <n v="0"/>
    <n v="0"/>
    <n v="0"/>
    <n v="0"/>
    <n v="0"/>
    <n v="0"/>
    <n v="0"/>
    <n v="0"/>
    <n v="589"/>
    <n v="692"/>
    <n v="700"/>
    <n v="78"/>
    <n v="100"/>
    <n v="24"/>
    <n v="78"/>
    <n v="10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"/>
    <n v="1448"/>
    <n v="1447"/>
    <n v="1487"/>
    <n v="1548"/>
    <n v="1471"/>
    <n v="78"/>
    <n v="100"/>
    <n v="24"/>
    <n v="78"/>
    <n v="100"/>
    <n v="24"/>
    <m/>
  </r>
  <r>
    <s v="SK Volejbal Ústí nad Labem"/>
    <n v="195"/>
    <n v="1"/>
    <n v="70"/>
    <n v="20"/>
    <n v="5"/>
    <n v="2"/>
    <n v="2"/>
    <x v="8"/>
    <s v="Výchovou mládeže"/>
    <n v="5"/>
    <n v="10"/>
    <n v="65"/>
    <n v="20"/>
    <n v="5"/>
    <x v="4"/>
    <n v="40"/>
    <n v="143"/>
    <n v="352"/>
    <n v="553"/>
    <n v="553"/>
    <n v="553"/>
    <n v="-553"/>
    <n v="553"/>
    <n v="-553"/>
    <n v="40"/>
    <n v="143"/>
    <n v="352"/>
    <n v="0"/>
    <n v="0"/>
    <n v="0"/>
    <n v="112"/>
    <n v="134"/>
    <n v="344"/>
    <n v="-88"/>
    <n v="-71"/>
    <n v="-52"/>
    <n v="15"/>
    <n v="80"/>
    <n v="60"/>
    <n v="40"/>
    <n v="143"/>
    <n v="352"/>
    <n v="-4659"/>
    <n v="-4289"/>
    <n v="-4011"/>
    <n v="0"/>
    <n v="0"/>
    <n v="0"/>
    <n v="-4859"/>
    <n v="-4289"/>
    <n v="-4011"/>
    <n v="4699"/>
    <n v="4432"/>
    <n v="4363"/>
    <n v="0"/>
    <n v="0"/>
    <n v="0"/>
    <n v="31"/>
    <n v="0"/>
    <n v="0"/>
    <n v="4549"/>
    <n v="4250"/>
    <n v="4075"/>
    <n v="119"/>
    <n v="182"/>
    <n v="288"/>
    <n v="5419"/>
    <n v="6580"/>
    <n v="7230"/>
    <n v="223"/>
    <n v="6074"/>
    <n v="6738"/>
    <n v="5002"/>
    <n v="0"/>
    <n v="0"/>
    <n v="0"/>
    <n v="16"/>
    <n v="18"/>
    <n v="75"/>
    <n v="300"/>
    <n v="304"/>
    <n v="62"/>
    <n v="162"/>
    <n v="172"/>
    <n v="56"/>
    <n v="0"/>
    <n v="0"/>
    <n v="0"/>
    <n v="0"/>
    <n v="0"/>
    <n v="0"/>
    <n v="0"/>
    <n v="0"/>
    <n v="153"/>
    <n v="132"/>
    <n v="104"/>
    <n v="5"/>
    <n v="101"/>
    <n v="83"/>
    <n v="141"/>
    <n v="0"/>
    <n v="0"/>
    <n v="2"/>
    <n v="0"/>
    <n v="0"/>
    <n v="0"/>
    <n v="0"/>
    <n v="0"/>
    <n v="5"/>
    <n v="3"/>
    <n v="3"/>
    <n v="0"/>
    <n v="0"/>
    <n v="0"/>
    <n v="0"/>
    <n v="0"/>
    <n v="0"/>
    <n v="0"/>
    <n v="28"/>
    <n v="18"/>
    <n v="5098"/>
    <n v="6400"/>
    <n v="7131"/>
    <n v="4"/>
    <n v="3"/>
    <n v="2"/>
    <n v="615"/>
    <n v="196"/>
    <n v="248"/>
    <n v="0"/>
    <n v="0"/>
    <n v="0"/>
    <n v="325"/>
    <n v="369"/>
    <n v="539"/>
    <n v="0"/>
    <n v="0"/>
    <n v="0"/>
    <n v="124"/>
    <n v="165"/>
    <n v="324"/>
    <n v="201"/>
    <n v="204"/>
    <n v="215"/>
    <n v="4154"/>
    <n v="5832"/>
    <n v="6342"/>
    <n v="-168"/>
    <n v="-48"/>
    <n v="-99"/>
    <n v="-168"/>
    <n v="-48"/>
    <n v="-99"/>
    <n v="500"/>
    <n v="550"/>
    <n v="481"/>
    <n v="500"/>
    <n v="55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446"/>
    <n v="395"/>
    <n v="338"/>
    <n v="418"/>
    <n v="377"/>
    <n v="5572"/>
    <n v="6712"/>
    <n v="7334"/>
    <n v="5598"/>
    <n v="6950"/>
    <n v="7612"/>
    <n v="26"/>
    <n v="238"/>
    <n v="278"/>
    <n v="170"/>
    <n v="370"/>
    <n v="278"/>
    <s v="priloha"/>
  </r>
  <r>
    <s v="TJ Spartak Kaplice"/>
    <n v="65"/>
    <n v="0"/>
    <n v="10"/>
    <n v="10"/>
    <n v="30"/>
    <n v="30"/>
    <n v="20"/>
    <x v="8"/>
    <s v="Výkonnostním sportem"/>
    <n v="3"/>
    <n v="30"/>
    <n v="30"/>
    <n v="40"/>
    <n v="0"/>
    <x v="4"/>
    <n v="1477"/>
    <n v="1493"/>
    <n v="1600"/>
    <n v="0"/>
    <n v="0"/>
    <n v="0"/>
    <n v="0"/>
    <n v="0"/>
    <n v="0"/>
    <n v="1477"/>
    <n v="1493"/>
    <n v="1600"/>
    <n v="0"/>
    <n v="0"/>
    <n v="0"/>
    <n v="183"/>
    <n v="177"/>
    <n v="181"/>
    <n v="1294"/>
    <n v="1315"/>
    <n v="1419"/>
    <n v="0"/>
    <n v="0"/>
    <n v="0"/>
    <n v="1477"/>
    <n v="1493"/>
    <n v="1600"/>
    <n v="1294"/>
    <n v="1316"/>
    <n v="1418"/>
    <n v="1172"/>
    <n v="1295"/>
    <n v="1316"/>
    <n v="122"/>
    <n v="21"/>
    <n v="102"/>
    <n v="183"/>
    <n v="177"/>
    <n v="182"/>
    <n v="0"/>
    <n v="0"/>
    <n v="0"/>
    <n v="0"/>
    <n v="0"/>
    <n v="0"/>
    <n v="183"/>
    <n v="177"/>
    <n v="182"/>
    <n v="0"/>
    <n v="0"/>
    <n v="0"/>
    <n v="904"/>
    <n v="1241"/>
    <n v="1473"/>
    <n v="253"/>
    <n v="405"/>
    <n v="450"/>
    <n v="531"/>
    <n v="490"/>
    <n v="510"/>
    <n v="55"/>
    <n v="283"/>
    <n v="445"/>
    <n v="0"/>
    <n v="0"/>
    <n v="0"/>
    <n v="65"/>
    <n v="57"/>
    <n v="60"/>
    <n v="0"/>
    <n v="0"/>
    <n v="56"/>
    <n v="1"/>
    <n v="7"/>
    <n v="7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950"/>
    <n v="1154"/>
    <n v="1488"/>
    <n v="64"/>
    <n v="10"/>
    <n v="19"/>
    <n v="0"/>
    <n v="2"/>
    <n v="2"/>
    <n v="0"/>
    <n v="0"/>
    <n v="0"/>
    <n v="482"/>
    <n v="424"/>
    <n v="408"/>
    <n v="42"/>
    <n v="32"/>
    <n v="47"/>
    <n v="316"/>
    <n v="268"/>
    <n v="189"/>
    <n v="124"/>
    <n v="123"/>
    <n v="172"/>
    <n v="405"/>
    <n v="718"/>
    <n v="1059"/>
    <n v="47"/>
    <n v="-88"/>
    <n v="15"/>
    <n v="47"/>
    <n v="-88"/>
    <n v="15"/>
    <n v="83"/>
    <n v="109"/>
    <n v="88"/>
    <n v="83"/>
    <n v="109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109"/>
    <n v="88"/>
    <n v="76"/>
    <n v="109"/>
    <n v="88"/>
    <n v="912"/>
    <n v="1241"/>
    <n v="1473"/>
    <n v="1033"/>
    <n v="1263"/>
    <n v="1576"/>
    <n v="121"/>
    <n v="22"/>
    <n v="103"/>
    <n v="123"/>
    <n v="21"/>
    <n v="103"/>
    <s v="priloha"/>
  </r>
  <r>
    <s v="Tělovýchovná jednota AFK Hořín"/>
    <n v="70"/>
    <n v="0"/>
    <n v="15"/>
    <n v="10"/>
    <n v="30"/>
    <n v="35"/>
    <n v="10"/>
    <x v="4"/>
    <s v="Sportem pro všechny"/>
    <n v="4"/>
    <n v="10"/>
    <n v="50"/>
    <n v="20"/>
    <n v="20"/>
    <x v="5"/>
    <n v="360"/>
    <n v="319"/>
    <n v="239"/>
    <n v="374"/>
    <n v="374"/>
    <n v="400"/>
    <n v="-258"/>
    <n v="-267"/>
    <n v="-295"/>
    <n v="244"/>
    <n v="212"/>
    <n v="134"/>
    <n v="0"/>
    <n v="0"/>
    <n v="0"/>
    <n v="95"/>
    <n v="122"/>
    <n v="23"/>
    <n v="149"/>
    <n v="90"/>
    <n v="111"/>
    <n v="0"/>
    <n v="0"/>
    <n v="0"/>
    <n v="360"/>
    <n v="319"/>
    <n v="239"/>
    <n v="99"/>
    <n v="1"/>
    <n v="217"/>
    <n v="83"/>
    <n v="82"/>
    <n v="82"/>
    <n v="16"/>
    <n v="-81"/>
    <n v="135"/>
    <n v="261"/>
    <n v="318"/>
    <n v="21"/>
    <n v="0"/>
    <n v="0"/>
    <n v="0"/>
    <n v="0"/>
    <n v="238"/>
    <n v="20"/>
    <n v="261"/>
    <n v="80"/>
    <n v="1"/>
    <n v="0"/>
    <n v="0"/>
    <n v="0"/>
    <n v="201"/>
    <n v="257"/>
    <n v="211"/>
    <n v="170"/>
    <n v="159"/>
    <n v="101"/>
    <n v="-22"/>
    <n v="48"/>
    <n v="53"/>
    <n v="0"/>
    <n v="0"/>
    <n v="0"/>
    <n v="290"/>
    <n v="0"/>
    <n v="0"/>
    <n v="1"/>
    <n v="0"/>
    <n v="9"/>
    <n v="4"/>
    <n v="8"/>
    <n v="29"/>
    <n v="50"/>
    <n v="4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160"/>
    <n v="427"/>
    <n v="0"/>
    <n v="0"/>
    <n v="0"/>
    <n v="23"/>
    <n v="33"/>
    <n v="243"/>
    <n v="0"/>
    <n v="0"/>
    <n v="0"/>
    <n v="87"/>
    <n v="50"/>
    <n v="43"/>
    <n v="21"/>
    <n v="0"/>
    <n v="0"/>
    <n v="52"/>
    <n v="29"/>
    <n v="33"/>
    <n v="14"/>
    <n v="21"/>
    <n v="10"/>
    <n v="200"/>
    <n v="77"/>
    <n v="141"/>
    <n v="109"/>
    <n v="-97"/>
    <n v="216"/>
    <n v="109"/>
    <n v="-97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57"/>
    <n v="211"/>
    <n v="310"/>
    <n v="160"/>
    <n v="427"/>
    <n v="109"/>
    <n v="-97"/>
    <n v="216"/>
    <n v="109"/>
    <n v="-97"/>
    <n v="216"/>
    <m/>
  </r>
  <r>
    <s v="AK Šternberk"/>
    <n v="385"/>
    <n v="25"/>
    <n v="45"/>
    <n v="15"/>
    <n v="8"/>
    <n v="5"/>
    <n v="2"/>
    <x v="0"/>
    <s v="Výkonnostním sportem"/>
    <n v="6"/>
    <n v="20"/>
    <n v="50"/>
    <n v="5"/>
    <n v="25"/>
    <x v="0"/>
    <n v="61"/>
    <n v="124"/>
    <n v="210"/>
    <n v="91"/>
    <n v="91"/>
    <n v="82"/>
    <n v="-91"/>
    <n v="-91"/>
    <n v="-82"/>
    <n v="61"/>
    <n v="124"/>
    <n v="210"/>
    <m/>
    <n v="0"/>
    <n v="0"/>
    <n v="0"/>
    <n v="0"/>
    <n v="0"/>
    <n v="56"/>
    <n v="123"/>
    <n v="210"/>
    <n v="5"/>
    <n v="1"/>
    <n v="0"/>
    <n v="61"/>
    <n v="124"/>
    <n v="210"/>
    <n v="-64"/>
    <n v="-76"/>
    <n v="14"/>
    <n v="0"/>
    <n v="0"/>
    <n v="0"/>
    <n v="-64"/>
    <n v="-76"/>
    <n v="14"/>
    <n v="125"/>
    <n v="200"/>
    <n v="70"/>
    <n v="0"/>
    <n v="0"/>
    <n v="0"/>
    <n v="0"/>
    <n v="0"/>
    <n v="0"/>
    <n v="22"/>
    <n v="77"/>
    <n v="70"/>
    <n v="103"/>
    <n v="123"/>
    <n v="140"/>
    <n v="1422"/>
    <n v="1832"/>
    <n v="2480"/>
    <n v="275"/>
    <n v="1325"/>
    <n v="1556"/>
    <n v="946"/>
    <n v="0"/>
    <n v="1033"/>
    <n v="198"/>
    <n v="504"/>
    <n v="920"/>
    <n v="0"/>
    <n v="0"/>
    <n v="0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1"/>
    <n v="1820"/>
    <n v="2494"/>
    <n v="0"/>
    <n v="30"/>
    <n v="0"/>
    <n v="361"/>
    <n v="361"/>
    <n v="553"/>
    <n v="0"/>
    <n v="0"/>
    <n v="0"/>
    <n v="180"/>
    <n v="311"/>
    <n v="223"/>
    <n v="0"/>
    <n v="0"/>
    <n v="0"/>
    <n v="29"/>
    <n v="126"/>
    <n v="6"/>
    <n v="151"/>
    <n v="185"/>
    <n v="217"/>
    <n v="810"/>
    <n v="1118"/>
    <n v="1718"/>
    <n v="-71"/>
    <n v="12"/>
    <n v="14"/>
    <n v="-71"/>
    <n v="1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"/>
    <n v="1832"/>
    <n v="2480"/>
    <n v="1351"/>
    <n v="1820"/>
    <n v="2494"/>
    <n v="-71"/>
    <n v="-12"/>
    <n v="14"/>
    <n v="-71"/>
    <n v="12"/>
    <n v="14"/>
    <s v="priloha"/>
  </r>
  <r>
    <s v="TJ VTŽ Chomutov"/>
    <n v="260"/>
    <n v="1"/>
    <n v="89"/>
    <n v="7"/>
    <n v="2"/>
    <n v="1"/>
    <n v="0"/>
    <x v="0"/>
    <s v="Výchovou mládeže"/>
    <n v="4"/>
    <n v="52"/>
    <n v="45"/>
    <n v="3"/>
    <n v="0"/>
    <x v="0"/>
    <n v="5522"/>
    <n v="5754"/>
    <n v="5801"/>
    <n v="7079"/>
    <n v="7079"/>
    <n v="7250"/>
    <n v="-4739"/>
    <n v="-4747"/>
    <n v="-4882"/>
    <n v="3182"/>
    <n v="3422"/>
    <n v="3433"/>
    <n v="0"/>
    <n v="0"/>
    <n v="0"/>
    <n v="151"/>
    <n v="177"/>
    <n v="161"/>
    <n v="3031"/>
    <n v="3285"/>
    <n v="3315"/>
    <n v="0"/>
    <n v="-40"/>
    <n v="-43"/>
    <n v="5522"/>
    <n v="5754"/>
    <n v="5801"/>
    <n v="5230"/>
    <n v="5505"/>
    <n v="5537"/>
    <n v="4352"/>
    <n v="4352"/>
    <n v="4352"/>
    <n v="878"/>
    <n v="1153"/>
    <n v="1185"/>
    <n v="292"/>
    <n v="249"/>
    <n v="264"/>
    <n v="0"/>
    <n v="0"/>
    <n v="0"/>
    <n v="0"/>
    <n v="0"/>
    <n v="0"/>
    <n v="292"/>
    <n v="236"/>
    <n v="260"/>
    <n v="0"/>
    <n v="13"/>
    <n v="4"/>
    <n v="3562"/>
    <n v="4108"/>
    <n v="5480"/>
    <n v="1047"/>
    <n v="2905"/>
    <n v="3688"/>
    <n v="1665"/>
    <n v="0"/>
    <n v="0"/>
    <n v="624"/>
    <n v="1005"/>
    <n v="1461"/>
    <n v="5"/>
    <n v="6"/>
    <n v="6"/>
    <n v="164"/>
    <n v="150"/>
    <n v="191"/>
    <n v="24"/>
    <n v="8"/>
    <n v="134"/>
    <n v="33"/>
    <n v="34"/>
    <n v="0"/>
    <n v="0"/>
    <n v="0"/>
    <n v="0"/>
    <n v="397"/>
    <n v="499"/>
    <n v="396"/>
    <n v="0"/>
    <n v="57"/>
    <n v="1"/>
    <n v="16"/>
    <n v="0"/>
    <n v="0"/>
    <n v="382"/>
    <n v="413"/>
    <n v="368"/>
    <n v="0"/>
    <n v="0"/>
    <n v="0"/>
    <n v="-1"/>
    <n v="4"/>
    <n v="0"/>
    <n v="0"/>
    <n v="0"/>
    <n v="0"/>
    <n v="0"/>
    <n v="0"/>
    <n v="0"/>
    <n v="0"/>
    <n v="15"/>
    <n v="22"/>
    <n v="3395"/>
    <n v="4086"/>
    <n v="5120"/>
    <n v="203"/>
    <n v="126"/>
    <n v="576"/>
    <n v="91"/>
    <n v="54"/>
    <n v="33"/>
    <n v="0"/>
    <n v="0"/>
    <n v="0"/>
    <n v="1799"/>
    <n v="1922"/>
    <n v="2073"/>
    <n v="570"/>
    <n v="15"/>
    <n v="48"/>
    <n v="255"/>
    <n v="683"/>
    <n v="567"/>
    <n v="974"/>
    <n v="1224"/>
    <n v="1458"/>
    <n v="1302"/>
    <n v="1964"/>
    <n v="2438"/>
    <n v="-167"/>
    <n v="-22"/>
    <n v="-360"/>
    <n v="-167"/>
    <n v="-22"/>
    <n v="-360"/>
    <n v="920"/>
    <n v="796"/>
    <n v="788"/>
    <n v="915"/>
    <n v="795"/>
    <n v="788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312"/>
    <n v="414"/>
    <n v="479"/>
    <n v="297"/>
    <n v="392"/>
    <n v="3959"/>
    <n v="4607"/>
    <n v="5876"/>
    <n v="4315"/>
    <n v="4882"/>
    <n v="5908"/>
    <n v="356"/>
    <n v="275"/>
    <n v="32"/>
    <n v="312"/>
    <n v="275"/>
    <n v="32"/>
    <m/>
  </r>
  <r>
    <s v="KB Střelka Brno"/>
    <n v="50"/>
    <n v="0"/>
    <n v="74"/>
    <n v="14"/>
    <n v="5"/>
    <n v="5"/>
    <n v="2"/>
    <x v="2"/>
    <s v="Výchovou mládeže"/>
    <n v="3"/>
    <n v="46"/>
    <n v="50"/>
    <n v="2"/>
    <n v="2"/>
    <x v="5"/>
    <n v="2336"/>
    <n v="2109"/>
    <n v="1928"/>
    <n v="2074"/>
    <n v="2074"/>
    <n v="2074"/>
    <n v="-351"/>
    <n v="-571"/>
    <n v="-791"/>
    <n v="611"/>
    <n v="575"/>
    <n v="644"/>
    <n v="453"/>
    <n v="453"/>
    <n v="453"/>
    <n v="0"/>
    <n v="0"/>
    <n v="0"/>
    <n v="117"/>
    <n v="122"/>
    <n v="172"/>
    <n v="41"/>
    <n v="30"/>
    <n v="19"/>
    <n v="2236"/>
    <n v="2109"/>
    <n v="1928"/>
    <n v="2236"/>
    <n v="2109"/>
    <n v="1928"/>
    <n v="1093"/>
    <n v="1093"/>
    <n v="1093"/>
    <n v="1243"/>
    <n v="1016"/>
    <n v="835"/>
    <n v="0"/>
    <n v="0"/>
    <n v="0"/>
    <n v="0"/>
    <n v="0"/>
    <n v="0"/>
    <n v="0"/>
    <n v="0"/>
    <n v="0"/>
    <n v="0"/>
    <n v="0"/>
    <n v="0"/>
    <n v="0"/>
    <n v="0"/>
    <n v="0"/>
    <n v="969"/>
    <n v="1637"/>
    <n v="2009"/>
    <n v="152"/>
    <n v="602"/>
    <n v="966"/>
    <n v="487"/>
    <n v="649"/>
    <n v="566"/>
    <n v="110"/>
    <n v="137"/>
    <n v="217"/>
    <n v="0"/>
    <n v="0"/>
    <n v="0"/>
    <n v="0"/>
    <n v="29"/>
    <n v="41"/>
    <n v="220"/>
    <n v="22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1409"/>
    <n v="1828"/>
    <n v="3"/>
    <n v="0"/>
    <n v="20"/>
    <n v="55"/>
    <n v="146"/>
    <n v="38"/>
    <n v="0"/>
    <n v="0"/>
    <n v="0"/>
    <n v="197"/>
    <n v="378"/>
    <n v="690"/>
    <n v="0"/>
    <n v="206"/>
    <n v="445"/>
    <n v="177"/>
    <n v="102"/>
    <n v="198"/>
    <n v="20"/>
    <n v="70"/>
    <n v="48"/>
    <n v="0"/>
    <n v="885"/>
    <n v="1080"/>
    <n v="-714"/>
    <n v="-227"/>
    <n v="-181"/>
    <n v="-714"/>
    <n v="-227"/>
    <n v="-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1637"/>
    <n v="2009"/>
    <n v="255"/>
    <n v="1409"/>
    <n v="1828"/>
    <n v="-714"/>
    <n v="-228"/>
    <n v="-181"/>
    <n v="-714"/>
    <n v="-227"/>
    <n v="-181"/>
    <m/>
  </r>
  <r>
    <s v="Tělovýchovná jednota Sokol Dolní Počernice"/>
    <n v="255"/>
    <n v="10"/>
    <n v="50"/>
    <n v="0"/>
    <n v="20"/>
    <n v="15"/>
    <n v="5"/>
    <x v="4"/>
    <s v="Sportem pro všechny"/>
    <n v="3"/>
    <n v="10"/>
    <n v="10"/>
    <n v="5"/>
    <n v="75"/>
    <x v="3"/>
    <n v="42968"/>
    <n v="43707"/>
    <n v="44429"/>
    <n v="50908"/>
    <n v="50809"/>
    <n v="51513"/>
    <n v="-10594"/>
    <n v="-10428"/>
    <n v="-11026"/>
    <n v="2654"/>
    <n v="3326"/>
    <n v="3942"/>
    <n v="0"/>
    <n v="0"/>
    <n v="0"/>
    <n v="446"/>
    <n v="367"/>
    <n v="325"/>
    <n v="2182"/>
    <n v="2926"/>
    <n v="3534"/>
    <n v="26"/>
    <n v="33"/>
    <n v="83"/>
    <n v="42968"/>
    <n v="43707"/>
    <n v="44429"/>
    <n v="42168"/>
    <n v="42914"/>
    <n v="42854"/>
    <n v="41773"/>
    <n v="42200"/>
    <n v="42567"/>
    <n v="395"/>
    <n v="714"/>
    <n v="287"/>
    <n v="800"/>
    <n v="793"/>
    <n v="1575"/>
    <n v="0"/>
    <n v="0"/>
    <n v="0"/>
    <n v="0"/>
    <n v="300"/>
    <n v="200"/>
    <n v="436"/>
    <n v="300"/>
    <n v="64"/>
    <n v="364"/>
    <n v="193"/>
    <n v="0"/>
    <n v="2218"/>
    <n v="2895"/>
    <n v="3491"/>
    <n v="1899"/>
    <n v="1588"/>
    <n v="1840"/>
    <n v="0"/>
    <n v="0"/>
    <n v="0"/>
    <n v="295"/>
    <n v="442"/>
    <n v="607"/>
    <n v="0"/>
    <n v="0"/>
    <n v="0"/>
    <n v="0"/>
    <n v="322"/>
    <n v="405"/>
    <n v="0"/>
    <n v="536"/>
    <n v="593"/>
    <n v="24"/>
    <n v="7"/>
    <n v="46"/>
    <n v="0"/>
    <n v="0"/>
    <n v="0"/>
    <n v="890"/>
    <n v="1061"/>
    <n v="1246"/>
    <n v="890"/>
    <n v="674"/>
    <n v="808"/>
    <n v="0"/>
    <n v="0"/>
    <n v="0"/>
    <n v="0"/>
    <n v="30"/>
    <n v="61"/>
    <n v="0"/>
    <n v="43"/>
    <n v="90"/>
    <n v="0"/>
    <n v="57"/>
    <n v="58"/>
    <n v="0"/>
    <n v="111"/>
    <n v="112"/>
    <n v="0"/>
    <n v="0"/>
    <n v="0"/>
    <n v="0"/>
    <n v="146"/>
    <n v="117"/>
    <n v="1462"/>
    <n v="2658"/>
    <n v="2980"/>
    <n v="942"/>
    <n v="9"/>
    <n v="17"/>
    <n v="0"/>
    <n v="348"/>
    <n v="494"/>
    <n v="0"/>
    <n v="0"/>
    <n v="0"/>
    <n v="104"/>
    <n v="1828"/>
    <n v="1522"/>
    <n v="0"/>
    <n v="637"/>
    <n v="428"/>
    <n v="104"/>
    <n v="247"/>
    <n v="77"/>
    <n v="0"/>
    <n v="944"/>
    <n v="1017"/>
    <n v="416"/>
    <n v="473"/>
    <n v="947"/>
    <n v="-756"/>
    <n v="-237"/>
    <n v="-511"/>
    <n v="-756"/>
    <n v="-237"/>
    <n v="-511"/>
    <n v="2218"/>
    <n v="2012"/>
    <n v="2044"/>
    <n v="2218"/>
    <n v="2012"/>
    <n v="2003"/>
    <n v="0"/>
    <n v="0"/>
    <n v="36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1328"/>
    <n v="1097"/>
    <n v="915"/>
    <n v="1151"/>
    <n v="951"/>
    <n v="798"/>
    <n v="3108"/>
    <n v="3956"/>
    <n v="4737"/>
    <n v="3680"/>
    <n v="4670"/>
    <n v="5024"/>
    <n v="572"/>
    <n v="714"/>
    <n v="287"/>
    <n v="395"/>
    <n v="714"/>
    <n v="287"/>
    <s v="priloha"/>
  </r>
  <r>
    <s v="Tri Club Vajgar Jindřichův Hradec"/>
    <n v="92"/>
    <n v="3"/>
    <n v="50"/>
    <n v="15"/>
    <n v="14"/>
    <n v="17"/>
    <n v="1"/>
    <x v="10"/>
    <s v="Výchovou mládeže"/>
    <n v="2"/>
    <n v="80"/>
    <n v="15"/>
    <n v="5"/>
    <n v="0"/>
    <x v="5"/>
    <n v="142"/>
    <n v="125"/>
    <n v="197"/>
    <n v="0"/>
    <n v="0"/>
    <n v="0"/>
    <n v="0"/>
    <n v="0"/>
    <n v="0"/>
    <n v="142"/>
    <n v="125"/>
    <n v="197"/>
    <n v="0"/>
    <n v="0"/>
    <n v="0"/>
    <n v="20"/>
    <n v="22"/>
    <n v="36"/>
    <n v="122"/>
    <n v="103"/>
    <n v="161"/>
    <n v="0"/>
    <n v="0"/>
    <n v="0"/>
    <n v="142"/>
    <n v="125"/>
    <n v="197"/>
    <n v="142"/>
    <n v="103"/>
    <n v="197"/>
    <n v="119"/>
    <n v="142"/>
    <n v="103"/>
    <n v="23"/>
    <n v="-39"/>
    <n v="94"/>
    <n v="0"/>
    <n v="22"/>
    <n v="0"/>
    <n v="0"/>
    <n v="0"/>
    <n v="0"/>
    <n v="0"/>
    <n v="0"/>
    <n v="0"/>
    <n v="0"/>
    <n v="22"/>
    <n v="0"/>
    <n v="0"/>
    <n v="0"/>
    <n v="0"/>
    <n v="524"/>
    <n v="619"/>
    <n v="648"/>
    <n v="214"/>
    <n v="616"/>
    <n v="594"/>
    <n v="307"/>
    <n v="0"/>
    <n v="0"/>
    <n v="0"/>
    <n v="3"/>
    <n v="50"/>
    <n v="0"/>
    <n v="0"/>
    <n v="2"/>
    <n v="2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580"/>
    <n v="742"/>
    <n v="62"/>
    <n v="19"/>
    <n v="27"/>
    <n v="25"/>
    <n v="37"/>
    <n v="22"/>
    <n v="0"/>
    <n v="0"/>
    <n v="0"/>
    <n v="324"/>
    <n v="256"/>
    <n v="287"/>
    <n v="0"/>
    <n v="0"/>
    <n v="0"/>
    <n v="94"/>
    <n v="9"/>
    <n v="14"/>
    <n v="230"/>
    <n v="247"/>
    <n v="273"/>
    <n v="136"/>
    <n v="268"/>
    <n v="406"/>
    <n v="23"/>
    <n v="-39"/>
    <n v="94"/>
    <n v="23"/>
    <n v="-39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619"/>
    <n v="648"/>
    <n v="547"/>
    <n v="580"/>
    <n v="742"/>
    <n v="23"/>
    <n v="-39"/>
    <n v="94"/>
    <n v="23"/>
    <n v="-39"/>
    <n v="94"/>
    <m/>
  </r>
  <r>
    <s v="TJ Sokol Chrudim"/>
    <n v="21"/>
    <n v="0"/>
    <n v="0"/>
    <n v="15"/>
    <n v="20"/>
    <n v="60"/>
    <n v="5"/>
    <x v="8"/>
    <s v="Výkonnostním sportem"/>
    <n v="1"/>
    <n v="30"/>
    <n v="0"/>
    <n v="70"/>
    <n v="0"/>
    <x v="2"/>
    <n v="1538"/>
    <n v="1936"/>
    <n v="1936"/>
    <n v="0"/>
    <n v="0"/>
    <n v="0"/>
    <n v="0"/>
    <n v="0"/>
    <n v="0"/>
    <n v="1583"/>
    <n v="1936"/>
    <n v="1936"/>
    <n v="0"/>
    <n v="0"/>
    <n v="63"/>
    <n v="204"/>
    <n v="63"/>
    <n v="0"/>
    <n v="1379"/>
    <n v="1873"/>
    <n v="187363"/>
    <n v="0"/>
    <n v="0"/>
    <n v="0"/>
    <n v="1538"/>
    <n v="1936"/>
    <n v="1936"/>
    <n v="1492"/>
    <n v="1836"/>
    <n v="1836"/>
    <n v="1473"/>
    <n v="1648"/>
    <n v="1648"/>
    <n v="19"/>
    <n v="188"/>
    <n v="188"/>
    <n v="91"/>
    <n v="100"/>
    <n v="100"/>
    <n v="0"/>
    <n v="0"/>
    <n v="0"/>
    <n v="0"/>
    <n v="0"/>
    <n v="0"/>
    <n v="91"/>
    <n v="100"/>
    <n v="100"/>
    <n v="0"/>
    <n v="0"/>
    <n v="0"/>
    <n v="1965"/>
    <n v="1814"/>
    <n v="2518"/>
    <n v="606"/>
    <n v="1746"/>
    <n v="2298"/>
    <n v="1171"/>
    <n v="0"/>
    <n v="0"/>
    <n v="73"/>
    <n v="67"/>
    <n v="220"/>
    <n v="0"/>
    <n v="0"/>
    <n v="0"/>
    <n v="115"/>
    <n v="1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"/>
    <n v="1878"/>
    <n v="2295"/>
    <n v="1271"/>
    <n v="44"/>
    <n v="59"/>
    <n v="549"/>
    <n v="171"/>
    <n v="71"/>
    <n v="0"/>
    <n v="0"/>
    <n v="0"/>
    <n v="0"/>
    <n v="1246"/>
    <n v="1111"/>
    <n v="0"/>
    <n v="0"/>
    <n v="59"/>
    <n v="0"/>
    <n v="0"/>
    <n v="73"/>
    <n v="0"/>
    <n v="1246"/>
    <n v="979"/>
    <n v="0"/>
    <n v="417"/>
    <n v="1054"/>
    <n v="-145"/>
    <n v="64"/>
    <n v="-223"/>
    <n v="-145"/>
    <n v="64"/>
    <n v="-223"/>
    <n v="149"/>
    <n v="95"/>
    <n v="408"/>
    <n v="149"/>
    <n v="95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95"/>
    <n v="408"/>
    <n v="147"/>
    <n v="95"/>
    <n v="408"/>
    <n v="1968"/>
    <n v="1814"/>
    <n v="2518"/>
    <n v="1969"/>
    <n v="1973"/>
    <n v="2703"/>
    <n v="1"/>
    <n v="159"/>
    <n v="185"/>
    <n v="2"/>
    <n v="159"/>
    <n v="185"/>
    <m/>
  </r>
  <r>
    <s v="SK Veselí nad Moravou"/>
    <n v="31"/>
    <n v="5"/>
    <n v="30"/>
    <n v="10"/>
    <n v="15"/>
    <n v="20"/>
    <n v="20"/>
    <x v="6"/>
    <s v="Výchovou mládeže"/>
    <n v="5"/>
    <n v="20"/>
    <n v="50"/>
    <n v="15"/>
    <n v="15"/>
    <x v="0"/>
    <n v="1117"/>
    <n v="1144"/>
    <n v="1229"/>
    <n v="1513"/>
    <n v="1513"/>
    <n v="1513"/>
    <n v="-1070"/>
    <n v="-1070"/>
    <n v="-1070"/>
    <n v="674"/>
    <n v="701"/>
    <n v="786"/>
    <n v="602"/>
    <n v="612"/>
    <n v="668"/>
    <n v="0"/>
    <n v="0"/>
    <n v="0"/>
    <n v="72"/>
    <n v="89"/>
    <n v="118"/>
    <n v="0"/>
    <n v="0"/>
    <n v="0"/>
    <n v="1117"/>
    <n v="1144"/>
    <n v="1229"/>
    <n v="1117"/>
    <n v="1144"/>
    <n v="1229"/>
    <n v="1117"/>
    <n v="1129"/>
    <n v="1194"/>
    <n v="0"/>
    <n v="15"/>
    <n v="35"/>
    <n v="0"/>
    <n v="0"/>
    <n v="0"/>
    <n v="0"/>
    <n v="0"/>
    <n v="0"/>
    <n v="0"/>
    <n v="0"/>
    <n v="0"/>
    <n v="0"/>
    <n v="0"/>
    <n v="0"/>
    <n v="0"/>
    <n v="0"/>
    <n v="0"/>
    <n v="136"/>
    <n v="138"/>
    <n v="229"/>
    <n v="99"/>
    <n v="103"/>
    <n v="99"/>
    <n v="35"/>
    <n v="32"/>
    <n v="59"/>
    <n v="0"/>
    <n v="0"/>
    <n v="0"/>
    <n v="2"/>
    <n v="3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53"/>
    <n v="264"/>
    <n v="0"/>
    <n v="0"/>
    <n v="0"/>
    <n v="10"/>
    <n v="21"/>
    <n v="17"/>
    <n v="0"/>
    <n v="0"/>
    <n v="0"/>
    <n v="67"/>
    <n v="74"/>
    <n v="125"/>
    <n v="29"/>
    <n v="32"/>
    <n v="74"/>
    <n v="16"/>
    <n v="17"/>
    <n v="9"/>
    <n v="22"/>
    <n v="25"/>
    <n v="42"/>
    <n v="59"/>
    <n v="58"/>
    <n v="48"/>
    <n v="0"/>
    <n v="15"/>
    <n v="35"/>
    <n v="0"/>
    <n v="1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38"/>
    <n v="229"/>
    <n v="136"/>
    <n v="153"/>
    <n v="264"/>
    <n v="0"/>
    <n v="15"/>
    <n v="35"/>
    <n v="0"/>
    <n v="15"/>
    <n v="35"/>
    <m/>
  </r>
  <r>
    <s v="TJ Sokol Plotiště nad Labem"/>
    <n v="217"/>
    <n v="0"/>
    <n v="97"/>
    <n v="0"/>
    <n v="2"/>
    <n v="0"/>
    <n v="1"/>
    <x v="8"/>
    <s v="Výchovou mládeže"/>
    <n v="2"/>
    <n v="60"/>
    <n v="40"/>
    <n v="0"/>
    <n v="0"/>
    <x v="5"/>
    <n v="52"/>
    <n v="95"/>
    <n v="66"/>
    <n v="25"/>
    <n v="25"/>
    <n v="25"/>
    <n v="0"/>
    <n v="0"/>
    <n v="0"/>
    <n v="27"/>
    <n v="70"/>
    <n v="41"/>
    <n v="0"/>
    <n v="0"/>
    <n v="0"/>
    <n v="2"/>
    <n v="2"/>
    <n v="1"/>
    <n v="25"/>
    <n v="68"/>
    <n v="40"/>
    <n v="0"/>
    <n v="0"/>
    <n v="0"/>
    <n v="52"/>
    <n v="95"/>
    <n v="66"/>
    <n v="52"/>
    <n v="93"/>
    <n v="66"/>
    <n v="43"/>
    <n v="52"/>
    <n v="93"/>
    <n v="9"/>
    <n v="41"/>
    <n v="-27"/>
    <n v="0"/>
    <n v="2"/>
    <n v="0"/>
    <n v="0"/>
    <n v="0"/>
    <n v="0"/>
    <n v="0"/>
    <n v="0"/>
    <n v="0"/>
    <n v="0"/>
    <n v="2"/>
    <n v="0"/>
    <n v="0"/>
    <n v="0"/>
    <n v="0"/>
    <n v="84"/>
    <n v="146"/>
    <n v="127"/>
    <n v="11"/>
    <n v="131"/>
    <n v="99"/>
    <n v="58"/>
    <n v="0"/>
    <n v="0"/>
    <n v="11"/>
    <n v="12"/>
    <n v="15"/>
    <n v="0"/>
    <n v="0"/>
    <n v="0"/>
    <n v="4"/>
    <n v="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86"/>
    <n v="100"/>
    <n v="0"/>
    <n v="0"/>
    <n v="0"/>
    <n v="13"/>
    <n v="0"/>
    <n v="0"/>
    <n v="0"/>
    <n v="0"/>
    <n v="0"/>
    <n v="80"/>
    <n v="48"/>
    <n v="100"/>
    <n v="0"/>
    <n v="0"/>
    <n v="0"/>
    <n v="54"/>
    <n v="15"/>
    <n v="67"/>
    <n v="26"/>
    <n v="33"/>
    <n v="33"/>
    <n v="0"/>
    <n v="138"/>
    <n v="0"/>
    <n v="9"/>
    <n v="40"/>
    <n v="-27"/>
    <n v="9"/>
    <n v="40"/>
    <n v="-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46"/>
    <n v="127"/>
    <n v="93"/>
    <n v="186"/>
    <n v="100"/>
    <n v="9"/>
    <n v="40"/>
    <n v="-27"/>
    <n v="9"/>
    <n v="40"/>
    <n v="-27"/>
    <m/>
  </r>
  <r>
    <s v="TJ Spartak Přerov"/>
    <n v="10"/>
    <n v="0"/>
    <n v="30"/>
    <n v="0"/>
    <n v="20"/>
    <n v="10"/>
    <n v="40"/>
    <x v="0"/>
    <s v="Výkonnostním sportem"/>
    <n v="3"/>
    <n v="10"/>
    <n v="90"/>
    <n v="0"/>
    <n v="0"/>
    <x v="5"/>
    <n v="64872"/>
    <n v="60997"/>
    <n v="59187"/>
    <n v="97138"/>
    <n v="97248"/>
    <n v="96279"/>
    <n v="-33956"/>
    <n v="-37114"/>
    <n v="-39130"/>
    <n v="1690"/>
    <n v="863"/>
    <n v="2038"/>
    <n v="0"/>
    <n v="0"/>
    <n v="0"/>
    <n v="1169"/>
    <n v="814"/>
    <n v="1985"/>
    <n v="508"/>
    <n v="43"/>
    <n v="47"/>
    <n v="13"/>
    <n v="6"/>
    <n v="6"/>
    <n v="64872"/>
    <n v="60997"/>
    <n v="59187"/>
    <n v="58389"/>
    <n v="57294"/>
    <n v="55128"/>
    <n v="60301"/>
    <n v="57251"/>
    <n v="56146"/>
    <n v="-1912"/>
    <n v="43"/>
    <n v="-1018"/>
    <n v="6483"/>
    <n v="3703"/>
    <n v="4059"/>
    <n v="0"/>
    <n v="0"/>
    <n v="0"/>
    <n v="0"/>
    <n v="0"/>
    <n v="0"/>
    <n v="5767"/>
    <n v="3205"/>
    <n v="3474"/>
    <n v="716"/>
    <n v="498"/>
    <n v="585"/>
    <n v="11203"/>
    <n v="11933"/>
    <n v="10542"/>
    <n v="1861"/>
    <n v="4994"/>
    <n v="4426"/>
    <n v="2996"/>
    <n v="0"/>
    <n v="0"/>
    <n v="2024"/>
    <n v="2321"/>
    <n v="1909"/>
    <n v="118"/>
    <n v="227"/>
    <n v="338"/>
    <n v="1320"/>
    <n v="1553"/>
    <n v="3869"/>
    <n v="2884"/>
    <n v="2838"/>
    <n v="0"/>
    <n v="0"/>
    <n v="0"/>
    <n v="0"/>
    <n v="0"/>
    <n v="0"/>
    <n v="0"/>
    <n v="1728"/>
    <n v="1395"/>
    <n v="1759"/>
    <n v="625"/>
    <n v="752"/>
    <n v="1067"/>
    <n v="361"/>
    <n v="0"/>
    <n v="0"/>
    <n v="359"/>
    <n v="318"/>
    <n v="305"/>
    <n v="32"/>
    <n v="42"/>
    <n v="65"/>
    <n v="48"/>
    <n v="40"/>
    <n v="322"/>
    <n v="303"/>
    <n v="243"/>
    <n v="0"/>
    <n v="0"/>
    <n v="0"/>
    <n v="0"/>
    <n v="0"/>
    <n v="0"/>
    <n v="0"/>
    <n v="9050"/>
    <n v="11560"/>
    <n v="9207"/>
    <n v="3455"/>
    <n v="3343"/>
    <n v="3573"/>
    <n v="1815"/>
    <n v="4158"/>
    <n v="3207"/>
    <n v="1"/>
    <n v="3"/>
    <n v="27"/>
    <n v="3779"/>
    <n v="3847"/>
    <n v="2204"/>
    <n v="1046"/>
    <n v="1236"/>
    <n v="547"/>
    <n v="1445"/>
    <n v="1380"/>
    <n v="1023"/>
    <n v="1288"/>
    <n v="1231"/>
    <n v="634"/>
    <n v="0"/>
    <n v="209"/>
    <n v="196"/>
    <n v="-2153"/>
    <n v="-373"/>
    <n v="-1335"/>
    <n v="-2153"/>
    <n v="-373"/>
    <n v="-1335"/>
    <n v="1969"/>
    <n v="1811"/>
    <n v="2076"/>
    <n v="1969"/>
    <n v="1811"/>
    <n v="2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416"/>
    <n v="317"/>
    <n v="241"/>
    <n v="416"/>
    <n v="317"/>
    <n v="12931"/>
    <n v="13328"/>
    <n v="12301"/>
    <n v="11019"/>
    <n v="13371"/>
    <n v="11283"/>
    <n v="-1912"/>
    <n v="43"/>
    <n v="-1018"/>
    <n v="-1912"/>
    <n v="43"/>
    <n v="-1018"/>
    <m/>
  </r>
  <r>
    <s v="TJ Nové Město na Moravě"/>
    <n v="176"/>
    <n v="4"/>
    <n v="59"/>
    <n v="17"/>
    <n v="12"/>
    <n v="6"/>
    <n v="2"/>
    <x v="0"/>
    <s v="Výchovou mládeže"/>
    <n v="6"/>
    <n v="30"/>
    <n v="50"/>
    <n v="15"/>
    <n v="5"/>
    <x v="0"/>
    <n v="12700"/>
    <n v="11888"/>
    <n v="11295"/>
    <n v="20365"/>
    <n v="20468"/>
    <n v="20468"/>
    <n v="-8081"/>
    <n v="-8908"/>
    <n v="-9693"/>
    <n v="416"/>
    <n v="328"/>
    <n v="520"/>
    <n v="0"/>
    <n v="0"/>
    <n v="0"/>
    <n v="24"/>
    <n v="23"/>
    <n v="47"/>
    <n v="283"/>
    <n v="197"/>
    <n v="373"/>
    <n v="109"/>
    <n v="108"/>
    <n v="100"/>
    <n v="12700"/>
    <n v="11888"/>
    <n v="11295"/>
    <n v="12071"/>
    <n v="11282"/>
    <n v="10790"/>
    <n v="12026"/>
    <n v="11526"/>
    <n v="10744"/>
    <n v="45"/>
    <n v="-244"/>
    <n v="46"/>
    <n v="629"/>
    <n v="606"/>
    <n v="505"/>
    <n v="0"/>
    <n v="0"/>
    <n v="0"/>
    <n v="0"/>
    <n v="0"/>
    <n v="0"/>
    <n v="25"/>
    <n v="49"/>
    <n v="15"/>
    <n v="604"/>
    <n v="557"/>
    <n v="0"/>
    <n v="1695"/>
    <n v="2103"/>
    <n v="1850"/>
    <n v="319"/>
    <n v="1299"/>
    <n v="1041"/>
    <n v="636"/>
    <n v="0"/>
    <n v="0"/>
    <n v="105"/>
    <n v="127"/>
    <n v="157"/>
    <n v="1"/>
    <n v="0"/>
    <n v="0"/>
    <n v="18"/>
    <n v="19"/>
    <n v="18"/>
    <n v="597"/>
    <n v="638"/>
    <n v="602"/>
    <n v="19"/>
    <n v="20"/>
    <n v="32"/>
    <n v="0"/>
    <n v="0"/>
    <n v="0"/>
    <n v="218"/>
    <n v="361"/>
    <n v="242"/>
    <n v="0"/>
    <n v="159"/>
    <n v="40"/>
    <n v="16"/>
    <n v="0"/>
    <n v="0"/>
    <n v="0"/>
    <n v="0"/>
    <n v="0"/>
    <n v="11"/>
    <n v="11"/>
    <n v="11"/>
    <n v="9"/>
    <n v="9"/>
    <n v="9"/>
    <n v="182"/>
    <n v="182"/>
    <n v="182"/>
    <n v="0"/>
    <n v="0"/>
    <n v="0"/>
    <n v="0"/>
    <n v="0"/>
    <n v="0"/>
    <n v="1540"/>
    <n v="1810"/>
    <n v="1725"/>
    <n v="115"/>
    <n v="233"/>
    <n v="115"/>
    <n v="5487"/>
    <n v="599"/>
    <n v="537"/>
    <n v="0"/>
    <n v="0"/>
    <n v="0"/>
    <n v="404"/>
    <n v="473"/>
    <n v="538"/>
    <n v="0"/>
    <n v="0"/>
    <n v="193"/>
    <n v="220"/>
    <n v="234"/>
    <n v="52"/>
    <n v="184"/>
    <n v="239"/>
    <n v="293"/>
    <n v="474"/>
    <n v="505"/>
    <n v="535"/>
    <n v="-155"/>
    <n v="-293"/>
    <n v="-125"/>
    <n v="-155"/>
    <n v="-293"/>
    <n v="-125"/>
    <n v="418"/>
    <n v="410"/>
    <n v="413"/>
    <n v="418"/>
    <n v="41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49"/>
    <n v="171"/>
    <n v="200"/>
    <n v="49"/>
    <n v="171"/>
    <n v="1913"/>
    <n v="2464"/>
    <n v="2092"/>
    <n v="1958"/>
    <n v="2220"/>
    <n v="2138"/>
    <n v="45"/>
    <n v="-244"/>
    <n v="46"/>
    <n v="45"/>
    <n v="-244"/>
    <n v="46"/>
    <m/>
  </r>
  <r>
    <s v="Jihočeský klub maratonců"/>
    <n v="117"/>
    <n v="0"/>
    <n v="0"/>
    <n v="5"/>
    <n v="40"/>
    <n v="40"/>
    <n v="15"/>
    <x v="0"/>
    <s v="Sportem pro všechny"/>
    <n v="2"/>
    <n v="30"/>
    <n v="30"/>
    <n v="40"/>
    <n v="0"/>
    <x v="5"/>
    <n v="23"/>
    <n v="23"/>
    <n v="64"/>
    <n v="0"/>
    <n v="0"/>
    <n v="0"/>
    <n v="0"/>
    <n v="0"/>
    <n v="0"/>
    <n v="23"/>
    <n v="23"/>
    <n v="64"/>
    <n v="0"/>
    <n v="0"/>
    <n v="0"/>
    <n v="0"/>
    <n v="0"/>
    <n v="0"/>
    <n v="23"/>
    <n v="23"/>
    <n v="64"/>
    <n v="0"/>
    <n v="0"/>
    <n v="0"/>
    <n v="23"/>
    <n v="23"/>
    <n v="64"/>
    <n v="0"/>
    <n v="0"/>
    <n v="0"/>
    <n v="0"/>
    <n v="0"/>
    <n v="0"/>
    <n v="0"/>
    <n v="0"/>
    <n v="0"/>
    <n v="23"/>
    <n v="23"/>
    <n v="64"/>
    <n v="0"/>
    <n v="0"/>
    <n v="0"/>
    <n v="0"/>
    <n v="0"/>
    <n v="0"/>
    <n v="23"/>
    <n v="23"/>
    <n v="64"/>
    <n v="0"/>
    <n v="0"/>
    <n v="0"/>
    <n v="111"/>
    <n v="111"/>
    <n v="158"/>
    <n v="60"/>
    <n v="60"/>
    <n v="66"/>
    <n v="42"/>
    <n v="42"/>
    <n v="85"/>
    <n v="0"/>
    <n v="0"/>
    <n v="0"/>
    <n v="0"/>
    <n v="0"/>
    <n v="0"/>
    <n v="0"/>
    <n v="0"/>
    <n v="0"/>
    <n v="0"/>
    <n v="0"/>
    <n v="0"/>
    <n v="9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111"/>
    <n v="158"/>
    <n v="0"/>
    <n v="0"/>
    <n v="0"/>
    <n v="0"/>
    <n v="0"/>
    <n v="0"/>
    <n v="0"/>
    <n v="0"/>
    <n v="0"/>
    <n v="63"/>
    <n v="63"/>
    <n v="73"/>
    <n v="0"/>
    <n v="0"/>
    <n v="0"/>
    <n v="60"/>
    <n v="60"/>
    <n v="70"/>
    <n v="3"/>
    <n v="3"/>
    <n v="3"/>
    <n v="49"/>
    <n v="49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111"/>
    <n v="111"/>
    <n v="158"/>
    <n v="111"/>
    <n v="111"/>
    <n v="158"/>
    <n v="0"/>
    <n v="0"/>
    <n v="0"/>
    <n v="0"/>
    <n v="0"/>
    <n v="0"/>
    <m/>
  </r>
  <r>
    <s v="SKP Nymburk"/>
    <n v="720"/>
    <n v="1"/>
    <n v="37"/>
    <n v="6"/>
    <n v="6"/>
    <n v="22"/>
    <n v="28"/>
    <x v="0"/>
    <s v="Výchovou mládeže"/>
    <n v="2"/>
    <n v="60"/>
    <n v="20"/>
    <n v="15"/>
    <n v="5"/>
    <x v="2"/>
    <n v="897"/>
    <n v="1193"/>
    <n v="1686"/>
    <n v="0"/>
    <n v="0"/>
    <n v="0"/>
    <n v="0"/>
    <n v="0"/>
    <n v="0"/>
    <n v="897"/>
    <n v="1193"/>
    <n v="1686"/>
    <n v="0"/>
    <n v="0"/>
    <n v="0"/>
    <n v="0"/>
    <n v="0"/>
    <n v="0"/>
    <n v="897"/>
    <n v="1193"/>
    <n v="1686"/>
    <n v="0"/>
    <n v="0"/>
    <n v="0"/>
    <n v="897"/>
    <n v="1193"/>
    <n v="1686"/>
    <n v="897"/>
    <n v="1193"/>
    <n v="1686"/>
    <n v="310"/>
    <n v="0"/>
    <n v="0"/>
    <n v="587"/>
    <n v="1193"/>
    <n v="1686"/>
    <n v="0"/>
    <n v="0"/>
    <n v="0"/>
    <n v="0"/>
    <n v="0"/>
    <n v="0"/>
    <n v="0"/>
    <n v="0"/>
    <n v="0"/>
    <n v="0"/>
    <n v="0"/>
    <n v="0"/>
    <n v="0"/>
    <n v="0"/>
    <n v="0"/>
    <n v="2297"/>
    <n v="2513"/>
    <n v="2502"/>
    <n v="592"/>
    <n v="1914"/>
    <n v="2048"/>
    <n v="1705"/>
    <n v="0"/>
    <n v="0"/>
    <n v="0"/>
    <n v="246"/>
    <n v="427"/>
    <n v="0"/>
    <n v="0"/>
    <n v="27"/>
    <n v="0"/>
    <n v="35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"/>
    <n v="3696"/>
    <n v="4188"/>
    <n v="0"/>
    <n v="0"/>
    <n v="0"/>
    <n v="0"/>
    <n v="0"/>
    <n v="0"/>
    <n v="0"/>
    <n v="0"/>
    <n v="0"/>
    <n v="2879"/>
    <n v="2355"/>
    <n v="2637"/>
    <n v="0"/>
    <n v="0"/>
    <n v="0"/>
    <n v="1352"/>
    <n v="1064"/>
    <n v="724"/>
    <n v="1527"/>
    <n v="1291"/>
    <n v="1913"/>
    <n v="0"/>
    <n v="1341"/>
    <n v="1551"/>
    <n v="582"/>
    <n v="1183"/>
    <n v="1686"/>
    <n v="582"/>
    <n v="1183"/>
    <n v="1686"/>
    <n v="5"/>
    <n v="10"/>
    <n v="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0"/>
    <n v="5"/>
    <n v="10"/>
    <n v="0"/>
    <n v="2297"/>
    <n v="2513"/>
    <n v="2502"/>
    <n v="2884"/>
    <n v="3706"/>
    <n v="4188"/>
    <n v="587"/>
    <n v="1193"/>
    <n v="1686"/>
    <n v="587"/>
    <n v="1193"/>
    <n v="1686"/>
    <m/>
  </r>
  <r>
    <s v="TJ Kralupy"/>
    <n v="25"/>
    <n v="0"/>
    <n v="0"/>
    <n v="15"/>
    <n v="70"/>
    <n v="8"/>
    <n v="7"/>
    <x v="0"/>
    <s v="Výkonnostním sportem"/>
    <n v="2"/>
    <n v="10"/>
    <n v="45"/>
    <n v="30"/>
    <n v="15"/>
    <x v="5"/>
    <n v="5432"/>
    <n v="5511"/>
    <n v="7071"/>
    <n v="4243"/>
    <n v="4243"/>
    <n v="4420"/>
    <n v="-2094"/>
    <n v="-2272"/>
    <n v="-2451"/>
    <n v="3183"/>
    <n v="3440"/>
    <n v="5002"/>
    <n v="0"/>
    <n v="0"/>
    <n v="0"/>
    <n v="462"/>
    <n v="362"/>
    <n v="1160"/>
    <n v="2702"/>
    <n v="3055"/>
    <n v="3832"/>
    <n v="19"/>
    <n v="23"/>
    <n v="10"/>
    <n v="5432"/>
    <n v="5511"/>
    <n v="7071"/>
    <n v="4437"/>
    <n v="4712"/>
    <n v="6437"/>
    <n v="5326"/>
    <n v="5326"/>
    <n v="5326"/>
    <n v="-889"/>
    <n v="-614"/>
    <n v="1111"/>
    <n v="995"/>
    <n v="799"/>
    <n v="634"/>
    <n v="0"/>
    <n v="0"/>
    <n v="0"/>
    <n v="0"/>
    <n v="0"/>
    <n v="0"/>
    <n v="968"/>
    <n v="776"/>
    <n v="523"/>
    <n v="27"/>
    <n v="23"/>
    <n v="111"/>
    <n v="6919"/>
    <n v="6258"/>
    <n v="7631"/>
    <n v="1936"/>
    <n v="5524"/>
    <n v="6500"/>
    <n v="4645"/>
    <n v="0"/>
    <n v="0"/>
    <n v="71"/>
    <n v="515"/>
    <n v="864"/>
    <n v="4"/>
    <n v="6"/>
    <n v="11"/>
    <n v="88"/>
    <n v="35"/>
    <n v="78"/>
    <n v="175"/>
    <n v="178"/>
    <n v="178"/>
    <n v="0"/>
    <n v="0"/>
    <n v="0"/>
    <n v="0"/>
    <n v="0"/>
    <n v="0"/>
    <n v="264"/>
    <n v="233"/>
    <n v="510"/>
    <n v="202"/>
    <n v="203"/>
    <n v="472"/>
    <n v="22"/>
    <n v="0"/>
    <n v="0"/>
    <n v="2"/>
    <n v="0"/>
    <n v="0"/>
    <n v="16"/>
    <n v="11"/>
    <n v="19"/>
    <n v="19"/>
    <n v="19"/>
    <n v="19"/>
    <n v="3"/>
    <n v="0"/>
    <n v="0"/>
    <n v="0"/>
    <n v="0"/>
    <n v="0"/>
    <n v="0"/>
    <n v="0"/>
    <n v="0"/>
    <n v="6440"/>
    <n v="6477"/>
    <n v="9478"/>
    <n v="948"/>
    <n v="894"/>
    <n v="1632"/>
    <n v="0"/>
    <n v="0"/>
    <n v="6"/>
    <n v="0"/>
    <n v="0"/>
    <n v="0"/>
    <n v="2969"/>
    <n v="2762"/>
    <n v="4043"/>
    <n v="0"/>
    <n v="0"/>
    <n v="0"/>
    <n v="637"/>
    <n v="724"/>
    <n v="804"/>
    <n v="2332"/>
    <n v="2338"/>
    <n v="3239"/>
    <n v="2523"/>
    <n v="2821"/>
    <n v="3797"/>
    <n v="-479"/>
    <n v="219"/>
    <n v="1847"/>
    <n v="-523"/>
    <n v="188"/>
    <n v="1805"/>
    <n v="344"/>
    <n v="320"/>
    <n v="430"/>
    <n v="344"/>
    <n v="320"/>
    <n v="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87"/>
    <n v="-80"/>
    <n v="72"/>
    <n v="87"/>
    <n v="-80"/>
    <n v="7183"/>
    <n v="6491"/>
    <n v="8141"/>
    <n v="6784"/>
    <n v="6797"/>
    <n v="9908"/>
    <n v="-399"/>
    <n v="306"/>
    <n v="1767"/>
    <n v="-451"/>
    <n v="275"/>
    <n v="1725"/>
    <m/>
  </r>
  <r>
    <s v="CC RIPER"/>
    <n v="21"/>
    <n v="0"/>
    <n v="10"/>
    <n v="20"/>
    <n v="30"/>
    <n v="40"/>
    <n v="0"/>
    <x v="11"/>
    <s v="Sportem pro všechny"/>
    <n v="3"/>
    <n v="50"/>
    <n v="45"/>
    <n v="0"/>
    <n v="5"/>
    <x v="5"/>
    <n v="77"/>
    <n v="42"/>
    <n v="89"/>
    <n v="0"/>
    <n v="0"/>
    <n v="0"/>
    <n v="0"/>
    <n v="0"/>
    <n v="0"/>
    <n v="77"/>
    <n v="42"/>
    <n v="89"/>
    <n v="0"/>
    <n v="0"/>
    <n v="0"/>
    <n v="0"/>
    <n v="0"/>
    <n v="0"/>
    <n v="77"/>
    <n v="42"/>
    <n v="89"/>
    <n v="0"/>
    <n v="0"/>
    <n v="0"/>
    <n v="77"/>
    <n v="42"/>
    <n v="89"/>
    <n v="77"/>
    <n v="14"/>
    <n v="68"/>
    <n v="33"/>
    <n v="33"/>
    <n v="33"/>
    <n v="44"/>
    <n v="-19"/>
    <n v="35"/>
    <n v="0"/>
    <n v="28"/>
    <n v="21"/>
    <n v="0"/>
    <n v="0"/>
    <n v="0"/>
    <n v="0"/>
    <n v="0"/>
    <n v="0"/>
    <n v="0"/>
    <n v="28"/>
    <n v="21"/>
    <n v="0"/>
    <n v="0"/>
    <n v="0"/>
    <n v="71"/>
    <n v="120"/>
    <n v="95"/>
    <n v="5"/>
    <n v="120"/>
    <n v="95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57"/>
    <n v="148"/>
    <n v="33"/>
    <n v="6"/>
    <n v="58"/>
    <n v="0"/>
    <n v="0"/>
    <n v="0"/>
    <n v="0"/>
    <n v="0"/>
    <n v="0"/>
    <n v="82"/>
    <n v="51"/>
    <n v="90"/>
    <n v="0"/>
    <n v="0"/>
    <n v="0"/>
    <n v="82"/>
    <n v="24"/>
    <n v="65"/>
    <n v="0"/>
    <n v="27"/>
    <n v="25"/>
    <n v="0"/>
    <n v="0"/>
    <n v="0"/>
    <n v="44"/>
    <n v="-63"/>
    <n v="53"/>
    <n v="44"/>
    <n v="-63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120"/>
    <n v="95"/>
    <n v="115"/>
    <n v="57"/>
    <n v="148"/>
    <n v="44"/>
    <n v="-63"/>
    <n v="53"/>
    <n v="44"/>
    <n v="-63"/>
    <n v="53"/>
    <m/>
  </r>
  <r>
    <s v="TJ Šumavan Vimperk"/>
    <n v="19"/>
    <n v="0"/>
    <n v="0"/>
    <n v="15"/>
    <n v="60"/>
    <n v="20"/>
    <n v="5"/>
    <x v="3"/>
    <s v="Sportem pro všechny"/>
    <n v="5"/>
    <n v="38"/>
    <n v="10"/>
    <n v="47"/>
    <n v="5"/>
    <x v="5"/>
    <n v="920"/>
    <n v="793"/>
    <n v="800"/>
    <n v="588"/>
    <n v="572"/>
    <n v="572"/>
    <n v="-523"/>
    <n v="-507"/>
    <n v="-528"/>
    <n v="855"/>
    <n v="728"/>
    <n v="756"/>
    <n v="47"/>
    <n v="0"/>
    <n v="0"/>
    <n v="88"/>
    <n v="10"/>
    <n v="32"/>
    <n v="720"/>
    <n v="718"/>
    <n v="723"/>
    <n v="0"/>
    <n v="0"/>
    <n v="1"/>
    <n v="920"/>
    <n v="793"/>
    <n v="800"/>
    <n v="801"/>
    <n v="764"/>
    <n v="680"/>
    <n v="1721"/>
    <n v="792"/>
    <n v="772"/>
    <n v="-920"/>
    <n v="-28"/>
    <n v="-92"/>
    <n v="119"/>
    <n v="29"/>
    <n v="120"/>
    <n v="0"/>
    <n v="0"/>
    <n v="0"/>
    <n v="0"/>
    <n v="0"/>
    <n v="0"/>
    <n v="119"/>
    <n v="15"/>
    <n v="99"/>
    <n v="0"/>
    <n v="14"/>
    <n v="21"/>
    <n v="603"/>
    <n v="955"/>
    <n v="1125"/>
    <n v="118"/>
    <n v="854"/>
    <n v="831"/>
    <n v="298"/>
    <n v="0"/>
    <n v="0"/>
    <n v="35"/>
    <n v="101"/>
    <n v="237"/>
    <n v="0"/>
    <n v="0"/>
    <n v="0"/>
    <n v="70"/>
    <n v="0"/>
    <n v="36"/>
    <n v="5"/>
    <n v="0"/>
    <n v="21"/>
    <n v="77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"/>
    <n v="862"/>
    <n v="930"/>
    <n v="8"/>
    <n v="11"/>
    <n v="20"/>
    <n v="74"/>
    <n v="282"/>
    <n v="236"/>
    <n v="10"/>
    <n v="0"/>
    <n v="0"/>
    <n v="294"/>
    <n v="282"/>
    <n v="269"/>
    <n v="33"/>
    <n v="0"/>
    <n v="0"/>
    <n v="39"/>
    <n v="40"/>
    <n v="56"/>
    <n v="222"/>
    <n v="222"/>
    <n v="213"/>
    <n v="207"/>
    <n v="287"/>
    <n v="405"/>
    <n v="-10"/>
    <n v="-93"/>
    <n v="-195"/>
    <n v="-10"/>
    <n v="-93"/>
    <n v="-195"/>
    <n v="42"/>
    <n v="65"/>
    <n v="106"/>
    <n v="42"/>
    <n v="65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65"/>
    <n v="103"/>
    <n v="42"/>
    <n v="65"/>
    <n v="103"/>
    <n v="603"/>
    <n v="955"/>
    <n v="1128"/>
    <n v="635"/>
    <n v="927"/>
    <n v="1036"/>
    <n v="32"/>
    <n v="-28"/>
    <n v="-92"/>
    <n v="32"/>
    <n v="-28"/>
    <n v="-92"/>
    <m/>
  </r>
  <r>
    <s v="FBC Slavia Praha"/>
    <n v="70"/>
    <n v="5"/>
    <n v="10"/>
    <n v="25"/>
    <n v="59"/>
    <n v="1"/>
    <n v="0"/>
    <x v="3"/>
    <s v="Výkonnostním sportem"/>
    <n v="4"/>
    <n v="45"/>
    <n v="10"/>
    <n v="35"/>
    <n v="10"/>
    <x v="1"/>
    <n v="48"/>
    <n v="84"/>
    <n v="154"/>
    <n v="0"/>
    <n v="0"/>
    <n v="0"/>
    <n v="0"/>
    <n v="0"/>
    <n v="0"/>
    <n v="48"/>
    <n v="84"/>
    <n v="154"/>
    <n v="0"/>
    <n v="0"/>
    <n v="0"/>
    <n v="0"/>
    <n v="0"/>
    <n v="0"/>
    <n v="48"/>
    <n v="84"/>
    <n v="154"/>
    <n v="0"/>
    <n v="0"/>
    <n v="0"/>
    <n v="48"/>
    <n v="84"/>
    <n v="154"/>
    <n v="36"/>
    <n v="81"/>
    <n v="154"/>
    <n v="154"/>
    <n v="0"/>
    <n v="64"/>
    <n v="-118"/>
    <n v="81"/>
    <n v="90"/>
    <n v="12"/>
    <n v="3"/>
    <n v="0"/>
    <n v="0"/>
    <n v="0"/>
    <n v="0"/>
    <n v="0"/>
    <n v="0"/>
    <n v="0"/>
    <n v="12"/>
    <n v="3"/>
    <n v="0"/>
    <n v="0"/>
    <n v="0"/>
    <n v="0"/>
    <n v="393"/>
    <n v="471"/>
    <n v="992"/>
    <n v="10"/>
    <n v="471"/>
    <n v="840"/>
    <n v="0"/>
    <n v="0"/>
    <n v="0"/>
    <n v="0"/>
    <n v="0"/>
    <n v="153"/>
    <n v="0"/>
    <n v="0"/>
    <n v="0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559"/>
    <n v="1082"/>
    <n v="133"/>
    <n v="216"/>
    <n v="443"/>
    <n v="0"/>
    <n v="0"/>
    <n v="0"/>
    <n v="0"/>
    <n v="0"/>
    <n v="0"/>
    <n v="142"/>
    <n v="343"/>
    <n v="515"/>
    <n v="0"/>
    <n v="0"/>
    <n v="0"/>
    <n v="0"/>
    <n v="0"/>
    <n v="0"/>
    <n v="142"/>
    <n v="343"/>
    <n v="515"/>
    <n v="0"/>
    <n v="0"/>
    <n v="124"/>
    <n v="-118"/>
    <n v="88"/>
    <n v="90"/>
    <n v="-118"/>
    <n v="88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471"/>
    <n v="992"/>
    <n v="275"/>
    <n v="559"/>
    <n v="1082"/>
    <n v="-118"/>
    <n v="88"/>
    <n v="90"/>
    <n v="-118"/>
    <n v="88"/>
    <n v="90"/>
    <m/>
  </r>
  <r>
    <s v="Fbc Orel Nové Město na Moravě"/>
    <n v="160"/>
    <n v="0"/>
    <n v="42"/>
    <n v="7"/>
    <n v="18"/>
    <n v="21"/>
    <n v="12"/>
    <x v="3"/>
    <s v="Sportem pro všechny"/>
    <n v="4"/>
    <n v="25"/>
    <n v="65"/>
    <n v="7"/>
    <n v="3"/>
    <x v="0"/>
    <n v="7213"/>
    <n v="7223"/>
    <n v="7225"/>
    <n v="1504"/>
    <n v="1504"/>
    <n v="1504"/>
    <n v="-6"/>
    <n v="-11"/>
    <n v="-17"/>
    <n v="5715"/>
    <n v="5730"/>
    <n v="5738"/>
    <n v="0"/>
    <n v="0"/>
    <n v="0"/>
    <n v="28"/>
    <n v="13"/>
    <n v="106"/>
    <n v="5687"/>
    <n v="5717"/>
    <n v="5632"/>
    <n v="0"/>
    <n v="0"/>
    <n v="0"/>
    <n v="7213"/>
    <n v="7223"/>
    <n v="7225"/>
    <n v="7213"/>
    <n v="7223"/>
    <n v="7222"/>
    <n v="2794"/>
    <n v="2794"/>
    <n v="2794"/>
    <n v="4419"/>
    <n v="4429"/>
    <n v="4428"/>
    <n v="0"/>
    <n v="0"/>
    <n v="3"/>
    <n v="0"/>
    <n v="0"/>
    <n v="0"/>
    <n v="0"/>
    <n v="0"/>
    <n v="0"/>
    <n v="0"/>
    <n v="0"/>
    <n v="3"/>
    <n v="0"/>
    <n v="0"/>
    <n v="0"/>
    <n v="346"/>
    <n v="405"/>
    <n v="485"/>
    <n v="68"/>
    <n v="350"/>
    <n v="408"/>
    <n v="221"/>
    <n v="0"/>
    <n v="0"/>
    <n v="16"/>
    <n v="20"/>
    <n v="33"/>
    <n v="7"/>
    <n v="8"/>
    <n v="1"/>
    <n v="6"/>
    <n v="0"/>
    <n v="15"/>
    <n v="5"/>
    <n v="5"/>
    <n v="5"/>
    <n v="23"/>
    <n v="22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415"/>
    <n v="485"/>
    <n v="69"/>
    <n v="9"/>
    <n v="56"/>
    <n v="62"/>
    <n v="40"/>
    <n v="13"/>
    <n v="0"/>
    <n v="0"/>
    <n v="0"/>
    <n v="140"/>
    <n v="190"/>
    <n v="159"/>
    <n v="0"/>
    <n v="0"/>
    <n v="0"/>
    <n v="0"/>
    <n v="0"/>
    <n v="0"/>
    <n v="140"/>
    <n v="190"/>
    <n v="159"/>
    <n v="153"/>
    <n v="176"/>
    <n v="257"/>
    <n v="78"/>
    <n v="10"/>
    <n v="0"/>
    <n v="7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405"/>
    <n v="485"/>
    <n v="424"/>
    <n v="415"/>
    <n v="485"/>
    <n v="78"/>
    <n v="10"/>
    <n v="0"/>
    <n v="78"/>
    <n v="10"/>
    <n v="0"/>
    <s v="priloha"/>
  </r>
  <r>
    <s v="FBC Vipers Most"/>
    <n v="150"/>
    <n v="5"/>
    <n v="60"/>
    <n v="20"/>
    <n v="10"/>
    <n v="5"/>
    <n v="0"/>
    <x v="3"/>
    <s v="Výchovou mládeže"/>
    <n v="1"/>
    <n v="40"/>
    <n v="60"/>
    <n v="0"/>
    <n v="0"/>
    <x v="6"/>
    <n v="151"/>
    <n v="167"/>
    <n v="356"/>
    <n v="124"/>
    <n v="0"/>
    <n v="0"/>
    <n v="-124"/>
    <n v="0"/>
    <n v="0"/>
    <n v="151"/>
    <n v="167"/>
    <n v="356"/>
    <n v="0"/>
    <n v="0"/>
    <n v="0"/>
    <n v="0"/>
    <n v="0"/>
    <n v="0"/>
    <n v="151"/>
    <n v="167"/>
    <n v="356"/>
    <n v="0"/>
    <n v="0"/>
    <n v="0"/>
    <n v="151"/>
    <n v="167"/>
    <n v="356"/>
    <n v="151"/>
    <n v="167"/>
    <n v="332"/>
    <n v="46"/>
    <n v="151"/>
    <n v="167"/>
    <n v="105"/>
    <n v="16"/>
    <n v="165"/>
    <n v="0"/>
    <n v="0"/>
    <n v="24"/>
    <n v="0"/>
    <n v="0"/>
    <n v="0"/>
    <n v="0"/>
    <n v="0"/>
    <n v="0"/>
    <n v="0"/>
    <n v="0"/>
    <n v="24"/>
    <n v="0"/>
    <n v="0"/>
    <n v="0"/>
    <n v="449"/>
    <n v="864"/>
    <n v="948"/>
    <n v="39"/>
    <n v="726"/>
    <n v="732"/>
    <n v="331"/>
    <n v="0"/>
    <n v="0"/>
    <n v="74"/>
    <n v="120"/>
    <n v="214"/>
    <n v="0"/>
    <n v="0"/>
    <n v="0"/>
    <n v="5"/>
    <n v="1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"/>
    <n v="880"/>
    <n v="1113"/>
    <n v="0"/>
    <n v="0"/>
    <n v="0"/>
    <n v="79"/>
    <n v="7"/>
    <n v="0"/>
    <n v="0"/>
    <n v="0"/>
    <n v="0"/>
    <n v="265"/>
    <n v="873"/>
    <n v="1113"/>
    <n v="10"/>
    <n v="19"/>
    <n v="0"/>
    <n v="80"/>
    <n v="595"/>
    <n v="699"/>
    <n v="175"/>
    <n v="259"/>
    <n v="414"/>
    <n v="210"/>
    <n v="0"/>
    <n v="0"/>
    <n v="105"/>
    <n v="16"/>
    <n v="165"/>
    <n v="105"/>
    <n v="16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"/>
    <n v="864"/>
    <n v="948"/>
    <n v="554"/>
    <n v="880"/>
    <n v="1113"/>
    <n v="105"/>
    <n v="16"/>
    <n v="165"/>
    <n v="105"/>
    <n v="16"/>
    <n v="165"/>
    <s v="priloha"/>
  </r>
  <r>
    <s v="Tělovýchovná jednota sportovní klub Hřebeč"/>
    <n v="230"/>
    <n v="5"/>
    <n v="35"/>
    <n v="10"/>
    <n v="15"/>
    <n v="25"/>
    <n v="10"/>
    <x v="4"/>
    <s v="Výchovou mládeže"/>
    <n v="5"/>
    <n v="10"/>
    <n v="40"/>
    <n v="45"/>
    <n v="5"/>
    <x v="3"/>
    <n v="406"/>
    <n v="675"/>
    <n v="422"/>
    <n v="370"/>
    <n v="640"/>
    <n v="0"/>
    <n v="0"/>
    <n v="0"/>
    <n v="280"/>
    <n v="36"/>
    <n v="34"/>
    <n v="142"/>
    <n v="0"/>
    <n v="0"/>
    <n v="0"/>
    <n v="0"/>
    <n v="0"/>
    <n v="0"/>
    <n v="36"/>
    <n v="34"/>
    <n v="17"/>
    <n v="0"/>
    <n v="0"/>
    <n v="125"/>
    <n v="406"/>
    <n v="675"/>
    <n v="422"/>
    <n v="406"/>
    <n v="675"/>
    <n v="422"/>
    <n v="406"/>
    <n v="675"/>
    <n v="169"/>
    <n v="0"/>
    <n v="0"/>
    <n v="-253"/>
    <n v="0"/>
    <n v="0"/>
    <n v="0"/>
    <n v="0"/>
    <n v="0"/>
    <n v="0"/>
    <n v="0"/>
    <n v="0"/>
    <n v="0"/>
    <n v="0"/>
    <n v="0"/>
    <n v="0"/>
    <n v="0"/>
    <n v="0"/>
    <n v="0"/>
    <n v="426"/>
    <n v="588"/>
    <n v="1018"/>
    <n v="351"/>
    <n v="346"/>
    <n v="337"/>
    <n v="75"/>
    <n v="129"/>
    <n v="348"/>
    <n v="0"/>
    <n v="38"/>
    <n v="68"/>
    <n v="0"/>
    <n v="0"/>
    <n v="0"/>
    <n v="0"/>
    <n v="75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588"/>
    <n v="765"/>
    <n v="67"/>
    <n v="293"/>
    <n v="293"/>
    <n v="0"/>
    <n v="24"/>
    <n v="44"/>
    <n v="0"/>
    <n v="0"/>
    <n v="0"/>
    <n v="190"/>
    <n v="81"/>
    <n v="93"/>
    <n v="0"/>
    <n v="0"/>
    <n v="0"/>
    <n v="158"/>
    <n v="41"/>
    <n v="48"/>
    <n v="32"/>
    <n v="40"/>
    <n v="45"/>
    <n v="169"/>
    <n v="190"/>
    <n v="335"/>
    <n v="0"/>
    <n v="0"/>
    <n v="-253"/>
    <n v="0"/>
    <n v="0"/>
    <n v="-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588"/>
    <n v="1018"/>
    <n v="426"/>
    <n v="588"/>
    <n v="765"/>
    <n v="0"/>
    <n v="0"/>
    <n v="-253"/>
    <n v="0"/>
    <n v="0"/>
    <n v="-253"/>
    <m/>
  </r>
  <r>
    <s v="FK SVATÁ"/>
    <n v="420"/>
    <n v="0"/>
    <n v="15"/>
    <n v="20"/>
    <n v="25"/>
    <n v="30"/>
    <n v="10"/>
    <x v="4"/>
    <s v="Sportem pro všechny"/>
    <n v="5"/>
    <n v="50"/>
    <n v="10"/>
    <n v="20"/>
    <n v="20"/>
    <x v="4"/>
    <n v="106"/>
    <n v="154"/>
    <n v="201"/>
    <n v="0"/>
    <n v="0"/>
    <n v="0"/>
    <n v="0"/>
    <n v="0"/>
    <n v="0"/>
    <n v="106"/>
    <n v="154"/>
    <n v="201"/>
    <n v="0"/>
    <n v="0"/>
    <n v="0"/>
    <n v="0"/>
    <n v="0"/>
    <n v="0"/>
    <n v="106"/>
    <n v="154"/>
    <n v="201"/>
    <n v="0"/>
    <n v="0"/>
    <n v="0"/>
    <n v="106"/>
    <n v="154"/>
    <n v="201"/>
    <n v="106"/>
    <n v="154"/>
    <n v="201"/>
    <n v="74"/>
    <n v="106"/>
    <n v="154"/>
    <n v="32"/>
    <n v="48"/>
    <n v="47"/>
    <n v="0"/>
    <n v="0"/>
    <n v="0"/>
    <n v="0"/>
    <n v="0"/>
    <n v="0"/>
    <n v="0"/>
    <n v="0"/>
    <n v="0"/>
    <n v="0"/>
    <n v="0"/>
    <n v="0"/>
    <n v="0"/>
    <n v="0"/>
    <n v="0"/>
    <n v="58"/>
    <n v="111"/>
    <n v="97"/>
    <n v="26"/>
    <n v="38"/>
    <n v="85"/>
    <n v="23"/>
    <n v="0"/>
    <n v="0"/>
    <n v="0"/>
    <n v="0"/>
    <n v="0"/>
    <n v="0"/>
    <n v="0"/>
    <n v="0"/>
    <n v="8"/>
    <n v="55"/>
    <n v="6"/>
    <n v="0"/>
    <n v="0"/>
    <n v="0"/>
    <n v="1"/>
    <n v="1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120"/>
    <n v="106"/>
    <n v="30"/>
    <n v="14"/>
    <n v="14"/>
    <n v="0"/>
    <n v="0"/>
    <n v="0"/>
    <n v="0"/>
    <n v="0"/>
    <n v="0"/>
    <n v="42"/>
    <n v="106"/>
    <n v="36"/>
    <n v="0"/>
    <n v="0"/>
    <n v="0"/>
    <n v="17"/>
    <n v="83"/>
    <n v="13"/>
    <n v="25"/>
    <n v="21"/>
    <n v="23"/>
    <n v="0"/>
    <n v="0"/>
    <n v="56"/>
    <n v="14"/>
    <n v="9"/>
    <n v="9"/>
    <n v="14"/>
    <n v="9"/>
    <n v="9"/>
    <n v="18"/>
    <n v="39"/>
    <n v="39"/>
    <n v="16"/>
    <n v="0"/>
    <n v="39"/>
    <n v="0"/>
    <n v="14"/>
    <n v="0"/>
    <n v="0"/>
    <n v="0"/>
    <n v="0"/>
    <n v="2"/>
    <n v="25"/>
    <n v="0"/>
    <n v="0"/>
    <n v="0"/>
    <n v="0"/>
    <n v="2"/>
    <n v="25"/>
    <n v="0"/>
    <n v="0"/>
    <n v="0"/>
    <n v="0"/>
    <n v="0"/>
    <n v="0"/>
    <n v="0"/>
    <n v="18"/>
    <n v="39"/>
    <n v="39"/>
    <n v="18"/>
    <n v="39"/>
    <n v="39"/>
    <n v="58"/>
    <n v="111"/>
    <n v="97"/>
    <n v="90"/>
    <n v="159"/>
    <n v="145"/>
    <n v="32"/>
    <n v="48"/>
    <n v="48"/>
    <n v="32"/>
    <n v="48"/>
    <n v="48"/>
    <m/>
  </r>
  <r>
    <s v="SPORTOVNÍ KLUBY PRAHA 4"/>
    <n v="125"/>
    <n v="0"/>
    <n v="29"/>
    <n v="1"/>
    <n v="20"/>
    <n v="30"/>
    <n v="20"/>
    <x v="4"/>
    <s v="Sportem pro všechny"/>
    <n v="1"/>
    <n v="20"/>
    <n v="30"/>
    <n v="10"/>
    <n v="40"/>
    <x v="4"/>
    <n v="99113"/>
    <n v="100110"/>
    <n v="13336"/>
    <n v="105784"/>
    <n v="111548"/>
    <n v="8766"/>
    <n v="-22595"/>
    <n v="-24904"/>
    <n v="-3216"/>
    <n v="15924"/>
    <n v="13466"/>
    <n v="7766"/>
    <n v="0"/>
    <n v="0"/>
    <n v="0"/>
    <n v="4590"/>
    <n v="3247"/>
    <n v="3113"/>
    <n v="11334"/>
    <n v="10213"/>
    <n v="4590"/>
    <n v="0"/>
    <n v="6"/>
    <n v="63"/>
    <n v="99113"/>
    <n v="100110"/>
    <n v="13336"/>
    <n v="92342"/>
    <n v="97717"/>
    <n v="5840"/>
    <n v="97020"/>
    <n v="94786"/>
    <n v="6052"/>
    <n v="-4681"/>
    <n v="2931"/>
    <n v="-212"/>
    <n v="6771"/>
    <n v="2393"/>
    <n v="7496"/>
    <n v="0"/>
    <n v="0"/>
    <n v="0"/>
    <n v="0"/>
    <n v="0"/>
    <n v="0"/>
    <n v="6771"/>
    <n v="1555"/>
    <n v="7108"/>
    <n v="0"/>
    <n v="838"/>
    <n v="388"/>
    <n v="13613"/>
    <n v="12835"/>
    <n v="2778"/>
    <n v="2533"/>
    <n v="7396"/>
    <n v="1473"/>
    <n v="6006"/>
    <n v="0"/>
    <n v="0"/>
    <n v="2374"/>
    <n v="2513"/>
    <n v="1008"/>
    <n v="107"/>
    <n v="66"/>
    <n v="5"/>
    <n v="931"/>
    <n v="906"/>
    <n v="58"/>
    <n v="1542"/>
    <n v="1846"/>
    <n v="229"/>
    <n v="120"/>
    <n v="105"/>
    <n v="5"/>
    <n v="0"/>
    <n v="3"/>
    <n v="0"/>
    <n v="3967"/>
    <n v="4537"/>
    <n v="349"/>
    <n v="1523"/>
    <n v="2187"/>
    <n v="73"/>
    <n v="363"/>
    <n v="0"/>
    <n v="0"/>
    <n v="1418"/>
    <n v="1433"/>
    <n v="200"/>
    <n v="48"/>
    <n v="39"/>
    <n v="29"/>
    <n v="221"/>
    <n v="223"/>
    <n v="27"/>
    <n v="379"/>
    <n v="440"/>
    <n v="20"/>
    <n v="15"/>
    <n v="15"/>
    <n v="0"/>
    <n v="0"/>
    <n v="200"/>
    <m/>
    <n v="13110"/>
    <n v="13401"/>
    <n v="2486"/>
    <n v="3029"/>
    <n v="3078"/>
    <n v="46"/>
    <n v="874"/>
    <n v="550"/>
    <n v="47"/>
    <n v="0"/>
    <n v="0"/>
    <n v="0"/>
    <n v="9207"/>
    <n v="7141"/>
    <n v="2012"/>
    <n v="0"/>
    <n v="0"/>
    <n v="0"/>
    <n v="6153"/>
    <n v="3812"/>
    <n v="796"/>
    <n v="3054"/>
    <n v="3329"/>
    <n v="1216"/>
    <n v="0"/>
    <n v="2512"/>
    <n v="381"/>
    <n v="-503"/>
    <n v="569"/>
    <n v="-292"/>
    <n v="-503"/>
    <n v="569"/>
    <n v="-292"/>
    <n v="5768"/>
    <n v="5843"/>
    <n v="429"/>
    <n v="5768"/>
    <n v="5843"/>
    <n v="42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"/>
    <n v="1506"/>
    <n v="80"/>
    <n v="1562"/>
    <n v="1306"/>
    <n v="80"/>
    <n v="17580"/>
    <n v="17372"/>
    <n v="3127"/>
    <n v="18878"/>
    <n v="19244"/>
    <n v="2915"/>
    <n v="1298"/>
    <n v="1872"/>
    <n v="-212"/>
    <n v="1059"/>
    <n v="1875"/>
    <n v="-212"/>
    <m/>
  </r>
  <r>
    <s v="TJ Sokol Daleké Dušníky"/>
    <n v="100"/>
    <n v="0"/>
    <n v="36"/>
    <n v="11"/>
    <n v="21"/>
    <n v="25"/>
    <n v="7"/>
    <x v="4"/>
    <s v="Sportem pro všechny"/>
    <n v="4"/>
    <n v="10"/>
    <n v="40"/>
    <n v="20"/>
    <n v="30"/>
    <x v="0"/>
    <n v="596"/>
    <n v="503"/>
    <n v="625"/>
    <n v="289"/>
    <n v="289"/>
    <n v="289"/>
    <n v="-48"/>
    <n v="-77"/>
    <n v="-106"/>
    <n v="355"/>
    <n v="291"/>
    <n v="442"/>
    <n v="0"/>
    <n v="0"/>
    <n v="0"/>
    <n v="18"/>
    <n v="18"/>
    <n v="20"/>
    <n v="337"/>
    <n v="273"/>
    <n v="422"/>
    <n v="0"/>
    <n v="0"/>
    <n v="0"/>
    <n v="696"/>
    <n v="603"/>
    <n v="625"/>
    <n v="559"/>
    <n v="535"/>
    <n v="602"/>
    <n v="179"/>
    <n v="350"/>
    <n v="341"/>
    <n v="380"/>
    <n v="185"/>
    <n v="261"/>
    <n v="37"/>
    <n v="68"/>
    <n v="23"/>
    <n v="0"/>
    <n v="0"/>
    <n v="0"/>
    <n v="0"/>
    <n v="0"/>
    <n v="0"/>
    <n v="37"/>
    <n v="68"/>
    <n v="23"/>
    <n v="0"/>
    <n v="0"/>
    <n v="0"/>
    <n v="286"/>
    <n v="301"/>
    <n v="277"/>
    <n v="135"/>
    <n v="84"/>
    <n v="87"/>
    <n v="115"/>
    <n v="172"/>
    <n v="145"/>
    <n v="0"/>
    <n v="0"/>
    <n v="0"/>
    <n v="0"/>
    <n v="0"/>
    <n v="0"/>
    <n v="16"/>
    <n v="16"/>
    <n v="16"/>
    <n v="20"/>
    <n v="29"/>
    <n v="29"/>
    <n v="0"/>
    <n v="0"/>
    <n v="0"/>
    <n v="0"/>
    <n v="0"/>
    <n v="0"/>
    <n v="97"/>
    <n v="12"/>
    <n v="20"/>
    <n v="6"/>
    <n v="7"/>
    <n v="16"/>
    <n v="91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5"/>
    <n v="221"/>
    <n v="283"/>
    <n v="116"/>
    <n v="108"/>
    <n v="91"/>
    <n v="29"/>
    <n v="11"/>
    <n v="9"/>
    <n v="0"/>
    <n v="0"/>
    <n v="0"/>
    <n v="118"/>
    <n v="52"/>
    <n v="59"/>
    <n v="0"/>
    <n v="0"/>
    <n v="0"/>
    <n v="13"/>
    <n v="12"/>
    <n v="6"/>
    <n v="105"/>
    <n v="40"/>
    <n v="53"/>
    <n v="72"/>
    <n v="50"/>
    <n v="124"/>
    <n v="49"/>
    <n v="-80"/>
    <n v="6"/>
    <n v="49"/>
    <n v="-80"/>
    <n v="6"/>
    <n v="148"/>
    <n v="77"/>
    <n v="90"/>
    <n v="148"/>
    <n v="77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65"/>
    <n v="70"/>
    <n v="51"/>
    <n v="65"/>
    <n v="70"/>
    <n v="383"/>
    <n v="313"/>
    <n v="297"/>
    <n v="483"/>
    <n v="298"/>
    <n v="373"/>
    <n v="100"/>
    <n v="-15"/>
    <n v="76"/>
    <n v="100"/>
    <n v="-15"/>
    <n v="76"/>
    <s v="priloha"/>
  </r>
  <r>
    <s v="SK Lhota"/>
    <n v="195"/>
    <n v="0"/>
    <n v="25"/>
    <n v="2"/>
    <n v="25"/>
    <n v="25"/>
    <n v="23"/>
    <x v="4"/>
    <s v="Výkonnostním sportem"/>
    <n v="4"/>
    <n v="20"/>
    <n v="25"/>
    <n v="50"/>
    <n v="5"/>
    <x v="5"/>
    <n v="18941"/>
    <n v="18693"/>
    <n v="19055"/>
    <n v="18453"/>
    <n v="18723"/>
    <n v="18723"/>
    <n v="0"/>
    <n v="-30"/>
    <n v="-90"/>
    <n v="488"/>
    <n v="271"/>
    <n v="422"/>
    <n v="0"/>
    <n v="0"/>
    <n v="0"/>
    <n v="124"/>
    <n v="135"/>
    <n v="197"/>
    <n v="246"/>
    <n v="136"/>
    <n v="220"/>
    <n v="0"/>
    <n v="0"/>
    <n v="5"/>
    <n v="18941"/>
    <n v="18964"/>
    <n v="19055"/>
    <n v="17615"/>
    <n v="17605"/>
    <n v="17600"/>
    <n v="17560"/>
    <n v="17615"/>
    <n v="17605"/>
    <n v="55"/>
    <n v="-10"/>
    <n v="-5"/>
    <n v="1326"/>
    <n v="1359"/>
    <n v="1455"/>
    <n v="0"/>
    <n v="0"/>
    <n v="0"/>
    <n v="0"/>
    <n v="0"/>
    <n v="0"/>
    <n v="1326"/>
    <n v="1359"/>
    <n v="1351"/>
    <n v="0"/>
    <n v="0"/>
    <n v="0"/>
    <n v="868"/>
    <n v="1750"/>
    <n v="1041"/>
    <n v="385"/>
    <n v="1540"/>
    <n v="624"/>
    <n v="483"/>
    <n v="0"/>
    <n v="0"/>
    <n v="304"/>
    <n v="0"/>
    <n v="95"/>
    <n v="0"/>
    <n v="0"/>
    <n v="2"/>
    <n v="0"/>
    <n v="180"/>
    <n v="260"/>
    <n v="0"/>
    <n v="30"/>
    <n v="60"/>
    <n v="0"/>
    <n v="0"/>
    <n v="0"/>
    <n v="0"/>
    <n v="0"/>
    <n v="0"/>
    <n v="49"/>
    <n v="291"/>
    <n v="207"/>
    <n v="30"/>
    <n v="291"/>
    <n v="20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"/>
    <n v="1740"/>
    <n v="1040"/>
    <n v="392"/>
    <n v="278"/>
    <n v="183"/>
    <n v="1"/>
    <n v="0"/>
    <n v="0"/>
    <n v="0"/>
    <n v="0"/>
    <n v="0"/>
    <n v="474"/>
    <n v="1462"/>
    <n v="393"/>
    <n v="0"/>
    <n v="0"/>
    <n v="0"/>
    <n v="0"/>
    <n v="0"/>
    <n v="393"/>
    <n v="474"/>
    <n v="1462"/>
    <n v="0"/>
    <n v="0"/>
    <n v="0"/>
    <n v="464"/>
    <n v="-1"/>
    <n v="-10"/>
    <n v="-1"/>
    <n v="-1"/>
    <n v="-10"/>
    <n v="-1"/>
    <n v="105"/>
    <n v="291"/>
    <n v="203"/>
    <n v="57"/>
    <n v="233"/>
    <n v="203"/>
    <n v="48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-4"/>
    <n v="56"/>
    <n v="0"/>
    <n v="-4"/>
    <n v="917"/>
    <n v="2041"/>
    <n v="1248"/>
    <n v="972"/>
    <n v="2031"/>
    <n v="1243"/>
    <n v="55"/>
    <n v="-10"/>
    <n v="-5"/>
    <n v="55"/>
    <n v="-10"/>
    <n v="-5"/>
    <m/>
  </r>
  <r>
    <s v="Sportovní klub Nepoměřice"/>
    <n v="112"/>
    <n v="0"/>
    <n v="3"/>
    <n v="3"/>
    <n v="10"/>
    <n v="50"/>
    <n v="34"/>
    <x v="4"/>
    <s v="Sportem pro všechny"/>
    <n v="1"/>
    <n v="15"/>
    <n v="50"/>
    <n v="30"/>
    <n v="5"/>
    <x v="4"/>
    <n v="20"/>
    <n v="20"/>
    <n v="20"/>
    <n v="0"/>
    <n v="0"/>
    <n v="0"/>
    <n v="0"/>
    <n v="0"/>
    <n v="0"/>
    <n v="20"/>
    <n v="20"/>
    <n v="20"/>
    <n v="0"/>
    <n v="0"/>
    <n v="0"/>
    <n v="0"/>
    <n v="0"/>
    <n v="0"/>
    <n v="20"/>
    <n v="20"/>
    <n v="20"/>
    <n v="0"/>
    <n v="0"/>
    <n v="0"/>
    <n v="20"/>
    <n v="20"/>
    <n v="20"/>
    <n v="20"/>
    <n v="20"/>
    <n v="20"/>
    <n v="14"/>
    <n v="20"/>
    <n v="2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6"/>
    <n v="69"/>
    <n v="11"/>
    <n v="15"/>
    <n v="32"/>
    <n v="43"/>
    <n v="39"/>
    <n v="34"/>
    <n v="0"/>
    <n v="0"/>
    <n v="0"/>
    <n v="0"/>
    <n v="0"/>
    <n v="0"/>
    <n v="8"/>
    <n v="22"/>
    <n v="3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73"/>
    <n v="69"/>
    <n v="0"/>
    <n v="0"/>
    <n v="0"/>
    <n v="0"/>
    <n v="5"/>
    <n v="2"/>
    <n v="0"/>
    <n v="0"/>
    <n v="0"/>
    <n v="77"/>
    <n v="68"/>
    <n v="67"/>
    <n v="0"/>
    <n v="0"/>
    <n v="0"/>
    <n v="55"/>
    <n v="33"/>
    <n v="50"/>
    <n v="22"/>
    <n v="35"/>
    <n v="17"/>
    <n v="0"/>
    <n v="0"/>
    <n v="0"/>
    <n v="3"/>
    <n v="-3"/>
    <n v="0"/>
    <n v="3"/>
    <n v="-3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3"/>
    <n v="3"/>
    <n v="0"/>
    <n v="74"/>
    <n v="76"/>
    <n v="69"/>
    <n v="80"/>
    <n v="76"/>
    <n v="69"/>
    <n v="6"/>
    <n v="0"/>
    <n v="0"/>
    <n v="6"/>
    <n v="0"/>
    <n v="0"/>
    <m/>
  </r>
  <r>
    <s v="TJ Sokol Hvozdná"/>
    <n v="130"/>
    <n v="15"/>
    <n v="30"/>
    <n v="10"/>
    <n v="15"/>
    <n v="25"/>
    <n v="5"/>
    <x v="4"/>
    <s v="Výkonnostním sportem"/>
    <n v="1"/>
    <n v="10"/>
    <n v="50"/>
    <n v="10"/>
    <n v="30"/>
    <x v="6"/>
    <n v="2705"/>
    <n v="2724"/>
    <n v="2810"/>
    <n v="2604"/>
    <n v="2570"/>
    <n v="2663"/>
    <n v="0"/>
    <n v="0"/>
    <n v="-5"/>
    <n v="101"/>
    <n v="154"/>
    <n v="153"/>
    <n v="0"/>
    <n v="0"/>
    <n v="0"/>
    <n v="33"/>
    <n v="30"/>
    <n v="14"/>
    <n v="68"/>
    <n v="124"/>
    <n v="139"/>
    <n v="0"/>
    <n v="0"/>
    <n v="0"/>
    <n v="2706"/>
    <n v="2724"/>
    <n v="2810"/>
    <n v="2661"/>
    <n v="2700"/>
    <n v="2786"/>
    <n v="2627"/>
    <n v="2660"/>
    <n v="2700"/>
    <n v="34"/>
    <n v="40"/>
    <n v="86"/>
    <n v="45"/>
    <n v="24"/>
    <n v="25"/>
    <n v="0"/>
    <n v="0"/>
    <n v="0"/>
    <n v="0"/>
    <n v="0"/>
    <n v="0"/>
    <n v="45"/>
    <n v="24"/>
    <n v="25"/>
    <n v="0"/>
    <n v="0"/>
    <n v="0"/>
    <n v="330"/>
    <n v="442"/>
    <n v="404"/>
    <n v="158"/>
    <n v="266"/>
    <n v="279"/>
    <n v="91"/>
    <n v="0"/>
    <n v="0"/>
    <n v="60"/>
    <n v="120"/>
    <n v="95"/>
    <n v="0"/>
    <n v="0"/>
    <n v="1"/>
    <n v="21"/>
    <n v="1"/>
    <n v="1"/>
    <n v="0"/>
    <n v="34"/>
    <n v="6"/>
    <n v="0"/>
    <n v="21"/>
    <n v="22"/>
    <n v="0"/>
    <n v="0"/>
    <n v="0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457"/>
    <n v="442"/>
    <n v="53"/>
    <n v="78"/>
    <n v="43"/>
    <n v="0"/>
    <n v="0"/>
    <n v="0"/>
    <n v="0"/>
    <n v="0"/>
    <n v="0"/>
    <n v="108"/>
    <n v="127"/>
    <n v="249"/>
    <n v="0"/>
    <n v="0"/>
    <n v="0"/>
    <n v="72"/>
    <n v="73"/>
    <n v="207"/>
    <n v="36"/>
    <n v="54"/>
    <n v="42"/>
    <n v="150"/>
    <n v="252"/>
    <n v="150"/>
    <n v="-19"/>
    <n v="15"/>
    <n v="38"/>
    <n v="-19"/>
    <n v="15"/>
    <n v="38"/>
    <n v="53"/>
    <n v="24"/>
    <n v="47"/>
    <n v="53"/>
    <n v="2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4"/>
    <n v="47"/>
    <n v="53"/>
    <n v="24"/>
    <n v="47"/>
    <n v="641"/>
    <n v="442"/>
    <n v="404"/>
    <n v="364"/>
    <n v="481"/>
    <n v="489"/>
    <n v="-277"/>
    <n v="39"/>
    <n v="85"/>
    <n v="34"/>
    <n v="39"/>
    <n v="85"/>
    <m/>
  </r>
  <r>
    <s v="Tělovýchovná jednota Sokol Štěpánkovice"/>
    <n v="187"/>
    <n v="2"/>
    <n v="30"/>
    <n v="15"/>
    <n v="15"/>
    <n v="26"/>
    <n v="12"/>
    <x v="4"/>
    <s v="Výchovou mládeže"/>
    <n v="3"/>
    <n v="8"/>
    <n v="60"/>
    <n v="12"/>
    <n v="20"/>
    <x v="5"/>
    <n v="194"/>
    <n v="250"/>
    <n v="377"/>
    <n v="57"/>
    <n v="57"/>
    <n v="172"/>
    <n v="0"/>
    <n v="0"/>
    <n v="-13"/>
    <n v="137"/>
    <n v="193"/>
    <n v="218"/>
    <n v="0"/>
    <n v="0"/>
    <n v="0"/>
    <n v="2"/>
    <n v="3"/>
    <n v="13"/>
    <n v="135"/>
    <n v="190"/>
    <n v="205"/>
    <n v="0"/>
    <n v="0"/>
    <n v="0"/>
    <n v="194"/>
    <n v="250"/>
    <n v="377"/>
    <n v="166"/>
    <n v="221"/>
    <n v="280"/>
    <n v="102"/>
    <n v="167"/>
    <n v="220"/>
    <n v="64"/>
    <n v="54"/>
    <n v="60"/>
    <n v="28"/>
    <n v="29"/>
    <n v="97"/>
    <n v="0"/>
    <n v="0"/>
    <n v="0"/>
    <n v="0"/>
    <n v="0"/>
    <n v="0"/>
    <n v="28"/>
    <n v="29"/>
    <n v="97"/>
    <n v="0"/>
    <n v="0"/>
    <n v="0"/>
    <n v="500"/>
    <n v="590"/>
    <n v="629"/>
    <n v="168"/>
    <n v="474"/>
    <n v="494"/>
    <n v="294"/>
    <n v="0"/>
    <n v="0"/>
    <n v="0"/>
    <n v="75"/>
    <n v="75"/>
    <n v="1"/>
    <n v="1"/>
    <n v="2"/>
    <n v="7"/>
    <n v="8"/>
    <n v="9"/>
    <n v="0"/>
    <n v="0"/>
    <n v="13"/>
    <n v="30"/>
    <n v="32"/>
    <n v="36"/>
    <n v="0"/>
    <n v="0"/>
    <n v="0"/>
    <n v="12"/>
    <n v="33"/>
    <n v="15"/>
    <n v="12"/>
    <n v="15"/>
    <n v="15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388"/>
    <n v="552"/>
    <n v="568"/>
    <n v="35"/>
    <n v="56"/>
    <n v="59"/>
    <n v="8"/>
    <n v="2"/>
    <n v="1"/>
    <n v="0"/>
    <n v="0"/>
    <n v="0"/>
    <n v="145"/>
    <n v="193"/>
    <n v="83"/>
    <n v="0"/>
    <n v="0"/>
    <n v="0"/>
    <n v="112"/>
    <n v="140"/>
    <n v="41"/>
    <n v="33"/>
    <n v="53"/>
    <n v="42"/>
    <n v="200"/>
    <n v="301"/>
    <n v="425"/>
    <n v="-112"/>
    <n v="-38"/>
    <n v="-61"/>
    <n v="-112"/>
    <n v="-38"/>
    <n v="-61"/>
    <n v="188"/>
    <n v="125"/>
    <n v="136"/>
    <n v="173"/>
    <n v="112"/>
    <n v="111"/>
    <n v="15"/>
    <n v="13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92"/>
    <n v="121"/>
    <n v="176"/>
    <n v="92"/>
    <n v="121"/>
    <n v="512"/>
    <n v="623"/>
    <n v="644"/>
    <n v="576"/>
    <n v="677"/>
    <n v="704"/>
    <n v="64"/>
    <n v="54"/>
    <n v="60"/>
    <n v="64"/>
    <n v="54"/>
    <n v="60"/>
    <m/>
  </r>
  <r>
    <s v="Tělovýchovná jednota Dolany u Jaroměře /o.Náchod/"/>
    <n v="55"/>
    <n v="0"/>
    <n v="40"/>
    <n v="5"/>
    <n v="35"/>
    <n v="15"/>
    <n v="5"/>
    <x v="4"/>
    <s v="Sportem pro všechny"/>
    <n v="4"/>
    <n v="20"/>
    <n v="70"/>
    <n v="7"/>
    <n v="3"/>
    <x v="0"/>
    <n v="0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n v="0"/>
    <n v="18"/>
    <n v="0"/>
    <n v="0"/>
    <n v="0"/>
    <n v="0"/>
    <n v="0"/>
    <n v="18"/>
    <n v="0"/>
    <n v="0"/>
    <n v="18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229"/>
    <n v="240"/>
    <n v="334"/>
    <n v="172"/>
    <n v="160"/>
    <n v="317"/>
    <n v="57"/>
    <n v="78"/>
    <n v="0"/>
    <n v="0"/>
    <n v="0"/>
    <n v="1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240"/>
    <n v="352"/>
    <n v="229"/>
    <n v="0"/>
    <n v="121"/>
    <n v="0"/>
    <n v="0"/>
    <n v="0"/>
    <n v="0"/>
    <n v="0"/>
    <n v="0"/>
    <n v="0"/>
    <n v="51"/>
    <n v="0"/>
    <n v="0"/>
    <n v="0"/>
    <n v="0"/>
    <n v="0"/>
    <n v="37"/>
    <n v="0"/>
    <n v="0"/>
    <n v="14"/>
    <n v="0"/>
    <n v="0"/>
    <n v="189"/>
    <n v="231"/>
    <n v="0"/>
    <n v="0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240"/>
    <n v="334"/>
    <n v="229"/>
    <n v="240"/>
    <n v="352"/>
    <n v="0"/>
    <n v="0"/>
    <n v="18"/>
    <n v="0"/>
    <n v="0"/>
    <n v="18"/>
    <m/>
  </r>
  <r>
    <s v="Sportovní klub Slaný"/>
    <n v="336"/>
    <n v="0.5"/>
    <n v="35"/>
    <n v="12"/>
    <n v="19"/>
    <n v="21"/>
    <n v="12.5"/>
    <x v="4"/>
    <s v="Výchovou mládeže"/>
    <n v="1"/>
    <n v="23"/>
    <n v="55"/>
    <n v="15"/>
    <n v="7"/>
    <x v="4"/>
    <n v="5784"/>
    <n v="5628"/>
    <n v="5634"/>
    <n v="4913"/>
    <n v="4977"/>
    <n v="4977"/>
    <n v="0"/>
    <n v="-64"/>
    <n v="-64"/>
    <n v="871"/>
    <n v="715"/>
    <n v="721"/>
    <n v="0"/>
    <n v="0"/>
    <n v="0"/>
    <n v="63"/>
    <n v="79"/>
    <n v="61"/>
    <n v="806"/>
    <n v="634"/>
    <n v="658"/>
    <n v="2"/>
    <n v="2"/>
    <n v="2"/>
    <n v="5784"/>
    <n v="5628"/>
    <n v="5634"/>
    <n v="5689"/>
    <n v="5374"/>
    <n v="5378"/>
    <n v="5019"/>
    <n v="5019"/>
    <n v="5019"/>
    <n v="670"/>
    <n v="355"/>
    <n v="359"/>
    <n v="95"/>
    <n v="254"/>
    <n v="256"/>
    <n v="0"/>
    <n v="0"/>
    <n v="0"/>
    <n v="0"/>
    <n v="0"/>
    <n v="2"/>
    <n v="95"/>
    <n v="252"/>
    <n v="254"/>
    <n v="0"/>
    <n v="0"/>
    <n v="0"/>
    <n v="2736"/>
    <n v="3257"/>
    <n v="3081"/>
    <n v="164"/>
    <n v="2937"/>
    <n v="2738"/>
    <n v="2455"/>
    <n v="0"/>
    <n v="0"/>
    <n v="67"/>
    <n v="261"/>
    <n v="266"/>
    <n v="0"/>
    <n v="0"/>
    <n v="0"/>
    <n v="0"/>
    <n v="1"/>
    <n v="18"/>
    <n v="0"/>
    <n v="0"/>
    <n v="0"/>
    <n v="50"/>
    <n v="58"/>
    <n v="59"/>
    <n v="0"/>
    <n v="0"/>
    <n v="0"/>
    <n v="176"/>
    <n v="121"/>
    <n v="69"/>
    <n v="166"/>
    <n v="121"/>
    <n v="69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0"/>
    <n v="3258"/>
    <n v="3083"/>
    <n v="128"/>
    <n v="208"/>
    <n v="245"/>
    <n v="20"/>
    <n v="146"/>
    <n v="70"/>
    <n v="0"/>
    <n v="0"/>
    <n v="0"/>
    <n v="650"/>
    <n v="728"/>
    <n v="350"/>
    <n v="77"/>
    <n v="0"/>
    <n v="0"/>
    <n v="110"/>
    <n v="131"/>
    <n v="25"/>
    <n v="463"/>
    <n v="597"/>
    <n v="325"/>
    <n v="1932"/>
    <n v="2176"/>
    <n v="2418"/>
    <n v="-6"/>
    <n v="1"/>
    <n v="2"/>
    <n v="-6"/>
    <n v="1"/>
    <n v="2"/>
    <n v="205"/>
    <n v="125"/>
    <n v="71"/>
    <n v="175"/>
    <n v="125"/>
    <n v="7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"/>
    <n v="2"/>
    <n v="29"/>
    <n v="4"/>
    <n v="2"/>
    <n v="2912"/>
    <n v="3378"/>
    <n v="3150"/>
    <n v="2935"/>
    <n v="3383"/>
    <n v="3154"/>
    <n v="23"/>
    <n v="5"/>
    <n v="4"/>
    <n v="23"/>
    <n v="5"/>
    <n v="4"/>
    <m/>
  </r>
  <r>
    <s v="Tělovýchovná jednota Sokol Březová n.Svit."/>
    <n v="104"/>
    <n v="5"/>
    <n v="35"/>
    <n v="15"/>
    <n v="20"/>
    <n v="20"/>
    <n v="5"/>
    <x v="4"/>
    <s v="Výchovou mládeže"/>
    <n v="2"/>
    <n v="10"/>
    <n v="40"/>
    <n v="35"/>
    <n v="15"/>
    <x v="3"/>
    <n v="1000"/>
    <n v="1101"/>
    <n v="1292"/>
    <n v="1294"/>
    <n v="1405"/>
    <n v="1762"/>
    <n v="-413"/>
    <n v="-523"/>
    <n v="-658"/>
    <n v="119"/>
    <n v="219"/>
    <n v="179"/>
    <n v="12"/>
    <n v="15"/>
    <n v="13"/>
    <n v="0"/>
    <n v="0"/>
    <n v="0"/>
    <n v="107"/>
    <n v="198"/>
    <n v="166"/>
    <n v="1"/>
    <n v="6"/>
    <n v="0"/>
    <n v="1000"/>
    <n v="1101"/>
    <n v="1292"/>
    <n v="987"/>
    <n v="1072"/>
    <n v="1267"/>
    <n v="934"/>
    <n v="953"/>
    <n v="1090"/>
    <n v="53"/>
    <n v="119"/>
    <n v="177"/>
    <n v="13"/>
    <n v="29"/>
    <n v="25"/>
    <n v="0"/>
    <n v="0"/>
    <n v="0"/>
    <n v="0"/>
    <n v="0"/>
    <n v="0"/>
    <n v="13"/>
    <n v="15"/>
    <n v="13"/>
    <n v="0"/>
    <n v="14"/>
    <n v="12"/>
    <n v="331"/>
    <n v="500"/>
    <n v="601"/>
    <n v="163"/>
    <n v="366"/>
    <n v="432"/>
    <n v="157"/>
    <n v="0"/>
    <n v="0"/>
    <n v="0"/>
    <n v="54"/>
    <n v="54"/>
    <n v="1"/>
    <n v="1"/>
    <n v="1"/>
    <n v="10"/>
    <n v="9"/>
    <n v="31"/>
    <n v="0"/>
    <n v="69"/>
    <n v="82"/>
    <n v="0"/>
    <n v="1"/>
    <n v="1"/>
    <n v="0"/>
    <n v="0"/>
    <n v="0"/>
    <n v="95"/>
    <n v="146"/>
    <n v="156"/>
    <n v="60"/>
    <n v="138"/>
    <n v="153"/>
    <n v="33"/>
    <n v="0"/>
    <n v="0"/>
    <n v="0"/>
    <n v="0"/>
    <n v="0"/>
    <n v="2"/>
    <n v="2"/>
    <n v="3"/>
    <n v="0"/>
    <n v="6"/>
    <n v="0"/>
    <n v="0"/>
    <n v="0"/>
    <n v="0"/>
    <n v="0"/>
    <n v="0"/>
    <n v="0"/>
    <n v="0"/>
    <n v="0"/>
    <n v="0"/>
    <n v="268"/>
    <n v="400"/>
    <n v="650"/>
    <n v="10"/>
    <n v="12"/>
    <n v="14"/>
    <n v="0"/>
    <n v="0"/>
    <n v="1"/>
    <n v="0"/>
    <n v="0"/>
    <n v="0"/>
    <n v="122"/>
    <n v="388"/>
    <n v="211"/>
    <n v="0"/>
    <n v="0"/>
    <n v="0"/>
    <n v="95"/>
    <n v="330"/>
    <n v="112"/>
    <n v="24"/>
    <n v="58"/>
    <n v="99"/>
    <n v="136"/>
    <n v="0"/>
    <n v="424"/>
    <n v="-63"/>
    <n v="-100"/>
    <n v="49"/>
    <n v="-63"/>
    <n v="-100"/>
    <n v="49"/>
    <n v="211"/>
    <n v="364"/>
    <n v="284"/>
    <n v="191"/>
    <n v="360"/>
    <n v="284"/>
    <n v="0"/>
    <n v="4"/>
    <n v="0"/>
    <n v="0"/>
    <n v="0"/>
    <n v="0"/>
    <n v="20"/>
    <n v="0"/>
    <n v="0"/>
    <n v="0"/>
    <n v="0"/>
    <n v="0"/>
    <n v="20"/>
    <n v="0"/>
    <n v="0"/>
    <n v="0"/>
    <n v="0"/>
    <n v="0"/>
    <n v="0"/>
    <n v="0"/>
    <n v="0"/>
    <n v="116"/>
    <n v="218"/>
    <n v="128"/>
    <n v="116"/>
    <n v="218"/>
    <n v="128"/>
    <n v="426"/>
    <n v="646"/>
    <n v="757"/>
    <n v="479"/>
    <n v="764"/>
    <n v="934"/>
    <n v="53"/>
    <n v="118"/>
    <n v="177"/>
    <n v="53"/>
    <n v="118"/>
    <n v="177"/>
    <s v="priloha"/>
  </r>
  <r>
    <s v="Sportovní klub Doubravan Újezd"/>
    <n v="127"/>
    <n v="5"/>
    <n v="10"/>
    <n v="10"/>
    <n v="20"/>
    <n v="30"/>
    <n v="25"/>
    <x v="4"/>
    <s v="Sportem pro všechny"/>
    <n v="2"/>
    <n v="5"/>
    <n v="10"/>
    <n v="30"/>
    <n v="55"/>
    <x v="5"/>
    <n v="877"/>
    <n v="969"/>
    <n v="1137"/>
    <n v="1442"/>
    <n v="1471"/>
    <n v="1496"/>
    <n v="-920"/>
    <n v="-961"/>
    <n v="-999"/>
    <n v="355"/>
    <n v="459"/>
    <n v="640"/>
    <n v="0"/>
    <n v="0"/>
    <n v="0"/>
    <n v="7"/>
    <n v="6"/>
    <n v="4"/>
    <n v="342"/>
    <n v="447"/>
    <n v="630"/>
    <n v="6"/>
    <n v="6"/>
    <n v="6"/>
    <n v="877"/>
    <n v="969"/>
    <n v="1137"/>
    <n v="877"/>
    <n v="969"/>
    <n v="1132"/>
    <n v="773"/>
    <n v="771"/>
    <n v="770"/>
    <n v="104"/>
    <n v="198"/>
    <n v="362"/>
    <n v="0"/>
    <n v="0"/>
    <n v="5"/>
    <n v="0"/>
    <n v="0"/>
    <n v="0"/>
    <n v="0"/>
    <n v="0"/>
    <n v="0"/>
    <n v="0"/>
    <n v="0"/>
    <n v="5"/>
    <n v="0"/>
    <n v="0"/>
    <n v="0"/>
    <n v="337"/>
    <n v="279"/>
    <n v="329"/>
    <n v="68"/>
    <n v="233"/>
    <n v="258"/>
    <n v="212"/>
    <n v="0"/>
    <n v="0"/>
    <n v="0"/>
    <n v="0"/>
    <n v="0"/>
    <n v="1"/>
    <n v="1"/>
    <n v="2"/>
    <n v="27"/>
    <n v="19"/>
    <n v="43"/>
    <n v="13"/>
    <n v="13"/>
    <n v="13"/>
    <n v="16"/>
    <n v="13"/>
    <n v="13"/>
    <n v="0"/>
    <n v="0"/>
    <n v="0"/>
    <n v="149"/>
    <n v="240"/>
    <n v="269"/>
    <n v="141"/>
    <n v="240"/>
    <n v="269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222"/>
    <n v="254"/>
    <n v="33"/>
    <n v="45"/>
    <n v="45"/>
    <n v="17"/>
    <n v="10"/>
    <n v="56"/>
    <n v="0"/>
    <n v="0"/>
    <n v="0"/>
    <n v="68"/>
    <n v="52"/>
    <n v="63"/>
    <n v="0"/>
    <n v="0"/>
    <n v="0"/>
    <n v="47"/>
    <n v="30"/>
    <n v="63"/>
    <n v="21"/>
    <n v="22"/>
    <n v="0"/>
    <n v="70"/>
    <n v="115"/>
    <n v="90"/>
    <n v="-149"/>
    <n v="-57"/>
    <n v="-75"/>
    <n v="-149"/>
    <n v="-57"/>
    <n v="-75"/>
    <n v="293"/>
    <n v="388"/>
    <n v="507"/>
    <n v="293"/>
    <n v="388"/>
    <n v="5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48"/>
    <n v="238"/>
    <n v="144"/>
    <n v="148"/>
    <n v="238"/>
    <n v="486"/>
    <n v="519"/>
    <n v="598"/>
    <n v="481"/>
    <n v="610"/>
    <n v="761"/>
    <n v="-5"/>
    <n v="91"/>
    <n v="163"/>
    <n v="-5"/>
    <n v="91"/>
    <n v="163"/>
    <m/>
  </r>
  <r>
    <s v="Tělovýchovná jednota Sokol Čistá"/>
    <n v="147"/>
    <n v="2"/>
    <n v="34"/>
    <n v="10"/>
    <n v="26"/>
    <n v="26"/>
    <n v="2"/>
    <x v="4"/>
    <s v="Sportem pro všechny"/>
    <n v="2"/>
    <n v="10"/>
    <n v="30"/>
    <n v="20"/>
    <n v="40"/>
    <x v="5"/>
    <n v="2650"/>
    <n v="2793"/>
    <n v="2882"/>
    <n v="2547"/>
    <n v="2629"/>
    <n v="2645"/>
    <n v="-98"/>
    <n v="-154"/>
    <n v="-170"/>
    <n v="201"/>
    <n v="318"/>
    <n v="407"/>
    <n v="0"/>
    <n v="0"/>
    <n v="0"/>
    <n v="16"/>
    <n v="13"/>
    <n v="12"/>
    <n v="176"/>
    <n v="295"/>
    <n v="386"/>
    <n v="1"/>
    <n v="1"/>
    <n v="1"/>
    <n v="2650"/>
    <n v="2793"/>
    <n v="2882"/>
    <n v="2634"/>
    <n v="2781"/>
    <n v="2868"/>
    <n v="2575"/>
    <n v="2634"/>
    <n v="2781"/>
    <n v="59"/>
    <n v="147"/>
    <n v="87"/>
    <n v="16"/>
    <n v="12"/>
    <n v="14"/>
    <n v="0"/>
    <n v="0"/>
    <n v="0"/>
    <n v="0"/>
    <n v="0"/>
    <n v="0"/>
    <n v="16"/>
    <n v="12"/>
    <n v="14"/>
    <n v="0"/>
    <n v="0"/>
    <n v="0"/>
    <n v="160"/>
    <n v="294"/>
    <n v="331"/>
    <n v="56"/>
    <n v="262"/>
    <n v="227"/>
    <n v="72"/>
    <n v="0"/>
    <n v="0"/>
    <n v="0"/>
    <n v="25"/>
    <n v="75"/>
    <n v="0"/>
    <n v="0"/>
    <n v="7"/>
    <n v="31"/>
    <n v="6"/>
    <n v="21"/>
    <n v="0"/>
    <n v="0"/>
    <n v="0"/>
    <n v="1"/>
    <n v="1"/>
    <n v="1"/>
    <n v="0"/>
    <n v="0"/>
    <n v="0"/>
    <n v="221"/>
    <n v="194"/>
    <n v="210"/>
    <n v="209"/>
    <n v="194"/>
    <n v="21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240"/>
    <n v="346"/>
    <n v="10"/>
    <n v="9"/>
    <n v="19"/>
    <n v="0"/>
    <n v="0"/>
    <n v="0"/>
    <n v="0"/>
    <n v="0"/>
    <n v="0"/>
    <n v="58"/>
    <n v="46"/>
    <n v="96"/>
    <n v="0"/>
    <n v="0"/>
    <n v="0"/>
    <n v="43"/>
    <n v="26"/>
    <n v="42"/>
    <n v="15"/>
    <n v="20"/>
    <n v="54"/>
    <n v="53"/>
    <n v="185"/>
    <n v="231"/>
    <n v="-39"/>
    <n v="-54"/>
    <n v="15"/>
    <n v="-39"/>
    <n v="-54"/>
    <n v="15"/>
    <n v="319"/>
    <n v="395"/>
    <n v="282"/>
    <n v="319"/>
    <n v="395"/>
    <n v="276"/>
    <n v="0"/>
    <n v="0"/>
    <n v="0"/>
    <n v="0"/>
    <n v="0"/>
    <n v="6"/>
    <n v="0"/>
    <n v="0"/>
    <n v="0"/>
    <n v="0"/>
    <n v="0"/>
    <n v="6"/>
    <n v="0"/>
    <n v="0"/>
    <n v="0"/>
    <n v="0"/>
    <n v="0"/>
    <n v="0"/>
    <n v="0"/>
    <n v="0"/>
    <n v="0"/>
    <n v="98"/>
    <n v="201"/>
    <n v="72"/>
    <n v="98"/>
    <n v="201"/>
    <n v="72"/>
    <n v="381"/>
    <n v="488"/>
    <n v="541"/>
    <n v="440"/>
    <n v="635"/>
    <n v="628"/>
    <n v="59"/>
    <n v="147"/>
    <n v="87"/>
    <n v="59"/>
    <n v="147"/>
    <n v="87"/>
    <m/>
  </r>
  <r>
    <s v="TJ Sokol Žilina"/>
    <n v="45"/>
    <n v="0"/>
    <n v="37.78"/>
    <n v="0"/>
    <n v="13.33"/>
    <n v="42.22"/>
    <n v="6.67"/>
    <x v="4"/>
    <s v="Sportem pro všechny"/>
    <n v="2"/>
    <n v="20"/>
    <n v="70"/>
    <n v="5"/>
    <n v="5"/>
    <x v="3"/>
    <n v="36"/>
    <n v="262"/>
    <n v="223"/>
    <n v="0"/>
    <n v="69"/>
    <n v="78"/>
    <n v="0"/>
    <n v="0"/>
    <n v="-26"/>
    <n v="36"/>
    <n v="193"/>
    <n v="171"/>
    <n v="2"/>
    <n v="0"/>
    <n v="0"/>
    <n v="0"/>
    <n v="0"/>
    <n v="0"/>
    <n v="34"/>
    <n v="193"/>
    <n v="171"/>
    <n v="0"/>
    <n v="0"/>
    <n v="0"/>
    <n v="36"/>
    <n v="262"/>
    <n v="223"/>
    <n v="33"/>
    <n v="154"/>
    <n v="139"/>
    <n v="53"/>
    <n v="33"/>
    <n v="154"/>
    <n v="-20"/>
    <n v="121"/>
    <n v="-15"/>
    <n v="3"/>
    <n v="108"/>
    <n v="84"/>
    <n v="0"/>
    <n v="0"/>
    <n v="0"/>
    <n v="0"/>
    <n v="49"/>
    <n v="32"/>
    <n v="3"/>
    <n v="59"/>
    <n v="52"/>
    <n v="0"/>
    <n v="0"/>
    <n v="0"/>
    <n v="115"/>
    <n v="309"/>
    <n v="274"/>
    <n v="45"/>
    <n v="137"/>
    <n v="159"/>
    <n v="39"/>
    <n v="0"/>
    <n v="0"/>
    <n v="0"/>
    <n v="50"/>
    <n v="76"/>
    <n v="0"/>
    <n v="0"/>
    <n v="0"/>
    <n v="21"/>
    <n v="102"/>
    <n v="10"/>
    <n v="0"/>
    <n v="9"/>
    <n v="17"/>
    <n v="10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253"/>
    <n v="249"/>
    <n v="3"/>
    <n v="0"/>
    <n v="0"/>
    <n v="33"/>
    <n v="133"/>
    <n v="18"/>
    <n v="0"/>
    <n v="11"/>
    <n v="0"/>
    <n v="35"/>
    <n v="63"/>
    <n v="89"/>
    <n v="0"/>
    <n v="0"/>
    <n v="16"/>
    <n v="14"/>
    <n v="14"/>
    <n v="23"/>
    <n v="21"/>
    <n v="49"/>
    <n v="50"/>
    <n v="24"/>
    <n v="146"/>
    <n v="142"/>
    <n v="-20"/>
    <n v="-56"/>
    <n v="-25"/>
    <n v="-20"/>
    <n v="-56"/>
    <n v="-25"/>
    <n v="0"/>
    <n v="177"/>
    <n v="10"/>
    <n v="0"/>
    <n v="20"/>
    <n v="10"/>
    <n v="0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10"/>
    <n v="0"/>
    <n v="177"/>
    <n v="10"/>
    <n v="115"/>
    <n v="309"/>
    <n v="274"/>
    <n v="95"/>
    <n v="430"/>
    <n v="259"/>
    <n v="-20"/>
    <n v="121"/>
    <n v="-15"/>
    <n v="-20"/>
    <n v="121"/>
    <n v="-15"/>
    <s v="priloha"/>
  </r>
  <r>
    <s v="TJ TIS, o.s."/>
    <n v="120"/>
    <n v="10"/>
    <n v="20"/>
    <n v="20"/>
    <n v="30"/>
    <n v="15"/>
    <n v="5"/>
    <x v="4"/>
    <s v="Sportem pro všechny"/>
    <n v="4"/>
    <n v="10"/>
    <n v="40"/>
    <n v="25"/>
    <n v="25"/>
    <x v="2"/>
    <n v="345"/>
    <n v="324"/>
    <n v="259"/>
    <n v="130"/>
    <n v="130"/>
    <n v="130"/>
    <n v="-75"/>
    <m/>
    <n v="130"/>
    <n v="287"/>
    <n v="194"/>
    <n v="259"/>
    <n v="16"/>
    <n v="0"/>
    <n v="0"/>
    <n v="72"/>
    <n v="17"/>
    <n v="8"/>
    <n v="199"/>
    <n v="174"/>
    <n v="251"/>
    <n v="0"/>
    <n v="3"/>
    <n v="0"/>
    <n v="345"/>
    <n v="324"/>
    <n v="259"/>
    <n v="289"/>
    <n v="287"/>
    <n v="259"/>
    <n v="100"/>
    <n v="390"/>
    <n v="100"/>
    <n v="189"/>
    <n v="-103"/>
    <n v="159"/>
    <n v="56"/>
    <n v="37"/>
    <n v="0"/>
    <n v="0"/>
    <n v="0"/>
    <n v="0"/>
    <n v="0"/>
    <n v="0"/>
    <n v="0"/>
    <n v="56"/>
    <n v="37"/>
    <n v="0"/>
    <n v="0"/>
    <n v="0"/>
    <n v="0"/>
    <n v="1203"/>
    <n v="457"/>
    <n v="362"/>
    <n v="1177"/>
    <n v="257"/>
    <n v="301"/>
    <n v="0"/>
    <n v="0"/>
    <n v="0"/>
    <n v="26"/>
    <n v="163"/>
    <n v="0"/>
    <n v="0"/>
    <n v="0"/>
    <n v="0"/>
    <n v="0"/>
    <n v="0"/>
    <n v="22"/>
    <n v="0"/>
    <n v="37"/>
    <n v="27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"/>
    <n v="537"/>
    <n v="365"/>
    <n v="933"/>
    <n v="10"/>
    <n v="18"/>
    <n v="0"/>
    <n v="20"/>
    <n v="0"/>
    <n v="0"/>
    <n v="0"/>
    <n v="0"/>
    <n v="0"/>
    <n v="97"/>
    <n v="47"/>
    <n v="0"/>
    <n v="61"/>
    <n v="0"/>
    <n v="0"/>
    <n v="36"/>
    <n v="11"/>
    <n v="0"/>
    <n v="0"/>
    <n v="36"/>
    <n v="0"/>
    <n v="410"/>
    <n v="300"/>
    <n v="-270"/>
    <n v="80"/>
    <n v="3"/>
    <n v="-270"/>
    <n v="8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3"/>
    <n v="457"/>
    <n v="362"/>
    <n v="933"/>
    <n v="537"/>
    <n v="365"/>
    <n v="-270"/>
    <n v="80"/>
    <n v="3"/>
    <n v="-270"/>
    <n v="80"/>
    <n v="3"/>
    <m/>
  </r>
  <r>
    <s v="Tělovýchovná jednota Police"/>
    <n v="110"/>
    <n v="3"/>
    <n v="10"/>
    <n v="10"/>
    <n v="35"/>
    <n v="22"/>
    <n v="20"/>
    <x v="4"/>
    <s v="Sportem pro všechny"/>
    <n v="1"/>
    <n v="5"/>
    <n v="60"/>
    <n v="30"/>
    <n v="5"/>
    <x v="5"/>
    <n v="4722"/>
    <n v="4668"/>
    <n v="4794"/>
    <n v="4759"/>
    <n v="4788"/>
    <n v="4891"/>
    <n v="-304"/>
    <n v="-365"/>
    <n v="-487"/>
    <n v="267"/>
    <n v="245"/>
    <n v="390"/>
    <n v="1"/>
    <n v="1"/>
    <n v="1"/>
    <n v="4"/>
    <n v="2"/>
    <n v="13"/>
    <n v="262"/>
    <n v="242"/>
    <n v="374"/>
    <n v="0"/>
    <n v="0"/>
    <n v="2"/>
    <n v="4722"/>
    <n v="4668"/>
    <n v="4794"/>
    <n v="4653"/>
    <n v="4632"/>
    <n v="4772"/>
    <n v="4400"/>
    <n v="4362"/>
    <n v="4377"/>
    <n v="253"/>
    <n v="270"/>
    <n v="395"/>
    <n v="69"/>
    <n v="36"/>
    <n v="22"/>
    <n v="0"/>
    <n v="0"/>
    <n v="0"/>
    <n v="0"/>
    <n v="0"/>
    <n v="0"/>
    <n v="6"/>
    <n v="4"/>
    <n v="9"/>
    <n v="63"/>
    <n v="32"/>
    <n v="13"/>
    <n v="240"/>
    <n v="354"/>
    <n v="285"/>
    <n v="100"/>
    <n v="138"/>
    <n v="170"/>
    <n v="54"/>
    <n v="0"/>
    <n v="0"/>
    <n v="0"/>
    <n v="0"/>
    <n v="18"/>
    <n v="2"/>
    <n v="13"/>
    <n v="1"/>
    <n v="23"/>
    <n v="42"/>
    <n v="35"/>
    <n v="61"/>
    <n v="61"/>
    <n v="61"/>
    <n v="0"/>
    <n v="0"/>
    <n v="0"/>
    <n v="0"/>
    <n v="0"/>
    <n v="0"/>
    <n v="42"/>
    <n v="52"/>
    <n v="40"/>
    <n v="42"/>
    <n v="52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36"/>
    <n v="221"/>
    <n v="0"/>
    <n v="0"/>
    <n v="0"/>
    <n v="49"/>
    <n v="49"/>
    <n v="54"/>
    <n v="0"/>
    <n v="0"/>
    <n v="0"/>
    <n v="22"/>
    <n v="23"/>
    <n v="25"/>
    <n v="0"/>
    <n v="0"/>
    <n v="0"/>
    <n v="8"/>
    <n v="9"/>
    <n v="7"/>
    <n v="14"/>
    <n v="14"/>
    <n v="25"/>
    <n v="73"/>
    <n v="64"/>
    <n v="142"/>
    <n v="-96"/>
    <n v="-118"/>
    <n v="-64"/>
    <n v="-96"/>
    <n v="-118"/>
    <n v="-64"/>
    <n v="168"/>
    <n v="188"/>
    <n v="187"/>
    <n v="166"/>
    <n v="188"/>
    <n v="18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136"/>
    <n v="147"/>
    <n v="126"/>
    <n v="136"/>
    <n v="147"/>
    <n v="282"/>
    <n v="406"/>
    <n v="325"/>
    <n v="312"/>
    <n v="324"/>
    <n v="408"/>
    <n v="30"/>
    <n v="-82"/>
    <n v="83"/>
    <n v="30"/>
    <n v="18"/>
    <n v="83"/>
    <m/>
  </r>
  <r>
    <s v="Sportovní klub MFC Svoboda"/>
    <n v="76"/>
    <n v="0"/>
    <n v="30"/>
    <n v="0"/>
    <n v="5"/>
    <n v="55"/>
    <n v="10"/>
    <x v="4"/>
    <s v="Výkonnostním sportem"/>
    <n v="3"/>
    <n v="30"/>
    <n v="50"/>
    <n v="20"/>
    <n v="0"/>
    <x v="1"/>
    <n v="24"/>
    <n v="45"/>
    <n v="60"/>
    <n v="0"/>
    <n v="0"/>
    <n v="0"/>
    <n v="0"/>
    <n v="0"/>
    <n v="0"/>
    <n v="24"/>
    <n v="45"/>
    <n v="60"/>
    <n v="0"/>
    <n v="0"/>
    <n v="0"/>
    <n v="0"/>
    <n v="0"/>
    <n v="0"/>
    <n v="24"/>
    <n v="45"/>
    <n v="60"/>
    <n v="0"/>
    <n v="0"/>
    <n v="0"/>
    <n v="24"/>
    <n v="45"/>
    <n v="60"/>
    <n v="19"/>
    <n v="40"/>
    <n v="49"/>
    <n v="0"/>
    <n v="0"/>
    <n v="0"/>
    <n v="19"/>
    <n v="40"/>
    <n v="49"/>
    <n v="5"/>
    <n v="5"/>
    <n v="11"/>
    <n v="0"/>
    <n v="0"/>
    <n v="0"/>
    <n v="0"/>
    <n v="0"/>
    <n v="0"/>
    <n v="5"/>
    <n v="5"/>
    <n v="11"/>
    <n v="0"/>
    <n v="0"/>
    <n v="0"/>
    <n v="192"/>
    <n v="128"/>
    <n v="128"/>
    <n v="20"/>
    <n v="37"/>
    <n v="39"/>
    <n v="40"/>
    <n v="68"/>
    <n v="51"/>
    <n v="15"/>
    <n v="2"/>
    <n v="0"/>
    <n v="11"/>
    <n v="0"/>
    <n v="0"/>
    <n v="94"/>
    <n v="11"/>
    <n v="26"/>
    <n v="0"/>
    <n v="0"/>
    <n v="0"/>
    <n v="12"/>
    <n v="1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149"/>
    <n v="137"/>
    <n v="0"/>
    <n v="0"/>
    <n v="0"/>
    <n v="65"/>
    <n v="58"/>
    <n v="28"/>
    <n v="0"/>
    <n v="0"/>
    <n v="0"/>
    <n v="48"/>
    <n v="36"/>
    <n v="31"/>
    <n v="0"/>
    <n v="0"/>
    <n v="0"/>
    <n v="17"/>
    <n v="0"/>
    <n v="0"/>
    <n v="31"/>
    <n v="36"/>
    <n v="31"/>
    <n v="45"/>
    <n v="55"/>
    <n v="78"/>
    <n v="-34"/>
    <n v="21"/>
    <n v="9"/>
    <n v="-34"/>
    <n v="2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128"/>
    <n v="128"/>
    <n v="158"/>
    <n v="149"/>
    <n v="137"/>
    <n v="-34"/>
    <n v="21"/>
    <n v="9"/>
    <n v="-34"/>
    <n v="21"/>
    <n v="9"/>
    <m/>
  </r>
  <r>
    <s v="SK Velké Přítočno"/>
    <n v="111"/>
    <n v="15"/>
    <n v="20"/>
    <n v="1"/>
    <n v="30"/>
    <n v="30"/>
    <n v="4"/>
    <x v="4"/>
    <s v="Sportem pro všechny"/>
    <n v="2"/>
    <n v="20"/>
    <n v="40"/>
    <n v="20"/>
    <n v="20"/>
    <x v="0"/>
    <n v="62"/>
    <n v="124"/>
    <n v="135"/>
    <n v="0"/>
    <n v="0"/>
    <n v="0"/>
    <n v="0"/>
    <n v="0"/>
    <n v="0"/>
    <n v="62"/>
    <n v="124"/>
    <n v="135"/>
    <n v="0"/>
    <n v="0"/>
    <n v="0"/>
    <n v="0"/>
    <n v="0"/>
    <n v="0"/>
    <n v="62"/>
    <n v="124"/>
    <n v="135"/>
    <n v="0"/>
    <n v="0"/>
    <n v="0"/>
    <n v="62"/>
    <n v="124"/>
    <n v="135"/>
    <n v="62"/>
    <n v="124"/>
    <n v="135"/>
    <n v="81"/>
    <n v="62"/>
    <n v="124"/>
    <n v="-19"/>
    <n v="62"/>
    <n v="11"/>
    <n v="0"/>
    <n v="0"/>
    <n v="0"/>
    <n v="0"/>
    <n v="0"/>
    <n v="0"/>
    <n v="0"/>
    <n v="0"/>
    <n v="0"/>
    <n v="0"/>
    <n v="0"/>
    <n v="0"/>
    <n v="0"/>
    <n v="0"/>
    <n v="0"/>
    <n v="227"/>
    <n v="215"/>
    <n v="305"/>
    <n v="127"/>
    <n v="200"/>
    <n v="273"/>
    <n v="84"/>
    <n v="0"/>
    <n v="0"/>
    <n v="0"/>
    <n v="0"/>
    <n v="0"/>
    <n v="2"/>
    <n v="0"/>
    <n v="0"/>
    <n v="0"/>
    <n v="0"/>
    <n v="15"/>
    <n v="0"/>
    <n v="0"/>
    <n v="0"/>
    <n v="14"/>
    <n v="1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277"/>
    <n v="316"/>
    <n v="33"/>
    <n v="60"/>
    <n v="53"/>
    <n v="19"/>
    <n v="39"/>
    <n v="56"/>
    <n v="0"/>
    <n v="0"/>
    <n v="0"/>
    <n v="96"/>
    <n v="78"/>
    <n v="54"/>
    <n v="0"/>
    <n v="0"/>
    <n v="0"/>
    <n v="71"/>
    <n v="17"/>
    <n v="10"/>
    <n v="25"/>
    <n v="61"/>
    <n v="44"/>
    <n v="60"/>
    <n v="100"/>
    <n v="153"/>
    <n v="-19"/>
    <n v="62"/>
    <n v="11"/>
    <n v="-19"/>
    <n v="6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215"/>
    <n v="305"/>
    <n v="208"/>
    <n v="277"/>
    <n v="316"/>
    <n v="-19"/>
    <n v="62"/>
    <n v="11"/>
    <n v="-19"/>
    <n v="62"/>
    <n v="11"/>
    <m/>
  </r>
  <r>
    <s v="Tělovýchovná jednota SLAVOJ ÚŠTĚK"/>
    <n v="105"/>
    <n v="15"/>
    <n v="20"/>
    <n v="20"/>
    <n v="25"/>
    <n v="15"/>
    <n v="5"/>
    <x v="4"/>
    <s v="Sportem pro všechny"/>
    <n v="3"/>
    <n v="10"/>
    <n v="75"/>
    <n v="10"/>
    <n v="5"/>
    <x v="0"/>
    <n v="163"/>
    <n v="220"/>
    <n v="225"/>
    <n v="421"/>
    <n v="580"/>
    <n v="580"/>
    <n v="-266"/>
    <n v="-408"/>
    <n v="-408"/>
    <n v="8"/>
    <n v="48"/>
    <n v="53"/>
    <n v="0"/>
    <n v="0"/>
    <n v="0"/>
    <n v="0"/>
    <n v="0"/>
    <n v="0"/>
    <n v="8"/>
    <n v="48"/>
    <n v="53"/>
    <n v="0"/>
    <n v="0"/>
    <n v="0"/>
    <n v="163"/>
    <n v="220"/>
    <n v="225"/>
    <n v="163"/>
    <n v="219"/>
    <n v="225"/>
    <n v="229"/>
    <n v="191"/>
    <n v="191"/>
    <n v="-66"/>
    <n v="28"/>
    <n v="34"/>
    <n v="0"/>
    <n v="1"/>
    <n v="0"/>
    <n v="0"/>
    <n v="0"/>
    <n v="0"/>
    <n v="0"/>
    <n v="0"/>
    <n v="0"/>
    <n v="0"/>
    <n v="1"/>
    <n v="0"/>
    <n v="0"/>
    <n v="0"/>
    <n v="0"/>
    <n v="172"/>
    <n v="445"/>
    <n v="409"/>
    <n v="134"/>
    <n v="275"/>
    <n v="213"/>
    <n v="12"/>
    <n v="0"/>
    <n v="0"/>
    <n v="20"/>
    <n v="128"/>
    <n v="142"/>
    <n v="0"/>
    <n v="0"/>
    <n v="0"/>
    <n v="3"/>
    <n v="29"/>
    <n v="54"/>
    <n v="0"/>
    <n v="1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473"/>
    <n v="415"/>
    <n v="0"/>
    <n v="0"/>
    <n v="0"/>
    <n v="0"/>
    <n v="139"/>
    <n v="106"/>
    <n v="0"/>
    <n v="0"/>
    <n v="0"/>
    <n v="70"/>
    <n v="39"/>
    <n v="43"/>
    <n v="0"/>
    <n v="0"/>
    <n v="0"/>
    <n v="57"/>
    <n v="14"/>
    <n v="20"/>
    <n v="13"/>
    <n v="25"/>
    <n v="23"/>
    <n v="36"/>
    <n v="295"/>
    <n v="266"/>
    <n v="-66"/>
    <n v="28"/>
    <n v="6"/>
    <n v="-66"/>
    <n v="2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445"/>
    <n v="409"/>
    <n v="106"/>
    <n v="473"/>
    <n v="415"/>
    <n v="-66"/>
    <n v="28"/>
    <n v="6"/>
    <n v="-66"/>
    <n v="28"/>
    <n v="6"/>
    <s v="priloha"/>
  </r>
  <r>
    <s v="Atleticko-Fotbalový Klub Loděnice"/>
    <n v="278"/>
    <n v="1.8"/>
    <n v="29.9"/>
    <n v="15.5"/>
    <n v="20.5"/>
    <n v="19.399999999999999"/>
    <n v="12.9"/>
    <x v="4"/>
    <s v="Výkonnostním sportem"/>
    <n v="4"/>
    <n v="16"/>
    <n v="44"/>
    <n v="15"/>
    <n v="25"/>
    <x v="5"/>
    <n v="746"/>
    <n v="693"/>
    <n v="602"/>
    <n v="827"/>
    <n v="800"/>
    <n v="800"/>
    <n v="-404"/>
    <n v="-456"/>
    <n v="-508"/>
    <n v="323"/>
    <n v="349"/>
    <n v="310"/>
    <n v="0"/>
    <n v="0"/>
    <n v="0"/>
    <n v="0"/>
    <n v="0"/>
    <n v="0"/>
    <n v="323"/>
    <n v="349"/>
    <n v="309"/>
    <n v="0"/>
    <n v="0"/>
    <n v="1"/>
    <n v="746"/>
    <n v="693"/>
    <n v="602"/>
    <n v="746"/>
    <n v="693"/>
    <n v="602"/>
    <n v="719"/>
    <n v="719"/>
    <n v="693"/>
    <n v="27"/>
    <n v="-26"/>
    <n v="-91"/>
    <n v="0"/>
    <n v="0"/>
    <n v="0"/>
    <n v="0"/>
    <n v="0"/>
    <n v="0"/>
    <n v="0"/>
    <n v="0"/>
    <n v="0"/>
    <n v="0"/>
    <n v="0"/>
    <n v="0"/>
    <n v="0"/>
    <n v="0"/>
    <n v="0"/>
    <n v="860"/>
    <n v="638"/>
    <n v="747"/>
    <n v="240"/>
    <n v="505"/>
    <n v="524"/>
    <n v="213"/>
    <n v="0"/>
    <n v="0"/>
    <n v="0"/>
    <n v="0"/>
    <n v="63"/>
    <n v="12"/>
    <n v="4"/>
    <n v="7"/>
    <n v="343"/>
    <n v="27"/>
    <n v="71"/>
    <n v="52"/>
    <n v="52"/>
    <n v="52"/>
    <n v="0"/>
    <n v="50"/>
    <n v="30"/>
    <n v="0"/>
    <n v="0"/>
    <n v="0"/>
    <n v="3"/>
    <n v="58"/>
    <n v="23"/>
    <n v="0"/>
    <n v="58"/>
    <n v="8"/>
    <n v="0"/>
    <n v="0"/>
    <n v="0"/>
    <n v="0"/>
    <n v="0"/>
    <n v="0"/>
    <n v="0"/>
    <n v="0"/>
    <n v="0"/>
    <n v="3"/>
    <n v="0"/>
    <n v="15"/>
    <n v="0"/>
    <n v="0"/>
    <n v="0"/>
    <n v="0"/>
    <n v="0"/>
    <n v="0"/>
    <n v="0"/>
    <n v="0"/>
    <n v="0"/>
    <n v="771"/>
    <n v="359"/>
    <n v="515"/>
    <n v="95"/>
    <n v="0"/>
    <n v="10"/>
    <n v="0"/>
    <n v="17"/>
    <n v="22"/>
    <n v="0"/>
    <n v="0"/>
    <n v="0"/>
    <n v="416"/>
    <n v="87"/>
    <n v="483"/>
    <n v="326"/>
    <n v="4"/>
    <n v="0"/>
    <n v="0"/>
    <n v="0"/>
    <n v="393"/>
    <n v="90"/>
    <n v="83"/>
    <n v="90"/>
    <n v="260"/>
    <n v="255"/>
    <n v="0"/>
    <n v="-89"/>
    <n v="-279"/>
    <n v="-232"/>
    <n v="-89"/>
    <n v="-279"/>
    <n v="-232"/>
    <n v="119"/>
    <n v="311"/>
    <n v="164"/>
    <n v="119"/>
    <n v="0"/>
    <n v="124"/>
    <n v="0"/>
    <n v="296"/>
    <n v="0"/>
    <n v="0"/>
    <n v="0"/>
    <n v="0"/>
    <n v="0"/>
    <n v="15"/>
    <n v="40"/>
    <n v="0"/>
    <n v="0"/>
    <n v="0"/>
    <n v="0"/>
    <n v="15"/>
    <n v="40"/>
    <n v="0"/>
    <n v="0"/>
    <n v="0"/>
    <n v="0"/>
    <n v="0"/>
    <n v="0"/>
    <n v="116"/>
    <n v="253"/>
    <n v="141"/>
    <n v="116"/>
    <n v="253"/>
    <n v="141"/>
    <n v="863"/>
    <n v="696"/>
    <n v="770"/>
    <n v="890"/>
    <n v="670"/>
    <n v="679"/>
    <n v="27"/>
    <n v="-26"/>
    <n v="-91"/>
    <n v="27"/>
    <n v="-26"/>
    <n v="-91"/>
    <m/>
  </r>
  <r>
    <s v="Sportovní fotbalový klub Meziboří"/>
    <n v="138"/>
    <n v="18"/>
    <n v="31"/>
    <n v="11"/>
    <n v="20"/>
    <n v="10"/>
    <n v="10"/>
    <x v="4"/>
    <s v="Výchovou mládeže"/>
    <n v="3"/>
    <n v="10"/>
    <n v="55"/>
    <n v="15"/>
    <n v="20"/>
    <x v="0"/>
    <n v="1402"/>
    <n v="1431"/>
    <n v="2071"/>
    <n v="1092"/>
    <n v="1092"/>
    <n v="1770"/>
    <n v="-151"/>
    <n v="-151"/>
    <n v="-165"/>
    <n v="461"/>
    <n v="490"/>
    <n v="466"/>
    <n v="0"/>
    <n v="0"/>
    <n v="0"/>
    <n v="228"/>
    <n v="219"/>
    <n v="227"/>
    <n v="231"/>
    <n v="269"/>
    <n v="233"/>
    <n v="2"/>
    <n v="2"/>
    <n v="6"/>
    <n v="1402"/>
    <n v="1431"/>
    <n v="2071"/>
    <n v="1210"/>
    <n v="1226"/>
    <n v="1855"/>
    <n v="1093"/>
    <n v="1210"/>
    <n v="1226"/>
    <n v="117"/>
    <n v="16"/>
    <n v="629"/>
    <n v="192"/>
    <n v="205"/>
    <n v="216"/>
    <n v="0"/>
    <n v="0"/>
    <n v="0"/>
    <n v="0"/>
    <n v="0"/>
    <n v="0"/>
    <n v="27"/>
    <n v="205"/>
    <n v="62"/>
    <n v="165"/>
    <n v="0"/>
    <n v="154"/>
    <n v="655"/>
    <n v="874"/>
    <n v="888"/>
    <n v="202"/>
    <n v="791"/>
    <n v="708"/>
    <n v="372"/>
    <n v="0"/>
    <n v="0"/>
    <n v="53"/>
    <n v="49"/>
    <n v="127"/>
    <n v="1"/>
    <n v="1"/>
    <n v="1"/>
    <n v="8"/>
    <n v="11"/>
    <n v="17"/>
    <n v="0"/>
    <n v="0"/>
    <n v="14"/>
    <n v="19"/>
    <n v="22"/>
    <n v="21"/>
    <n v="0"/>
    <n v="0"/>
    <n v="0"/>
    <n v="190"/>
    <n v="166"/>
    <n v="133"/>
    <n v="186"/>
    <n v="166"/>
    <n v="13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"/>
    <n v="864"/>
    <n v="1493"/>
    <n v="58"/>
    <n v="80"/>
    <n v="93"/>
    <n v="0"/>
    <n v="0"/>
    <n v="0"/>
    <n v="0"/>
    <n v="0"/>
    <n v="0"/>
    <n v="232"/>
    <n v="237"/>
    <n v="142"/>
    <n v="28"/>
    <n v="13"/>
    <n v="0"/>
    <n v="21"/>
    <n v="92"/>
    <n v="22"/>
    <n v="183"/>
    <n v="132"/>
    <n v="120"/>
    <n v="416"/>
    <n v="547"/>
    <n v="1258"/>
    <n v="51"/>
    <n v="-10"/>
    <n v="605"/>
    <n v="51"/>
    <n v="-10"/>
    <n v="605"/>
    <n v="256"/>
    <n v="192"/>
    <n v="157"/>
    <n v="256"/>
    <n v="192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6"/>
    <n v="24"/>
    <n v="66"/>
    <n v="26"/>
    <n v="24"/>
    <n v="845"/>
    <n v="1040"/>
    <n v="1021"/>
    <n v="962"/>
    <n v="1056"/>
    <n v="1650"/>
    <n v="117"/>
    <n v="16"/>
    <n v="629"/>
    <n v="117"/>
    <n v="16"/>
    <n v="629"/>
    <m/>
  </r>
  <r>
    <s v="TJ Union Děčín, o.s."/>
    <n v="105"/>
    <n v="2"/>
    <n v="38"/>
    <n v="5"/>
    <n v="20"/>
    <n v="20"/>
    <n v="15"/>
    <x v="4"/>
    <s v="Sportem pro všechny"/>
    <n v="5"/>
    <n v="10"/>
    <n v="65"/>
    <n v="10"/>
    <n v="15"/>
    <x v="0"/>
    <n v="3240"/>
    <n v="4637"/>
    <n v="4543"/>
    <n v="2455"/>
    <n v="4626"/>
    <n v="4626"/>
    <n v="-18"/>
    <n v="-62"/>
    <n v="-176"/>
    <n v="803"/>
    <n v="73"/>
    <n v="93"/>
    <n v="0"/>
    <n v="13"/>
    <n v="8"/>
    <n v="109"/>
    <n v="37"/>
    <n v="28"/>
    <n v="694"/>
    <n v="23"/>
    <n v="57"/>
    <n v="0"/>
    <n v="0"/>
    <n v="0"/>
    <n v="3240"/>
    <n v="4637"/>
    <n v="4543"/>
    <n v="2905"/>
    <n v="4431"/>
    <n v="4431"/>
    <n v="1036"/>
    <n v="2905"/>
    <n v="4329"/>
    <n v="1869"/>
    <n v="1526"/>
    <n v="102"/>
    <n v="335"/>
    <n v="206"/>
    <n v="11"/>
    <n v="0"/>
    <n v="0"/>
    <n v="0"/>
    <n v="0"/>
    <n v="0"/>
    <n v="0"/>
    <n v="335"/>
    <n v="206"/>
    <n v="11"/>
    <n v="0"/>
    <n v="0"/>
    <n v="0"/>
    <n v="1551"/>
    <n v="1224"/>
    <n v="739"/>
    <n v="244"/>
    <n v="418"/>
    <n v="545"/>
    <n v="926"/>
    <n v="468"/>
    <n v="0"/>
    <n v="132"/>
    <n v="278"/>
    <n v="72"/>
    <n v="73"/>
    <n v="1"/>
    <n v="5"/>
    <n v="148"/>
    <n v="4"/>
    <n v="4"/>
    <n v="19"/>
    <n v="43"/>
    <n v="114"/>
    <n v="9"/>
    <n v="12"/>
    <n v="1"/>
    <n v="0"/>
    <n v="0"/>
    <n v="0"/>
    <n v="0"/>
    <n v="348"/>
    <n v="730"/>
    <n v="0"/>
    <n v="300"/>
    <n v="554"/>
    <n v="0"/>
    <n v="47"/>
    <n v="0"/>
    <n v="0"/>
    <n v="0"/>
    <n v="175"/>
    <n v="0"/>
    <n v="1"/>
    <n v="1"/>
    <n v="0"/>
    <n v="0"/>
    <n v="0"/>
    <n v="0"/>
    <n v="0"/>
    <n v="0"/>
    <n v="0"/>
    <n v="0"/>
    <n v="0"/>
    <n v="0"/>
    <n v="0"/>
    <n v="0"/>
    <n v="3340"/>
    <n v="2658"/>
    <n v="632"/>
    <n v="58"/>
    <n v="66"/>
    <n v="104"/>
    <n v="2873"/>
    <n v="2090"/>
    <n v="22"/>
    <n v="0"/>
    <n v="0"/>
    <n v="0"/>
    <n v="289"/>
    <n v="298"/>
    <n v="380"/>
    <n v="0"/>
    <n v="8"/>
    <n v="26"/>
    <n v="209"/>
    <n v="183"/>
    <n v="265"/>
    <n v="80"/>
    <n v="107"/>
    <n v="89"/>
    <n v="120"/>
    <n v="204"/>
    <n v="126"/>
    <n v="1789"/>
    <n v="1434"/>
    <n v="-107"/>
    <n v="1789"/>
    <n v="1434"/>
    <n v="-107"/>
    <n v="80"/>
    <n v="440"/>
    <n v="939"/>
    <n v="80"/>
    <n v="440"/>
    <n v="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92"/>
    <n v="209"/>
    <n v="80"/>
    <n v="92"/>
    <n v="209"/>
    <n v="1551"/>
    <n v="1572"/>
    <n v="1469"/>
    <n v="3420"/>
    <n v="3098"/>
    <n v="1571"/>
    <n v="1869"/>
    <n v="1526"/>
    <n v="102"/>
    <n v="1869"/>
    <n v="1526"/>
    <n v="102"/>
    <m/>
  </r>
  <r>
    <s v="TJ Sokol Srbeč"/>
    <n v="124"/>
    <n v="5"/>
    <n v="15"/>
    <n v="15"/>
    <n v="20"/>
    <n v="30"/>
    <n v="15"/>
    <x v="4"/>
    <s v="Výkonnostním sportem"/>
    <n v="2"/>
    <n v="5"/>
    <n v="35"/>
    <n v="5"/>
    <n v="55"/>
    <x v="4"/>
    <n v="1098"/>
    <n v="1137"/>
    <n v="1136"/>
    <n v="1055"/>
    <n v="1127"/>
    <n v="1127"/>
    <n v="0"/>
    <n v="-8"/>
    <n v="-24"/>
    <n v="43"/>
    <n v="18"/>
    <n v="33"/>
    <n v="0"/>
    <n v="0"/>
    <n v="0"/>
    <n v="2"/>
    <n v="0"/>
    <n v="6"/>
    <n v="41"/>
    <n v="18"/>
    <n v="27"/>
    <n v="0"/>
    <n v="0"/>
    <n v="0"/>
    <n v="1098"/>
    <n v="1137"/>
    <n v="1136"/>
    <n v="1091"/>
    <n v="1104"/>
    <n v="1122"/>
    <n v="1102"/>
    <n v="1102"/>
    <n v="1102"/>
    <n v="-11"/>
    <n v="2"/>
    <n v="30"/>
    <n v="7"/>
    <n v="33"/>
    <n v="14"/>
    <n v="0"/>
    <n v="0"/>
    <n v="0"/>
    <n v="0"/>
    <n v="0"/>
    <n v="0"/>
    <n v="7"/>
    <n v="33"/>
    <n v="14"/>
    <n v="0"/>
    <n v="0"/>
    <n v="0"/>
    <n v="76"/>
    <n v="100"/>
    <n v="167"/>
    <n v="15"/>
    <n v="90"/>
    <n v="140"/>
    <n v="58"/>
    <n v="0"/>
    <n v="0"/>
    <n v="0"/>
    <n v="0"/>
    <n v="8"/>
    <n v="1"/>
    <n v="0"/>
    <n v="1"/>
    <n v="2"/>
    <n v="2"/>
    <n v="2"/>
    <n v="0"/>
    <n v="8"/>
    <n v="16"/>
    <n v="0"/>
    <n v="0"/>
    <n v="0"/>
    <n v="0"/>
    <n v="0"/>
    <n v="0"/>
    <n v="12"/>
    <n v="29"/>
    <n v="60"/>
    <n v="0"/>
    <n v="29"/>
    <n v="6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75"/>
    <n v="182"/>
    <n v="0"/>
    <n v="5"/>
    <n v="37"/>
    <n v="0"/>
    <n v="0"/>
    <n v="0"/>
    <n v="0"/>
    <n v="0"/>
    <n v="0"/>
    <n v="35"/>
    <n v="40"/>
    <n v="67"/>
    <n v="0"/>
    <n v="0"/>
    <n v="0"/>
    <n v="0"/>
    <n v="0"/>
    <n v="0"/>
    <n v="35"/>
    <n v="40"/>
    <n v="67"/>
    <n v="47"/>
    <n v="30"/>
    <n v="78"/>
    <n v="6"/>
    <n v="-25"/>
    <n v="15"/>
    <n v="6"/>
    <n v="-25"/>
    <n v="15"/>
    <n v="19"/>
    <n v="67"/>
    <n v="63"/>
    <n v="19"/>
    <n v="67"/>
    <n v="45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"/>
    <n v="3"/>
    <n v="7"/>
    <n v="38"/>
    <n v="3"/>
    <n v="88"/>
    <n v="129"/>
    <n v="227"/>
    <n v="101"/>
    <n v="142"/>
    <n v="245"/>
    <n v="13"/>
    <n v="13"/>
    <n v="18"/>
    <n v="13"/>
    <n v="13"/>
    <n v="18"/>
    <m/>
  </r>
  <r>
    <s v="HO Atlas Opava"/>
    <n v="95"/>
    <n v="10"/>
    <n v="25"/>
    <n v="25"/>
    <n v="20"/>
    <n v="15"/>
    <n v="5"/>
    <x v="12"/>
    <s v="Výchovou mládeže"/>
    <n v="6"/>
    <n v="10"/>
    <n v="40"/>
    <n v="20"/>
    <n v="30"/>
    <x v="2"/>
    <n v="314"/>
    <n v="388"/>
    <n v="314"/>
    <n v="0"/>
    <n v="0"/>
    <n v="0"/>
    <n v="0"/>
    <n v="0"/>
    <n v="0"/>
    <n v="314"/>
    <n v="388"/>
    <n v="34"/>
    <n v="0"/>
    <n v="0"/>
    <n v="0"/>
    <n v="0"/>
    <n v="3"/>
    <n v="0"/>
    <n v="314"/>
    <n v="385"/>
    <n v="314"/>
    <n v="0"/>
    <n v="0"/>
    <n v="0"/>
    <n v="314"/>
    <n v="388"/>
    <n v="314"/>
    <n v="314"/>
    <n v="380"/>
    <n v="314"/>
    <n v="0"/>
    <n v="0"/>
    <n v="0"/>
    <n v="314"/>
    <n v="388"/>
    <n v="314"/>
    <n v="0"/>
    <n v="8"/>
    <n v="0"/>
    <n v="0"/>
    <n v="0"/>
    <n v="0"/>
    <n v="0"/>
    <n v="0"/>
    <n v="0"/>
    <n v="0"/>
    <n v="8"/>
    <n v="0"/>
    <n v="0"/>
    <n v="0"/>
    <n v="0"/>
    <n v="342"/>
    <n v="503"/>
    <n v="398"/>
    <n v="19"/>
    <n v="25"/>
    <n v="12"/>
    <n v="41"/>
    <n v="0"/>
    <n v="0"/>
    <n v="85"/>
    <n v="119"/>
    <n v="108"/>
    <n v="0"/>
    <n v="0"/>
    <n v="0"/>
    <n v="197"/>
    <n v="359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569"/>
    <n v="524"/>
    <n v="0"/>
    <n v="0"/>
    <n v="0"/>
    <n v="378"/>
    <n v="336"/>
    <n v="301"/>
    <n v="0"/>
    <n v="0"/>
    <n v="0"/>
    <n v="0"/>
    <n v="0"/>
    <n v="0"/>
    <n v="0"/>
    <n v="0"/>
    <n v="0"/>
    <n v="0"/>
    <n v="0"/>
    <n v="0"/>
    <n v="0"/>
    <n v="0"/>
    <n v="0"/>
    <n v="83"/>
    <n v="232"/>
    <n v="223"/>
    <n v="119"/>
    <n v="65"/>
    <n v="126"/>
    <n v="119"/>
    <n v="65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503"/>
    <n v="398"/>
    <n v="461"/>
    <n v="569"/>
    <n v="524"/>
    <n v="119"/>
    <n v="66"/>
    <n v="126"/>
    <n v="119"/>
    <n v="65"/>
    <n v="126"/>
    <m/>
  </r>
  <r>
    <s v="SKP NYMBURK"/>
    <n v="300"/>
    <n v="5"/>
    <n v="60"/>
    <n v="10"/>
    <n v="10"/>
    <n v="8"/>
    <n v="7"/>
    <x v="0"/>
    <s v="Sportem pro všechny"/>
    <n v="5"/>
    <n v="70"/>
    <n v="20"/>
    <n v="10"/>
    <n v="0"/>
    <x v="0"/>
    <n v="897"/>
    <n v="1193"/>
    <n v="1686"/>
    <n v="0"/>
    <n v="0"/>
    <n v="0"/>
    <n v="0"/>
    <n v="0"/>
    <n v="0"/>
    <n v="897"/>
    <n v="1193"/>
    <n v="1686"/>
    <n v="0"/>
    <n v="0"/>
    <n v="0"/>
    <n v="0"/>
    <n v="0"/>
    <n v="0"/>
    <n v="897"/>
    <n v="1193"/>
    <n v="1686"/>
    <n v="0"/>
    <n v="0"/>
    <n v="0"/>
    <n v="897"/>
    <n v="1193"/>
    <n v="1686"/>
    <n v="897"/>
    <n v="1193"/>
    <n v="1686"/>
    <n v="310"/>
    <n v="0"/>
    <n v="0"/>
    <n v="587"/>
    <n v="1193"/>
    <n v="1686"/>
    <n v="0"/>
    <n v="0"/>
    <n v="0"/>
    <n v="0"/>
    <n v="0"/>
    <n v="0"/>
    <n v="0"/>
    <n v="0"/>
    <n v="0"/>
    <n v="0"/>
    <n v="0"/>
    <n v="0"/>
    <n v="0"/>
    <n v="0"/>
    <n v="0"/>
    <n v="2297"/>
    <n v="2513"/>
    <n v="2502"/>
    <n v="592"/>
    <n v="1914"/>
    <n v="2048"/>
    <n v="1705"/>
    <n v="0"/>
    <n v="0"/>
    <n v="0"/>
    <n v="246"/>
    <n v="427"/>
    <n v="0"/>
    <n v="0"/>
    <n v="7"/>
    <n v="0"/>
    <n v="35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"/>
    <n v="3696"/>
    <n v="4188"/>
    <n v="0"/>
    <n v="0"/>
    <n v="0"/>
    <n v="0"/>
    <n v="0"/>
    <n v="0"/>
    <n v="0"/>
    <n v="0"/>
    <n v="0"/>
    <n v="2879"/>
    <n v="2355"/>
    <n v="2637"/>
    <n v="0"/>
    <n v="0"/>
    <n v="0"/>
    <n v="1352"/>
    <n v="1064"/>
    <n v="724"/>
    <n v="1527"/>
    <n v="1291"/>
    <n v="1913"/>
    <n v="0"/>
    <n v="1341"/>
    <n v="1551"/>
    <n v="582"/>
    <n v="1183"/>
    <n v="1686"/>
    <n v="582"/>
    <n v="1183"/>
    <n v="1686"/>
    <n v="5"/>
    <n v="10"/>
    <n v="0"/>
    <n v="5"/>
    <n v="1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5"/>
    <n v="10"/>
    <n v="0"/>
    <n v="5"/>
    <n v="10"/>
    <n v="0"/>
    <n v="2297"/>
    <n v="2513"/>
    <n v="2502"/>
    <n v="2884"/>
    <n v="3706"/>
    <n v="4188"/>
    <n v="587"/>
    <n v="1193"/>
    <n v="1686"/>
    <n v="587"/>
    <n v="1193"/>
    <n v="1686"/>
    <s v="priloha"/>
  </r>
  <r>
    <s v="SPORT KLUB Náchod"/>
    <n v="269"/>
    <n v="1"/>
    <n v="36"/>
    <n v="15"/>
    <n v="16"/>
    <n v="20"/>
    <n v="12"/>
    <x v="8"/>
    <s v="Výchovou mládeže"/>
    <n v="3"/>
    <n v="18"/>
    <n v="49"/>
    <n v="10"/>
    <n v="23"/>
    <x v="3"/>
    <n v="4047"/>
    <n v="4223"/>
    <n v="4270"/>
    <n v="3325"/>
    <n v="3325"/>
    <n v="3325"/>
    <n v="0"/>
    <n v="0"/>
    <n v="0"/>
    <n v="722"/>
    <n v="898"/>
    <n v="945"/>
    <n v="0"/>
    <n v="0"/>
    <n v="0"/>
    <n v="103"/>
    <n v="107"/>
    <n v="114"/>
    <n v="619"/>
    <n v="791"/>
    <n v="831"/>
    <n v="0"/>
    <n v="0"/>
    <n v="0"/>
    <n v="4047"/>
    <n v="4223"/>
    <n v="4270"/>
    <n v="887"/>
    <n v="4031"/>
    <n v="4090"/>
    <n v="3852"/>
    <n v="3852"/>
    <n v="3853"/>
    <n v="35"/>
    <n v="179"/>
    <n v="237"/>
    <n v="160"/>
    <n v="192"/>
    <n v="180"/>
    <n v="0"/>
    <n v="0"/>
    <n v="0"/>
    <n v="0"/>
    <n v="0"/>
    <n v="0"/>
    <n v="93"/>
    <n v="125"/>
    <n v="114"/>
    <n v="42"/>
    <n v="67"/>
    <n v="66"/>
    <n v="1049"/>
    <n v="1018"/>
    <n v="1369"/>
    <n v="384"/>
    <n v="830"/>
    <n v="1021"/>
    <n v="561"/>
    <n v="0"/>
    <n v="0"/>
    <n v="77"/>
    <n v="169"/>
    <n v="278"/>
    <n v="0"/>
    <n v="0"/>
    <n v="0"/>
    <n v="19"/>
    <n v="19"/>
    <n v="60"/>
    <n v="0"/>
    <n v="0"/>
    <n v="0"/>
    <n v="8"/>
    <n v="0"/>
    <n v="10"/>
    <n v="0"/>
    <n v="0"/>
    <n v="0"/>
    <n v="445"/>
    <n v="358"/>
    <n v="358"/>
    <n v="174"/>
    <n v="279"/>
    <n v="299"/>
    <n v="200"/>
    <n v="0"/>
    <n v="0"/>
    <n v="60"/>
    <n v="59"/>
    <n v="59"/>
    <n v="0"/>
    <n v="0"/>
    <n v="0"/>
    <n v="11"/>
    <n v="11"/>
    <n v="0"/>
    <n v="0"/>
    <n v="0"/>
    <n v="0"/>
    <n v="0"/>
    <n v="9"/>
    <n v="0"/>
    <n v="0"/>
    <n v="0"/>
    <n v="0"/>
    <n v="765"/>
    <n v="1109"/>
    <n v="1109"/>
    <n v="29"/>
    <n v="35"/>
    <n v="54"/>
    <n v="0"/>
    <n v="0"/>
    <n v="13"/>
    <n v="0"/>
    <n v="0"/>
    <n v="0"/>
    <n v="330"/>
    <n v="363"/>
    <n v="525"/>
    <n v="87"/>
    <n v="32"/>
    <n v="283"/>
    <n v="25"/>
    <n v="55"/>
    <n v="25"/>
    <n v="218"/>
    <n v="276"/>
    <n v="217"/>
    <n v="624"/>
    <n v="711"/>
    <n v="517"/>
    <n v="-66"/>
    <n v="91"/>
    <n v="-260"/>
    <n v="-66"/>
    <n v="91"/>
    <n v="-260"/>
    <n v="523"/>
    <n v="413"/>
    <n v="676"/>
    <n v="518"/>
    <n v="413"/>
    <n v="676"/>
    <n v="0"/>
    <n v="0"/>
    <n v="0"/>
    <n v="0"/>
    <n v="0"/>
    <n v="0"/>
    <n v="5"/>
    <n v="0"/>
    <n v="0"/>
    <n v="0"/>
    <n v="0"/>
    <n v="0"/>
    <n v="5"/>
    <n v="0"/>
    <n v="0"/>
    <n v="0"/>
    <n v="0"/>
    <n v="0"/>
    <n v="0"/>
    <n v="0"/>
    <n v="0"/>
    <n v="78"/>
    <n v="55"/>
    <n v="318"/>
    <n v="78"/>
    <n v="55"/>
    <n v="318"/>
    <n v="1494"/>
    <n v="1376"/>
    <n v="1727"/>
    <n v="1288"/>
    <n v="1522"/>
    <n v="1785"/>
    <n v="-206"/>
    <n v="146"/>
    <n v="58"/>
    <n v="12"/>
    <n v="146"/>
    <n v="58"/>
    <s v="priloha"/>
  </r>
  <r>
    <s v="T.B.C. Králův Dvůr"/>
    <n v="230"/>
    <n v="15"/>
    <n v="38"/>
    <n v="23"/>
    <n v="14"/>
    <n v="10"/>
    <n v="0"/>
    <x v="3"/>
    <s v="Výchovou mládeže"/>
    <n v="4"/>
    <n v="40"/>
    <n v="40"/>
    <n v="20"/>
    <n v="0"/>
    <x v="5"/>
    <n v="634"/>
    <n v="475"/>
    <n v="733"/>
    <n v="251"/>
    <n v="252"/>
    <n v="252"/>
    <n v="-194"/>
    <n v="-252"/>
    <n v="-252"/>
    <n v="577"/>
    <n v="475"/>
    <n v="677"/>
    <n v="0"/>
    <n v="0"/>
    <n v="0"/>
    <n v="1"/>
    <n v="1"/>
    <n v="3"/>
    <n v="549"/>
    <n v="451"/>
    <n v="649"/>
    <n v="27"/>
    <n v="23"/>
    <n v="25"/>
    <n v="634"/>
    <n v="475"/>
    <n v="733"/>
    <n v="460"/>
    <n v="375"/>
    <n v="577"/>
    <n v="130"/>
    <n v="130"/>
    <n v="130"/>
    <n v="330"/>
    <n v="245"/>
    <n v="447"/>
    <n v="174"/>
    <n v="100"/>
    <n v="156"/>
    <n v="0"/>
    <n v="0"/>
    <n v="0"/>
    <n v="0"/>
    <n v="0"/>
    <n v="0"/>
    <n v="154"/>
    <n v="86"/>
    <n v="138"/>
    <n v="20"/>
    <n v="14"/>
    <n v="18"/>
    <n v="1707"/>
    <n v="1823"/>
    <n v="1841"/>
    <n v="258"/>
    <n v="1489"/>
    <n v="1198"/>
    <n v="1097"/>
    <n v="0"/>
    <n v="0"/>
    <n v="233"/>
    <n v="232"/>
    <n v="521"/>
    <n v="55"/>
    <n v="71"/>
    <n v="114"/>
    <n v="17"/>
    <n v="5"/>
    <n v="3"/>
    <n v="47"/>
    <n v="26"/>
    <n v="5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31"/>
    <n v="0"/>
    <n v="31"/>
    <n v="0"/>
    <n v="0"/>
    <n v="0"/>
    <n v="0"/>
    <n v="0"/>
    <n v="0"/>
    <n v="0"/>
    <n v="0"/>
    <n v="1389"/>
    <n v="1736"/>
    <n v="1853"/>
    <n v="8"/>
    <n v="6"/>
    <n v="59"/>
    <n v="0"/>
    <n v="0"/>
    <n v="0"/>
    <n v="0"/>
    <n v="0"/>
    <n v="0"/>
    <n v="762"/>
    <n v="794"/>
    <n v="748"/>
    <n v="0"/>
    <n v="0"/>
    <n v="0"/>
    <n v="152"/>
    <n v="159"/>
    <n v="150"/>
    <n v="610"/>
    <n v="635"/>
    <n v="598"/>
    <n v="619"/>
    <n v="936"/>
    <n v="1046"/>
    <n v="-318"/>
    <n v="-87"/>
    <n v="12"/>
    <n v="-318"/>
    <n v="-87"/>
    <n v="12"/>
    <n v="93"/>
    <n v="33"/>
    <n v="190"/>
    <n v="93"/>
    <n v="33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"/>
    <n v="190"/>
    <n v="62"/>
    <n v="2"/>
    <n v="190"/>
    <n v="1738"/>
    <n v="1854"/>
    <n v="1841"/>
    <n v="1482"/>
    <n v="1769"/>
    <n v="2043"/>
    <n v="-256"/>
    <n v="-85"/>
    <n v="202"/>
    <n v="-256"/>
    <n v="-85"/>
    <n v="202"/>
    <m/>
  </r>
  <r>
    <s v="SK Lipová - lázně"/>
    <n v="138"/>
    <n v="2"/>
    <n v="25"/>
    <n v="3"/>
    <n v="14"/>
    <n v="30"/>
    <n v="26"/>
    <x v="4"/>
    <s v="Výchovou mládeže"/>
    <n v="6"/>
    <n v="3"/>
    <n v="84"/>
    <n v="2"/>
    <n v="11"/>
    <x v="0"/>
    <n v="505"/>
    <n v="559"/>
    <n v="545"/>
    <n v="455"/>
    <n v="469"/>
    <n v="475"/>
    <n v="0"/>
    <n v="0"/>
    <n v="0"/>
    <n v="50"/>
    <n v="90"/>
    <n v="70"/>
    <n v="0"/>
    <n v="0"/>
    <n v="0"/>
    <n v="0"/>
    <n v="33"/>
    <n v="32"/>
    <n v="50"/>
    <n v="56"/>
    <n v="38"/>
    <n v="0"/>
    <n v="0"/>
    <n v="0"/>
    <n v="505"/>
    <n v="559"/>
    <n v="545"/>
    <n v="483"/>
    <n v="526"/>
    <n v="539"/>
    <n v="385"/>
    <n v="385"/>
    <n v="385"/>
    <n v="98"/>
    <n v="140"/>
    <n v="154"/>
    <n v="22"/>
    <n v="33"/>
    <n v="6"/>
    <n v="0"/>
    <n v="0"/>
    <n v="0"/>
    <n v="0"/>
    <n v="0"/>
    <n v="0"/>
    <n v="22"/>
    <n v="33"/>
    <n v="6"/>
    <n v="0"/>
    <n v="0"/>
    <n v="0"/>
    <n v="696"/>
    <n v="743"/>
    <n v="528"/>
    <n v="262"/>
    <n v="495"/>
    <n v="326"/>
    <n v="217"/>
    <n v="0"/>
    <n v="0"/>
    <n v="216"/>
    <n v="248"/>
    <n v="201"/>
    <n v="2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"/>
    <n v="786"/>
    <n v="519"/>
    <n v="174"/>
    <n v="174"/>
    <n v="40"/>
    <n v="0"/>
    <n v="0"/>
    <n v="0"/>
    <n v="0"/>
    <n v="0"/>
    <n v="0"/>
    <n v="79"/>
    <n v="54"/>
    <n v="32"/>
    <n v="0"/>
    <n v="0"/>
    <n v="0"/>
    <n v="48"/>
    <n v="23"/>
    <n v="13"/>
    <n v="31"/>
    <n v="31"/>
    <n v="19"/>
    <n v="449"/>
    <n v="558"/>
    <n v="447"/>
    <n v="6"/>
    <n v="43"/>
    <n v="-9"/>
    <n v="6"/>
    <n v="43"/>
    <n v="-9"/>
    <n v="0"/>
    <n v="0"/>
    <n v="126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22"/>
    <n v="696"/>
    <n v="743"/>
    <n v="632"/>
    <n v="702"/>
    <n v="786"/>
    <n v="645"/>
    <n v="6"/>
    <n v="43"/>
    <n v="13"/>
    <n v="6"/>
    <n v="43"/>
    <n v="13"/>
    <m/>
  </r>
  <r>
    <s v="Tělovýchovná jednota Sokol  M a r t i n i c e"/>
    <n v="85"/>
    <n v="15"/>
    <n v="25"/>
    <n v="20"/>
    <n v="25"/>
    <n v="10"/>
    <n v="5"/>
    <x v="4"/>
    <s v="Výchovou mládeže"/>
    <n v="1"/>
    <n v="5"/>
    <n v="40"/>
    <n v="30"/>
    <n v="25"/>
    <x v="2"/>
    <n v="3826"/>
    <n v="3850"/>
    <n v="3876"/>
    <n v="3596"/>
    <n v="3613"/>
    <n v="3655"/>
    <n v="0"/>
    <n v="0"/>
    <n v="0"/>
    <n v="230"/>
    <n v="237"/>
    <n v="221"/>
    <n v="0"/>
    <n v="10"/>
    <n v="13"/>
    <n v="14"/>
    <n v="0"/>
    <n v="15"/>
    <n v="208"/>
    <n v="227"/>
    <n v="193"/>
    <n v="0"/>
    <n v="0"/>
    <n v="0"/>
    <n v="3826"/>
    <n v="3850"/>
    <n v="3876"/>
    <n v="3822"/>
    <n v="3821"/>
    <n v="3876"/>
    <n v="3714"/>
    <n v="3714"/>
    <n v="3714"/>
    <n v="108"/>
    <n v="107"/>
    <n v="162"/>
    <n v="4"/>
    <n v="29"/>
    <n v="0"/>
    <n v="0"/>
    <n v="0"/>
    <n v="0"/>
    <n v="0"/>
    <n v="0"/>
    <n v="0"/>
    <n v="4"/>
    <n v="29"/>
    <n v="0"/>
    <n v="0"/>
    <n v="0"/>
    <n v="0"/>
    <n v="366"/>
    <n v="475"/>
    <n v="469"/>
    <n v="175"/>
    <n v="395"/>
    <n v="416"/>
    <n v="157"/>
    <n v="0"/>
    <n v="0"/>
    <n v="0"/>
    <n v="28"/>
    <n v="14"/>
    <n v="0"/>
    <n v="0"/>
    <n v="0"/>
    <n v="19"/>
    <n v="38"/>
    <n v="24"/>
    <n v="0"/>
    <n v="0"/>
    <n v="0"/>
    <n v="0"/>
    <n v="14"/>
    <n v="15"/>
    <n v="0"/>
    <n v="0"/>
    <n v="0"/>
    <n v="123"/>
    <n v="128"/>
    <n v="202"/>
    <n v="121"/>
    <n v="128"/>
    <n v="20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431"/>
    <n v="457"/>
    <n v="117"/>
    <n v="88"/>
    <n v="86"/>
    <n v="4"/>
    <n v="19"/>
    <n v="3"/>
    <n v="0"/>
    <n v="0"/>
    <n v="0"/>
    <n v="111"/>
    <n v="147"/>
    <n v="129"/>
    <n v="0"/>
    <n v="0"/>
    <n v="0"/>
    <n v="40"/>
    <n v="37"/>
    <n v="43"/>
    <n v="71"/>
    <n v="110"/>
    <n v="86"/>
    <n v="196"/>
    <n v="177"/>
    <n v="239"/>
    <n v="62"/>
    <n v="-44"/>
    <n v="-12"/>
    <n v="62"/>
    <n v="-44"/>
    <n v="-12"/>
    <n v="155"/>
    <n v="173"/>
    <n v="269"/>
    <n v="155"/>
    <n v="173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7"/>
    <n v="0"/>
    <n v="45"/>
    <n v="67"/>
    <n v="489"/>
    <n v="603"/>
    <n v="671"/>
    <n v="583"/>
    <n v="604"/>
    <n v="726"/>
    <n v="94"/>
    <n v="1"/>
    <n v="55"/>
    <n v="62"/>
    <n v="1"/>
    <n v="55"/>
    <m/>
  </r>
  <r>
    <s v="Klub plav.sportů Ostrava"/>
    <n v="350"/>
    <n v="10"/>
    <n v="63"/>
    <n v="13"/>
    <n v="7"/>
    <n v="5"/>
    <n v="2"/>
    <x v="1"/>
    <s v="Výkonnostním sportem"/>
    <n v="6"/>
    <n v="30"/>
    <n v="60"/>
    <n v="5"/>
    <n v="5"/>
    <x v="2"/>
    <n v="733"/>
    <n v="571"/>
    <n v="496"/>
    <n v="0"/>
    <n v="0"/>
    <n v="0"/>
    <n v="0"/>
    <n v="0"/>
    <n v="0"/>
    <n v="733"/>
    <n v="571"/>
    <n v="498"/>
    <n v="0"/>
    <n v="0"/>
    <n v="0"/>
    <n v="0"/>
    <n v="50"/>
    <n v="50"/>
    <n v="565"/>
    <n v="521"/>
    <n v="448"/>
    <n v="168"/>
    <n v="0"/>
    <n v="0"/>
    <n v="733"/>
    <n v="571"/>
    <n v="498"/>
    <n v="585"/>
    <n v="331"/>
    <n v="150"/>
    <n v="0"/>
    <n v="300"/>
    <n v="300"/>
    <n v="585"/>
    <n v="31"/>
    <n v="-150"/>
    <n v="148"/>
    <n v="240"/>
    <n v="348"/>
    <n v="0"/>
    <n v="0"/>
    <n v="0"/>
    <n v="0"/>
    <n v="0"/>
    <n v="0"/>
    <n v="131"/>
    <n v="240"/>
    <n v="348"/>
    <n v="17"/>
    <n v="0"/>
    <n v="0"/>
    <n v="3785"/>
    <n v="4642"/>
    <n v="5306"/>
    <n v="63"/>
    <n v="3197"/>
    <n v="3552"/>
    <n v="2375"/>
    <n v="0"/>
    <n v="0"/>
    <n v="1278"/>
    <n v="1291"/>
    <n v="1720"/>
    <n v="56"/>
    <n v="0"/>
    <n v="0"/>
    <n v="13"/>
    <n v="47"/>
    <n v="34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8"/>
    <n v="3940"/>
    <n v="5030"/>
    <n v="887"/>
    <n v="0"/>
    <n v="64"/>
    <n v="0"/>
    <n v="-3"/>
    <n v="1"/>
    <n v="0"/>
    <n v="0"/>
    <n v="0"/>
    <n v="1265"/>
    <n v="2084"/>
    <n v="2592"/>
    <n v="0"/>
    <n v="0"/>
    <n v="0"/>
    <n v="97"/>
    <n v="431"/>
    <n v="619"/>
    <n v="1168"/>
    <n v="1653"/>
    <n v="1973"/>
    <n v="1776"/>
    <n v="1859"/>
    <n v="2373"/>
    <n v="143"/>
    <n v="-702"/>
    <n v="-276"/>
    <n v="143"/>
    <n v="-702"/>
    <n v="-276"/>
    <n v="0"/>
    <n v="148"/>
    <n v="96"/>
    <n v="0"/>
    <n v="148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96"/>
    <n v="0"/>
    <n v="148"/>
    <n v="96"/>
    <n v="3785"/>
    <n v="4642"/>
    <n v="5306"/>
    <n v="3928"/>
    <n v="4088"/>
    <n v="5126"/>
    <n v="143"/>
    <n v="-554"/>
    <n v="-180"/>
    <n v="143"/>
    <n v="-554"/>
    <n v="-180"/>
    <m/>
  </r>
  <r>
    <s v="Sport.plavecký klub Liberec"/>
    <n v="210"/>
    <n v="4"/>
    <n v="70"/>
    <n v="15"/>
    <n v="5"/>
    <n v="4"/>
    <n v="2"/>
    <x v="1"/>
    <s v="Výkonnostním sportem"/>
    <n v="4"/>
    <n v="70"/>
    <n v="25"/>
    <n v="5"/>
    <n v="0"/>
    <x v="3"/>
    <n v="742"/>
    <n v="3127"/>
    <n v="1438"/>
    <n v="0"/>
    <n v="165"/>
    <n v="0"/>
    <n v="0"/>
    <n v="-165"/>
    <n v="0"/>
    <n v="742"/>
    <n v="3127"/>
    <n v="1438"/>
    <n v="0"/>
    <n v="0"/>
    <n v="0"/>
    <n v="0"/>
    <n v="86"/>
    <n v="0"/>
    <n v="742"/>
    <n v="3031"/>
    <n v="1350"/>
    <n v="0"/>
    <n v="10"/>
    <n v="88"/>
    <n v="742"/>
    <n v="3127"/>
    <n v="1438"/>
    <n v="520"/>
    <n v="3051"/>
    <n v="200"/>
    <n v="376"/>
    <n v="1079"/>
    <n v="954"/>
    <n v="144"/>
    <n v="1972"/>
    <n v="284"/>
    <n v="22"/>
    <n v="76"/>
    <n v="0"/>
    <n v="0"/>
    <n v="0"/>
    <n v="0"/>
    <n v="0"/>
    <n v="0"/>
    <n v="0"/>
    <n v="22"/>
    <n v="76"/>
    <n v="0"/>
    <n v="200"/>
    <n v="0"/>
    <n v="0"/>
    <n v="1195"/>
    <n v="1496"/>
    <n v="1743"/>
    <n v="46"/>
    <n v="76"/>
    <n v="111"/>
    <n v="940"/>
    <n v="1195"/>
    <n v="1391"/>
    <n v="184"/>
    <n v="197"/>
    <n v="222"/>
    <n v="0"/>
    <n v="0"/>
    <n v="0"/>
    <n v="17"/>
    <n v="16"/>
    <n v="5"/>
    <n v="0"/>
    <n v="0"/>
    <n v="0"/>
    <n v="8"/>
    <n v="1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9"/>
    <n v="1930"/>
    <n v="2027"/>
    <n v="162"/>
    <n v="215"/>
    <n v="384"/>
    <n v="0"/>
    <n v="0"/>
    <n v="0"/>
    <n v="0"/>
    <n v="0"/>
    <n v="0"/>
    <n v="949"/>
    <n v="1028"/>
    <n v="856"/>
    <n v="42"/>
    <n v="121"/>
    <n v="853"/>
    <n v="25"/>
    <n v="25"/>
    <n v="0"/>
    <n v="882"/>
    <n v="882"/>
    <n v="3"/>
    <n v="228"/>
    <n v="687"/>
    <n v="787"/>
    <n v="144"/>
    <n v="434"/>
    <n v="284"/>
    <n v="144"/>
    <n v="434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"/>
    <n v="1496"/>
    <n v="1743"/>
    <n v="1339"/>
    <n v="1930"/>
    <n v="2027"/>
    <n v="144"/>
    <n v="434"/>
    <n v="284"/>
    <n v="144"/>
    <n v="434"/>
    <n v="28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">
  <r>
    <x v="0"/>
    <n v="50"/>
    <n v="40"/>
    <n v="45"/>
    <n v="0"/>
    <n v="5"/>
    <n v="10"/>
    <n v="0"/>
    <x v="0"/>
    <x v="0"/>
    <x v="0"/>
    <n v="30"/>
    <n v="40"/>
    <n v="30"/>
    <n v="0"/>
    <n v="6"/>
    <n v="48"/>
    <n v="43"/>
    <n v="59"/>
    <n v="151"/>
    <n v="215"/>
    <n v="244"/>
    <n v="-151"/>
    <n v="-215"/>
    <n v="-244"/>
    <n v="48"/>
    <n v="43"/>
    <n v="59"/>
    <n v="0"/>
    <n v="0"/>
    <n v="0"/>
    <n v="0"/>
    <n v="0"/>
    <n v="0"/>
    <n v="48"/>
    <n v="43"/>
    <n v="59"/>
    <m/>
    <n v="0"/>
    <n v="0"/>
    <n v="48"/>
    <n v="43"/>
    <n v="59"/>
    <n v="46"/>
    <n v="60"/>
    <n v="56"/>
    <n v="60"/>
    <n v="60"/>
    <n v="60"/>
    <n v="-14"/>
    <n v="-29"/>
    <n v="-4"/>
    <n v="2"/>
    <n v="12"/>
    <n v="3"/>
    <n v="0"/>
    <n v="0"/>
    <n v="0"/>
    <n v="0"/>
    <n v="0"/>
    <n v="0"/>
    <n v="2"/>
    <n v="12"/>
    <n v="2"/>
    <n v="0"/>
    <n v="0"/>
    <n v="0"/>
    <n v="248"/>
    <n v="323"/>
    <n v="232"/>
    <n v="75"/>
    <n v="82"/>
    <n v="55"/>
    <n v="170"/>
    <n v="172"/>
    <n v="80"/>
    <n v="0"/>
    <n v="0"/>
    <n v="64"/>
    <n v="3"/>
    <n v="4"/>
    <n v="4"/>
    <m/>
    <n v="0"/>
    <n v="0"/>
    <n v="0"/>
    <n v="6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226"/>
    <n v="273"/>
    <n v="265"/>
    <n v="0"/>
    <n v="4"/>
    <n v="47"/>
    <n v="40"/>
    <n v="22"/>
    <n v="0"/>
    <n v="0"/>
    <n v="0"/>
    <n v="0"/>
    <n v="49"/>
    <n v="57"/>
    <n v="39"/>
    <n v="0"/>
    <n v="0"/>
    <n v="0"/>
    <n v="6"/>
    <n v="14"/>
    <n v="0"/>
    <n v="43"/>
    <n v="43"/>
    <n v="39"/>
    <x v="0"/>
    <x v="0"/>
    <x v="0"/>
    <n v="-22"/>
    <n v="-50"/>
    <n v="24"/>
    <n v="-22"/>
    <n v="-50"/>
    <n v="24"/>
    <n v="48"/>
    <n v="34"/>
    <n v="2"/>
    <n v="48"/>
    <n v="3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4"/>
    <n v="2"/>
    <n v="48"/>
    <n v="34"/>
    <n v="2"/>
    <n v="248"/>
    <n v="323"/>
    <n v="232"/>
    <n v="274"/>
    <n v="307"/>
    <n v="258"/>
    <n v="26"/>
    <n v="-16"/>
    <n v="26"/>
    <n v="26"/>
    <n v="-16"/>
    <n v="26"/>
    <s v="v příloze počet členů,"/>
  </r>
  <r>
    <x v="1"/>
    <n v="208"/>
    <n v="0"/>
    <n v="46"/>
    <n v="10"/>
    <n v="11"/>
    <n v="25"/>
    <n v="8"/>
    <x v="0"/>
    <x v="0"/>
    <x v="1"/>
    <n v="30"/>
    <n v="60"/>
    <n v="2"/>
    <n v="8"/>
    <n v="4"/>
    <n v="50"/>
    <n v="29"/>
    <n v="304"/>
    <n v="0"/>
    <n v="0"/>
    <n v="0"/>
    <n v="0"/>
    <n v="0"/>
    <n v="0"/>
    <n v="50"/>
    <n v="29"/>
    <n v="304"/>
    <n v="0"/>
    <n v="0"/>
    <n v="0"/>
    <n v="0"/>
    <n v="0"/>
    <n v="0"/>
    <n v="50"/>
    <n v="29"/>
    <n v="304"/>
    <n v="0"/>
    <n v="0"/>
    <n v="0"/>
    <n v="50"/>
    <n v="29"/>
    <n v="304"/>
    <n v="50"/>
    <n v="29"/>
    <n v="304"/>
    <n v="5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"/>
    <n v="742"/>
    <n v="846"/>
    <n v="415"/>
    <n v="137"/>
    <n v="120"/>
    <n v="282"/>
    <n v="505"/>
    <n v="578"/>
    <n v="22"/>
    <n v="85"/>
    <n v="126"/>
    <n v="4"/>
    <n v="15"/>
    <n v="22"/>
    <n v="0"/>
    <n v="0"/>
    <n v="0"/>
    <m/>
    <n v="0"/>
    <n v="0"/>
    <n v="0"/>
    <n v="0"/>
    <n v="0"/>
    <n v="0"/>
    <n v="0"/>
    <n v="0"/>
    <n v="21"/>
    <n v="19"/>
    <n v="25"/>
    <n v="0"/>
    <n v="0"/>
    <n v="0"/>
    <n v="19"/>
    <n v="16"/>
    <n v="24"/>
    <n v="200"/>
    <n v="0"/>
    <n v="0"/>
    <n v="0"/>
    <n v="0"/>
    <n v="0"/>
    <n v="0"/>
    <n v="3"/>
    <n v="1"/>
    <n v="0"/>
    <n v="0"/>
    <n v="0"/>
    <n v="0"/>
    <n v="0"/>
    <n v="0"/>
    <n v="0"/>
    <n v="0"/>
    <n v="0"/>
    <n v="668"/>
    <n v="672"/>
    <n v="1100"/>
    <n v="84"/>
    <n v="0"/>
    <n v="0"/>
    <n v="0"/>
    <n v="0"/>
    <n v="0"/>
    <n v="0"/>
    <n v="0"/>
    <n v="0"/>
    <n v="387"/>
    <n v="370"/>
    <n v="428"/>
    <n v="0"/>
    <n v="0"/>
    <m/>
    <n v="5"/>
    <n v="10"/>
    <n v="40"/>
    <n v="382"/>
    <n v="360"/>
    <n v="388"/>
    <x v="1"/>
    <x v="1"/>
    <x v="1"/>
    <n v="-54"/>
    <n v="-70"/>
    <n v="254"/>
    <n v="-54"/>
    <n v="-70"/>
    <n v="254"/>
    <n v="36"/>
    <n v="55"/>
    <n v="59"/>
    <n v="36"/>
    <n v="55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6"/>
    <n v="33"/>
    <n v="14"/>
    <n v="36"/>
    <n v="33"/>
    <n v="744"/>
    <n v="761"/>
    <n v="871"/>
    <n v="704"/>
    <n v="727"/>
    <n v="1159"/>
    <n v="-40"/>
    <n v="-34"/>
    <n v="287"/>
    <n v="-40"/>
    <n v="-34"/>
    <n v="287"/>
    <s v="v přiloze dotace"/>
  </r>
  <r>
    <x v="2"/>
    <n v="350"/>
    <n v="0"/>
    <n v="20"/>
    <n v="20"/>
    <n v="30"/>
    <n v="20"/>
    <n v="10"/>
    <x v="0"/>
    <x v="1"/>
    <x v="2"/>
    <n v="59"/>
    <n v="15"/>
    <n v="1"/>
    <n v="25"/>
    <n v="7"/>
    <n v="4805"/>
    <n v="4932"/>
    <n v="5863"/>
    <n v="2110"/>
    <n v="2190"/>
    <n v="2343"/>
    <n v="-2110"/>
    <n v="-2190"/>
    <n v="2343"/>
    <n v="4805"/>
    <n v="4932"/>
    <n v="5863"/>
    <n v="0"/>
    <n v="0"/>
    <n v="0"/>
    <n v="0"/>
    <n v="0"/>
    <n v="85"/>
    <n v="4771"/>
    <n v="4931"/>
    <n v="5738"/>
    <n v="34"/>
    <n v="1"/>
    <n v="40"/>
    <n v="4805"/>
    <n v="4932"/>
    <n v="5863"/>
    <n v="4677"/>
    <n v="4806"/>
    <n v="5653"/>
    <n v="4698"/>
    <n v="4582"/>
    <n v="4807"/>
    <n v="-31"/>
    <n v="224"/>
    <n v="846"/>
    <n v="128"/>
    <n v="126"/>
    <n v="210"/>
    <n v="0"/>
    <n v="0"/>
    <n v="0"/>
    <n v="0"/>
    <n v="0"/>
    <n v="0"/>
    <n v="128"/>
    <n v="126"/>
    <n v="209"/>
    <m/>
    <n v="0"/>
    <n v="1"/>
    <n v="5145"/>
    <n v="6342"/>
    <n v="7889"/>
    <n v="601"/>
    <n v="5069"/>
    <n v="525"/>
    <n v="3565"/>
    <m/>
    <n v="5541"/>
    <n v="962"/>
    <n v="1165"/>
    <n v="1804"/>
    <n v="13"/>
    <m/>
    <n v="14"/>
    <n v="0"/>
    <n v="108"/>
    <n v="0"/>
    <n v="0"/>
    <m/>
    <n v="0"/>
    <n v="4"/>
    <m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5"/>
    <n v="6566"/>
    <n v="8734"/>
    <n v="1331"/>
    <n v="0"/>
    <n v="2411"/>
    <n v="0"/>
    <n v="0"/>
    <n v="1"/>
    <n v="0"/>
    <n v="0"/>
    <n v="0"/>
    <n v="3788"/>
    <n v="0"/>
    <n v="5460"/>
    <n v="0"/>
    <n v="0"/>
    <n v="0"/>
    <n v="1978"/>
    <n v="0"/>
    <n v="5142"/>
    <n v="1810"/>
    <n v="1810"/>
    <n v="318"/>
    <x v="2"/>
    <x v="2"/>
    <x v="2"/>
    <n v="0"/>
    <n v="224"/>
    <n v="845"/>
    <n v="-20"/>
    <n v="224"/>
    <n v="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5"/>
    <n v="6342"/>
    <n v="7889"/>
    <n v="5125"/>
    <n v="6566"/>
    <n v="8734"/>
    <n v="-20"/>
    <n v="224"/>
    <n v="845"/>
    <n v="-20"/>
    <n v="224"/>
    <n v="845"/>
    <m/>
  </r>
  <r>
    <x v="3"/>
    <n v="570"/>
    <n v="5"/>
    <n v="65"/>
    <n v="10"/>
    <n v="10"/>
    <n v="5"/>
    <n v="5"/>
    <x v="0"/>
    <x v="1"/>
    <x v="0"/>
    <n v="20"/>
    <n v="65"/>
    <n v="10"/>
    <n v="5"/>
    <n v="6"/>
    <n v="746"/>
    <n v="767"/>
    <n v="1354"/>
    <n v="0"/>
    <n v="157"/>
    <n v="205"/>
    <n v="0"/>
    <n v="-39"/>
    <n v="-102"/>
    <n v="746"/>
    <n v="610"/>
    <n v="1149"/>
    <n v="0"/>
    <n v="0"/>
    <n v="0"/>
    <n v="0"/>
    <n v="84"/>
    <n v="91"/>
    <n v="746"/>
    <n v="494"/>
    <n v="1058"/>
    <n v="0"/>
    <n v="32"/>
    <n v="0"/>
    <n v="746"/>
    <n v="767"/>
    <n v="1354"/>
    <n v="613"/>
    <n v="606"/>
    <n v="924"/>
    <n v="0"/>
    <n v="0"/>
    <n v="150"/>
    <n v="613"/>
    <n v="606"/>
    <n v="774"/>
    <n v="133"/>
    <n v="161"/>
    <n v="430"/>
    <n v="0"/>
    <n v="0"/>
    <n v="0"/>
    <n v="0"/>
    <n v="0"/>
    <n v="0"/>
    <n v="133"/>
    <n v="161"/>
    <n v="409"/>
    <n v="0"/>
    <n v="5"/>
    <n v="21"/>
    <n v="3773"/>
    <n v="4337"/>
    <n v="5708"/>
    <n v="656"/>
    <n v="674"/>
    <n v="741"/>
    <n v="1980"/>
    <n v="2490"/>
    <n v="2675"/>
    <n v="975"/>
    <n v="1056"/>
    <n v="2119"/>
    <n v="0"/>
    <n v="0"/>
    <n v="1"/>
    <n v="20"/>
    <n v="60"/>
    <n v="44"/>
    <n v="40"/>
    <n v="39"/>
    <n v="27"/>
    <n v="85"/>
    <n v="18"/>
    <n v="101"/>
    <n v="17"/>
    <n v="0"/>
    <n v="0"/>
    <n v="0"/>
    <n v="0"/>
    <n v="83"/>
    <n v="0"/>
    <n v="0"/>
    <n v="47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0"/>
    <n v="4083"/>
    <n v="5621"/>
    <n v="231"/>
    <n v="295"/>
    <n v="917"/>
    <n v="26"/>
    <n v="1"/>
    <n v="0"/>
    <n v="0"/>
    <n v="0"/>
    <n v="0"/>
    <n v="3783"/>
    <n v="680"/>
    <n v="1416"/>
    <n v="3094"/>
    <n v="0"/>
    <n v="0"/>
    <n v="0"/>
    <n v="47"/>
    <n v="751"/>
    <n v="689"/>
    <n v="633"/>
    <n v="665"/>
    <x v="2"/>
    <x v="3"/>
    <x v="3"/>
    <n v="267"/>
    <n v="-254"/>
    <n v="-87"/>
    <n v="267"/>
    <n v="-254"/>
    <n v="-87"/>
    <n v="0"/>
    <n v="248"/>
    <n v="337"/>
    <n v="0"/>
    <n v="0"/>
    <n v="174"/>
    <n v="0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254"/>
    <n v="0"/>
    <n v="248"/>
    <n v="254"/>
    <n v="3773"/>
    <n v="4337"/>
    <n v="5791"/>
    <n v="4040"/>
    <n v="4331"/>
    <n v="5958"/>
    <n v="267"/>
    <n v="-6"/>
    <n v="167"/>
    <n v="267"/>
    <n v="-6"/>
    <n v="167"/>
    <m/>
  </r>
  <r>
    <x v="4"/>
    <n v="450"/>
    <n v="5"/>
    <n v="60"/>
    <n v="17"/>
    <n v="10"/>
    <n v="6"/>
    <n v="2"/>
    <x v="0"/>
    <x v="1"/>
    <x v="3"/>
    <n v="20"/>
    <n v="60"/>
    <n v="15"/>
    <n v="5"/>
    <n v="3"/>
    <n v="6474"/>
    <n v="6207"/>
    <n v="6074"/>
    <n v="11846"/>
    <n v="11841"/>
    <n v="11184"/>
    <n v="-6290"/>
    <n v="-6404"/>
    <n v="6498"/>
    <n v="918"/>
    <n v="770"/>
    <n v="1388"/>
    <n v="0"/>
    <n v="0"/>
    <n v="0"/>
    <n v="0"/>
    <n v="93"/>
    <n v="0"/>
    <n v="918"/>
    <n v="677"/>
    <n v="1388"/>
    <n v="0"/>
    <n v="0"/>
    <n v="0"/>
    <n v="6474"/>
    <n v="6207"/>
    <n v="6071"/>
    <n v="6474"/>
    <n v="6207"/>
    <n v="6071"/>
    <n v="6381"/>
    <n v="6519"/>
    <n v="5491"/>
    <n v="93"/>
    <n v="-312"/>
    <n v="580"/>
    <n v="0"/>
    <n v="0"/>
    <n v="3"/>
    <n v="0"/>
    <n v="0"/>
    <n v="0"/>
    <n v="0"/>
    <n v="0"/>
    <n v="0"/>
    <n v="0"/>
    <n v="0"/>
    <n v="3"/>
    <n v="0"/>
    <n v="0"/>
    <n v="0"/>
    <n v="5835"/>
    <n v="7169"/>
    <n v="7198"/>
    <n v="2024"/>
    <n v="1796"/>
    <n v="2383"/>
    <n v="780"/>
    <n v="1195"/>
    <n v="983"/>
    <n v="1078"/>
    <n v="1450"/>
    <n v="1257"/>
    <n v="16"/>
    <n v="19"/>
    <n v="21"/>
    <n v="1890"/>
    <n v="2639"/>
    <n v="2495"/>
    <n v="6"/>
    <n v="5145"/>
    <n v="5"/>
    <n v="40"/>
    <n v="63"/>
    <n v="54"/>
    <n v="0"/>
    <n v="0"/>
    <n v="0"/>
    <n v="572"/>
    <n v="608"/>
    <n v="451"/>
    <n v="0"/>
    <n v="0"/>
    <n v="0"/>
    <n v="200"/>
    <n v="258"/>
    <n v="188"/>
    <n v="148"/>
    <n v="208"/>
    <n v="135"/>
    <n v="10"/>
    <n v="5"/>
    <n v="5"/>
    <n v="28"/>
    <n v="28"/>
    <n v="29"/>
    <n v="125"/>
    <n v="110"/>
    <n v="94"/>
    <n v="0"/>
    <n v="0"/>
    <n v="0"/>
    <n v="0"/>
    <n v="0"/>
    <n v="0"/>
    <n v="5634"/>
    <n v="6584"/>
    <n v="7481"/>
    <n v="0"/>
    <n v="0"/>
    <n v="0"/>
    <n v="2440"/>
    <n v="2904"/>
    <n v="2836"/>
    <n v="0"/>
    <n v="0"/>
    <n v="0"/>
    <n v="1800"/>
    <n v="2111"/>
    <n v="2530"/>
    <n v="313"/>
    <n v="338"/>
    <n v="107"/>
    <n v="545"/>
    <n v="592"/>
    <n v="946"/>
    <n v="940"/>
    <n v="1180"/>
    <n v="1477"/>
    <x v="3"/>
    <x v="4"/>
    <x v="4"/>
    <n v="-200"/>
    <n v="-585"/>
    <n v="283"/>
    <n v="-200"/>
    <n v="-585"/>
    <n v="283"/>
    <n v="865"/>
    <n v="881"/>
    <n v="748"/>
    <n v="467"/>
    <n v="440"/>
    <n v="434"/>
    <n v="399"/>
    <n v="441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273"/>
    <n v="297"/>
    <n v="294"/>
    <n v="273"/>
    <n v="297"/>
    <n v="6407"/>
    <n v="7777"/>
    <n v="7649"/>
    <n v="6499"/>
    <n v="7465"/>
    <n v="8229"/>
    <n v="92"/>
    <n v="-312"/>
    <n v="580"/>
    <n v="94"/>
    <n v="-312"/>
    <n v="580"/>
    <m/>
  </r>
  <r>
    <x v="5"/>
    <n v="140"/>
    <n v="0"/>
    <n v="90"/>
    <n v="3"/>
    <n v="3"/>
    <n v="4"/>
    <n v="0"/>
    <x v="1"/>
    <x v="0"/>
    <x v="2"/>
    <n v="65"/>
    <n v="25"/>
    <n v="5"/>
    <n v="5"/>
    <n v="7"/>
    <n v="7447"/>
    <n v="7156"/>
    <n v="7144"/>
    <n v="1582"/>
    <n v="1582"/>
    <n v="1723"/>
    <n v="-1513"/>
    <n v="1582"/>
    <n v="1612"/>
    <n v="7378"/>
    <n v="7156"/>
    <n v="7024"/>
    <n v="130"/>
    <n v="7070"/>
    <n v="131"/>
    <n v="50"/>
    <n v="263"/>
    <n v="52"/>
    <n v="7192"/>
    <n v="6816"/>
    <n v="6841"/>
    <n v="6"/>
    <n v="7"/>
    <n v="0"/>
    <n v="7447"/>
    <n v="7156"/>
    <n v="7144"/>
    <n v="5493"/>
    <n v="5410"/>
    <n v="5081"/>
    <n v="6665"/>
    <n v="5493"/>
    <n v="5249"/>
    <n v="-1172"/>
    <n v="-83"/>
    <n v="-168"/>
    <n v="1954"/>
    <n v="1745"/>
    <n v="2063"/>
    <n v="0"/>
    <n v="0"/>
    <n v="0"/>
    <n v="0"/>
    <n v="0"/>
    <n v="0"/>
    <n v="618"/>
    <n v="300"/>
    <n v="748"/>
    <n v="1336"/>
    <n v="1445"/>
    <n v="0"/>
    <n v="15197"/>
    <n v="15011"/>
    <n v="18453"/>
    <n v="1551"/>
    <n v="2045"/>
    <n v="3051"/>
    <n v="8682"/>
    <n v="8403"/>
    <n v="10892"/>
    <n v="3698"/>
    <n v="4266"/>
    <n v="4315"/>
    <n v="14"/>
    <n v="0.5"/>
    <n v="0"/>
    <n v="1020"/>
    <n v="36"/>
    <n v="48"/>
    <n v="69"/>
    <n v="69"/>
    <n v="30"/>
    <n v="163"/>
    <n v="191"/>
    <n v="117"/>
    <n v="0"/>
    <n v="0.5"/>
    <n v="0"/>
    <n v="742"/>
    <n v="996"/>
    <n v="301"/>
    <n v="52"/>
    <n v="3"/>
    <n v="9"/>
    <n v="494"/>
    <n v="817"/>
    <n v="229"/>
    <n v="56"/>
    <n v="176"/>
    <n v="0"/>
    <n v="0"/>
    <n v="0"/>
    <n v="0"/>
    <n v="140"/>
    <n v="0"/>
    <n v="63"/>
    <n v="0"/>
    <n v="0"/>
    <n v="0"/>
    <n v="0"/>
    <n v="0"/>
    <n v="0"/>
    <n v="0"/>
    <n v="0"/>
    <n v="0"/>
    <n v="13918"/>
    <n v="15137"/>
    <n v="18218"/>
    <n v="3898"/>
    <n v="3369"/>
    <n v="4430"/>
    <n v="8"/>
    <n v="9"/>
    <n v="50"/>
    <n v="20"/>
    <n v="0"/>
    <n v="0"/>
    <n v="7805"/>
    <n v="6401"/>
    <n v="6442"/>
    <n v="1552"/>
    <n v="0"/>
    <n v="0"/>
    <n v="1779"/>
    <n v="1082"/>
    <n v="534"/>
    <n v="4474"/>
    <n v="5319"/>
    <n v="5908"/>
    <x v="4"/>
    <x v="5"/>
    <x v="5"/>
    <n v="1279"/>
    <n v="126"/>
    <n v="-235"/>
    <n v="-1281"/>
    <n v="126"/>
    <n v="-235"/>
    <n v="851"/>
    <n v="787"/>
    <n v="368"/>
    <n v="849"/>
    <n v="782"/>
    <n v="76"/>
    <n v="2"/>
    <n v="0"/>
    <n v="0"/>
    <n v="0"/>
    <n v="0"/>
    <n v="0"/>
    <n v="0"/>
    <n v="5"/>
    <n v="292"/>
    <n v="0"/>
    <n v="0"/>
    <n v="0"/>
    <n v="0"/>
    <n v="5"/>
    <n v="292"/>
    <n v="0"/>
    <n v="0"/>
    <n v="0"/>
    <n v="0"/>
    <m/>
    <n v="0"/>
    <n v="109"/>
    <n v="-209"/>
    <n v="67"/>
    <n v="109"/>
    <n v="-209"/>
    <n v="67"/>
    <n v="15939"/>
    <n v="16007"/>
    <n v="18754"/>
    <n v="14769"/>
    <n v="15924"/>
    <n v="18586"/>
    <n v="-1170"/>
    <n v="-83"/>
    <n v="-168"/>
    <n v="-1172"/>
    <n v="-83"/>
    <n v="-168"/>
    <m/>
  </r>
  <r>
    <x v="6"/>
    <n v="11"/>
    <n v="0"/>
    <n v="30"/>
    <n v="35"/>
    <n v="20"/>
    <n v="15"/>
    <n v="0"/>
    <x v="2"/>
    <x v="2"/>
    <x v="4"/>
    <n v="20"/>
    <n v="70"/>
    <n v="10"/>
    <n v="0"/>
    <n v="2"/>
    <n v="8"/>
    <n v="2"/>
    <n v="3"/>
    <n v="0"/>
    <n v="0"/>
    <n v="0"/>
    <n v="0"/>
    <n v="0"/>
    <n v="0"/>
    <n v="8"/>
    <n v="2"/>
    <n v="3"/>
    <n v="0"/>
    <n v="0"/>
    <n v="0"/>
    <n v="0"/>
    <n v="0"/>
    <n v="0"/>
    <n v="8"/>
    <n v="2"/>
    <n v="3"/>
    <n v="0"/>
    <n v="0"/>
    <n v="0"/>
    <n v="8"/>
    <n v="2"/>
    <n v="3"/>
    <n v="8"/>
    <n v="2"/>
    <n v="3"/>
    <n v="0"/>
    <n v="0"/>
    <n v="0"/>
    <n v="8"/>
    <n v="2"/>
    <n v="3"/>
    <n v="0"/>
    <n v="0"/>
    <n v="0"/>
    <n v="0"/>
    <n v="0"/>
    <n v="0"/>
    <n v="0"/>
    <n v="0"/>
    <n v="0"/>
    <n v="0"/>
    <n v="0"/>
    <n v="0"/>
    <n v="0"/>
    <n v="0"/>
    <n v="0"/>
    <n v="15"/>
    <n v="24"/>
    <n v="12"/>
    <n v="10"/>
    <n v="23"/>
    <n v="10"/>
    <n v="5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"/>
    <n v="14"/>
    <n v="0"/>
    <n v="0"/>
    <n v="0"/>
    <n v="0"/>
    <n v="0"/>
    <n v="0"/>
    <n v="0"/>
    <n v="0"/>
    <n v="0"/>
    <n v="1"/>
    <n v="5"/>
    <n v="4"/>
    <n v="0"/>
    <n v="0"/>
    <n v="0"/>
    <n v="0"/>
    <n v="0"/>
    <n v="0"/>
    <n v="0"/>
    <n v="0"/>
    <n v="0"/>
    <x v="5"/>
    <x v="6"/>
    <x v="6"/>
    <n v="-2"/>
    <n v="-6"/>
    <n v="2"/>
    <n v="-2"/>
    <n v="-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15"/>
    <n v="24"/>
    <n v="12"/>
    <n v="14"/>
    <n v="18"/>
    <n v="14"/>
    <n v="-1"/>
    <n v="-6"/>
    <n v="2"/>
    <n v="-2"/>
    <n v="-6"/>
    <n v="2"/>
    <m/>
  </r>
  <r>
    <x v="7"/>
    <n v="450"/>
    <n v="5"/>
    <n v="45"/>
    <n v="30"/>
    <n v="15"/>
    <n v="5"/>
    <n v="0"/>
    <x v="3"/>
    <x v="1"/>
    <x v="5"/>
    <n v="70"/>
    <n v="15"/>
    <n v="10"/>
    <n v="5"/>
    <n v="4"/>
    <n v="424"/>
    <n v="39"/>
    <n v="39"/>
    <n v="0"/>
    <n v="0"/>
    <n v="0"/>
    <n v="0"/>
    <n v="0"/>
    <n v="0"/>
    <n v="424"/>
    <n v="39"/>
    <n v="39"/>
    <n v="0"/>
    <n v="0"/>
    <n v="0"/>
    <n v="316"/>
    <n v="6"/>
    <n v="6"/>
    <n v="108"/>
    <n v="33"/>
    <n v="33"/>
    <n v="0"/>
    <n v="0"/>
    <n v="0"/>
    <n v="424"/>
    <n v="39"/>
    <n v="39"/>
    <n v="8"/>
    <n v="-467"/>
    <n v="-349"/>
    <n v="0"/>
    <n v="0"/>
    <n v="0"/>
    <n v="8"/>
    <n v="-467"/>
    <n v="-349"/>
    <n v="416"/>
    <n v="506"/>
    <n v="388"/>
    <n v="0"/>
    <n v="0"/>
    <n v="0"/>
    <n v="0"/>
    <n v="0"/>
    <n v="0"/>
    <n v="416"/>
    <n v="506"/>
    <n v="388"/>
    <n v="0"/>
    <n v="0"/>
    <n v="0"/>
    <n v="4481"/>
    <n v="6426"/>
    <n v="5859"/>
    <n v="299"/>
    <n v="5804"/>
    <n v="5347"/>
    <n v="3747"/>
    <n v="0"/>
    <n v="0"/>
    <n v="392"/>
    <n v="610"/>
    <n v="502"/>
    <n v="0"/>
    <n v="0"/>
    <n v="0"/>
    <n v="44"/>
    <n v="12"/>
    <n v="5859"/>
    <n v="0"/>
    <n v="0"/>
    <n v="0"/>
    <n v="0"/>
    <n v="0"/>
    <n v="0"/>
    <n v="0"/>
    <n v="0"/>
    <n v="0"/>
    <n v="0"/>
    <n v="250"/>
    <n v="78"/>
    <n v="0"/>
    <n v="25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7"/>
    <n v="6040"/>
    <n v="5510"/>
    <n v="2502"/>
    <n v="2408"/>
    <n v="0"/>
    <n v="60"/>
    <n v="0"/>
    <n v="1"/>
    <n v="0"/>
    <n v="536"/>
    <n v="72"/>
    <n v="1835"/>
    <n v="2350"/>
    <n v="4696"/>
    <n v="120"/>
    <n v="0"/>
    <n v="0"/>
    <n v="0"/>
    <n v="224"/>
    <n v="0"/>
    <n v="1715"/>
    <n v="2126"/>
    <n v="4696"/>
    <x v="2"/>
    <x v="7"/>
    <x v="7"/>
    <n v="-85"/>
    <n v="-386"/>
    <n v="-349"/>
    <n v="-85"/>
    <n v="-386"/>
    <n v="-349"/>
    <n v="0"/>
    <n v="245"/>
    <n v="79"/>
    <n v="0"/>
    <n v="245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1"/>
    <n v="0"/>
    <n v="-5"/>
    <n v="1"/>
    <n v="4481"/>
    <n v="6676"/>
    <n v="5937"/>
    <n v="4397"/>
    <n v="6285"/>
    <n v="5589"/>
    <n v="-84"/>
    <n v="-391"/>
    <n v="-348"/>
    <n v="-85"/>
    <n v="-391"/>
    <n v="-348"/>
    <s v="priloha"/>
  </r>
  <r>
    <x v="8"/>
    <n v="80"/>
    <n v="10"/>
    <n v="50"/>
    <n v="15"/>
    <n v="10"/>
    <n v="15"/>
    <n v="0"/>
    <x v="3"/>
    <x v="0"/>
    <x v="2"/>
    <n v="20"/>
    <n v="60"/>
    <n v="15"/>
    <n v="5"/>
    <n v="7"/>
    <n v="406"/>
    <n v="610"/>
    <n v="707"/>
    <n v="90"/>
    <n v="304"/>
    <n v="304"/>
    <n v="-30"/>
    <n v="-57"/>
    <n v="-91"/>
    <n v="346"/>
    <n v="363"/>
    <n v="494"/>
    <n v="0"/>
    <n v="0"/>
    <n v="0"/>
    <n v="0"/>
    <n v="77"/>
    <n v="0"/>
    <n v="346"/>
    <n v="286"/>
    <n v="494"/>
    <n v="0"/>
    <n v="0"/>
    <n v="0"/>
    <n v="406"/>
    <n v="610"/>
    <n v="707"/>
    <n v="156"/>
    <n v="406"/>
    <n v="530"/>
    <n v="60"/>
    <n v="156"/>
    <n v="406"/>
    <n v="96"/>
    <n v="250"/>
    <n v="124"/>
    <n v="250"/>
    <n v="204"/>
    <n v="177"/>
    <n v="0"/>
    <n v="0"/>
    <n v="0"/>
    <n v="0"/>
    <n v="0"/>
    <n v="0"/>
    <n v="250"/>
    <n v="204"/>
    <n v="177"/>
    <n v="0"/>
    <n v="0"/>
    <n v="0"/>
    <n v="3205"/>
    <n v="3614"/>
    <n v="4133"/>
    <n v="950"/>
    <n v="909"/>
    <n v="955"/>
    <n v="1921"/>
    <n v="2361"/>
    <n v="2881"/>
    <n v="297"/>
    <n v="300"/>
    <n v="263"/>
    <n v="0"/>
    <n v="0"/>
    <n v="0"/>
    <n v="17"/>
    <n v="17"/>
    <n v="0"/>
    <n v="20"/>
    <n v="27"/>
    <n v="34"/>
    <n v="0"/>
    <n v="0"/>
    <n v="0"/>
    <n v="0"/>
    <n v="0"/>
    <n v="0"/>
    <n v="0"/>
    <n v="15"/>
    <n v="2"/>
    <n v="0"/>
    <n v="1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5"/>
    <n v="3565"/>
    <n v="3957"/>
    <n v="642"/>
    <n v="808"/>
    <n v="807"/>
    <n v="1"/>
    <n v="0"/>
    <n v="0"/>
    <n v="0"/>
    <n v="0"/>
    <n v="0"/>
    <n v="996"/>
    <n v="976"/>
    <n v="1140"/>
    <n v="0"/>
    <n v="0"/>
    <n v="0"/>
    <n v="412"/>
    <n v="308"/>
    <n v="351"/>
    <n v="584"/>
    <n v="668"/>
    <n v="789"/>
    <x v="6"/>
    <x v="8"/>
    <x v="8"/>
    <n v="-200"/>
    <n v="-49"/>
    <n v="-176"/>
    <n v="-200"/>
    <n v="-49"/>
    <n v="-176"/>
    <n v="296"/>
    <n v="314"/>
    <n v="302"/>
    <n v="296"/>
    <n v="314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300"/>
    <n v="0"/>
    <n v="299"/>
    <n v="300"/>
    <n v="3205"/>
    <n v="3629"/>
    <n v="4135"/>
    <n v="3301"/>
    <n v="3879"/>
    <n v="4259"/>
    <n v="96"/>
    <n v="250"/>
    <n v="124"/>
    <n v="-200"/>
    <n v="250"/>
    <n v="124"/>
    <m/>
  </r>
  <r>
    <x v="9"/>
    <n v="366"/>
    <n v="10"/>
    <n v="43"/>
    <n v="20"/>
    <n v="20"/>
    <n v="6"/>
    <n v="1"/>
    <x v="3"/>
    <x v="0"/>
    <x v="3"/>
    <n v="50"/>
    <n v="20"/>
    <n v="30"/>
    <n v="0"/>
    <n v="5"/>
    <n v="723"/>
    <n v="905"/>
    <n v="1212"/>
    <n v="0"/>
    <n v="0"/>
    <n v="0"/>
    <n v="0"/>
    <n v="0"/>
    <n v="0"/>
    <n v="723"/>
    <n v="905"/>
    <n v="1212"/>
    <n v="0"/>
    <n v="5"/>
    <n v="0"/>
    <n v="385"/>
    <n v="484"/>
    <n v="755"/>
    <n v="277"/>
    <n v="464"/>
    <n v="457"/>
    <n v="61"/>
    <n v="3"/>
    <n v="0"/>
    <n v="723"/>
    <n v="905"/>
    <n v="1212"/>
    <n v="-113"/>
    <n v="77"/>
    <n v="336"/>
    <n v="0"/>
    <m/>
    <n v="0"/>
    <n v="-113"/>
    <n v="77"/>
    <n v="336"/>
    <n v="836"/>
    <n v="828"/>
    <n v="876"/>
    <n v="0"/>
    <n v="0"/>
    <n v="0"/>
    <n v="0"/>
    <n v="0"/>
    <n v="0"/>
    <n v="60"/>
    <n v="110"/>
    <n v="134"/>
    <n v="776"/>
    <n v="718"/>
    <n v="742"/>
    <n v="2272"/>
    <n v="2298"/>
    <n v="1976"/>
    <n v="225"/>
    <n v="294"/>
    <n v="209"/>
    <n v="1808"/>
    <n v="1553"/>
    <n v="1259"/>
    <n v="40"/>
    <n v="220"/>
    <n v="322"/>
    <n v="192"/>
    <n v="0"/>
    <n v="0"/>
    <n v="6"/>
    <n v="14"/>
    <n v="48"/>
    <n v="0"/>
    <n v="0"/>
    <n v="0"/>
    <n v="1"/>
    <n v="217"/>
    <n v="138"/>
    <n v="0"/>
    <n v="0"/>
    <n v="0"/>
    <n v="82"/>
    <n v="133"/>
    <n v="187"/>
    <n v="30"/>
    <n v="3"/>
    <n v="5"/>
    <n v="22"/>
    <n v="85"/>
    <n v="182"/>
    <n v="30"/>
    <n v="0"/>
    <n v="0"/>
    <n v="0"/>
    <n v="0"/>
    <n v="0"/>
    <n v="0"/>
    <n v="20"/>
    <n v="0"/>
    <n v="0"/>
    <n v="0"/>
    <n v="0"/>
    <n v="0"/>
    <n v="0"/>
    <n v="0"/>
    <n v="0"/>
    <n v="25"/>
    <n v="0"/>
    <n v="1617"/>
    <n v="2080"/>
    <n v="1952"/>
    <n v="326"/>
    <n v="121"/>
    <n v="29"/>
    <n v="0"/>
    <n v="60"/>
    <n v="30"/>
    <n v="0"/>
    <n v="0"/>
    <n v="0"/>
    <n v="918"/>
    <n v="1303"/>
    <n v="1270"/>
    <n v="0"/>
    <n v="0"/>
    <n v="0"/>
    <n v="168"/>
    <n v="259"/>
    <n v="126"/>
    <n v="750"/>
    <n v="1044"/>
    <n v="1144"/>
    <x v="7"/>
    <x v="9"/>
    <x v="9"/>
    <n v="-655"/>
    <n v="-218"/>
    <n v="-24"/>
    <n v="-655"/>
    <n v="-218"/>
    <n v="-24"/>
    <n v="379"/>
    <n v="540"/>
    <n v="471"/>
    <n v="379"/>
    <n v="54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432"/>
    <n v="284"/>
    <n v="297"/>
    <n v="407"/>
    <n v="284"/>
    <n v="2354"/>
    <n v="2431"/>
    <n v="2163"/>
    <n v="1996"/>
    <n v="2620"/>
    <n v="2423"/>
    <n v="-358"/>
    <n v="189"/>
    <n v="260"/>
    <n v="-358"/>
    <n v="189"/>
    <n v="260"/>
    <s v="v příloze rozlišení dotací"/>
  </r>
  <r>
    <x v="10"/>
    <n v="200"/>
    <n v="0"/>
    <n v="60"/>
    <n v="10"/>
    <n v="25"/>
    <n v="5"/>
    <n v="0"/>
    <x v="3"/>
    <x v="0"/>
    <x v="0"/>
    <n v="30"/>
    <n v="60"/>
    <n v="10"/>
    <n v="0"/>
    <n v="6"/>
    <n v="36"/>
    <n v="44"/>
    <n v="136"/>
    <n v="0"/>
    <n v="0"/>
    <n v="0"/>
    <n v="0"/>
    <n v="0"/>
    <n v="0"/>
    <n v="36"/>
    <n v="44"/>
    <n v="136"/>
    <n v="0"/>
    <n v="0"/>
    <n v="0"/>
    <n v="0"/>
    <n v="0"/>
    <n v="60"/>
    <n v="33"/>
    <n v="44"/>
    <n v="76"/>
    <n v="3"/>
    <n v="0"/>
    <n v="0"/>
    <n v="36"/>
    <n v="44"/>
    <n v="136"/>
    <n v="11"/>
    <n v="25"/>
    <n v="115"/>
    <n v="23"/>
    <n v="23"/>
    <n v="23"/>
    <n v="-12"/>
    <n v="2"/>
    <n v="91"/>
    <n v="25"/>
    <n v="19"/>
    <n v="21"/>
    <n v="0"/>
    <n v="0"/>
    <n v="0"/>
    <n v="0"/>
    <n v="0"/>
    <n v="0"/>
    <n v="25"/>
    <n v="19"/>
    <n v="21"/>
    <n v="0"/>
    <n v="0"/>
    <n v="0"/>
    <n v="897"/>
    <n v="1125"/>
    <n v="1414"/>
    <n v="279"/>
    <n v="326"/>
    <n v="334"/>
    <n v="612"/>
    <n v="724"/>
    <n v="818"/>
    <n v="0"/>
    <n v="22"/>
    <n v="253"/>
    <n v="0"/>
    <n v="0"/>
    <n v="0"/>
    <n v="6"/>
    <n v="3"/>
    <n v="0"/>
    <n v="0"/>
    <n v="0"/>
    <n v="0"/>
    <n v="0"/>
    <n v="5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"/>
    <n v="1139"/>
    <n v="1504"/>
    <n v="0"/>
    <n v="11"/>
    <n v="49"/>
    <n v="5"/>
    <n v="53"/>
    <n v="0"/>
    <n v="0"/>
    <n v="0"/>
    <n v="0"/>
    <n v="557"/>
    <n v="845"/>
    <n v="862"/>
    <n v="0"/>
    <n v="29"/>
    <n v="32"/>
    <n v="47"/>
    <n v="45"/>
    <n v="68"/>
    <n v="510"/>
    <n v="771"/>
    <n v="763"/>
    <x v="8"/>
    <x v="10"/>
    <x v="10"/>
    <n v="-25"/>
    <n v="14"/>
    <n v="89"/>
    <n v="-25"/>
    <n v="14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"/>
    <n v="1125"/>
    <n v="1414"/>
    <n v="872"/>
    <n v="1139"/>
    <n v="1504"/>
    <n v="-25"/>
    <n v="14"/>
    <n v="90"/>
    <n v="-25"/>
    <n v="14"/>
    <n v="89"/>
    <m/>
  </r>
  <r>
    <x v="11"/>
    <n v="121"/>
    <n v="0"/>
    <n v="33"/>
    <n v="12"/>
    <n v="29"/>
    <n v="19"/>
    <n v="7"/>
    <x v="4"/>
    <x v="2"/>
    <x v="3"/>
    <n v="10"/>
    <n v="87"/>
    <n v="0"/>
    <n v="3"/>
    <n v="4"/>
    <n v="575"/>
    <n v="498"/>
    <n v="422"/>
    <n v="2297"/>
    <n v="2297"/>
    <n v="2297"/>
    <n v="-1787"/>
    <n v="-1865"/>
    <n v="-1943"/>
    <n v="65"/>
    <n v="66"/>
    <n v="68"/>
    <n v="0"/>
    <n v="0"/>
    <n v="0"/>
    <n v="12"/>
    <n v="5"/>
    <n v="21"/>
    <n v="53"/>
    <n v="61"/>
    <n v="47"/>
    <n v="0"/>
    <n v="0"/>
    <n v="0"/>
    <n v="575"/>
    <n v="498"/>
    <n v="422"/>
    <n v="575"/>
    <n v="498"/>
    <n v="422"/>
    <n v="629"/>
    <n v="31"/>
    <n v="30"/>
    <n v="-54"/>
    <n v="467"/>
    <n v="392"/>
    <n v="0"/>
    <n v="0"/>
    <n v="0"/>
    <n v="0"/>
    <n v="0"/>
    <n v="0"/>
    <n v="0"/>
    <n v="0"/>
    <n v="0"/>
    <n v="0"/>
    <n v="0"/>
    <n v="0"/>
    <n v="0"/>
    <n v="0"/>
    <n v="0"/>
    <n v="317"/>
    <n v="399"/>
    <n v="349"/>
    <n v="74"/>
    <n v="222"/>
    <n v="175"/>
    <n v="105"/>
    <m/>
    <n v="0"/>
    <n v="0"/>
    <n v="18"/>
    <n v="37"/>
    <n v="0"/>
    <n v="0"/>
    <n v="0"/>
    <n v="60"/>
    <n v="81"/>
    <n v="59"/>
    <n v="60"/>
    <n v="78"/>
    <n v="78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242"/>
    <n v="199"/>
    <n v="0"/>
    <n v="0"/>
    <n v="0"/>
    <n v="7"/>
    <n v="0"/>
    <n v="0"/>
    <n v="0"/>
    <n v="0"/>
    <n v="0"/>
    <n v="23"/>
    <n v="7"/>
    <n v="23"/>
    <n v="0"/>
    <n v="0"/>
    <n v="0"/>
    <n v="0"/>
    <n v="0"/>
    <n v="0"/>
    <n v="23"/>
    <n v="7"/>
    <n v="23"/>
    <x v="9"/>
    <x v="11"/>
    <x v="11"/>
    <n v="-86"/>
    <n v="-157"/>
    <n v="-150"/>
    <n v="-86"/>
    <n v="-157"/>
    <n v="-150"/>
    <n v="32"/>
    <n v="90"/>
    <n v="74"/>
    <n v="0"/>
    <n v="3"/>
    <n v="0"/>
    <n v="32"/>
    <n v="8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90"/>
    <n v="74"/>
    <n v="32"/>
    <n v="90"/>
    <n v="74"/>
    <n v="317"/>
    <n v="399"/>
    <n v="349"/>
    <n v="263"/>
    <n v="332"/>
    <n v="273"/>
    <n v="-54"/>
    <n v="-67"/>
    <n v="-76"/>
    <n v="-54"/>
    <n v="-67"/>
    <n v="-76"/>
    <s v="příloha"/>
  </r>
  <r>
    <x v="12"/>
    <n v="105"/>
    <n v="0"/>
    <n v="35"/>
    <n v="10"/>
    <n v="25"/>
    <n v="25"/>
    <n v="5"/>
    <x v="4"/>
    <x v="0"/>
    <x v="4"/>
    <n v="10"/>
    <n v="30"/>
    <n v="30"/>
    <n v="30"/>
    <n v="1"/>
    <n v="781"/>
    <n v="706"/>
    <n v="2174"/>
    <n v="1587"/>
    <n v="1587"/>
    <n v="1421"/>
    <n v="-1124"/>
    <n v="-1152"/>
    <n v="-1009"/>
    <n v="318"/>
    <n v="271"/>
    <n v="1762"/>
    <n v="0"/>
    <n v="0"/>
    <n v="0"/>
    <n v="26"/>
    <n v="23"/>
    <n v="30"/>
    <n v="277"/>
    <n v="234"/>
    <n v="1718"/>
    <n v="15"/>
    <n v="14"/>
    <n v="14"/>
    <n v="781"/>
    <n v="706"/>
    <n v="2174"/>
    <n v="781"/>
    <n v="706"/>
    <n v="732"/>
    <n v="814"/>
    <n v="814"/>
    <n v="814"/>
    <n v="-33"/>
    <n v="-108"/>
    <n v="-82"/>
    <n v="0"/>
    <n v="0"/>
    <n v="1442"/>
    <n v="0"/>
    <n v="0"/>
    <n v="0"/>
    <n v="0"/>
    <n v="0"/>
    <n v="0"/>
    <n v="0"/>
    <n v="0"/>
    <n v="1442"/>
    <n v="0"/>
    <n v="0"/>
    <n v="0"/>
    <n v="422"/>
    <n v="905"/>
    <n v="1087"/>
    <n v="113"/>
    <n v="443"/>
    <n v="558"/>
    <n v="202"/>
    <n v="0"/>
    <n v="0"/>
    <n v="0"/>
    <n v="126"/>
    <n v="352"/>
    <n v="0"/>
    <n v="2"/>
    <n v="9"/>
    <n v="60"/>
    <n v="305"/>
    <n v="129"/>
    <n v="47"/>
    <n v="29"/>
    <n v="24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644"/>
    <n v="931"/>
    <n v="0"/>
    <n v="0"/>
    <n v="0"/>
    <n v="63"/>
    <n v="232"/>
    <n v="179"/>
    <n v="0"/>
    <n v="0"/>
    <n v="0"/>
    <n v="236"/>
    <n v="264"/>
    <n v="444"/>
    <n v="31"/>
    <n v="0"/>
    <n v="0"/>
    <n v="166"/>
    <n v="161"/>
    <n v="259"/>
    <n v="70"/>
    <n v="103"/>
    <n v="185"/>
    <x v="10"/>
    <x v="12"/>
    <x v="12"/>
    <n v="-84"/>
    <n v="-261"/>
    <n v="-156"/>
    <n v="-84"/>
    <n v="-261"/>
    <n v="-156"/>
    <n v="176"/>
    <n v="186"/>
    <n v="181"/>
    <n v="176"/>
    <n v="186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186"/>
    <n v="181"/>
    <n v="176"/>
    <n v="186"/>
    <n v="181"/>
    <n v="422"/>
    <n v="905"/>
    <n v="1087"/>
    <n v="514"/>
    <n v="830"/>
    <n v="1112"/>
    <n v="92"/>
    <n v="-75"/>
    <n v="25"/>
    <n v="92"/>
    <n v="-75"/>
    <n v="25"/>
    <s v="v rozvaze 2015 vysvetleno"/>
  </r>
  <r>
    <x v="13"/>
    <n v="180"/>
    <n v="0"/>
    <n v="35"/>
    <n v="10"/>
    <n v="15"/>
    <n v="20"/>
    <n v="20"/>
    <x v="4"/>
    <x v="1"/>
    <x v="1"/>
    <n v="15"/>
    <n v="30"/>
    <n v="20"/>
    <n v="35"/>
    <n v="7"/>
    <n v="468"/>
    <n v="612"/>
    <n v="511"/>
    <n v="350"/>
    <n v="350"/>
    <n v="350"/>
    <n v="0"/>
    <n v="0"/>
    <n v="0"/>
    <n v="118"/>
    <n v="262"/>
    <n v="161"/>
    <n v="0"/>
    <n v="0"/>
    <n v="0"/>
    <n v="5"/>
    <n v="8"/>
    <n v="0"/>
    <n v="113"/>
    <n v="254"/>
    <n v="161"/>
    <n v="0"/>
    <n v="0"/>
    <n v="0"/>
    <n v="468"/>
    <n v="612"/>
    <n v="511"/>
    <n v="204"/>
    <n v="205"/>
    <n v="352"/>
    <n v="190"/>
    <n v="204"/>
    <n v="205"/>
    <n v="14"/>
    <n v="1"/>
    <n v="147"/>
    <n v="264"/>
    <n v="407"/>
    <n v="159"/>
    <n v="0"/>
    <n v="0"/>
    <n v="0"/>
    <n v="49"/>
    <n v="53"/>
    <n v="52"/>
    <n v="215"/>
    <n v="224"/>
    <n v="107"/>
    <n v="0"/>
    <n v="130"/>
    <n v="0"/>
    <n v="610"/>
    <n v="900"/>
    <n v="992"/>
    <n v="109"/>
    <n v="251"/>
    <n v="787"/>
    <n v="388"/>
    <n v="488"/>
    <n v="0"/>
    <n v="0"/>
    <n v="133"/>
    <n v="0"/>
    <n v="0"/>
    <n v="0"/>
    <n v="0"/>
    <n v="87"/>
    <n v="0"/>
    <n v="178"/>
    <n v="0"/>
    <n v="0"/>
    <n v="0"/>
    <n v="26"/>
    <n v="28"/>
    <n v="27"/>
    <n v="0"/>
    <n v="0"/>
    <n v="0"/>
    <n v="21"/>
    <n v="77"/>
    <n v="65"/>
    <n v="21"/>
    <n v="77"/>
    <n v="4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472"/>
    <n v="561"/>
    <n v="731"/>
    <n v="46"/>
    <n v="79"/>
    <n v="506"/>
    <n v="185"/>
    <n v="155"/>
    <n v="17"/>
    <n v="0"/>
    <n v="0"/>
    <n v="0"/>
    <n v="57"/>
    <n v="52"/>
    <n v="25"/>
    <n v="0"/>
    <n v="0"/>
    <n v="0"/>
    <n v="0"/>
    <n v="0"/>
    <n v="0"/>
    <n v="57"/>
    <n v="52"/>
    <n v="25"/>
    <x v="11"/>
    <x v="13"/>
    <x v="13"/>
    <n v="-138"/>
    <n v="-339"/>
    <n v="-261"/>
    <n v="-138"/>
    <n v="-339"/>
    <n v="-261"/>
    <n v="173"/>
    <n v="426"/>
    <n v="473"/>
    <n v="173"/>
    <n v="426"/>
    <n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349"/>
    <n v="433"/>
    <n v="152"/>
    <n v="340"/>
    <n v="408"/>
    <n v="631"/>
    <n v="977"/>
    <n v="1057"/>
    <n v="645"/>
    <n v="987"/>
    <n v="1204"/>
    <n v="14"/>
    <n v="10"/>
    <n v="147"/>
    <n v="14"/>
    <n v="1"/>
    <n v="147"/>
    <m/>
  </r>
  <r>
    <x v="14"/>
    <n v="296"/>
    <n v="5"/>
    <n v="70"/>
    <n v="20"/>
    <n v="3"/>
    <n v="1"/>
    <n v="1"/>
    <x v="4"/>
    <x v="0"/>
    <x v="4"/>
    <n v="25"/>
    <n v="60"/>
    <n v="5"/>
    <n v="10"/>
    <n v="2"/>
    <n v="5"/>
    <n v="25"/>
    <n v="31"/>
    <n v="0"/>
    <n v="0"/>
    <n v="71"/>
    <n v="0"/>
    <n v="0"/>
    <n v="-71"/>
    <n v="5"/>
    <n v="25"/>
    <n v="31"/>
    <n v="0"/>
    <n v="0"/>
    <n v="0"/>
    <n v="0"/>
    <n v="0"/>
    <n v="0"/>
    <n v="5"/>
    <n v="25"/>
    <n v="31"/>
    <n v="0"/>
    <n v="0"/>
    <n v="0"/>
    <n v="5"/>
    <n v="25"/>
    <n v="31"/>
    <n v="-94"/>
    <n v="-63"/>
    <n v="6"/>
    <n v="0"/>
    <n v="0"/>
    <n v="-95"/>
    <n v="11"/>
    <n v="32"/>
    <n v="101"/>
    <n v="99"/>
    <n v="88"/>
    <n v="25"/>
    <n v="0"/>
    <n v="0"/>
    <n v="0"/>
    <n v="0"/>
    <n v="0"/>
    <n v="0"/>
    <n v="99"/>
    <n v="88"/>
    <n v="25"/>
    <n v="0"/>
    <n v="0"/>
    <n v="0"/>
    <n v="656"/>
    <n v="813"/>
    <n v="1154"/>
    <n v="99"/>
    <n v="574"/>
    <n v="522"/>
    <n v="331"/>
    <n v="0"/>
    <n v="0"/>
    <n v="186"/>
    <n v="201"/>
    <n v="558"/>
    <n v="0"/>
    <n v="0"/>
    <n v="0"/>
    <n v="7"/>
    <n v="2"/>
    <n v="2"/>
    <n v="0"/>
    <n v="0"/>
    <n v="72"/>
    <n v="32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824"/>
    <n v="1223"/>
    <n v="113"/>
    <n v="152"/>
    <n v="100"/>
    <n v="0"/>
    <n v="0"/>
    <n v="5"/>
    <n v="0"/>
    <n v="0"/>
    <n v="0"/>
    <n v="209"/>
    <n v="241"/>
    <n v="315"/>
    <n v="44"/>
    <n v="0"/>
    <n v="0"/>
    <n v="80"/>
    <n v="93"/>
    <n v="75"/>
    <n v="85"/>
    <n v="148"/>
    <n v="240"/>
    <x v="12"/>
    <x v="14"/>
    <x v="14"/>
    <n v="-4"/>
    <n v="11"/>
    <n v="69"/>
    <n v="-4"/>
    <n v="11"/>
    <n v="69"/>
    <n v="15"/>
    <n v="21"/>
    <n v="0"/>
    <n v="15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1"/>
    <n v="0"/>
    <n v="15"/>
    <n v="21"/>
    <n v="0"/>
    <n v="656"/>
    <n v="813"/>
    <n v="1154"/>
    <n v="667"/>
    <n v="845"/>
    <n v="1223"/>
    <n v="11"/>
    <n v="32"/>
    <n v="69"/>
    <n v="11"/>
    <n v="32"/>
    <n v="69"/>
    <m/>
  </r>
  <r>
    <x v="15"/>
    <n v="79"/>
    <n v="4"/>
    <n v="15"/>
    <n v="15"/>
    <n v="28"/>
    <n v="22"/>
    <n v="16"/>
    <x v="4"/>
    <x v="0"/>
    <x v="0"/>
    <n v="10"/>
    <n v="80"/>
    <n v="3"/>
    <n v="7"/>
    <n v="4"/>
    <n v="242"/>
    <n v="339"/>
    <n v="378"/>
    <n v="42"/>
    <n v="68"/>
    <n v="68"/>
    <n v="-42"/>
    <n v="-68"/>
    <n v="-68"/>
    <n v="242"/>
    <n v="339"/>
    <n v="378"/>
    <n v="16"/>
    <n v="0"/>
    <n v="0"/>
    <n v="0"/>
    <n v="0"/>
    <n v="0"/>
    <n v="226"/>
    <n v="339"/>
    <n v="378"/>
    <n v="0"/>
    <n v="0"/>
    <n v="0"/>
    <n v="242"/>
    <n v="339"/>
    <n v="378"/>
    <n v="5"/>
    <n v="115"/>
    <n v="177"/>
    <n v="69"/>
    <n v="69"/>
    <n v="115"/>
    <n v="-64"/>
    <n v="46"/>
    <n v="62"/>
    <n v="237"/>
    <n v="224"/>
    <n v="201"/>
    <n v="0"/>
    <n v="0"/>
    <n v="0"/>
    <n v="16"/>
    <n v="0"/>
    <n v="0"/>
    <n v="221"/>
    <n v="224"/>
    <n v="221"/>
    <n v="0"/>
    <n v="0"/>
    <n v="-20"/>
    <n v="304"/>
    <n v="327"/>
    <n v="292"/>
    <n v="83"/>
    <n v="228"/>
    <n v="186"/>
    <n v="211"/>
    <n v="0"/>
    <n v="0"/>
    <n v="0"/>
    <n v="24"/>
    <n v="35"/>
    <n v="0"/>
    <n v="0"/>
    <n v="1"/>
    <n v="9"/>
    <n v="74"/>
    <n v="55"/>
    <n v="0"/>
    <n v="0"/>
    <n v="0"/>
    <n v="1"/>
    <n v="1"/>
    <n v="15"/>
    <n v="0"/>
    <n v="0"/>
    <n v="0"/>
    <n v="94"/>
    <n v="38"/>
    <n v="21"/>
    <n v="94"/>
    <n v="38"/>
    <n v="2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5"/>
    <n v="422"/>
    <n v="322"/>
    <n v="13"/>
    <n v="22"/>
    <n v="0"/>
    <n v="5"/>
    <n v="65"/>
    <n v="0"/>
    <n v="0"/>
    <n v="0"/>
    <n v="0"/>
    <n v="33"/>
    <n v="35"/>
    <n v="42"/>
    <n v="33"/>
    <n v="35"/>
    <n v="0"/>
    <n v="0"/>
    <n v="0"/>
    <n v="20"/>
    <n v="0"/>
    <n v="0"/>
    <n v="22"/>
    <x v="13"/>
    <x v="15"/>
    <x v="15"/>
    <n v="-39"/>
    <n v="95"/>
    <n v="30"/>
    <n v="-39"/>
    <n v="95"/>
    <n v="30"/>
    <n v="228"/>
    <n v="16"/>
    <n v="53"/>
    <n v="228"/>
    <n v="16"/>
    <n v="34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5"/>
    <n v="32"/>
    <n v="134"/>
    <n v="15"/>
    <n v="32"/>
    <n v="398"/>
    <n v="365"/>
    <n v="313"/>
    <n v="493"/>
    <n v="438"/>
    <n v="375"/>
    <n v="95"/>
    <n v="73"/>
    <n v="62"/>
    <n v="95"/>
    <n v="110"/>
    <n v="62"/>
    <m/>
  </r>
  <r>
    <x v="16"/>
    <n v="250"/>
    <n v="5"/>
    <n v="65"/>
    <n v="12"/>
    <n v="8"/>
    <n v="8"/>
    <n v="2"/>
    <x v="4"/>
    <x v="0"/>
    <x v="3"/>
    <n v="10"/>
    <n v="60"/>
    <n v="20"/>
    <n v="10"/>
    <n v="1"/>
    <n v="85"/>
    <n v="121"/>
    <n v="515"/>
    <n v="45"/>
    <n v="45"/>
    <n v="45"/>
    <n v="-18"/>
    <n v="-27"/>
    <n v="-36"/>
    <n v="58"/>
    <n v="103"/>
    <n v="506"/>
    <n v="0"/>
    <n v="0"/>
    <n v="41"/>
    <n v="36"/>
    <n v="48"/>
    <n v="3"/>
    <n v="19"/>
    <n v="29"/>
    <n v="454"/>
    <n v="3"/>
    <n v="0"/>
    <n v="8"/>
    <n v="85"/>
    <n v="121"/>
    <n v="515"/>
    <n v="-191"/>
    <n v="-481"/>
    <n v="-416"/>
    <n v="0"/>
    <n v="0"/>
    <n v="0"/>
    <n v="-191"/>
    <n v="-481"/>
    <n v="-416"/>
    <n v="276"/>
    <n v="603"/>
    <n v="931"/>
    <n v="0"/>
    <n v="0"/>
    <n v="0"/>
    <n v="28"/>
    <n v="0"/>
    <n v="0"/>
    <n v="191"/>
    <n v="75"/>
    <n v="93"/>
    <n v="57"/>
    <n v="527"/>
    <n v="838"/>
    <n v="1695"/>
    <n v="3233"/>
    <n v="3648"/>
    <n v="304"/>
    <n v="431"/>
    <n v="2873"/>
    <n v="1230"/>
    <n v="2170"/>
    <n v="0"/>
    <n v="141"/>
    <n v="560"/>
    <n v="653"/>
    <n v="0"/>
    <n v="2"/>
    <n v="0"/>
    <n v="10"/>
    <n v="24"/>
    <n v="113"/>
    <n v="9"/>
    <n v="9"/>
    <n v="9"/>
    <n v="0"/>
    <n v="36"/>
    <n v="0"/>
    <n v="0"/>
    <n v="0"/>
    <n v="0"/>
    <n v="689"/>
    <n v="841"/>
    <n v="992"/>
    <n v="63"/>
    <n v="28"/>
    <n v="992"/>
    <n v="470"/>
    <n v="810"/>
    <n v="0"/>
    <n v="0"/>
    <n v="0"/>
    <n v="0"/>
    <n v="9"/>
    <n v="3"/>
    <n v="0"/>
    <n v="0"/>
    <n v="0"/>
    <n v="0"/>
    <n v="0"/>
    <n v="0"/>
    <n v="0"/>
    <n v="0"/>
    <n v="0"/>
    <n v="0"/>
    <n v="0"/>
    <n v="0"/>
    <n v="0"/>
    <n v="1520"/>
    <n v="2994"/>
    <n v="4705"/>
    <n v="402"/>
    <n v="426"/>
    <n v="951"/>
    <n v="135"/>
    <n v="241"/>
    <n v="98"/>
    <n v="0"/>
    <n v="0"/>
    <n v="0"/>
    <n v="301"/>
    <n v="401"/>
    <n v="470"/>
    <n v="0"/>
    <n v="0"/>
    <n v="0"/>
    <n v="74"/>
    <n v="160"/>
    <n v="186"/>
    <n v="227"/>
    <n v="240"/>
    <n v="283"/>
    <x v="14"/>
    <x v="16"/>
    <x v="16"/>
    <n v="-175"/>
    <n v="-240"/>
    <n v="65"/>
    <n v="-175"/>
    <n v="-240"/>
    <n v="65"/>
    <n v="689"/>
    <n v="789"/>
    <n v="0"/>
    <n v="689"/>
    <n v="7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-51"/>
    <n v="0"/>
    <n v="147"/>
    <n v="-51"/>
    <n v="0"/>
    <n v="2384"/>
    <n v="4074"/>
    <n v="4640"/>
    <n v="2209"/>
    <n v="3783"/>
    <n v="4705"/>
    <n v="-175"/>
    <n v="-291"/>
    <n v="65"/>
    <n v="-28"/>
    <n v="-291"/>
    <n v="65"/>
    <m/>
  </r>
  <r>
    <x v="17"/>
    <n v="148"/>
    <n v="1"/>
    <n v="53"/>
    <n v="4"/>
    <n v="22"/>
    <n v="19"/>
    <n v="1"/>
    <x v="4"/>
    <x v="1"/>
    <x v="4"/>
    <n v="30"/>
    <n v="40"/>
    <n v="25"/>
    <n v="5"/>
    <n v="3"/>
    <n v="3399"/>
    <n v="3525"/>
    <n v="3569"/>
    <n v="3176"/>
    <n v="3176"/>
    <n v="3296"/>
    <n v="0"/>
    <n v="0"/>
    <n v="-41"/>
    <n v="223"/>
    <n v="349"/>
    <n v="273"/>
    <n v="0"/>
    <n v="0"/>
    <n v="0"/>
    <n v="61"/>
    <n v="72"/>
    <n v="131"/>
    <n v="140"/>
    <n v="262"/>
    <n v="139"/>
    <n v="22"/>
    <n v="15"/>
    <n v="3"/>
    <n v="3399"/>
    <n v="3525"/>
    <n v="3569"/>
    <n v="3232"/>
    <n v="3394"/>
    <n v="3351"/>
    <n v="3315"/>
    <n v="3315"/>
    <n v="3315"/>
    <n v="-83"/>
    <n v="79"/>
    <n v="36"/>
    <n v="167"/>
    <n v="131"/>
    <n v="218"/>
    <n v="0"/>
    <n v="0"/>
    <n v="0"/>
    <n v="0"/>
    <n v="0"/>
    <n v="0"/>
    <n v="167"/>
    <n v="131"/>
    <n v="210"/>
    <n v="0"/>
    <n v="78"/>
    <n v="8"/>
    <n v="1525"/>
    <n v="1410"/>
    <n v="1977"/>
    <n v="477"/>
    <n v="1348"/>
    <n v="1616"/>
    <n v="1029"/>
    <n v="0"/>
    <n v="0"/>
    <n v="0"/>
    <n v="0"/>
    <n v="185"/>
    <n v="2"/>
    <n v="1"/>
    <n v="0"/>
    <n v="17"/>
    <n v="25"/>
    <n v="123"/>
    <n v="0"/>
    <n v="0"/>
    <n v="41"/>
    <n v="0"/>
    <n v="0"/>
    <n v="0"/>
    <n v="0"/>
    <n v="0"/>
    <n v="12"/>
    <n v="351"/>
    <n v="300"/>
    <n v="237"/>
    <n v="231"/>
    <n v="300"/>
    <n v="237"/>
    <n v="119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322"/>
    <n v="1324"/>
    <n v="1571"/>
    <n v="281"/>
    <n v="268"/>
    <n v="235"/>
    <n v="0"/>
    <n v="0"/>
    <n v="0"/>
    <n v="0"/>
    <n v="0"/>
    <n v="0"/>
    <n v="551"/>
    <n v="391"/>
    <n v="593"/>
    <n v="0"/>
    <n v="0"/>
    <n v="0"/>
    <n v="134"/>
    <n v="50"/>
    <n v="95"/>
    <n v="417"/>
    <n v="341"/>
    <n v="498"/>
    <x v="15"/>
    <x v="17"/>
    <x v="17"/>
    <n v="-203"/>
    <n v="-86"/>
    <n v="-394"/>
    <n v="-203"/>
    <n v="-86"/>
    <n v="-406"/>
    <n v="631"/>
    <n v="547"/>
    <n v="600"/>
    <n v="631"/>
    <n v="547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247"/>
    <n v="363"/>
    <n v="280"/>
    <n v="247"/>
    <n v="363"/>
    <n v="1876"/>
    <n v="1710"/>
    <n v="2214"/>
    <n v="1953"/>
    <n v="1871"/>
    <n v="2171"/>
    <n v="77"/>
    <n v="161"/>
    <n v="-31"/>
    <n v="77"/>
    <n v="161"/>
    <n v="-43"/>
    <m/>
  </r>
  <r>
    <x v="18"/>
    <n v="47"/>
    <n v="0"/>
    <n v="0"/>
    <n v="0"/>
    <n v="10"/>
    <n v="80"/>
    <n v="10"/>
    <x v="4"/>
    <x v="2"/>
    <x v="1"/>
    <n v="10"/>
    <n v="70"/>
    <n v="15"/>
    <n v="5"/>
    <n v="5"/>
    <n v="2441"/>
    <n v="2450"/>
    <n v="2466"/>
    <n v="2380"/>
    <n v="2435"/>
    <n v="2435"/>
    <n v="0"/>
    <n v="0"/>
    <n v="0"/>
    <n v="61"/>
    <n v="15"/>
    <n v="31"/>
    <n v="0"/>
    <n v="0"/>
    <n v="0"/>
    <n v="8"/>
    <n v="1"/>
    <n v="14"/>
    <n v="45"/>
    <n v="7"/>
    <n v="10"/>
    <n v="8"/>
    <n v="7"/>
    <n v="7"/>
    <n v="2441"/>
    <n v="2450"/>
    <n v="2466"/>
    <n v="2444"/>
    <n v="2445"/>
    <n v="2449"/>
    <n v="2408"/>
    <n v="2408"/>
    <n v="2408"/>
    <n v="36"/>
    <n v="37"/>
    <n v="41"/>
    <n v="-3"/>
    <n v="5"/>
    <n v="17"/>
    <n v="0"/>
    <n v="0"/>
    <n v="0"/>
    <n v="0"/>
    <n v="0"/>
    <n v="0"/>
    <n v="-3"/>
    <n v="5"/>
    <n v="17"/>
    <n v="0"/>
    <n v="0"/>
    <n v="0"/>
    <n v="177"/>
    <n v="196"/>
    <n v="145"/>
    <n v="71"/>
    <n v="141"/>
    <n v="97"/>
    <n v="70"/>
    <n v="0"/>
    <n v="0"/>
    <n v="11"/>
    <n v="11"/>
    <n v="11"/>
    <n v="0"/>
    <n v="0"/>
    <n v="0"/>
    <n v="19"/>
    <n v="36"/>
    <n v="28"/>
    <n v="0"/>
    <n v="0"/>
    <n v="0"/>
    <n v="6"/>
    <n v="8"/>
    <n v="9"/>
    <n v="0"/>
    <n v="0"/>
    <n v="0"/>
    <n v="32"/>
    <n v="17"/>
    <n v="6"/>
    <n v="3"/>
    <n v="17"/>
    <n v="6"/>
    <n v="23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47"/>
    <n v="179"/>
    <n v="149"/>
    <n v="0"/>
    <n v="17"/>
    <n v="0"/>
    <n v="14"/>
    <n v="0"/>
    <n v="2"/>
    <n v="0"/>
    <n v="0"/>
    <n v="0"/>
    <n v="133"/>
    <n v="16"/>
    <n v="0"/>
    <n v="0"/>
    <n v="0"/>
    <n v="0"/>
    <n v="114"/>
    <n v="0"/>
    <n v="0"/>
    <n v="19"/>
    <n v="16"/>
    <n v="29"/>
    <x v="2"/>
    <x v="18"/>
    <x v="18"/>
    <n v="-30"/>
    <n v="-17"/>
    <n v="4"/>
    <n v="-30"/>
    <n v="-17"/>
    <n v="4"/>
    <n v="81"/>
    <n v="35"/>
    <n v="6"/>
    <n v="44"/>
    <n v="35"/>
    <n v="6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8"/>
    <n v="0"/>
    <n v="49"/>
    <n v="18"/>
    <n v="0"/>
    <n v="209"/>
    <n v="213"/>
    <n v="151"/>
    <n v="228"/>
    <n v="214"/>
    <n v="155"/>
    <n v="19"/>
    <n v="1"/>
    <n v="4"/>
    <n v="19"/>
    <n v="1"/>
    <n v="4"/>
    <m/>
  </r>
  <r>
    <x v="19"/>
    <n v="351"/>
    <n v="20"/>
    <n v="18"/>
    <n v="12"/>
    <n v="25"/>
    <n v="15"/>
    <n v="10"/>
    <x v="4"/>
    <x v="2"/>
    <x v="5"/>
    <n v="5"/>
    <n v="20"/>
    <n v="60"/>
    <n v="15"/>
    <n v="5"/>
    <n v="1878"/>
    <n v="687"/>
    <n v="1729"/>
    <n v="1795"/>
    <n v="1173"/>
    <n v="1795"/>
    <n v="-990"/>
    <n v="-1047"/>
    <n v="-1047"/>
    <n v="1073"/>
    <n v="561"/>
    <n v="981"/>
    <n v="0"/>
    <n v="0"/>
    <n v="0"/>
    <n v="11"/>
    <n v="96"/>
    <n v="96"/>
    <n v="1062"/>
    <n v="465"/>
    <n v="885"/>
    <n v="0"/>
    <n v="0"/>
    <n v="0"/>
    <n v="1878"/>
    <n v="687"/>
    <n v="1729"/>
    <n v="1799"/>
    <n v="562"/>
    <n v="1605"/>
    <n v="1936"/>
    <n v="602"/>
    <n v="1799"/>
    <n v="-137"/>
    <n v="-40"/>
    <n v="-194"/>
    <n v="79"/>
    <n v="125"/>
    <n v="124"/>
    <n v="30"/>
    <n v="30"/>
    <n v="30"/>
    <n v="0"/>
    <n v="0"/>
    <n v="0"/>
    <n v="32"/>
    <n v="6"/>
    <n v="6"/>
    <n v="18"/>
    <n v="89"/>
    <n v="88"/>
    <n v="1734"/>
    <n v="1618"/>
    <n v="2058"/>
    <n v="406"/>
    <n v="996"/>
    <n v="1418"/>
    <n v="784"/>
    <n v="0"/>
    <n v="0"/>
    <n v="458"/>
    <n v="549"/>
    <n v="549"/>
    <n v="4"/>
    <n v="2"/>
    <n v="9"/>
    <n v="25"/>
    <n v="14"/>
    <n v="25"/>
    <n v="57"/>
    <n v="57"/>
    <n v="57"/>
    <n v="0"/>
    <n v="0"/>
    <n v="0"/>
    <n v="0"/>
    <n v="0"/>
    <n v="0"/>
    <n v="580"/>
    <n v="887"/>
    <n v="1073"/>
    <n v="229"/>
    <n v="587"/>
    <n v="749"/>
    <n v="56"/>
    <n v="0"/>
    <n v="0"/>
    <n v="295"/>
    <n v="300"/>
    <n v="324"/>
    <n v="0"/>
    <n v="0"/>
    <n v="0"/>
    <n v="0"/>
    <n v="0"/>
    <n v="0"/>
    <n v="0"/>
    <n v="0"/>
    <n v="0"/>
    <n v="0"/>
    <n v="0"/>
    <n v="0"/>
    <n v="0"/>
    <n v="0"/>
    <n v="0"/>
    <n v="1516"/>
    <n v="1368"/>
    <n v="1833"/>
    <n v="170"/>
    <n v="122"/>
    <n v="168"/>
    <n v="0"/>
    <n v="0"/>
    <n v="0"/>
    <n v="0"/>
    <n v="0"/>
    <n v="0"/>
    <n v="567"/>
    <n v="372"/>
    <n v="651"/>
    <n v="0"/>
    <n v="0"/>
    <n v="0"/>
    <n v="455"/>
    <n v="292"/>
    <n v="504"/>
    <n v="112"/>
    <n v="79"/>
    <n v="148"/>
    <x v="16"/>
    <x v="19"/>
    <x v="19"/>
    <n v="-218"/>
    <n v="-250"/>
    <n v="-225"/>
    <n v="-218"/>
    <n v="-250"/>
    <n v="-225"/>
    <n v="423"/>
    <n v="1097"/>
    <n v="1103"/>
    <n v="0"/>
    <n v="888"/>
    <n v="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"/>
    <n v="209"/>
    <n v="1103"/>
    <n v="82"/>
    <n v="210"/>
    <n v="30"/>
    <n v="82"/>
    <n v="210"/>
    <n v="30"/>
    <n v="2314"/>
    <n v="2505"/>
    <n v="3131"/>
    <n v="1939"/>
    <n v="2465"/>
    <n v="2936"/>
    <n v="-375"/>
    <n v="-40"/>
    <n v="-195"/>
    <n v="-136"/>
    <n v="-40"/>
    <n v="-195"/>
    <m/>
  </r>
  <r>
    <x v="20"/>
    <n v="175"/>
    <n v="5"/>
    <n v="25"/>
    <n v="25"/>
    <n v="30"/>
    <n v="10"/>
    <n v="5"/>
    <x v="4"/>
    <x v="0"/>
    <x v="0"/>
    <n v="10"/>
    <n v="70"/>
    <n v="15"/>
    <n v="5"/>
    <n v="2"/>
    <n v="251"/>
    <n v="323"/>
    <n v="490"/>
    <n v="227"/>
    <n v="1102"/>
    <n v="1197"/>
    <n v="-227"/>
    <n v="1102"/>
    <n v="-1144"/>
    <n v="251"/>
    <n v="323"/>
    <n v="438"/>
    <n v="0"/>
    <n v="0"/>
    <n v="0"/>
    <n v="0"/>
    <n v="5"/>
    <n v="8"/>
    <n v="251"/>
    <n v="318"/>
    <n v="430"/>
    <n v="0"/>
    <n v="0"/>
    <m/>
    <n v="251"/>
    <n v="323"/>
    <n v="490"/>
    <n v="247"/>
    <n v="286"/>
    <n v="490"/>
    <n v="152"/>
    <n v="152"/>
    <n v="152"/>
    <n v="95"/>
    <n v="132"/>
    <n v="338"/>
    <n v="4"/>
    <n v="36"/>
    <n v="0"/>
    <n v="0"/>
    <n v="0"/>
    <n v="0"/>
    <n v="0"/>
    <n v="0"/>
    <n v="0"/>
    <n v="4"/>
    <n v="0"/>
    <n v="0"/>
    <n v="0"/>
    <n v="36"/>
    <n v="0"/>
    <n v="532"/>
    <n v="651"/>
    <n v="822"/>
    <n v="136"/>
    <n v="266"/>
    <n v="257"/>
    <n v="209"/>
    <n v="168"/>
    <n v="233"/>
    <n v="140"/>
    <n v="189"/>
    <n v="268"/>
    <n v="0"/>
    <n v="0"/>
    <n v="0"/>
    <n v="26"/>
    <n v="8"/>
    <n v="2"/>
    <n v="0"/>
    <n v="0"/>
    <n v="42"/>
    <n v="0"/>
    <n v="2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"/>
    <n v="691"/>
    <n v="1026"/>
    <n v="114"/>
    <n v="107"/>
    <n v="198"/>
    <n v="31"/>
    <n v="0"/>
    <n v="0"/>
    <n v="0"/>
    <n v="0"/>
    <n v="0"/>
    <n v="482"/>
    <n v="498"/>
    <n v="478"/>
    <n v="23"/>
    <n v="0"/>
    <n v="1"/>
    <n v="429"/>
    <n v="448"/>
    <n v="431"/>
    <n v="30"/>
    <n v="50"/>
    <n v="46"/>
    <x v="2"/>
    <x v="20"/>
    <x v="20"/>
    <n v="95"/>
    <n v="39"/>
    <n v="204"/>
    <n v="95"/>
    <n v="39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651"/>
    <n v="822"/>
    <n v="627"/>
    <n v="691"/>
    <n v="1026"/>
    <n v="95"/>
    <n v="40"/>
    <n v="204"/>
    <n v="95"/>
    <n v="39"/>
    <n v="204"/>
    <s v="priloha"/>
  </r>
  <r>
    <x v="21"/>
    <n v="190"/>
    <n v="0"/>
    <n v="40"/>
    <n v="10"/>
    <n v="25"/>
    <n v="20"/>
    <n v="5"/>
    <x v="4"/>
    <x v="2"/>
    <x v="4"/>
    <n v="20"/>
    <n v="25"/>
    <n v="5"/>
    <n v="50"/>
    <n v="2"/>
    <n v="2168"/>
    <n v="1594"/>
    <n v="1582"/>
    <n v="4139"/>
    <n v="4254"/>
    <n v="4255"/>
    <n v="-2464"/>
    <n v="-2772"/>
    <n v="-2920"/>
    <n v="492"/>
    <n v="112"/>
    <n v="247"/>
    <n v="34"/>
    <n v="34"/>
    <n v="37"/>
    <n v="30"/>
    <n v="34"/>
    <n v="25"/>
    <n v="417"/>
    <n v="44"/>
    <n v="185"/>
    <n v="11"/>
    <n v="0"/>
    <n v="0"/>
    <n v="2168"/>
    <n v="1594"/>
    <n v="1582"/>
    <n v="1527"/>
    <n v="1060"/>
    <n v="1115"/>
    <n v="2711"/>
    <n v="2711"/>
    <n v="2712"/>
    <n v="-1185"/>
    <n v="-1661"/>
    <n v="-1597"/>
    <n v="641"/>
    <n v="534"/>
    <n v="467"/>
    <n v="0"/>
    <n v="0"/>
    <n v="0"/>
    <n v="0"/>
    <n v="0"/>
    <n v="0"/>
    <n v="641"/>
    <n v="534"/>
    <n v="467"/>
    <n v="0"/>
    <n v="0"/>
    <n v="0"/>
    <n v="1949"/>
    <n v="762"/>
    <n v="559"/>
    <n v="359"/>
    <n v="188"/>
    <n v="306"/>
    <n v="1536"/>
    <n v="361"/>
    <n v="0"/>
    <n v="26"/>
    <n v="29"/>
    <n v="45"/>
    <n v="1"/>
    <n v="4"/>
    <n v="4"/>
    <n v="12"/>
    <n v="8"/>
    <n v="24"/>
    <n v="0"/>
    <n v="157"/>
    <n v="147"/>
    <n v="15"/>
    <n v="15"/>
    <n v="33"/>
    <n v="0"/>
    <n v="0"/>
    <n v="0"/>
    <n v="343"/>
    <n v="667"/>
    <n v="621"/>
    <n v="343"/>
    <n v="652"/>
    <n v="603"/>
    <n v="0"/>
    <n v="0"/>
    <n v="0"/>
    <n v="0"/>
    <n v="15"/>
    <n v="18"/>
    <n v="0"/>
    <n v="0"/>
    <n v="0"/>
    <n v="0"/>
    <n v="0"/>
    <n v="0"/>
    <n v="0"/>
    <n v="0"/>
    <n v="0"/>
    <n v="0"/>
    <n v="0"/>
    <n v="0"/>
    <n v="0"/>
    <n v="0"/>
    <n v="0"/>
    <n v="869"/>
    <n v="305"/>
    <n v="376"/>
    <n v="168"/>
    <n v="73"/>
    <n v="82"/>
    <n v="0"/>
    <n v="0"/>
    <n v="0"/>
    <n v="0"/>
    <n v="0"/>
    <n v="1"/>
    <n v="234"/>
    <n v="136"/>
    <n v="113"/>
    <n v="0"/>
    <n v="0"/>
    <n v="0"/>
    <n v="176"/>
    <n v="78"/>
    <n v="65"/>
    <n v="48"/>
    <n v="58"/>
    <n v="48"/>
    <x v="17"/>
    <x v="21"/>
    <x v="21"/>
    <n v="-1080"/>
    <n v="-457"/>
    <n v="-183"/>
    <n v="-1080"/>
    <n v="-457"/>
    <n v="-183"/>
    <n v="639"/>
    <n v="809"/>
    <n v="859"/>
    <n v="639"/>
    <n v="809"/>
    <n v="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142"/>
    <n v="238"/>
    <n v="296"/>
    <n v="142"/>
    <n v="238"/>
    <n v="2292"/>
    <n v="1429"/>
    <n v="1180"/>
    <n v="1508"/>
    <n v="1114"/>
    <n v="1235"/>
    <n v="-784"/>
    <n v="-315"/>
    <n v="55"/>
    <n v="-784"/>
    <n v="-315"/>
    <n v="55"/>
    <m/>
  </r>
  <r>
    <x v="22"/>
    <n v="169"/>
    <n v="5"/>
    <n v="10"/>
    <n v="10"/>
    <n v="15"/>
    <n v="45"/>
    <n v="15"/>
    <x v="4"/>
    <x v="0"/>
    <x v="4"/>
    <n v="70"/>
    <n v="25"/>
    <n v="5"/>
    <n v="0"/>
    <n v="1"/>
    <n v="2108"/>
    <n v="2110"/>
    <n v="2073"/>
    <n v="2036"/>
    <n v="2036"/>
    <n v="2036"/>
    <n v="-11"/>
    <n v="-34"/>
    <n v="-58"/>
    <n v="83"/>
    <n v="108"/>
    <n v="95"/>
    <n v="0"/>
    <n v="0"/>
    <n v="0"/>
    <n v="0"/>
    <n v="-3"/>
    <n v="-5"/>
    <n v="75"/>
    <n v="111"/>
    <n v="100"/>
    <n v="0"/>
    <n v="0"/>
    <n v="0"/>
    <n v="2108"/>
    <n v="2110"/>
    <n v="2073"/>
    <n v="2028"/>
    <n v="2070"/>
    <n v="2073"/>
    <n v="2054"/>
    <n v="2028"/>
    <n v="2069"/>
    <n v="-26"/>
    <n v="42"/>
    <n v="4"/>
    <n v="80"/>
    <n v="40"/>
    <n v="0"/>
    <n v="0"/>
    <n v="0"/>
    <n v="0"/>
    <n v="40"/>
    <n v="0"/>
    <n v="0"/>
    <n v="40"/>
    <n v="40"/>
    <n v="0"/>
    <n v="0"/>
    <n v="0"/>
    <n v="0"/>
    <n v="265"/>
    <n v="246"/>
    <n v="207"/>
    <n v="113"/>
    <n v="190"/>
    <n v="161"/>
    <n v="104"/>
    <n v="0"/>
    <n v="0"/>
    <n v="15"/>
    <n v="10"/>
    <n v="0"/>
    <n v="0"/>
    <n v="1"/>
    <n v="2"/>
    <n v="3"/>
    <n v="2"/>
    <n v="0"/>
    <n v="11"/>
    <n v="23"/>
    <n v="23"/>
    <n v="19"/>
    <n v="20"/>
    <n v="21"/>
    <n v="0"/>
    <n v="0"/>
    <n v="0"/>
    <n v="8"/>
    <n v="8"/>
    <n v="6"/>
    <n v="8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245"/>
    <n v="189"/>
    <n v="17"/>
    <n v="46"/>
    <n v="18"/>
    <n v="0"/>
    <n v="2"/>
    <n v="0"/>
    <n v="0"/>
    <n v="0"/>
    <n v="0"/>
    <n v="100"/>
    <n v="97"/>
    <n v="71"/>
    <n v="0"/>
    <n v="0"/>
    <n v="0"/>
    <n v="78"/>
    <n v="60"/>
    <n v="48"/>
    <n v="22"/>
    <n v="37"/>
    <n v="23"/>
    <x v="18"/>
    <x v="22"/>
    <x v="22"/>
    <n v="-38"/>
    <n v="-1"/>
    <n v="-18"/>
    <n v="-38"/>
    <n v="-1"/>
    <n v="-18"/>
    <n v="20"/>
    <n v="51"/>
    <n v="28"/>
    <n v="20"/>
    <n v="51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3"/>
    <n v="22"/>
    <n v="12"/>
    <n v="43"/>
    <n v="22"/>
    <n v="273"/>
    <n v="254"/>
    <n v="213"/>
    <n v="247"/>
    <n v="296"/>
    <n v="217"/>
    <n v="-26"/>
    <n v="42"/>
    <n v="4"/>
    <n v="-26"/>
    <n v="42"/>
    <n v="4"/>
    <m/>
  </r>
  <r>
    <x v="23"/>
    <n v="180"/>
    <n v="20"/>
    <n v="20"/>
    <n v="20"/>
    <n v="30"/>
    <n v="9"/>
    <n v="1"/>
    <x v="4"/>
    <x v="0"/>
    <x v="0"/>
    <n v="10"/>
    <n v="50"/>
    <n v="10"/>
    <n v="30"/>
    <n v="4"/>
    <n v="279"/>
    <n v="217"/>
    <n v="255"/>
    <n v="811"/>
    <n v="811"/>
    <n v="811"/>
    <n v="-811"/>
    <n v="-811"/>
    <n v="-811"/>
    <n v="279"/>
    <n v="217"/>
    <n v="255"/>
    <n v="0"/>
    <n v="0"/>
    <n v="0"/>
    <n v="151"/>
    <n v="131"/>
    <n v="180"/>
    <n v="128"/>
    <n v="52"/>
    <n v="64"/>
    <n v="0"/>
    <n v="0"/>
    <n v="11"/>
    <n v="279"/>
    <n v="217"/>
    <n v="255"/>
    <n v="158"/>
    <n v="113"/>
    <n v="136"/>
    <n v="0"/>
    <n v="0"/>
    <n v="0"/>
    <n v="158"/>
    <n v="113"/>
    <n v="136"/>
    <n v="121"/>
    <n v="104"/>
    <n v="119"/>
    <n v="0"/>
    <n v="0"/>
    <n v="0"/>
    <n v="0"/>
    <n v="0"/>
    <n v="0"/>
    <n v="69"/>
    <n v="104"/>
    <n v="119"/>
    <n v="52"/>
    <n v="0"/>
    <n v="0"/>
    <n v="1858"/>
    <n v="1475"/>
    <n v="1221"/>
    <n v="950"/>
    <n v="1346"/>
    <n v="1084"/>
    <n v="785"/>
    <n v="0"/>
    <n v="0"/>
    <n v="0"/>
    <n v="36"/>
    <n v="52"/>
    <n v="56"/>
    <n v="90"/>
    <n v="83"/>
    <n v="66"/>
    <n v="1"/>
    <n v="1"/>
    <n v="0"/>
    <n v="0"/>
    <n v="0"/>
    <n v="1"/>
    <n v="0"/>
    <n v="1"/>
    <n v="0"/>
    <n v="2"/>
    <n v="0"/>
    <n v="63"/>
    <n v="58"/>
    <n v="68"/>
    <n v="1"/>
    <n v="58"/>
    <n v="6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"/>
    <n v="1121"/>
    <n v="952"/>
    <n v="720"/>
    <n v="207"/>
    <n v="211"/>
    <n v="-42"/>
    <n v="0"/>
    <n v="0"/>
    <n v="0"/>
    <n v="0"/>
    <n v="0"/>
    <n v="580"/>
    <n v="914"/>
    <n v="741"/>
    <n v="0"/>
    <n v="0"/>
    <n v="184"/>
    <n v="580"/>
    <n v="792"/>
    <n v="442"/>
    <n v="0"/>
    <n v="122"/>
    <n v="115"/>
    <x v="2"/>
    <x v="2"/>
    <x v="23"/>
    <n v="-600"/>
    <n v="-352"/>
    <n v="-269"/>
    <n v="-600"/>
    <n v="-352"/>
    <n v="-269"/>
    <n v="361"/>
    <n v="367"/>
    <n v="359"/>
    <n v="361"/>
    <n v="367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309"/>
    <n v="291"/>
    <n v="298"/>
    <n v="309"/>
    <n v="291"/>
    <n v="1921"/>
    <n v="1533"/>
    <n v="1289"/>
    <n v="1619"/>
    <n v="1488"/>
    <n v="1311"/>
    <n v="-302"/>
    <n v="-45"/>
    <n v="22"/>
    <n v="-302"/>
    <n v="-43"/>
    <n v="22"/>
    <m/>
  </r>
  <r>
    <x v="24"/>
    <n v="225"/>
    <n v="10"/>
    <n v="55"/>
    <n v="15"/>
    <n v="15"/>
    <n v="5"/>
    <n v="0"/>
    <x v="4"/>
    <x v="0"/>
    <x v="5"/>
    <n v="30"/>
    <n v="60"/>
    <n v="0"/>
    <n v="10"/>
    <n v="5"/>
    <n v="76"/>
    <n v="52"/>
    <n v="65"/>
    <n v="0"/>
    <n v="0"/>
    <n v="0"/>
    <n v="0"/>
    <n v="0"/>
    <n v="0"/>
    <n v="76"/>
    <n v="52"/>
    <n v="65"/>
    <n v="0"/>
    <n v="0"/>
    <n v="0"/>
    <n v="0"/>
    <n v="0"/>
    <n v="0"/>
    <n v="76"/>
    <n v="51"/>
    <n v="64"/>
    <n v="0"/>
    <n v="1"/>
    <n v="1"/>
    <n v="76"/>
    <n v="51"/>
    <n v="65"/>
    <n v="32"/>
    <n v="5"/>
    <n v="-31"/>
    <n v="32"/>
    <n v="15"/>
    <n v="15"/>
    <n v="44"/>
    <n v="-10"/>
    <n v="-46"/>
    <n v="0"/>
    <n v="47"/>
    <n v="96"/>
    <n v="0"/>
    <n v="0"/>
    <n v="0"/>
    <n v="0"/>
    <n v="0"/>
    <n v="0"/>
    <n v="0"/>
    <n v="47"/>
    <n v="49"/>
    <n v="0"/>
    <n v="0"/>
    <n v="47"/>
    <n v="460"/>
    <n v="642"/>
    <n v="703"/>
    <n v="43"/>
    <n v="467"/>
    <n v="489"/>
    <n v="138"/>
    <n v="0"/>
    <n v="0"/>
    <n v="70"/>
    <n v="137"/>
    <n v="174"/>
    <n v="0"/>
    <n v="1"/>
    <n v="0"/>
    <n v="206"/>
    <n v="1"/>
    <n v="0"/>
    <n v="0"/>
    <n v="0"/>
    <n v="0"/>
    <n v="3"/>
    <n v="36"/>
    <n v="40"/>
    <n v="0"/>
    <n v="0"/>
    <n v="0"/>
    <n v="0"/>
    <n v="22"/>
    <n v="7"/>
    <n v="0"/>
    <n v="2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601"/>
    <n v="659"/>
    <n v="0"/>
    <n v="129"/>
    <n v="61"/>
    <n v="134"/>
    <n v="0"/>
    <n v="0"/>
    <n v="0"/>
    <n v="0"/>
    <n v="0"/>
    <n v="230"/>
    <n v="162"/>
    <n v="254"/>
    <n v="40"/>
    <n v="22"/>
    <n v="0"/>
    <n v="50"/>
    <n v="0"/>
    <n v="0"/>
    <n v="140"/>
    <n v="140"/>
    <n v="254"/>
    <x v="19"/>
    <x v="23"/>
    <x v="24"/>
    <n v="44"/>
    <n v="-41"/>
    <n v="-44"/>
    <n v="44"/>
    <n v="-41"/>
    <n v="-44"/>
    <n v="0"/>
    <n v="28"/>
    <n v="15"/>
    <n v="0"/>
    <n v="28"/>
    <n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0"/>
    <n v="6"/>
    <n v="8"/>
    <n v="460"/>
    <n v="664"/>
    <n v="710"/>
    <n v="504"/>
    <n v="629"/>
    <n v="674"/>
    <n v="44"/>
    <n v="-35"/>
    <n v="-36"/>
    <n v="44"/>
    <n v="-35"/>
    <n v="-36"/>
    <m/>
  </r>
  <r>
    <x v="25"/>
    <n v="285"/>
    <n v="11"/>
    <n v="41"/>
    <n v="16"/>
    <n v="10"/>
    <n v="18"/>
    <n v="4"/>
    <x v="4"/>
    <x v="0"/>
    <x v="3"/>
    <n v="10"/>
    <n v="75"/>
    <n v="15"/>
    <n v="0"/>
    <n v="2"/>
    <n v="29418"/>
    <n v="29491"/>
    <n v="29318"/>
    <n v="29358"/>
    <n v="29358"/>
    <n v="29358"/>
    <n v="-6092"/>
    <n v="-7129"/>
    <n v="-8049"/>
    <n v="6152"/>
    <n v="7262"/>
    <n v="8009"/>
    <n v="134"/>
    <n v="134"/>
    <n v="52"/>
    <n v="2162"/>
    <n v="2081"/>
    <n v="2001"/>
    <n v="4050"/>
    <n v="5241"/>
    <n v="6150"/>
    <n v="-194"/>
    <n v="-194"/>
    <n v="-194"/>
    <n v="29418"/>
    <n v="29491"/>
    <n v="29318"/>
    <n v="28124"/>
    <n v="28717"/>
    <n v="27424"/>
    <n v="10069"/>
    <n v="9092"/>
    <n v="8151"/>
    <n v="18055"/>
    <n v="19625"/>
    <n v="19273"/>
    <n v="1294"/>
    <n v="774"/>
    <n v="1894"/>
    <n v="0"/>
    <n v="0"/>
    <n v="0"/>
    <n v="1107"/>
    <n v="1108"/>
    <n v="1108"/>
    <n v="187"/>
    <n v="-334"/>
    <n v="686"/>
    <n v="0"/>
    <n v="0"/>
    <n v="100"/>
    <n v="11792"/>
    <n v="11878"/>
    <n v="13836"/>
    <n v="402"/>
    <n v="7717"/>
    <n v="9067"/>
    <n v="5658"/>
    <n v="0"/>
    <n v="0"/>
    <n v="293"/>
    <n v="443"/>
    <n v="1373"/>
    <n v="2"/>
    <n v="25"/>
    <n v="6"/>
    <n v="2150"/>
    <n v="2387"/>
    <n v="1955"/>
    <n v="3136"/>
    <n v="1037"/>
    <n v="920"/>
    <n v="151"/>
    <n v="127"/>
    <n v="331"/>
    <n v="0"/>
    <n v="142"/>
    <n v="184"/>
    <n v="105"/>
    <n v="28"/>
    <n v="37"/>
    <n v="0"/>
    <n v="28"/>
    <n v="37"/>
    <n v="7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0"/>
    <n v="10900"/>
    <n v="12998"/>
    <n v="12711"/>
    <n v="1144"/>
    <n v="2127"/>
    <n v="1728"/>
    <n v="1166"/>
    <n v="1125"/>
    <n v="-25"/>
    <n v="0"/>
    <n v="0"/>
    <n v="0"/>
    <n v="2868"/>
    <n v="2817"/>
    <n v="3243"/>
    <n v="371"/>
    <n v="319"/>
    <n v="463"/>
    <n v="1254"/>
    <n v="960"/>
    <n v="783"/>
    <n v="1243"/>
    <n v="1538"/>
    <n v="1997"/>
    <x v="20"/>
    <x v="24"/>
    <x v="25"/>
    <n v="-892"/>
    <n v="1262"/>
    <n v="-940"/>
    <n v="-1087"/>
    <n v="1120"/>
    <n v="-1125"/>
    <n v="900"/>
    <n v="478"/>
    <n v="810"/>
    <n v="400"/>
    <n v="478"/>
    <n v="81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450"/>
    <n v="773"/>
    <n v="795"/>
    <n v="450"/>
    <n v="773"/>
    <n v="11897"/>
    <n v="11906"/>
    <n v="13873"/>
    <n v="11800"/>
    <n v="13476"/>
    <n v="13521"/>
    <n v="-97"/>
    <n v="1570"/>
    <n v="-352"/>
    <n v="-292"/>
    <n v="1570"/>
    <n v="-352"/>
    <s v="priloha"/>
  </r>
  <r>
    <x v="26"/>
    <n v="100"/>
    <n v="5"/>
    <n v="6"/>
    <n v="9"/>
    <n v="15"/>
    <n v="30"/>
    <n v="35"/>
    <x v="4"/>
    <x v="2"/>
    <x v="1"/>
    <n v="5"/>
    <n v="70"/>
    <n v="20"/>
    <n v="5"/>
    <n v="6"/>
    <n v="1700"/>
    <n v="1701"/>
    <n v="1707"/>
    <n v="1630"/>
    <n v="1630"/>
    <n v="1630"/>
    <n v="0"/>
    <n v="0"/>
    <n v="0"/>
    <n v="70"/>
    <n v="71"/>
    <n v="77"/>
    <n v="0"/>
    <n v="0"/>
    <n v="0"/>
    <n v="0"/>
    <n v="0"/>
    <n v="0"/>
    <n v="70"/>
    <n v="71"/>
    <n v="77"/>
    <n v="70"/>
    <n v="0"/>
    <n v="0"/>
    <n v="1700"/>
    <n v="1701"/>
    <n v="1707"/>
    <n v="1700"/>
    <n v="1701"/>
    <n v="1707"/>
    <n v="1700"/>
    <n v="1699"/>
    <n v="170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02"/>
    <n v="145"/>
    <n v="130"/>
    <n v="48"/>
    <n v="131"/>
    <n v="108"/>
    <n v="33"/>
    <n v="0"/>
    <n v="0"/>
    <n v="0"/>
    <n v="0"/>
    <n v="0"/>
    <n v="0"/>
    <n v="0"/>
    <n v="0"/>
    <n v="12"/>
    <n v="7"/>
    <n v="16"/>
    <n v="0"/>
    <n v="0"/>
    <n v="0"/>
    <n v="9"/>
    <n v="7"/>
    <n v="6"/>
    <n v="0"/>
    <n v="0"/>
    <n v="0"/>
    <n v="38"/>
    <n v="35"/>
    <n v="30"/>
    <n v="0"/>
    <n v="35"/>
    <n v="3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131"/>
    <n v="110"/>
    <n v="9"/>
    <n v="8"/>
    <n v="11"/>
    <n v="0"/>
    <n v="0"/>
    <n v="0"/>
    <n v="0"/>
    <n v="0"/>
    <n v="0"/>
    <n v="59"/>
    <n v="123"/>
    <n v="99"/>
    <n v="0"/>
    <n v="0"/>
    <n v="0"/>
    <n v="57"/>
    <n v="121"/>
    <n v="89"/>
    <n v="2"/>
    <n v="2"/>
    <n v="10"/>
    <x v="21"/>
    <x v="2"/>
    <x v="23"/>
    <n v="26"/>
    <n v="-14"/>
    <n v="-20"/>
    <n v="26"/>
    <n v="-14"/>
    <n v="-20"/>
    <n v="45"/>
    <n v="51"/>
    <n v="42"/>
    <n v="45"/>
    <n v="51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6"/>
    <n v="12"/>
    <n v="7"/>
    <n v="16"/>
    <n v="12"/>
    <n v="140"/>
    <n v="180"/>
    <n v="160"/>
    <n v="173"/>
    <n v="182"/>
    <n v="152"/>
    <n v="33"/>
    <n v="2"/>
    <n v="-8"/>
    <n v="33"/>
    <n v="2"/>
    <n v="-8"/>
    <m/>
  </r>
  <r>
    <x v="27"/>
    <n v="50"/>
    <n v="30"/>
    <n v="35"/>
    <n v="15"/>
    <n v="0"/>
    <n v="10"/>
    <n v="10"/>
    <x v="5"/>
    <x v="2"/>
    <x v="5"/>
    <n v="70"/>
    <n v="0"/>
    <n v="10"/>
    <n v="20"/>
    <n v="2"/>
    <n v="60"/>
    <n v="87"/>
    <n v="98"/>
    <n v="48"/>
    <n v="48"/>
    <n v="48"/>
    <n v="0"/>
    <m/>
    <n v="0"/>
    <n v="12"/>
    <n v="39"/>
    <n v="50"/>
    <n v="0"/>
    <n v="0"/>
    <n v="0"/>
    <n v="0"/>
    <n v="0"/>
    <n v="0"/>
    <n v="12"/>
    <n v="39"/>
    <n v="50"/>
    <n v="0"/>
    <n v="0"/>
    <n v="0"/>
    <n v="60"/>
    <n v="87"/>
    <n v="98"/>
    <n v="60"/>
    <n v="87"/>
    <n v="98"/>
    <n v="49"/>
    <n v="60"/>
    <n v="87"/>
    <n v="11"/>
    <n v="27"/>
    <n v="11"/>
    <n v="0"/>
    <n v="0"/>
    <n v="0"/>
    <n v="0"/>
    <n v="0"/>
    <n v="0"/>
    <n v="0"/>
    <n v="0"/>
    <n v="0"/>
    <n v="0"/>
    <n v="0"/>
    <n v="0"/>
    <n v="0"/>
    <n v="0"/>
    <n v="0"/>
    <n v="219"/>
    <n v="136"/>
    <n v="161"/>
    <n v="201"/>
    <n v="110"/>
    <n v="110"/>
    <n v="15"/>
    <n v="26"/>
    <n v="45"/>
    <n v="0"/>
    <n v="0"/>
    <n v="0"/>
    <n v="0"/>
    <n v="0"/>
    <n v="0"/>
    <n v="0"/>
    <n v="0"/>
    <n v="6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163"/>
    <n v="172"/>
    <n v="0"/>
    <n v="15"/>
    <n v="85"/>
    <n v="0"/>
    <n v="0"/>
    <n v="0"/>
    <n v="0"/>
    <n v="0"/>
    <n v="0"/>
    <n v="230"/>
    <n v="0"/>
    <n v="0"/>
    <n v="0"/>
    <n v="148"/>
    <n v="87"/>
    <n v="25"/>
    <n v="25"/>
    <n v="25"/>
    <n v="205"/>
    <n v="123"/>
    <n v="62"/>
    <x v="2"/>
    <x v="2"/>
    <x v="23"/>
    <n v="11"/>
    <n v="27"/>
    <n v="11"/>
    <n v="11"/>
    <n v="2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136"/>
    <n v="161"/>
    <n v="230"/>
    <n v="163"/>
    <n v="172"/>
    <n v="11"/>
    <n v="27"/>
    <n v="11"/>
    <n v="11"/>
    <n v="27"/>
    <n v="11"/>
    <m/>
  </r>
  <r>
    <x v="28"/>
    <n v="40"/>
    <n v="0"/>
    <n v="25"/>
    <n v="15"/>
    <n v="15"/>
    <n v="35"/>
    <n v="10"/>
    <x v="6"/>
    <x v="1"/>
    <x v="4"/>
    <n v="15"/>
    <n v="55"/>
    <n v="25"/>
    <n v="5"/>
    <n v="2"/>
    <n v="52718"/>
    <n v="18274"/>
    <n v="28832"/>
    <n v="47417"/>
    <n v="20411"/>
    <n v="19521"/>
    <n v="-5466"/>
    <n v="-9298"/>
    <n v="-9218"/>
    <n v="10767"/>
    <n v="7161"/>
    <n v="18529"/>
    <n v="26"/>
    <n v="0"/>
    <n v="0"/>
    <n v="6320"/>
    <n v="1973"/>
    <n v="998"/>
    <n v="4055"/>
    <n v="5164"/>
    <n v="17513"/>
    <n v="366"/>
    <n v="24"/>
    <n v="18"/>
    <n v="52718"/>
    <n v="18274"/>
    <n v="28832"/>
    <n v="50432"/>
    <n v="16081"/>
    <n v="25743"/>
    <n v="50885"/>
    <n v="20695"/>
    <n v="20404"/>
    <n v="-453"/>
    <n v="-4614"/>
    <n v="5339"/>
    <n v="2286"/>
    <n v="2193"/>
    <n v="3089"/>
    <n v="0"/>
    <n v="0"/>
    <n v="0"/>
    <n v="0"/>
    <n v="0"/>
    <n v="0"/>
    <n v="2264"/>
    <n v="2134"/>
    <n v="3074"/>
    <n v="22"/>
    <n v="59"/>
    <n v="15"/>
    <n v="19283"/>
    <n v="27371"/>
    <n v="23001"/>
    <n v="2179"/>
    <n v="15958"/>
    <n v="16058"/>
    <n v="11991"/>
    <n v="0"/>
    <n v="0"/>
    <n v="3309"/>
    <n v="4127"/>
    <n v="5225"/>
    <n v="123"/>
    <n v="30"/>
    <n v="28"/>
    <n v="1681"/>
    <n v="6587"/>
    <n v="1499"/>
    <n v="0"/>
    <n v="604"/>
    <n v="191"/>
    <n v="0"/>
    <n v="0"/>
    <n v="0"/>
    <n v="0"/>
    <n v="65"/>
    <n v="0"/>
    <n v="121"/>
    <n v="897"/>
    <n v="3642"/>
    <n v="14"/>
    <n v="491"/>
    <n v="677"/>
    <n v="99"/>
    <n v="0"/>
    <n v="0"/>
    <n v="0"/>
    <n v="36"/>
    <n v="39"/>
    <n v="0"/>
    <n v="0"/>
    <n v="0"/>
    <n v="8"/>
    <n v="18"/>
    <n v="5"/>
    <n v="0"/>
    <n v="0"/>
    <n v="327"/>
    <n v="0"/>
    <n v="0"/>
    <n v="0"/>
    <n v="0"/>
    <n v="352"/>
    <n v="2594"/>
    <n v="16666"/>
    <n v="20917"/>
    <n v="21042"/>
    <n v="4973"/>
    <n v="4675"/>
    <n v="4696"/>
    <n v="933"/>
    <n v="2099"/>
    <n v="1546"/>
    <n v="80"/>
    <n v="415"/>
    <n v="0"/>
    <n v="5242"/>
    <n v="3730"/>
    <n v="3465"/>
    <n v="1845"/>
    <n v="0"/>
    <n v="0"/>
    <n v="460"/>
    <n v="943"/>
    <n v="213"/>
    <n v="2937"/>
    <n v="2788"/>
    <n v="3252"/>
    <x v="22"/>
    <x v="25"/>
    <x v="26"/>
    <n v="-2617"/>
    <n v="-6389"/>
    <n v="-1959"/>
    <n v="-2949"/>
    <n v="-6454"/>
    <n v="-1959"/>
    <n v="2617"/>
    <n v="3190"/>
    <n v="15554"/>
    <n v="2411"/>
    <n v="3134"/>
    <n v="3354"/>
    <n v="206"/>
    <n v="56"/>
    <n v="0"/>
    <n v="0"/>
    <n v="0"/>
    <n v="12200"/>
    <n v="0"/>
    <n v="0"/>
    <n v="0"/>
    <n v="0"/>
    <n v="0"/>
    <n v="0"/>
    <n v="0"/>
    <n v="0"/>
    <n v="0"/>
    <n v="0"/>
    <n v="0"/>
    <n v="0"/>
    <n v="0"/>
    <n v="0"/>
    <n v="0"/>
    <n v="2496"/>
    <n v="2645"/>
    <n v="14506"/>
    <n v="2496"/>
    <n v="2293"/>
    <n v="11912"/>
    <n v="19404"/>
    <n v="28268"/>
    <n v="26643"/>
    <n v="19283"/>
    <n v="24107"/>
    <n v="36596"/>
    <n v="-121"/>
    <n v="-4161"/>
    <n v="9953"/>
    <n v="-453"/>
    <n v="-4161"/>
    <n v="9953"/>
    <m/>
  </r>
  <r>
    <x v="29"/>
    <n v="105"/>
    <n v="0"/>
    <n v="40"/>
    <n v="30"/>
    <n v="5"/>
    <n v="5"/>
    <n v="20"/>
    <x v="7"/>
    <x v="1"/>
    <x v="4"/>
    <n v="35"/>
    <n v="50"/>
    <n v="15"/>
    <n v="0"/>
    <n v="5"/>
    <n v="1140"/>
    <n v="862"/>
    <n v="2236"/>
    <n v="2092"/>
    <n v="2163"/>
    <n v="3409"/>
    <n v="-1247"/>
    <n v="-1301"/>
    <n v="-1531"/>
    <n v="295"/>
    <n v="495"/>
    <n v="358"/>
    <n v="0"/>
    <n v="0"/>
    <n v="0"/>
    <n v="0"/>
    <n v="10"/>
    <n v="0"/>
    <n v="295"/>
    <n v="485"/>
    <n v="358"/>
    <n v="0"/>
    <n v="0"/>
    <n v="0"/>
    <n v="1140"/>
    <n v="1357"/>
    <n v="2236"/>
    <n v="1140"/>
    <n v="1355"/>
    <n v="2233"/>
    <n v="1140"/>
    <n v="1355"/>
    <n v="2233"/>
    <n v="0"/>
    <n v="0"/>
    <n v="0"/>
    <n v="0"/>
    <n v="2"/>
    <n v="3"/>
    <n v="0"/>
    <n v="0"/>
    <n v="0"/>
    <n v="0"/>
    <n v="0"/>
    <n v="0"/>
    <n v="0"/>
    <n v="2"/>
    <n v="3"/>
    <n v="0"/>
    <n v="0"/>
    <n v="0"/>
    <n v="804"/>
    <n v="873"/>
    <n v="1133"/>
    <n v="136"/>
    <n v="111"/>
    <n v="212"/>
    <n v="533"/>
    <n v="586"/>
    <n v="636"/>
    <n v="70"/>
    <n v="100"/>
    <n v="170"/>
    <n v="0"/>
    <n v="8"/>
    <n v="4"/>
    <n v="19"/>
    <n v="4"/>
    <n v="32"/>
    <n v="46"/>
    <n v="54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873"/>
    <n v="1133"/>
    <n v="49"/>
    <n v="85"/>
    <n v="21"/>
    <n v="117"/>
    <n v="49"/>
    <n v="72"/>
    <n v="0"/>
    <n v="10"/>
    <n v="40"/>
    <n v="273"/>
    <n v="388"/>
    <n v="346"/>
    <n v="0"/>
    <n v="0"/>
    <n v="0"/>
    <n v="115"/>
    <n v="85"/>
    <n v="54"/>
    <n v="273"/>
    <n v="303"/>
    <n v="292"/>
    <x v="23"/>
    <x v="2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873"/>
    <n v="1133"/>
    <n v="804"/>
    <n v="873"/>
    <n v="1133"/>
    <n v="0"/>
    <n v="0"/>
    <n v="0"/>
    <n v="0"/>
    <n v="0"/>
    <n v="0"/>
    <s v="priloha"/>
  </r>
  <r>
    <x v="30"/>
    <n v="203"/>
    <n v="2"/>
    <n v="70"/>
    <n v="10"/>
    <n v="10"/>
    <n v="4"/>
    <n v="4"/>
    <x v="8"/>
    <x v="2"/>
    <x v="0"/>
    <n v="15"/>
    <n v="50"/>
    <n v="30"/>
    <n v="5"/>
    <n v="6"/>
    <n v="812"/>
    <n v="1538"/>
    <n v="1596"/>
    <n v="539"/>
    <n v="1316"/>
    <n v="1445"/>
    <n v="0"/>
    <n v="0"/>
    <n v="0"/>
    <n v="273"/>
    <n v="222"/>
    <n v="151"/>
    <n v="0"/>
    <n v="0"/>
    <n v="0"/>
    <n v="0"/>
    <n v="0"/>
    <n v="0"/>
    <n v="273"/>
    <n v="222"/>
    <n v="151"/>
    <n v="0"/>
    <n v="0"/>
    <n v="0"/>
    <n v="812"/>
    <n v="1538"/>
    <n v="1496"/>
    <n v="758"/>
    <n v="1220"/>
    <n v="1457"/>
    <n v="0"/>
    <n v="0"/>
    <n v="0"/>
    <n v="758"/>
    <n v="1220"/>
    <n v="1457"/>
    <n v="54"/>
    <n v="318"/>
    <n v="139"/>
    <n v="0"/>
    <n v="0"/>
    <n v="0"/>
    <n v="0"/>
    <n v="0"/>
    <n v="0"/>
    <n v="54"/>
    <n v="318"/>
    <n v="139"/>
    <n v="0"/>
    <n v="0"/>
    <n v="0"/>
    <n v="1590"/>
    <n v="2018"/>
    <n v="1953"/>
    <n v="208"/>
    <n v="1866"/>
    <n v="1802"/>
    <n v="1277"/>
    <n v="0"/>
    <n v="0"/>
    <n v="89"/>
    <n v="60"/>
    <n v="84"/>
    <n v="2"/>
    <n v="2"/>
    <n v="2"/>
    <n v="14"/>
    <n v="90"/>
    <n v="18"/>
    <n v="0"/>
    <n v="0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"/>
    <n v="2480"/>
    <n v="2190"/>
    <n v="197"/>
    <n v="356"/>
    <n v="198"/>
    <n v="0"/>
    <n v="0"/>
    <n v="55"/>
    <n v="0"/>
    <n v="0"/>
    <n v="0"/>
    <n v="5189"/>
    <n v="2124"/>
    <n v="1651"/>
    <n v="1271"/>
    <n v="1518"/>
    <n v="1308"/>
    <n v="391"/>
    <n v="400"/>
    <n v="95"/>
    <n v="206"/>
    <n v="206"/>
    <n v="248"/>
    <x v="2"/>
    <x v="2"/>
    <x v="28"/>
    <n v="475"/>
    <n v="462"/>
    <n v="237"/>
    <n v="475"/>
    <n v="46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0"/>
    <n v="2018"/>
    <n v="1953"/>
    <n v="2065"/>
    <n v="2480"/>
    <n v="2190"/>
    <n v="475"/>
    <n v="462"/>
    <n v="237"/>
    <n v="475"/>
    <n v="462"/>
    <n v="237"/>
    <s v="priloha"/>
  </r>
  <r>
    <x v="31"/>
    <n v="30"/>
    <n v="5"/>
    <n v="40"/>
    <n v="0"/>
    <n v="5"/>
    <n v="30"/>
    <n v="20"/>
    <x v="6"/>
    <x v="1"/>
    <x v="3"/>
    <n v="20"/>
    <n v="50"/>
    <n v="10"/>
    <n v="20"/>
    <n v="1"/>
    <n v="837"/>
    <n v="868"/>
    <n v="865"/>
    <n v="746"/>
    <n v="746"/>
    <n v="746"/>
    <n v="0"/>
    <n v="0"/>
    <n v="0"/>
    <n v="91"/>
    <n v="122"/>
    <n v="119"/>
    <n v="4"/>
    <n v="4"/>
    <n v="5"/>
    <n v="0"/>
    <n v="0"/>
    <n v="0"/>
    <n v="87"/>
    <n v="118"/>
    <n v="114"/>
    <n v="0"/>
    <n v="0"/>
    <n v="0"/>
    <n v="837"/>
    <n v="868"/>
    <n v="865"/>
    <n v="837"/>
    <n v="868"/>
    <n v="865"/>
    <n v="0"/>
    <n v="0"/>
    <n v="0"/>
    <n v="837"/>
    <n v="868"/>
    <n v="865"/>
    <n v="0"/>
    <n v="0"/>
    <n v="0"/>
    <n v="0"/>
    <n v="0"/>
    <n v="0"/>
    <n v="0"/>
    <n v="0"/>
    <n v="0"/>
    <n v="0"/>
    <n v="0"/>
    <n v="0"/>
    <n v="0"/>
    <n v="0"/>
    <n v="0"/>
    <n v="247"/>
    <n v="179"/>
    <n v="296"/>
    <n v="144"/>
    <n v="163"/>
    <n v="267"/>
    <n v="98"/>
    <n v="0"/>
    <n v="0"/>
    <n v="0"/>
    <n v="12"/>
    <n v="24"/>
    <n v="1"/>
    <n v="1"/>
    <n v="1"/>
    <n v="4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205"/>
    <n v="290"/>
    <n v="40"/>
    <n v="49"/>
    <n v="58"/>
    <n v="0"/>
    <n v="0"/>
    <n v="0"/>
    <n v="0"/>
    <n v="0"/>
    <n v="0"/>
    <n v="21"/>
    <n v="27"/>
    <n v="22"/>
    <n v="0"/>
    <n v="0"/>
    <n v="0"/>
    <n v="0"/>
    <n v="0"/>
    <n v="0"/>
    <n v="21"/>
    <n v="27"/>
    <n v="22"/>
    <x v="24"/>
    <x v="27"/>
    <x v="29"/>
    <n v="-38"/>
    <n v="26"/>
    <n v="-6"/>
    <n v="-38"/>
    <n v="26"/>
    <n v="-6"/>
    <n v="15"/>
    <n v="5"/>
    <n v="3"/>
    <n v="15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"/>
    <n v="3"/>
    <n v="15"/>
    <n v="5"/>
    <n v="3"/>
    <n v="247"/>
    <n v="179"/>
    <n v="296"/>
    <n v="224"/>
    <n v="210"/>
    <n v="293"/>
    <n v="-23"/>
    <n v="31"/>
    <n v="-3"/>
    <n v="-23"/>
    <n v="31"/>
    <n v="-3"/>
    <m/>
  </r>
  <r>
    <x v="32"/>
    <n v="180"/>
    <n v="10"/>
    <n v="0"/>
    <n v="10"/>
    <n v="20"/>
    <n v="40"/>
    <n v="20"/>
    <x v="8"/>
    <x v="2"/>
    <x v="4"/>
    <n v="10"/>
    <n v="0"/>
    <n v="80"/>
    <n v="10"/>
    <n v="1"/>
    <n v="14189"/>
    <n v="13585"/>
    <n v="12494"/>
    <n v="19776"/>
    <n v="19776"/>
    <n v="19777"/>
    <n v="-6212"/>
    <n v="-6628"/>
    <n v="-7495"/>
    <n v="625"/>
    <n v="437"/>
    <n v="176"/>
    <n v="0"/>
    <n v="0"/>
    <n v="0"/>
    <n v="158"/>
    <n v="130"/>
    <n v="33"/>
    <n v="467"/>
    <n v="307"/>
    <n v="143"/>
    <n v="0"/>
    <n v="0"/>
    <n v="0"/>
    <n v="14189"/>
    <n v="13585"/>
    <n v="12494"/>
    <n v="13523"/>
    <n v="13050"/>
    <n v="12149"/>
    <n v="17402"/>
    <n v="17402"/>
    <n v="17482"/>
    <n v="-3879"/>
    <n v="-4352"/>
    <n v="-5253"/>
    <n v="666"/>
    <n v="535"/>
    <n v="345"/>
    <n v="0"/>
    <n v="0"/>
    <n v="0"/>
    <n v="320"/>
    <n v="240"/>
    <n v="80"/>
    <n v="232"/>
    <n v="245"/>
    <n v="248"/>
    <n v="114"/>
    <n v="50"/>
    <n v="17"/>
    <n v="869"/>
    <n v="1022"/>
    <n v="731"/>
    <n v="175"/>
    <n v="362"/>
    <n v="348"/>
    <n v="87"/>
    <n v="0"/>
    <n v="0"/>
    <n v="144"/>
    <n v="115"/>
    <n v="60"/>
    <n v="0"/>
    <n v="0"/>
    <n v="4"/>
    <n v="253"/>
    <n v="238"/>
    <n v="95"/>
    <n v="191"/>
    <n v="291"/>
    <n v="191"/>
    <n v="19"/>
    <n v="16"/>
    <n v="33"/>
    <n v="0"/>
    <n v="0"/>
    <n v="0"/>
    <n v="338"/>
    <n v="267"/>
    <n v="358"/>
    <n v="81"/>
    <n v="138"/>
    <n v="130"/>
    <n v="28"/>
    <n v="0"/>
    <n v="0"/>
    <n v="0"/>
    <n v="0"/>
    <n v="0"/>
    <n v="5"/>
    <n v="0"/>
    <n v="4"/>
    <n v="0"/>
    <n v="5"/>
    <n v="0"/>
    <n v="224"/>
    <n v="124"/>
    <n v="224"/>
    <n v="0"/>
    <n v="0"/>
    <n v="0"/>
    <n v="0"/>
    <n v="0"/>
    <n v="0"/>
    <n v="400"/>
    <n v="480"/>
    <n v="377"/>
    <n v="0"/>
    <n v="0"/>
    <n v="0"/>
    <n v="14"/>
    <n v="30"/>
    <n v="0"/>
    <n v="0"/>
    <n v="0"/>
    <n v="0"/>
    <n v="220"/>
    <n v="196"/>
    <n v="166"/>
    <n v="0"/>
    <n v="0"/>
    <n v="0"/>
    <n v="0"/>
    <n v="0"/>
    <n v="0"/>
    <n v="220"/>
    <n v="196"/>
    <n v="166"/>
    <x v="25"/>
    <x v="28"/>
    <x v="30"/>
    <n v="-469"/>
    <n v="-542"/>
    <n v="-354"/>
    <n v="-469"/>
    <n v="-542"/>
    <n v="-354"/>
    <n v="575"/>
    <n v="337"/>
    <n v="409"/>
    <n v="575"/>
    <n v="337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70"/>
    <n v="51"/>
    <n v="237"/>
    <n v="70"/>
    <n v="51"/>
    <n v="1207"/>
    <n v="1289"/>
    <n v="1089"/>
    <n v="975"/>
    <n v="817"/>
    <n v="786"/>
    <n v="-232"/>
    <n v="-472"/>
    <n v="-303"/>
    <n v="-232"/>
    <n v="-472"/>
    <n v="-303"/>
    <m/>
  </r>
  <r>
    <x v="33"/>
    <n v="70"/>
    <n v="5"/>
    <n v="40"/>
    <n v="30"/>
    <n v="10"/>
    <n v="10"/>
    <n v="5"/>
    <x v="9"/>
    <x v="1"/>
    <x v="6"/>
    <n v="20"/>
    <n v="35"/>
    <n v="35"/>
    <n v="10"/>
    <n v="6"/>
    <n v="7501"/>
    <n v="6750"/>
    <n v="6526"/>
    <n v="11246"/>
    <n v="11701"/>
    <n v="12007"/>
    <n v="5159"/>
    <n v="-6016"/>
    <n v="-6438"/>
    <n v="1414"/>
    <n v="1065"/>
    <n v="957"/>
    <n v="0"/>
    <n v="0"/>
    <n v="0"/>
    <n v="273"/>
    <n v="111"/>
    <n v="175"/>
    <n v="1064"/>
    <n v="851"/>
    <n v="680"/>
    <n v="77"/>
    <n v="103"/>
    <n v="102"/>
    <n v="7501"/>
    <n v="6750"/>
    <n v="6526"/>
    <n v="7216"/>
    <n v="6135"/>
    <n v="6066"/>
    <n v="8306"/>
    <n v="8306"/>
    <n v="8306"/>
    <n v="-1090"/>
    <n v="-2171"/>
    <n v="-2240"/>
    <n v="285"/>
    <n v="615"/>
    <n v="460"/>
    <n v="0"/>
    <n v="0"/>
    <n v="0"/>
    <n v="0"/>
    <n v="0"/>
    <n v="77"/>
    <n v="144"/>
    <n v="324"/>
    <n v="176"/>
    <n v="141"/>
    <n v="291"/>
    <n v="207"/>
    <n v="4321"/>
    <n v="3568"/>
    <n v="3621"/>
    <n v="591"/>
    <n v="2750"/>
    <n v="2414"/>
    <n v="2920"/>
    <n v="0"/>
    <n v="0"/>
    <n v="293"/>
    <n v="370"/>
    <n v="539"/>
    <n v="102"/>
    <n v="107"/>
    <n v="213"/>
    <n v="60"/>
    <n v="60"/>
    <n v="68"/>
    <n v="355"/>
    <n v="281"/>
    <n v="387"/>
    <n v="0"/>
    <n v="0"/>
    <n v="0"/>
    <n v="0"/>
    <n v="0"/>
    <n v="0"/>
    <n v="268"/>
    <n v="267"/>
    <n v="268"/>
    <n v="90"/>
    <n v="125"/>
    <n v="138"/>
    <n v="34"/>
    <n v="0"/>
    <n v="0"/>
    <n v="34"/>
    <n v="29"/>
    <n v="17"/>
    <n v="0"/>
    <n v="1"/>
    <n v="0"/>
    <n v="0"/>
    <n v="0"/>
    <n v="0"/>
    <n v="110"/>
    <n v="112"/>
    <n v="113"/>
    <n v="0"/>
    <n v="0"/>
    <n v="0"/>
    <n v="0"/>
    <n v="0"/>
    <n v="0"/>
    <n v="3355"/>
    <n v="2882"/>
    <n v="3305"/>
    <n v="0"/>
    <n v="0"/>
    <n v="0"/>
    <n v="14"/>
    <n v="0"/>
    <n v="471"/>
    <n v="0"/>
    <n v="0"/>
    <n v="0"/>
    <n v="2026"/>
    <n v="1261"/>
    <n v="1145"/>
    <n v="0"/>
    <n v="0"/>
    <n v="0"/>
    <n v="463"/>
    <n v="463"/>
    <n v="479"/>
    <n v="1563"/>
    <n v="798"/>
    <n v="667"/>
    <x v="26"/>
    <x v="29"/>
    <x v="31"/>
    <n v="-966"/>
    <n v="-686"/>
    <n v="-316"/>
    <n v="-966"/>
    <n v="-686"/>
    <n v="-316"/>
    <n v="546"/>
    <n v="560"/>
    <n v="515"/>
    <n v="546"/>
    <n v="552"/>
    <n v="51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293"/>
    <n v="247"/>
    <n v="278"/>
    <n v="293"/>
    <n v="247"/>
    <n v="4589"/>
    <n v="3835"/>
    <n v="3889"/>
    <n v="3901"/>
    <n v="3442"/>
    <n v="3820"/>
    <n v="-688"/>
    <n v="-393"/>
    <n v="-69"/>
    <n v="-688"/>
    <n v="-393"/>
    <n v="-69"/>
    <m/>
  </r>
  <r>
    <x v="34"/>
    <n v="30"/>
    <n v="0"/>
    <n v="100"/>
    <n v="0"/>
    <n v="0"/>
    <n v="0"/>
    <n v="0"/>
    <x v="3"/>
    <x v="0"/>
    <x v="1"/>
    <n v="70"/>
    <n v="30"/>
    <n v="0"/>
    <n v="0"/>
    <n v="7"/>
    <n v="35"/>
    <n v="90"/>
    <n v="282"/>
    <n v="0"/>
    <n v="0"/>
    <n v="0"/>
    <n v="0"/>
    <n v="0"/>
    <n v="0"/>
    <n v="35"/>
    <n v="90"/>
    <n v="282"/>
    <n v="0"/>
    <n v="0"/>
    <n v="0"/>
    <n v="0"/>
    <n v="0"/>
    <n v="0"/>
    <n v="35"/>
    <n v="90"/>
    <n v="179"/>
    <n v="0"/>
    <n v="0"/>
    <n v="103"/>
    <n v="35"/>
    <n v="90"/>
    <n v="282"/>
    <n v="35"/>
    <n v="90"/>
    <n v="179"/>
    <n v="0"/>
    <n v="0"/>
    <n v="0"/>
    <n v="35"/>
    <n v="90"/>
    <n v="179"/>
    <n v="0"/>
    <n v="0"/>
    <n v="103"/>
    <n v="0"/>
    <n v="0"/>
    <n v="0"/>
    <n v="0"/>
    <n v="0"/>
    <n v="0"/>
    <n v="0"/>
    <n v="0"/>
    <n v="103"/>
    <n v="0"/>
    <n v="0"/>
    <n v="0"/>
    <n v="30"/>
    <n v="108"/>
    <n v="260"/>
    <n v="5"/>
    <n v="108"/>
    <n v="72"/>
    <n v="25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63"/>
    <n v="350"/>
    <n v="0"/>
    <n v="0"/>
    <n v="4"/>
    <n v="0"/>
    <n v="0"/>
    <n v="0"/>
    <n v="0"/>
    <n v="0"/>
    <n v="0"/>
    <n v="35"/>
    <n v="123"/>
    <n v="202"/>
    <n v="0"/>
    <n v="0"/>
    <n v="5"/>
    <n v="0"/>
    <n v="10"/>
    <n v="8"/>
    <n v="35"/>
    <n v="113"/>
    <n v="189"/>
    <x v="27"/>
    <x v="30"/>
    <x v="32"/>
    <n v="35"/>
    <n v="55"/>
    <n v="90"/>
    <n v="35"/>
    <n v="55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08"/>
    <n v="260"/>
    <n v="65"/>
    <n v="163"/>
    <n v="350"/>
    <n v="35"/>
    <n v="55"/>
    <n v="90"/>
    <n v="35"/>
    <n v="55"/>
    <n v="90"/>
    <m/>
  </r>
  <r>
    <x v="35"/>
    <n v="180"/>
    <n v="10"/>
    <n v="25"/>
    <n v="10"/>
    <n v="30"/>
    <n v="15"/>
    <n v="10"/>
    <x v="4"/>
    <x v="0"/>
    <x v="0"/>
    <n v="15"/>
    <n v="50"/>
    <n v="5"/>
    <n v="30"/>
    <n v="7"/>
    <n v="675"/>
    <n v="939"/>
    <n v="884"/>
    <n v="964"/>
    <n v="1175"/>
    <n v="1363"/>
    <n v="-409"/>
    <n v="-511"/>
    <n v="-619"/>
    <n v="121"/>
    <n v="274"/>
    <n v="140"/>
    <n v="0"/>
    <n v="0"/>
    <n v="0"/>
    <n v="-7"/>
    <n v="-8"/>
    <n v="0"/>
    <n v="122"/>
    <n v="282"/>
    <n v="136"/>
    <n v="6"/>
    <n v="0"/>
    <n v="4"/>
    <n v="675"/>
    <n v="939"/>
    <n v="884"/>
    <n v="630"/>
    <n v="913"/>
    <n v="850"/>
    <n v="507"/>
    <n v="507"/>
    <n v="507"/>
    <n v="123"/>
    <n v="406"/>
    <n v="343"/>
    <n v="45"/>
    <n v="26"/>
    <n v="34"/>
    <n v="0"/>
    <n v="0"/>
    <n v="0"/>
    <n v="0"/>
    <n v="0"/>
    <n v="0"/>
    <n v="45"/>
    <n v="26"/>
    <n v="34"/>
    <n v="0"/>
    <n v="0"/>
    <n v="0"/>
    <n v="1384"/>
    <n v="1041"/>
    <n v="1219"/>
    <n v="403"/>
    <n v="613"/>
    <n v="754"/>
    <n v="644"/>
    <n v="0"/>
    <n v="0"/>
    <n v="238"/>
    <n v="278"/>
    <n v="295"/>
    <n v="8"/>
    <n v="7"/>
    <n v="14"/>
    <n v="7"/>
    <n v="8"/>
    <n v="8"/>
    <n v="59"/>
    <n v="102"/>
    <n v="108"/>
    <n v="26"/>
    <n v="28"/>
    <n v="26"/>
    <n v="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1000"/>
    <n v="782"/>
    <n v="28"/>
    <n v="0"/>
    <n v="0"/>
    <n v="12"/>
    <n v="4"/>
    <n v="0"/>
    <n v="0"/>
    <n v="0"/>
    <n v="0"/>
    <n v="151"/>
    <n v="168"/>
    <n v="120"/>
    <n v="0"/>
    <n v="0"/>
    <n v="0"/>
    <n v="20"/>
    <n v="21"/>
    <n v="0"/>
    <n v="131"/>
    <n v="147"/>
    <n v="120"/>
    <x v="28"/>
    <x v="31"/>
    <x v="33"/>
    <n v="-473"/>
    <n v="-37"/>
    <n v="-423"/>
    <n v="-481"/>
    <n v="-41"/>
    <n v="-437"/>
    <n v="341"/>
    <n v="323"/>
    <n v="375"/>
    <n v="313"/>
    <n v="299"/>
    <n v="358"/>
    <n v="28"/>
    <n v="24"/>
    <n v="1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41"/>
    <n v="323"/>
    <n v="375"/>
    <n v="341"/>
    <n v="323"/>
    <n v="375"/>
    <n v="1384"/>
    <n v="1041"/>
    <n v="1219"/>
    <n v="1251"/>
    <n v="1323"/>
    <n v="1157"/>
    <n v="-133"/>
    <n v="282"/>
    <n v="-62"/>
    <n v="-140"/>
    <n v="282"/>
    <n v="-62"/>
    <m/>
  </r>
  <r>
    <x v="36"/>
    <n v="90"/>
    <n v="0"/>
    <n v="30"/>
    <n v="10"/>
    <n v="30"/>
    <n v="25"/>
    <n v="5"/>
    <x v="4"/>
    <x v="1"/>
    <x v="5"/>
    <n v="5"/>
    <n v="50"/>
    <n v="40"/>
    <n v="5"/>
    <n v="2"/>
    <n v="1559"/>
    <n v="1475"/>
    <n v="1626"/>
    <n v="1450"/>
    <n v="1462"/>
    <n v="1462"/>
    <n v="-96"/>
    <n v="-145"/>
    <n v="-194"/>
    <n v="205"/>
    <n v="158"/>
    <n v="358"/>
    <n v="0"/>
    <n v="0"/>
    <n v="0"/>
    <n v="18"/>
    <n v="15"/>
    <n v="11"/>
    <n v="187"/>
    <n v="143"/>
    <n v="347"/>
    <n v="0"/>
    <n v="0"/>
    <n v="0"/>
    <n v="1559"/>
    <n v="1475"/>
    <n v="1626"/>
    <n v="1439"/>
    <n v="1345"/>
    <n v="1404"/>
    <n v="1454"/>
    <n v="1454"/>
    <n v="1454"/>
    <n v="-15"/>
    <n v="-109"/>
    <n v="-50"/>
    <n v="120"/>
    <n v="130"/>
    <n v="222"/>
    <n v="0"/>
    <n v="0"/>
    <n v="0"/>
    <n v="0"/>
    <n v="0"/>
    <n v="0"/>
    <n v="120"/>
    <n v="130"/>
    <n v="222"/>
    <n v="0"/>
    <n v="0"/>
    <n v="0"/>
    <n v="579"/>
    <n v="643"/>
    <n v="499"/>
    <n v="65"/>
    <n v="558"/>
    <n v="421"/>
    <n v="421"/>
    <n v="0"/>
    <n v="0"/>
    <n v="0"/>
    <n v="12"/>
    <n v="0"/>
    <n v="0"/>
    <n v="9"/>
    <n v="4"/>
    <n v="28"/>
    <n v="4"/>
    <n v="10"/>
    <n v="48"/>
    <n v="49"/>
    <n v="49"/>
    <n v="13"/>
    <n v="11"/>
    <n v="15"/>
    <n v="0"/>
    <n v="0"/>
    <n v="0"/>
    <n v="38"/>
    <n v="7"/>
    <n v="26"/>
    <n v="38"/>
    <n v="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544"/>
    <n v="537"/>
    <n v="264"/>
    <n v="286"/>
    <n v="355"/>
    <n v="286"/>
    <n v="0"/>
    <n v="0"/>
    <n v="0"/>
    <n v="0"/>
    <n v="0"/>
    <n v="0"/>
    <n v="0"/>
    <n v="76"/>
    <n v="0"/>
    <n v="0"/>
    <n v="0"/>
    <n v="0"/>
    <n v="0"/>
    <n v="76"/>
    <n v="0"/>
    <n v="0"/>
    <n v="0"/>
    <x v="2"/>
    <x v="32"/>
    <x v="34"/>
    <n v="-29"/>
    <n v="-99"/>
    <n v="38"/>
    <n v="-29"/>
    <n v="-99"/>
    <n v="38"/>
    <n v="68"/>
    <n v="14"/>
    <n v="47"/>
    <n v="68"/>
    <n v="1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"/>
    <n v="21"/>
    <n v="30"/>
    <n v="7"/>
    <n v="21"/>
    <n v="617"/>
    <n v="650"/>
    <n v="525"/>
    <n v="618"/>
    <n v="558"/>
    <n v="584"/>
    <n v="1"/>
    <n v="-92"/>
    <n v="59"/>
    <n v="1"/>
    <n v="-92"/>
    <n v="59"/>
    <m/>
  </r>
  <r>
    <x v="37"/>
    <n v="80"/>
    <n v="9"/>
    <n v="21"/>
    <n v="20"/>
    <n v="15"/>
    <n v="25"/>
    <n v="10"/>
    <x v="4"/>
    <x v="2"/>
    <x v="3"/>
    <n v="30"/>
    <n v="60"/>
    <n v="10"/>
    <n v="0"/>
    <n v="6"/>
    <n v="224"/>
    <n v="203"/>
    <n v="185"/>
    <n v="372"/>
    <n v="372"/>
    <n v="221"/>
    <n v="-372"/>
    <n v="-372"/>
    <n v="-221"/>
    <n v="224"/>
    <n v="203"/>
    <n v="185"/>
    <n v="0"/>
    <n v="0"/>
    <n v="0"/>
    <n v="3"/>
    <n v="0"/>
    <n v="0"/>
    <n v="221"/>
    <n v="203"/>
    <n v="185"/>
    <n v="0"/>
    <n v="0"/>
    <n v="0"/>
    <n v="224"/>
    <n v="203"/>
    <n v="185"/>
    <n v="204"/>
    <n v="203"/>
    <n v="185"/>
    <n v="401"/>
    <n v="402"/>
    <n v="402"/>
    <n v="-197"/>
    <n v="-198"/>
    <n v="-217"/>
    <n v="20"/>
    <n v="0"/>
    <n v="0"/>
    <n v="0"/>
    <n v="0"/>
    <n v="0"/>
    <n v="0"/>
    <n v="0"/>
    <n v="0"/>
    <n v="20"/>
    <n v="0"/>
    <n v="0"/>
    <n v="0"/>
    <n v="0"/>
    <n v="0"/>
    <n v="408"/>
    <n v="449"/>
    <n v="557"/>
    <n v="164"/>
    <n v="140"/>
    <n v="172"/>
    <n v="169"/>
    <n v="170"/>
    <n v="248"/>
    <n v="14"/>
    <n v="53"/>
    <n v="66"/>
    <n v="0"/>
    <n v="0"/>
    <n v="0"/>
    <n v="46"/>
    <n v="68"/>
    <n v="60"/>
    <n v="0"/>
    <n v="0"/>
    <n v="0"/>
    <n v="15"/>
    <n v="1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"/>
    <n v="448"/>
    <n v="540"/>
    <n v="87"/>
    <n v="129"/>
    <n v="108"/>
    <n v="0"/>
    <n v="0"/>
    <n v="4"/>
    <n v="1"/>
    <n v="0"/>
    <n v="0"/>
    <n v="152"/>
    <n v="103"/>
    <n v="131"/>
    <n v="21"/>
    <n v="1"/>
    <n v="0"/>
    <n v="102"/>
    <n v="78"/>
    <n v="106"/>
    <n v="29"/>
    <n v="24"/>
    <n v="25"/>
    <x v="29"/>
    <x v="33"/>
    <x v="35"/>
    <n v="-23"/>
    <n v="-1"/>
    <n v="-18"/>
    <n v="-23"/>
    <n v="-1"/>
    <n v="-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449"/>
    <n v="557"/>
    <n v="386"/>
    <n v="448"/>
    <n v="540"/>
    <n v="-22"/>
    <n v="-1"/>
    <n v="-17"/>
    <n v="-23"/>
    <n v="-1"/>
    <n v="-18"/>
    <m/>
  </r>
  <r>
    <x v="38"/>
    <n v="50"/>
    <n v="0"/>
    <n v="23"/>
    <n v="2"/>
    <n v="34"/>
    <n v="28"/>
    <n v="13"/>
    <x v="4"/>
    <x v="1"/>
    <x v="1"/>
    <n v="3"/>
    <n v="5"/>
    <n v="7"/>
    <n v="85"/>
    <n v="4"/>
    <n v="1103"/>
    <n v="1211"/>
    <n v="1115"/>
    <n v="1000"/>
    <n v="1085"/>
    <n v="1085"/>
    <n v="0"/>
    <n v="0"/>
    <n v="0"/>
    <n v="103"/>
    <n v="126"/>
    <n v="30"/>
    <n v="0"/>
    <n v="0"/>
    <n v="0"/>
    <n v="0"/>
    <n v="21"/>
    <n v="6"/>
    <n v="103"/>
    <n v="105"/>
    <n v="24"/>
    <n v="0"/>
    <n v="0"/>
    <n v="0"/>
    <n v="1103"/>
    <n v="1211"/>
    <n v="1115"/>
    <n v="1103"/>
    <n v="1171"/>
    <n v="1109"/>
    <n v="1103"/>
    <n v="1103"/>
    <n v="1103"/>
    <n v="0"/>
    <n v="68"/>
    <n v="6"/>
    <n v="0"/>
    <n v="40"/>
    <n v="6"/>
    <n v="0"/>
    <n v="0"/>
    <n v="0"/>
    <n v="0"/>
    <n v="0"/>
    <n v="0"/>
    <n v="0"/>
    <n v="40"/>
    <n v="6"/>
    <n v="0"/>
    <n v="0"/>
    <n v="0"/>
    <n v="234"/>
    <n v="206"/>
    <n v="341"/>
    <n v="103"/>
    <n v="195"/>
    <n v="331"/>
    <n v="127"/>
    <n v="0"/>
    <n v="0"/>
    <n v="4"/>
    <n v="4"/>
    <n v="1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43"/>
    <n v="152"/>
    <n v="0"/>
    <n v="30"/>
    <n v="13"/>
    <n v="69"/>
    <n v="0"/>
    <n v="9"/>
    <n v="0"/>
    <n v="0"/>
    <m/>
    <n v="24"/>
    <n v="13"/>
    <n v="30"/>
    <n v="0"/>
    <n v="0"/>
    <n v="0"/>
    <n v="21"/>
    <n v="10"/>
    <n v="27"/>
    <n v="3"/>
    <n v="3"/>
    <n v="3"/>
    <x v="30"/>
    <x v="22"/>
    <x v="22"/>
    <n v="-96"/>
    <n v="-63"/>
    <n v="-189"/>
    <n v="-96"/>
    <n v="-63"/>
    <n v="-189"/>
    <n v="96"/>
    <n v="131"/>
    <n v="127"/>
    <n v="96"/>
    <n v="131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31"/>
    <n v="127"/>
    <n v="96"/>
    <n v="131"/>
    <n v="127"/>
    <n v="234"/>
    <n v="206"/>
    <n v="341"/>
    <n v="234"/>
    <n v="274"/>
    <n v="279"/>
    <n v="0"/>
    <n v="68"/>
    <n v="-62"/>
    <n v="0"/>
    <n v="68"/>
    <n v="-62"/>
    <m/>
  </r>
  <r>
    <x v="39"/>
    <n v="120"/>
    <n v="5"/>
    <n v="25"/>
    <n v="10"/>
    <n v="20"/>
    <n v="30"/>
    <n v="10"/>
    <x v="6"/>
    <x v="2"/>
    <x v="0"/>
    <n v="10"/>
    <n v="70"/>
    <n v="15"/>
    <n v="5"/>
    <n v="7"/>
    <n v="157"/>
    <n v="101"/>
    <n v="121"/>
    <n v="0"/>
    <n v="0"/>
    <n v="0"/>
    <n v="0"/>
    <n v="0"/>
    <n v="0"/>
    <n v="157"/>
    <n v="101"/>
    <n v="121"/>
    <n v="0"/>
    <n v="0"/>
    <n v="0"/>
    <n v="2"/>
    <n v="0"/>
    <n v="46"/>
    <n v="155"/>
    <n v="101"/>
    <n v="75"/>
    <n v="0"/>
    <n v="0"/>
    <n v="0"/>
    <n v="157"/>
    <n v="101"/>
    <n v="121"/>
    <n v="90"/>
    <n v="70"/>
    <n v="121"/>
    <n v="0"/>
    <n v="0"/>
    <n v="0"/>
    <n v="90"/>
    <n v="70"/>
    <n v="121"/>
    <n v="67"/>
    <n v="31"/>
    <n v="0"/>
    <n v="0"/>
    <n v="0"/>
    <n v="0"/>
    <n v="0"/>
    <n v="0"/>
    <n v="0"/>
    <n v="47"/>
    <n v="31"/>
    <n v="0"/>
    <n v="20"/>
    <n v="0"/>
    <n v="0"/>
    <n v="151"/>
    <n v="252"/>
    <n v="181"/>
    <n v="32"/>
    <n v="247"/>
    <n v="174"/>
    <n v="113"/>
    <n v="0"/>
    <n v="0"/>
    <n v="0"/>
    <n v="0"/>
    <n v="0"/>
    <n v="0"/>
    <n v="0"/>
    <n v="0"/>
    <n v="3"/>
    <n v="3"/>
    <n v="3"/>
    <n v="0"/>
    <n v="0"/>
    <n v="0"/>
    <n v="3"/>
    <n v="2"/>
    <n v="4"/>
    <n v="0"/>
    <n v="0"/>
    <n v="0"/>
    <n v="0"/>
    <n v="26"/>
    <n v="0"/>
    <n v="0"/>
    <n v="16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07"/>
    <n v="228"/>
    <n v="231"/>
    <n v="12"/>
    <n v="0"/>
    <n v="22"/>
    <n v="0"/>
    <n v="0"/>
    <n v="0"/>
    <n v="0"/>
    <n v="0"/>
    <n v="0"/>
    <n v="97"/>
    <n v="65"/>
    <n v="50"/>
    <n v="0"/>
    <n v="0"/>
    <n v="0"/>
    <n v="60"/>
    <n v="0"/>
    <n v="0"/>
    <n v="37"/>
    <n v="65"/>
    <n v="50"/>
    <x v="31"/>
    <x v="34"/>
    <x v="36"/>
    <n v="56"/>
    <n v="-24"/>
    <n v="50"/>
    <n v="56"/>
    <n v="-24"/>
    <n v="50"/>
    <n v="3"/>
    <n v="30"/>
    <n v="0"/>
    <n v="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3"/>
    <n v="4"/>
    <n v="0"/>
    <n v="151"/>
    <n v="278"/>
    <n v="181"/>
    <n v="210"/>
    <n v="258"/>
    <n v="231"/>
    <n v="59"/>
    <n v="-20"/>
    <n v="50"/>
    <n v="59"/>
    <n v="-20"/>
    <n v="50"/>
    <m/>
  </r>
  <r>
    <x v="40"/>
    <n v="180"/>
    <n v="3"/>
    <n v="45"/>
    <n v="30"/>
    <n v="10"/>
    <n v="10"/>
    <n v="2"/>
    <x v="1"/>
    <x v="1"/>
    <x v="3"/>
    <n v="60"/>
    <n v="30"/>
    <n v="9"/>
    <n v="1"/>
    <n v="5"/>
    <n v="659"/>
    <n v="752"/>
    <n v="803"/>
    <n v="0"/>
    <n v="0"/>
    <n v="0"/>
    <n v="0"/>
    <n v="0"/>
    <n v="0"/>
    <n v="658"/>
    <n v="752"/>
    <n v="803"/>
    <n v="0"/>
    <n v="0"/>
    <n v="0"/>
    <n v="0"/>
    <n v="0"/>
    <n v="80"/>
    <n v="633"/>
    <n v="722"/>
    <n v="691"/>
    <n v="25"/>
    <n v="30"/>
    <n v="111"/>
    <n v="658"/>
    <n v="752"/>
    <n v="803"/>
    <n v="636"/>
    <n v="711"/>
    <n v="763"/>
    <n v="558"/>
    <n v="611"/>
    <n v="739"/>
    <n v="78"/>
    <n v="100"/>
    <n v="24"/>
    <n v="22"/>
    <n v="41"/>
    <n v="40"/>
    <n v="0"/>
    <n v="0"/>
    <n v="0"/>
    <n v="0"/>
    <n v="0"/>
    <n v="0"/>
    <n v="22"/>
    <n v="41"/>
    <n v="40"/>
    <n v="0"/>
    <n v="0"/>
    <n v="0"/>
    <n v="1409"/>
    <n v="1448"/>
    <n v="1447"/>
    <n v="86"/>
    <n v="19"/>
    <n v="18"/>
    <n v="1067"/>
    <n v="1107"/>
    <n v="995"/>
    <n v="252"/>
    <n v="318"/>
    <n v="426"/>
    <n v="0"/>
    <n v="0"/>
    <n v="5"/>
    <n v="3"/>
    <n v="3"/>
    <n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"/>
    <n v="1548"/>
    <n v="1471"/>
    <n v="51"/>
    <n v="47"/>
    <n v="80"/>
    <n v="847"/>
    <n v="809"/>
    <n v="781"/>
    <n v="0"/>
    <n v="0"/>
    <n v="0"/>
    <n v="0"/>
    <n v="0"/>
    <n v="0"/>
    <n v="0"/>
    <n v="0"/>
    <n v="0"/>
    <n v="0"/>
    <n v="0"/>
    <n v="0"/>
    <n v="0"/>
    <n v="0"/>
    <n v="0"/>
    <x v="32"/>
    <x v="35"/>
    <x v="37"/>
    <n v="78"/>
    <n v="100"/>
    <n v="24"/>
    <n v="78"/>
    <n v="10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"/>
    <n v="1448"/>
    <n v="1447"/>
    <n v="1487"/>
    <n v="1548"/>
    <n v="1471"/>
    <n v="78"/>
    <n v="100"/>
    <n v="24"/>
    <n v="78"/>
    <n v="100"/>
    <n v="24"/>
    <m/>
  </r>
  <r>
    <x v="41"/>
    <n v="195"/>
    <n v="1"/>
    <n v="70"/>
    <n v="20"/>
    <n v="5"/>
    <n v="2"/>
    <n v="2"/>
    <x v="8"/>
    <x v="0"/>
    <x v="0"/>
    <n v="10"/>
    <n v="65"/>
    <n v="20"/>
    <n v="5"/>
    <n v="2"/>
    <n v="40"/>
    <n v="143"/>
    <n v="352"/>
    <n v="553"/>
    <n v="553"/>
    <n v="553"/>
    <n v="-553"/>
    <n v="553"/>
    <n v="-553"/>
    <n v="40"/>
    <n v="143"/>
    <n v="352"/>
    <n v="0"/>
    <n v="0"/>
    <n v="0"/>
    <n v="112"/>
    <n v="134"/>
    <n v="344"/>
    <n v="-88"/>
    <n v="-71"/>
    <n v="-52"/>
    <n v="15"/>
    <n v="80"/>
    <n v="60"/>
    <n v="40"/>
    <n v="143"/>
    <n v="352"/>
    <n v="-4659"/>
    <n v="-4289"/>
    <n v="-4011"/>
    <n v="0"/>
    <n v="0"/>
    <n v="0"/>
    <n v="-4859"/>
    <n v="-4289"/>
    <n v="-4011"/>
    <n v="4699"/>
    <n v="4432"/>
    <n v="4363"/>
    <n v="0"/>
    <n v="0"/>
    <n v="0"/>
    <n v="31"/>
    <n v="0"/>
    <n v="0"/>
    <n v="4549"/>
    <n v="4250"/>
    <n v="4075"/>
    <n v="119"/>
    <n v="182"/>
    <n v="288"/>
    <n v="5419"/>
    <n v="6580"/>
    <n v="7230"/>
    <n v="223"/>
    <n v="6074"/>
    <n v="6738"/>
    <n v="5002"/>
    <n v="0"/>
    <n v="0"/>
    <n v="0"/>
    <n v="16"/>
    <n v="18"/>
    <n v="75"/>
    <n v="300"/>
    <n v="304"/>
    <n v="62"/>
    <n v="162"/>
    <n v="172"/>
    <n v="56"/>
    <n v="0"/>
    <n v="0"/>
    <n v="0"/>
    <n v="0"/>
    <n v="0"/>
    <n v="0"/>
    <n v="0"/>
    <n v="0"/>
    <n v="153"/>
    <n v="132"/>
    <n v="104"/>
    <n v="5"/>
    <n v="101"/>
    <n v="83"/>
    <n v="141"/>
    <n v="0"/>
    <n v="0"/>
    <n v="2"/>
    <n v="0"/>
    <n v="0"/>
    <n v="0"/>
    <n v="0"/>
    <n v="0"/>
    <n v="5"/>
    <n v="3"/>
    <n v="3"/>
    <n v="0"/>
    <n v="0"/>
    <n v="0"/>
    <n v="0"/>
    <n v="0"/>
    <n v="0"/>
    <n v="0"/>
    <n v="28"/>
    <n v="18"/>
    <n v="5098"/>
    <n v="6400"/>
    <n v="7131"/>
    <n v="4"/>
    <n v="3"/>
    <n v="2"/>
    <n v="615"/>
    <n v="196"/>
    <n v="248"/>
    <n v="0"/>
    <n v="0"/>
    <n v="0"/>
    <n v="325"/>
    <n v="369"/>
    <n v="539"/>
    <n v="0"/>
    <n v="0"/>
    <n v="0"/>
    <n v="124"/>
    <n v="165"/>
    <n v="324"/>
    <n v="201"/>
    <n v="204"/>
    <n v="215"/>
    <x v="33"/>
    <x v="36"/>
    <x v="38"/>
    <n v="-168"/>
    <n v="-48"/>
    <n v="-99"/>
    <n v="-168"/>
    <n v="-48"/>
    <n v="-99"/>
    <n v="500"/>
    <n v="550"/>
    <n v="481"/>
    <n v="500"/>
    <n v="55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446"/>
    <n v="395"/>
    <n v="338"/>
    <n v="418"/>
    <n v="377"/>
    <n v="5572"/>
    <n v="6712"/>
    <n v="7334"/>
    <n v="5598"/>
    <n v="6950"/>
    <n v="7612"/>
    <n v="26"/>
    <n v="238"/>
    <n v="278"/>
    <n v="170"/>
    <n v="370"/>
    <n v="278"/>
    <s v="priloha"/>
  </r>
  <r>
    <x v="42"/>
    <n v="65"/>
    <n v="0"/>
    <n v="10"/>
    <n v="10"/>
    <n v="30"/>
    <n v="30"/>
    <n v="20"/>
    <x v="8"/>
    <x v="1"/>
    <x v="3"/>
    <n v="30"/>
    <n v="30"/>
    <n v="40"/>
    <n v="0"/>
    <n v="2"/>
    <n v="1477"/>
    <n v="1493"/>
    <n v="1600"/>
    <n v="0"/>
    <n v="0"/>
    <n v="0"/>
    <n v="0"/>
    <n v="0"/>
    <n v="0"/>
    <n v="1477"/>
    <n v="1493"/>
    <n v="1600"/>
    <n v="0"/>
    <n v="0"/>
    <n v="0"/>
    <n v="183"/>
    <n v="177"/>
    <n v="181"/>
    <n v="1294"/>
    <n v="1315"/>
    <n v="1419"/>
    <n v="0"/>
    <n v="0"/>
    <n v="0"/>
    <n v="1477"/>
    <n v="1493"/>
    <n v="1600"/>
    <n v="1294"/>
    <n v="1316"/>
    <n v="1418"/>
    <n v="1172"/>
    <n v="1295"/>
    <n v="1316"/>
    <n v="122"/>
    <n v="21"/>
    <n v="102"/>
    <n v="183"/>
    <n v="177"/>
    <n v="182"/>
    <n v="0"/>
    <n v="0"/>
    <n v="0"/>
    <n v="0"/>
    <n v="0"/>
    <n v="0"/>
    <n v="183"/>
    <n v="177"/>
    <n v="182"/>
    <n v="0"/>
    <n v="0"/>
    <n v="0"/>
    <n v="904"/>
    <n v="1241"/>
    <n v="1473"/>
    <n v="253"/>
    <n v="405"/>
    <n v="450"/>
    <n v="531"/>
    <n v="490"/>
    <n v="510"/>
    <n v="55"/>
    <n v="283"/>
    <n v="445"/>
    <n v="0"/>
    <n v="0"/>
    <n v="0"/>
    <n v="65"/>
    <n v="57"/>
    <n v="60"/>
    <n v="0"/>
    <n v="0"/>
    <n v="56"/>
    <n v="1"/>
    <n v="7"/>
    <n v="7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950"/>
    <n v="1154"/>
    <n v="1488"/>
    <n v="64"/>
    <n v="10"/>
    <n v="19"/>
    <n v="0"/>
    <n v="2"/>
    <n v="2"/>
    <n v="0"/>
    <n v="0"/>
    <n v="0"/>
    <n v="482"/>
    <n v="424"/>
    <n v="408"/>
    <n v="42"/>
    <n v="32"/>
    <n v="47"/>
    <n v="316"/>
    <n v="268"/>
    <n v="189"/>
    <n v="124"/>
    <n v="123"/>
    <n v="172"/>
    <x v="34"/>
    <x v="37"/>
    <x v="39"/>
    <n v="47"/>
    <n v="-88"/>
    <n v="15"/>
    <n v="47"/>
    <n v="-88"/>
    <n v="15"/>
    <n v="83"/>
    <n v="109"/>
    <n v="88"/>
    <n v="83"/>
    <n v="109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109"/>
    <n v="88"/>
    <n v="76"/>
    <n v="109"/>
    <n v="88"/>
    <n v="912"/>
    <n v="1241"/>
    <n v="1473"/>
    <n v="1033"/>
    <n v="1263"/>
    <n v="1576"/>
    <n v="121"/>
    <n v="22"/>
    <n v="103"/>
    <n v="123"/>
    <n v="21"/>
    <n v="103"/>
    <s v="priloha"/>
  </r>
  <r>
    <x v="43"/>
    <n v="70"/>
    <n v="0"/>
    <n v="15"/>
    <n v="10"/>
    <n v="30"/>
    <n v="35"/>
    <n v="10"/>
    <x v="4"/>
    <x v="2"/>
    <x v="1"/>
    <n v="10"/>
    <n v="50"/>
    <n v="20"/>
    <n v="20"/>
    <n v="5"/>
    <n v="360"/>
    <n v="319"/>
    <n v="239"/>
    <n v="374"/>
    <n v="374"/>
    <n v="400"/>
    <n v="-258"/>
    <n v="-267"/>
    <n v="-295"/>
    <n v="244"/>
    <n v="212"/>
    <n v="134"/>
    <n v="0"/>
    <n v="0"/>
    <n v="0"/>
    <n v="95"/>
    <n v="122"/>
    <n v="23"/>
    <n v="149"/>
    <n v="90"/>
    <n v="111"/>
    <n v="0"/>
    <n v="0"/>
    <n v="0"/>
    <n v="360"/>
    <n v="319"/>
    <n v="239"/>
    <n v="99"/>
    <n v="1"/>
    <n v="217"/>
    <n v="83"/>
    <n v="82"/>
    <n v="82"/>
    <n v="16"/>
    <n v="-81"/>
    <n v="135"/>
    <n v="261"/>
    <n v="318"/>
    <n v="21"/>
    <n v="0"/>
    <n v="0"/>
    <n v="0"/>
    <n v="0"/>
    <n v="238"/>
    <n v="20"/>
    <n v="261"/>
    <n v="80"/>
    <n v="1"/>
    <n v="0"/>
    <n v="0"/>
    <n v="0"/>
    <n v="201"/>
    <n v="257"/>
    <n v="211"/>
    <n v="170"/>
    <n v="159"/>
    <n v="101"/>
    <n v="-22"/>
    <n v="48"/>
    <n v="53"/>
    <n v="0"/>
    <n v="0"/>
    <n v="0"/>
    <n v="290"/>
    <n v="0"/>
    <n v="0"/>
    <n v="1"/>
    <n v="0"/>
    <n v="9"/>
    <n v="4"/>
    <n v="8"/>
    <n v="29"/>
    <n v="50"/>
    <n v="4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160"/>
    <n v="427"/>
    <n v="0"/>
    <n v="0"/>
    <n v="0"/>
    <n v="23"/>
    <n v="33"/>
    <n v="243"/>
    <n v="0"/>
    <n v="0"/>
    <n v="0"/>
    <n v="87"/>
    <n v="50"/>
    <n v="43"/>
    <n v="21"/>
    <n v="0"/>
    <n v="0"/>
    <n v="52"/>
    <n v="29"/>
    <n v="33"/>
    <n v="14"/>
    <n v="21"/>
    <n v="10"/>
    <x v="35"/>
    <x v="38"/>
    <x v="40"/>
    <n v="109"/>
    <n v="-97"/>
    <n v="216"/>
    <n v="109"/>
    <n v="-97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57"/>
    <n v="211"/>
    <n v="310"/>
    <n v="160"/>
    <n v="427"/>
    <n v="109"/>
    <n v="-97"/>
    <n v="216"/>
    <n v="109"/>
    <n v="-97"/>
    <n v="216"/>
    <m/>
  </r>
  <r>
    <x v="44"/>
    <n v="385"/>
    <n v="25"/>
    <n v="45"/>
    <n v="15"/>
    <n v="8"/>
    <n v="5"/>
    <n v="2"/>
    <x v="0"/>
    <x v="1"/>
    <x v="6"/>
    <n v="20"/>
    <n v="50"/>
    <n v="5"/>
    <n v="25"/>
    <n v="6"/>
    <n v="61"/>
    <n v="124"/>
    <n v="210"/>
    <n v="91"/>
    <n v="91"/>
    <n v="82"/>
    <n v="-91"/>
    <n v="-91"/>
    <n v="-82"/>
    <n v="61"/>
    <n v="124"/>
    <n v="210"/>
    <m/>
    <n v="0"/>
    <n v="0"/>
    <n v="0"/>
    <n v="0"/>
    <n v="0"/>
    <n v="56"/>
    <n v="123"/>
    <n v="210"/>
    <n v="5"/>
    <n v="1"/>
    <n v="0"/>
    <n v="61"/>
    <n v="124"/>
    <n v="210"/>
    <n v="-64"/>
    <n v="-76"/>
    <n v="14"/>
    <n v="0"/>
    <n v="0"/>
    <n v="0"/>
    <n v="-64"/>
    <n v="-76"/>
    <n v="14"/>
    <n v="125"/>
    <n v="200"/>
    <n v="70"/>
    <n v="0"/>
    <n v="0"/>
    <n v="0"/>
    <n v="0"/>
    <n v="0"/>
    <n v="0"/>
    <n v="22"/>
    <n v="77"/>
    <n v="70"/>
    <n v="103"/>
    <n v="123"/>
    <n v="140"/>
    <n v="1422"/>
    <n v="1832"/>
    <n v="2480"/>
    <n v="275"/>
    <n v="1325"/>
    <n v="1556"/>
    <n v="946"/>
    <n v="0"/>
    <n v="1033"/>
    <n v="198"/>
    <n v="504"/>
    <n v="920"/>
    <n v="0"/>
    <n v="0"/>
    <n v="0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1"/>
    <n v="1820"/>
    <n v="2494"/>
    <n v="0"/>
    <n v="30"/>
    <n v="0"/>
    <n v="361"/>
    <n v="361"/>
    <n v="553"/>
    <n v="0"/>
    <n v="0"/>
    <n v="0"/>
    <n v="180"/>
    <n v="311"/>
    <n v="223"/>
    <n v="0"/>
    <n v="0"/>
    <n v="0"/>
    <n v="29"/>
    <n v="126"/>
    <n v="6"/>
    <n v="151"/>
    <n v="185"/>
    <n v="217"/>
    <x v="36"/>
    <x v="39"/>
    <x v="41"/>
    <n v="-71"/>
    <n v="12"/>
    <n v="14"/>
    <n v="-71"/>
    <n v="1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2"/>
    <n v="1832"/>
    <n v="2480"/>
    <n v="1351"/>
    <n v="1820"/>
    <n v="2494"/>
    <n v="-71"/>
    <n v="-12"/>
    <n v="14"/>
    <n v="-71"/>
    <n v="12"/>
    <n v="14"/>
    <s v="priloha"/>
  </r>
  <r>
    <x v="45"/>
    <n v="260"/>
    <n v="1"/>
    <n v="89"/>
    <n v="7"/>
    <n v="2"/>
    <n v="1"/>
    <n v="0"/>
    <x v="0"/>
    <x v="0"/>
    <x v="1"/>
    <n v="52"/>
    <n v="45"/>
    <n v="3"/>
    <n v="0"/>
    <n v="6"/>
    <n v="5522"/>
    <n v="5754"/>
    <n v="5801"/>
    <n v="7079"/>
    <n v="7079"/>
    <n v="7250"/>
    <n v="-4739"/>
    <n v="-4747"/>
    <n v="-4882"/>
    <n v="3182"/>
    <n v="3422"/>
    <n v="3433"/>
    <n v="0"/>
    <n v="0"/>
    <n v="0"/>
    <n v="151"/>
    <n v="177"/>
    <n v="161"/>
    <n v="3031"/>
    <n v="3285"/>
    <n v="3315"/>
    <n v="0"/>
    <n v="-40"/>
    <n v="-43"/>
    <n v="5522"/>
    <n v="5754"/>
    <n v="5801"/>
    <n v="5230"/>
    <n v="5505"/>
    <n v="5537"/>
    <n v="4352"/>
    <n v="4352"/>
    <n v="4352"/>
    <n v="878"/>
    <n v="1153"/>
    <n v="1185"/>
    <n v="292"/>
    <n v="249"/>
    <n v="264"/>
    <n v="0"/>
    <n v="0"/>
    <n v="0"/>
    <n v="0"/>
    <n v="0"/>
    <n v="0"/>
    <n v="292"/>
    <n v="236"/>
    <n v="260"/>
    <n v="0"/>
    <n v="13"/>
    <n v="4"/>
    <n v="3562"/>
    <n v="4108"/>
    <n v="5480"/>
    <n v="1047"/>
    <n v="2905"/>
    <n v="3688"/>
    <n v="1665"/>
    <n v="0"/>
    <n v="0"/>
    <n v="624"/>
    <n v="1005"/>
    <n v="1461"/>
    <n v="5"/>
    <n v="6"/>
    <n v="6"/>
    <n v="164"/>
    <n v="150"/>
    <n v="191"/>
    <n v="24"/>
    <n v="8"/>
    <n v="134"/>
    <n v="33"/>
    <n v="34"/>
    <n v="0"/>
    <n v="0"/>
    <n v="0"/>
    <n v="0"/>
    <n v="397"/>
    <n v="499"/>
    <n v="396"/>
    <n v="0"/>
    <n v="57"/>
    <n v="1"/>
    <n v="16"/>
    <n v="0"/>
    <n v="0"/>
    <n v="382"/>
    <n v="413"/>
    <n v="368"/>
    <n v="0"/>
    <n v="0"/>
    <n v="0"/>
    <n v="-1"/>
    <n v="4"/>
    <n v="0"/>
    <n v="0"/>
    <n v="0"/>
    <n v="0"/>
    <n v="0"/>
    <n v="0"/>
    <n v="0"/>
    <n v="0"/>
    <n v="15"/>
    <n v="22"/>
    <n v="3395"/>
    <n v="4086"/>
    <n v="5120"/>
    <n v="203"/>
    <n v="126"/>
    <n v="576"/>
    <n v="91"/>
    <n v="54"/>
    <n v="33"/>
    <n v="0"/>
    <n v="0"/>
    <n v="0"/>
    <n v="1799"/>
    <n v="1922"/>
    <n v="2073"/>
    <n v="570"/>
    <n v="15"/>
    <n v="48"/>
    <n v="255"/>
    <n v="683"/>
    <n v="567"/>
    <n v="974"/>
    <n v="1224"/>
    <n v="1458"/>
    <x v="37"/>
    <x v="40"/>
    <x v="42"/>
    <n v="-167"/>
    <n v="-22"/>
    <n v="-360"/>
    <n v="-167"/>
    <n v="-22"/>
    <n v="-360"/>
    <n v="920"/>
    <n v="796"/>
    <n v="788"/>
    <n v="915"/>
    <n v="795"/>
    <n v="788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312"/>
    <n v="414"/>
    <n v="479"/>
    <n v="297"/>
    <n v="392"/>
    <n v="3959"/>
    <n v="4607"/>
    <n v="5876"/>
    <n v="4315"/>
    <n v="4882"/>
    <n v="5908"/>
    <n v="356"/>
    <n v="275"/>
    <n v="32"/>
    <n v="312"/>
    <n v="275"/>
    <n v="32"/>
    <m/>
  </r>
  <r>
    <x v="46"/>
    <n v="50"/>
    <n v="0"/>
    <n v="74"/>
    <n v="14"/>
    <n v="5"/>
    <n v="5"/>
    <n v="2"/>
    <x v="2"/>
    <x v="0"/>
    <x v="3"/>
    <n v="46"/>
    <n v="50"/>
    <n v="2"/>
    <n v="2"/>
    <n v="5"/>
    <n v="2336"/>
    <n v="2109"/>
    <n v="1928"/>
    <n v="2074"/>
    <n v="2074"/>
    <n v="2074"/>
    <n v="-351"/>
    <n v="-571"/>
    <n v="-791"/>
    <n v="611"/>
    <n v="575"/>
    <n v="644"/>
    <n v="453"/>
    <n v="453"/>
    <n v="453"/>
    <n v="0"/>
    <n v="0"/>
    <n v="0"/>
    <n v="117"/>
    <n v="122"/>
    <n v="172"/>
    <n v="41"/>
    <n v="30"/>
    <n v="19"/>
    <n v="2236"/>
    <n v="2109"/>
    <n v="1928"/>
    <n v="2236"/>
    <n v="2109"/>
    <n v="1928"/>
    <n v="1093"/>
    <n v="1093"/>
    <n v="1093"/>
    <n v="1243"/>
    <n v="1016"/>
    <n v="835"/>
    <n v="0"/>
    <n v="0"/>
    <n v="0"/>
    <n v="0"/>
    <n v="0"/>
    <n v="0"/>
    <n v="0"/>
    <n v="0"/>
    <n v="0"/>
    <n v="0"/>
    <n v="0"/>
    <n v="0"/>
    <n v="0"/>
    <n v="0"/>
    <n v="0"/>
    <n v="969"/>
    <n v="1637"/>
    <n v="2009"/>
    <n v="152"/>
    <n v="602"/>
    <n v="966"/>
    <n v="487"/>
    <n v="649"/>
    <n v="566"/>
    <n v="110"/>
    <n v="137"/>
    <n v="217"/>
    <n v="0"/>
    <n v="0"/>
    <n v="0"/>
    <n v="0"/>
    <n v="29"/>
    <n v="41"/>
    <n v="220"/>
    <n v="22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1409"/>
    <n v="1828"/>
    <n v="3"/>
    <n v="0"/>
    <n v="20"/>
    <n v="55"/>
    <n v="146"/>
    <n v="38"/>
    <n v="0"/>
    <n v="0"/>
    <n v="0"/>
    <n v="197"/>
    <n v="378"/>
    <n v="690"/>
    <n v="0"/>
    <n v="206"/>
    <n v="445"/>
    <n v="177"/>
    <n v="102"/>
    <n v="198"/>
    <n v="20"/>
    <n v="70"/>
    <n v="48"/>
    <x v="2"/>
    <x v="41"/>
    <x v="43"/>
    <n v="-714"/>
    <n v="-227"/>
    <n v="-181"/>
    <n v="-714"/>
    <n v="-227"/>
    <n v="-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1637"/>
    <n v="2009"/>
    <n v="255"/>
    <n v="1409"/>
    <n v="1828"/>
    <n v="-714"/>
    <n v="-228"/>
    <n v="-181"/>
    <n v="-714"/>
    <n v="-227"/>
    <n v="-181"/>
    <m/>
  </r>
  <r>
    <x v="47"/>
    <n v="255"/>
    <n v="10"/>
    <n v="50"/>
    <n v="0"/>
    <n v="20"/>
    <n v="15"/>
    <n v="5"/>
    <x v="4"/>
    <x v="2"/>
    <x v="3"/>
    <n v="10"/>
    <n v="10"/>
    <n v="5"/>
    <n v="75"/>
    <n v="3"/>
    <n v="42968"/>
    <n v="43707"/>
    <n v="44429"/>
    <n v="50908"/>
    <n v="50809"/>
    <n v="51513"/>
    <n v="-10594"/>
    <n v="-10428"/>
    <n v="-11026"/>
    <n v="2654"/>
    <n v="3326"/>
    <n v="3942"/>
    <n v="0"/>
    <n v="0"/>
    <n v="0"/>
    <n v="446"/>
    <n v="367"/>
    <n v="325"/>
    <n v="2182"/>
    <n v="2926"/>
    <n v="3534"/>
    <n v="26"/>
    <n v="33"/>
    <n v="83"/>
    <n v="42968"/>
    <n v="43707"/>
    <n v="44429"/>
    <n v="42168"/>
    <n v="42914"/>
    <n v="42854"/>
    <n v="41773"/>
    <n v="42200"/>
    <n v="42567"/>
    <n v="395"/>
    <n v="714"/>
    <n v="287"/>
    <n v="800"/>
    <n v="793"/>
    <n v="1575"/>
    <n v="0"/>
    <n v="0"/>
    <n v="0"/>
    <n v="0"/>
    <n v="300"/>
    <n v="200"/>
    <n v="436"/>
    <n v="300"/>
    <n v="64"/>
    <n v="364"/>
    <n v="193"/>
    <n v="0"/>
    <n v="2218"/>
    <n v="2895"/>
    <n v="3491"/>
    <n v="1899"/>
    <n v="1588"/>
    <n v="1840"/>
    <n v="0"/>
    <n v="0"/>
    <n v="0"/>
    <n v="295"/>
    <n v="442"/>
    <n v="607"/>
    <n v="0"/>
    <n v="0"/>
    <n v="0"/>
    <n v="0"/>
    <n v="322"/>
    <n v="405"/>
    <n v="0"/>
    <n v="536"/>
    <n v="593"/>
    <n v="24"/>
    <n v="7"/>
    <n v="46"/>
    <n v="0"/>
    <n v="0"/>
    <n v="0"/>
    <n v="890"/>
    <n v="1061"/>
    <n v="1246"/>
    <n v="890"/>
    <n v="674"/>
    <n v="808"/>
    <n v="0"/>
    <n v="0"/>
    <n v="0"/>
    <n v="0"/>
    <n v="30"/>
    <n v="61"/>
    <n v="0"/>
    <n v="43"/>
    <n v="90"/>
    <n v="0"/>
    <n v="57"/>
    <n v="58"/>
    <n v="0"/>
    <n v="111"/>
    <n v="112"/>
    <n v="0"/>
    <n v="0"/>
    <n v="0"/>
    <n v="0"/>
    <n v="146"/>
    <n v="117"/>
    <n v="1462"/>
    <n v="2658"/>
    <n v="2980"/>
    <n v="942"/>
    <n v="9"/>
    <n v="17"/>
    <n v="0"/>
    <n v="348"/>
    <n v="494"/>
    <n v="0"/>
    <n v="0"/>
    <n v="0"/>
    <n v="104"/>
    <n v="1828"/>
    <n v="1522"/>
    <n v="0"/>
    <n v="637"/>
    <n v="428"/>
    <n v="104"/>
    <n v="247"/>
    <n v="77"/>
    <n v="0"/>
    <n v="944"/>
    <n v="1017"/>
    <x v="38"/>
    <x v="42"/>
    <x v="44"/>
    <n v="-756"/>
    <n v="-237"/>
    <n v="-511"/>
    <n v="-756"/>
    <n v="-237"/>
    <n v="-511"/>
    <n v="2218"/>
    <n v="2012"/>
    <n v="2044"/>
    <n v="2218"/>
    <n v="2012"/>
    <n v="2003"/>
    <n v="0"/>
    <n v="0"/>
    <n v="36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1328"/>
    <n v="1097"/>
    <n v="915"/>
    <n v="1151"/>
    <n v="951"/>
    <n v="798"/>
    <n v="3108"/>
    <n v="3956"/>
    <n v="4737"/>
    <n v="3680"/>
    <n v="4670"/>
    <n v="5024"/>
    <n v="572"/>
    <n v="714"/>
    <n v="287"/>
    <n v="395"/>
    <n v="714"/>
    <n v="287"/>
    <s v="priloha"/>
  </r>
  <r>
    <x v="48"/>
    <n v="92"/>
    <n v="3"/>
    <n v="50"/>
    <n v="15"/>
    <n v="14"/>
    <n v="17"/>
    <n v="1"/>
    <x v="10"/>
    <x v="0"/>
    <x v="5"/>
    <n v="80"/>
    <n v="15"/>
    <n v="5"/>
    <n v="0"/>
    <n v="5"/>
    <n v="142"/>
    <n v="125"/>
    <n v="197"/>
    <n v="0"/>
    <n v="0"/>
    <n v="0"/>
    <n v="0"/>
    <n v="0"/>
    <n v="0"/>
    <n v="142"/>
    <n v="125"/>
    <n v="197"/>
    <n v="0"/>
    <n v="0"/>
    <n v="0"/>
    <n v="20"/>
    <n v="22"/>
    <n v="36"/>
    <n v="122"/>
    <n v="103"/>
    <n v="161"/>
    <n v="0"/>
    <n v="0"/>
    <n v="0"/>
    <n v="142"/>
    <n v="125"/>
    <n v="197"/>
    <n v="142"/>
    <n v="103"/>
    <n v="197"/>
    <n v="119"/>
    <n v="142"/>
    <n v="103"/>
    <n v="23"/>
    <n v="-39"/>
    <n v="94"/>
    <n v="0"/>
    <n v="22"/>
    <n v="0"/>
    <n v="0"/>
    <n v="0"/>
    <n v="0"/>
    <n v="0"/>
    <n v="0"/>
    <n v="0"/>
    <n v="0"/>
    <n v="22"/>
    <n v="0"/>
    <n v="0"/>
    <n v="0"/>
    <n v="0"/>
    <n v="524"/>
    <n v="619"/>
    <n v="648"/>
    <n v="214"/>
    <n v="616"/>
    <n v="594"/>
    <n v="307"/>
    <n v="0"/>
    <n v="0"/>
    <n v="0"/>
    <n v="3"/>
    <n v="50"/>
    <n v="0"/>
    <n v="0"/>
    <n v="2"/>
    <n v="2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580"/>
    <n v="742"/>
    <n v="62"/>
    <n v="19"/>
    <n v="27"/>
    <n v="25"/>
    <n v="37"/>
    <n v="22"/>
    <n v="0"/>
    <n v="0"/>
    <n v="0"/>
    <n v="324"/>
    <n v="256"/>
    <n v="287"/>
    <n v="0"/>
    <n v="0"/>
    <n v="0"/>
    <n v="94"/>
    <n v="9"/>
    <n v="14"/>
    <n v="230"/>
    <n v="247"/>
    <n v="273"/>
    <x v="39"/>
    <x v="43"/>
    <x v="45"/>
    <n v="23"/>
    <n v="-39"/>
    <n v="94"/>
    <n v="23"/>
    <n v="-39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619"/>
    <n v="648"/>
    <n v="547"/>
    <n v="580"/>
    <n v="742"/>
    <n v="23"/>
    <n v="-39"/>
    <n v="94"/>
    <n v="23"/>
    <n v="-39"/>
    <n v="94"/>
    <m/>
  </r>
  <r>
    <x v="49"/>
    <n v="21"/>
    <n v="0"/>
    <n v="0"/>
    <n v="15"/>
    <n v="20"/>
    <n v="60"/>
    <n v="5"/>
    <x v="8"/>
    <x v="1"/>
    <x v="4"/>
    <n v="30"/>
    <n v="0"/>
    <n v="70"/>
    <n v="0"/>
    <n v="7"/>
    <n v="1538"/>
    <n v="1936"/>
    <n v="1936"/>
    <n v="0"/>
    <n v="0"/>
    <n v="0"/>
    <n v="0"/>
    <n v="0"/>
    <n v="0"/>
    <n v="1583"/>
    <n v="1936"/>
    <n v="1936"/>
    <n v="0"/>
    <n v="0"/>
    <n v="63"/>
    <n v="204"/>
    <n v="63"/>
    <n v="0"/>
    <n v="1379"/>
    <n v="1873"/>
    <n v="187363"/>
    <n v="0"/>
    <n v="0"/>
    <n v="0"/>
    <n v="1538"/>
    <n v="1936"/>
    <n v="1936"/>
    <n v="1492"/>
    <n v="1836"/>
    <n v="1836"/>
    <n v="1473"/>
    <n v="1648"/>
    <n v="1648"/>
    <n v="19"/>
    <n v="188"/>
    <n v="188"/>
    <n v="91"/>
    <n v="100"/>
    <n v="100"/>
    <n v="0"/>
    <n v="0"/>
    <n v="0"/>
    <n v="0"/>
    <n v="0"/>
    <n v="0"/>
    <n v="91"/>
    <n v="100"/>
    <n v="100"/>
    <n v="0"/>
    <n v="0"/>
    <n v="0"/>
    <n v="1965"/>
    <n v="1814"/>
    <n v="2518"/>
    <n v="606"/>
    <n v="1746"/>
    <n v="2298"/>
    <n v="1171"/>
    <n v="0"/>
    <n v="0"/>
    <n v="73"/>
    <n v="67"/>
    <n v="220"/>
    <n v="0"/>
    <n v="0"/>
    <n v="0"/>
    <n v="115"/>
    <n v="1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"/>
    <n v="1878"/>
    <n v="2295"/>
    <n v="1271"/>
    <n v="44"/>
    <n v="59"/>
    <n v="549"/>
    <n v="171"/>
    <n v="71"/>
    <n v="0"/>
    <n v="0"/>
    <n v="0"/>
    <n v="0"/>
    <n v="1246"/>
    <n v="1111"/>
    <n v="0"/>
    <n v="0"/>
    <n v="59"/>
    <n v="0"/>
    <n v="0"/>
    <n v="73"/>
    <n v="0"/>
    <n v="1246"/>
    <n v="979"/>
    <x v="2"/>
    <x v="44"/>
    <x v="46"/>
    <n v="-145"/>
    <n v="64"/>
    <n v="-223"/>
    <n v="-145"/>
    <n v="64"/>
    <n v="-223"/>
    <n v="149"/>
    <n v="95"/>
    <n v="408"/>
    <n v="149"/>
    <n v="95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95"/>
    <n v="408"/>
    <n v="147"/>
    <n v="95"/>
    <n v="408"/>
    <n v="1968"/>
    <n v="1814"/>
    <n v="2518"/>
    <n v="1969"/>
    <n v="1973"/>
    <n v="2703"/>
    <n v="1"/>
    <n v="159"/>
    <n v="185"/>
    <n v="2"/>
    <n v="159"/>
    <n v="185"/>
    <m/>
  </r>
  <r>
    <x v="50"/>
    <n v="31"/>
    <n v="5"/>
    <n v="30"/>
    <n v="10"/>
    <n v="15"/>
    <n v="20"/>
    <n v="20"/>
    <x v="6"/>
    <x v="0"/>
    <x v="0"/>
    <n v="20"/>
    <n v="50"/>
    <n v="15"/>
    <n v="15"/>
    <n v="6"/>
    <n v="1117"/>
    <n v="1144"/>
    <n v="1229"/>
    <n v="1513"/>
    <n v="1513"/>
    <n v="1513"/>
    <n v="-1070"/>
    <n v="-1070"/>
    <n v="-1070"/>
    <n v="674"/>
    <n v="701"/>
    <n v="786"/>
    <n v="602"/>
    <n v="612"/>
    <n v="668"/>
    <n v="0"/>
    <n v="0"/>
    <n v="0"/>
    <n v="72"/>
    <n v="89"/>
    <n v="118"/>
    <n v="0"/>
    <n v="0"/>
    <n v="0"/>
    <n v="1117"/>
    <n v="1144"/>
    <n v="1229"/>
    <n v="1117"/>
    <n v="1144"/>
    <n v="1229"/>
    <n v="1117"/>
    <n v="1129"/>
    <n v="1194"/>
    <n v="0"/>
    <n v="15"/>
    <n v="35"/>
    <n v="0"/>
    <n v="0"/>
    <n v="0"/>
    <n v="0"/>
    <n v="0"/>
    <n v="0"/>
    <n v="0"/>
    <n v="0"/>
    <n v="0"/>
    <n v="0"/>
    <n v="0"/>
    <n v="0"/>
    <n v="0"/>
    <n v="0"/>
    <n v="0"/>
    <n v="136"/>
    <n v="138"/>
    <n v="229"/>
    <n v="99"/>
    <n v="103"/>
    <n v="99"/>
    <n v="35"/>
    <n v="32"/>
    <n v="59"/>
    <n v="0"/>
    <n v="0"/>
    <n v="0"/>
    <n v="2"/>
    <n v="3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53"/>
    <n v="264"/>
    <n v="0"/>
    <n v="0"/>
    <n v="0"/>
    <n v="10"/>
    <n v="21"/>
    <n v="17"/>
    <n v="0"/>
    <n v="0"/>
    <n v="0"/>
    <n v="67"/>
    <n v="74"/>
    <n v="125"/>
    <n v="29"/>
    <n v="32"/>
    <n v="74"/>
    <n v="16"/>
    <n v="17"/>
    <n v="9"/>
    <n v="22"/>
    <n v="25"/>
    <n v="42"/>
    <x v="40"/>
    <x v="45"/>
    <x v="47"/>
    <n v="0"/>
    <n v="15"/>
    <n v="35"/>
    <n v="0"/>
    <n v="1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38"/>
    <n v="229"/>
    <n v="136"/>
    <n v="153"/>
    <n v="264"/>
    <n v="0"/>
    <n v="15"/>
    <n v="35"/>
    <n v="0"/>
    <n v="15"/>
    <n v="35"/>
    <m/>
  </r>
  <r>
    <x v="51"/>
    <n v="217"/>
    <n v="0"/>
    <n v="97"/>
    <n v="0"/>
    <n v="2"/>
    <n v="0"/>
    <n v="1"/>
    <x v="8"/>
    <x v="0"/>
    <x v="5"/>
    <n v="60"/>
    <n v="40"/>
    <n v="0"/>
    <n v="0"/>
    <n v="5"/>
    <n v="52"/>
    <n v="95"/>
    <n v="66"/>
    <n v="25"/>
    <n v="25"/>
    <n v="25"/>
    <n v="0"/>
    <n v="0"/>
    <n v="0"/>
    <n v="27"/>
    <n v="70"/>
    <n v="41"/>
    <n v="0"/>
    <n v="0"/>
    <n v="0"/>
    <n v="2"/>
    <n v="2"/>
    <n v="1"/>
    <n v="25"/>
    <n v="68"/>
    <n v="40"/>
    <n v="0"/>
    <n v="0"/>
    <n v="0"/>
    <n v="52"/>
    <n v="95"/>
    <n v="66"/>
    <n v="52"/>
    <n v="93"/>
    <n v="66"/>
    <n v="43"/>
    <n v="52"/>
    <n v="93"/>
    <n v="9"/>
    <n v="41"/>
    <n v="-27"/>
    <n v="0"/>
    <n v="2"/>
    <n v="0"/>
    <n v="0"/>
    <n v="0"/>
    <n v="0"/>
    <n v="0"/>
    <n v="0"/>
    <n v="0"/>
    <n v="0"/>
    <n v="2"/>
    <n v="0"/>
    <n v="0"/>
    <n v="0"/>
    <n v="0"/>
    <n v="84"/>
    <n v="146"/>
    <n v="127"/>
    <n v="11"/>
    <n v="131"/>
    <n v="99"/>
    <n v="58"/>
    <n v="0"/>
    <n v="0"/>
    <n v="11"/>
    <n v="12"/>
    <n v="15"/>
    <n v="0"/>
    <n v="0"/>
    <n v="0"/>
    <n v="4"/>
    <n v="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86"/>
    <n v="100"/>
    <n v="0"/>
    <n v="0"/>
    <n v="0"/>
    <n v="13"/>
    <n v="0"/>
    <n v="0"/>
    <n v="0"/>
    <n v="0"/>
    <n v="0"/>
    <n v="80"/>
    <n v="48"/>
    <n v="100"/>
    <n v="0"/>
    <n v="0"/>
    <n v="0"/>
    <n v="54"/>
    <n v="15"/>
    <n v="67"/>
    <n v="26"/>
    <n v="33"/>
    <n v="33"/>
    <x v="2"/>
    <x v="46"/>
    <x v="23"/>
    <n v="9"/>
    <n v="40"/>
    <n v="-27"/>
    <n v="9"/>
    <n v="40"/>
    <n v="-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46"/>
    <n v="127"/>
    <n v="93"/>
    <n v="186"/>
    <n v="100"/>
    <n v="9"/>
    <n v="40"/>
    <n v="-27"/>
    <n v="9"/>
    <n v="40"/>
    <n v="-27"/>
    <m/>
  </r>
  <r>
    <x v="52"/>
    <n v="10"/>
    <n v="0"/>
    <n v="30"/>
    <n v="0"/>
    <n v="20"/>
    <n v="10"/>
    <n v="40"/>
    <x v="0"/>
    <x v="1"/>
    <x v="3"/>
    <n v="10"/>
    <n v="90"/>
    <n v="0"/>
    <n v="0"/>
    <n v="5"/>
    <n v="64872"/>
    <n v="60997"/>
    <n v="59187"/>
    <n v="97138"/>
    <n v="97248"/>
    <n v="96279"/>
    <n v="-33956"/>
    <n v="-37114"/>
    <n v="-39130"/>
    <n v="1690"/>
    <n v="863"/>
    <n v="2038"/>
    <n v="0"/>
    <n v="0"/>
    <n v="0"/>
    <n v="1169"/>
    <n v="814"/>
    <n v="1985"/>
    <n v="508"/>
    <n v="43"/>
    <n v="47"/>
    <n v="13"/>
    <n v="6"/>
    <n v="6"/>
    <n v="64872"/>
    <n v="60997"/>
    <n v="59187"/>
    <n v="58389"/>
    <n v="57294"/>
    <n v="55128"/>
    <n v="60301"/>
    <n v="57251"/>
    <n v="56146"/>
    <n v="-1912"/>
    <n v="43"/>
    <n v="-1018"/>
    <n v="6483"/>
    <n v="3703"/>
    <n v="4059"/>
    <n v="0"/>
    <n v="0"/>
    <n v="0"/>
    <n v="0"/>
    <n v="0"/>
    <n v="0"/>
    <n v="5767"/>
    <n v="3205"/>
    <n v="3474"/>
    <n v="716"/>
    <n v="498"/>
    <n v="585"/>
    <n v="11203"/>
    <n v="11933"/>
    <n v="10542"/>
    <n v="1861"/>
    <n v="4994"/>
    <n v="4426"/>
    <n v="2996"/>
    <n v="0"/>
    <n v="0"/>
    <n v="2024"/>
    <n v="2321"/>
    <n v="1909"/>
    <n v="118"/>
    <n v="227"/>
    <n v="338"/>
    <n v="1320"/>
    <n v="1553"/>
    <n v="3869"/>
    <n v="2884"/>
    <n v="2838"/>
    <n v="0"/>
    <n v="0"/>
    <n v="0"/>
    <n v="0"/>
    <n v="0"/>
    <n v="0"/>
    <n v="0"/>
    <n v="1728"/>
    <n v="1395"/>
    <n v="1759"/>
    <n v="625"/>
    <n v="752"/>
    <n v="1067"/>
    <n v="361"/>
    <n v="0"/>
    <n v="0"/>
    <n v="359"/>
    <n v="318"/>
    <n v="305"/>
    <n v="32"/>
    <n v="42"/>
    <n v="65"/>
    <n v="48"/>
    <n v="40"/>
    <n v="322"/>
    <n v="303"/>
    <n v="243"/>
    <n v="0"/>
    <n v="0"/>
    <n v="0"/>
    <n v="0"/>
    <n v="0"/>
    <n v="0"/>
    <n v="0"/>
    <n v="9050"/>
    <n v="11560"/>
    <n v="9207"/>
    <n v="3455"/>
    <n v="3343"/>
    <n v="3573"/>
    <n v="1815"/>
    <n v="4158"/>
    <n v="3207"/>
    <n v="1"/>
    <n v="3"/>
    <n v="27"/>
    <n v="3779"/>
    <n v="3847"/>
    <n v="2204"/>
    <n v="1046"/>
    <n v="1236"/>
    <n v="547"/>
    <n v="1445"/>
    <n v="1380"/>
    <n v="1023"/>
    <n v="1288"/>
    <n v="1231"/>
    <n v="634"/>
    <x v="2"/>
    <x v="47"/>
    <x v="48"/>
    <n v="-2153"/>
    <n v="-373"/>
    <n v="-1335"/>
    <n v="-2153"/>
    <n v="-373"/>
    <n v="-1335"/>
    <n v="1969"/>
    <n v="1811"/>
    <n v="2076"/>
    <n v="1969"/>
    <n v="1811"/>
    <n v="2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416"/>
    <n v="317"/>
    <n v="241"/>
    <n v="416"/>
    <n v="317"/>
    <n v="12931"/>
    <n v="13328"/>
    <n v="12301"/>
    <n v="11019"/>
    <n v="13371"/>
    <n v="11283"/>
    <n v="-1912"/>
    <n v="43"/>
    <n v="-1018"/>
    <n v="-1912"/>
    <n v="43"/>
    <n v="-1018"/>
    <m/>
  </r>
  <r>
    <x v="53"/>
    <n v="176"/>
    <n v="4"/>
    <n v="59"/>
    <n v="17"/>
    <n v="12"/>
    <n v="6"/>
    <n v="2"/>
    <x v="0"/>
    <x v="0"/>
    <x v="6"/>
    <n v="30"/>
    <n v="50"/>
    <n v="15"/>
    <n v="5"/>
    <n v="6"/>
    <n v="12700"/>
    <n v="11888"/>
    <n v="11295"/>
    <n v="20365"/>
    <n v="20468"/>
    <n v="20468"/>
    <n v="-8081"/>
    <n v="-8908"/>
    <n v="-9693"/>
    <n v="416"/>
    <n v="328"/>
    <n v="520"/>
    <n v="0"/>
    <n v="0"/>
    <n v="0"/>
    <n v="24"/>
    <n v="23"/>
    <n v="47"/>
    <n v="283"/>
    <n v="197"/>
    <n v="373"/>
    <n v="109"/>
    <n v="108"/>
    <n v="100"/>
    <n v="12700"/>
    <n v="11888"/>
    <n v="11295"/>
    <n v="12071"/>
    <n v="11282"/>
    <n v="10790"/>
    <n v="12026"/>
    <n v="11526"/>
    <n v="10744"/>
    <n v="45"/>
    <n v="-244"/>
    <n v="46"/>
    <n v="629"/>
    <n v="606"/>
    <n v="505"/>
    <n v="0"/>
    <n v="0"/>
    <n v="0"/>
    <n v="0"/>
    <n v="0"/>
    <n v="0"/>
    <n v="25"/>
    <n v="49"/>
    <n v="15"/>
    <n v="604"/>
    <n v="557"/>
    <n v="0"/>
    <n v="1695"/>
    <n v="2103"/>
    <n v="1850"/>
    <n v="319"/>
    <n v="1299"/>
    <n v="1041"/>
    <n v="636"/>
    <n v="0"/>
    <n v="0"/>
    <n v="105"/>
    <n v="127"/>
    <n v="157"/>
    <n v="1"/>
    <n v="0"/>
    <n v="0"/>
    <n v="18"/>
    <n v="19"/>
    <n v="18"/>
    <n v="597"/>
    <n v="638"/>
    <n v="602"/>
    <n v="19"/>
    <n v="20"/>
    <n v="32"/>
    <n v="0"/>
    <n v="0"/>
    <n v="0"/>
    <n v="218"/>
    <n v="361"/>
    <n v="242"/>
    <n v="0"/>
    <n v="159"/>
    <n v="40"/>
    <n v="16"/>
    <n v="0"/>
    <n v="0"/>
    <n v="0"/>
    <n v="0"/>
    <n v="0"/>
    <n v="11"/>
    <n v="11"/>
    <n v="11"/>
    <n v="9"/>
    <n v="9"/>
    <n v="9"/>
    <n v="182"/>
    <n v="182"/>
    <n v="182"/>
    <n v="0"/>
    <n v="0"/>
    <n v="0"/>
    <n v="0"/>
    <n v="0"/>
    <n v="0"/>
    <n v="1540"/>
    <n v="1810"/>
    <n v="1725"/>
    <n v="115"/>
    <n v="233"/>
    <n v="115"/>
    <n v="5487"/>
    <n v="599"/>
    <n v="537"/>
    <n v="0"/>
    <n v="0"/>
    <n v="0"/>
    <n v="404"/>
    <n v="473"/>
    <n v="538"/>
    <n v="0"/>
    <n v="0"/>
    <n v="193"/>
    <n v="220"/>
    <n v="234"/>
    <n v="52"/>
    <n v="184"/>
    <n v="239"/>
    <n v="293"/>
    <x v="41"/>
    <x v="48"/>
    <x v="49"/>
    <n v="-155"/>
    <n v="-293"/>
    <n v="-125"/>
    <n v="-155"/>
    <n v="-293"/>
    <n v="-125"/>
    <n v="418"/>
    <n v="410"/>
    <n v="413"/>
    <n v="418"/>
    <n v="41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49"/>
    <n v="171"/>
    <n v="200"/>
    <n v="49"/>
    <n v="171"/>
    <n v="1913"/>
    <n v="2464"/>
    <n v="2092"/>
    <n v="1958"/>
    <n v="2220"/>
    <n v="2138"/>
    <n v="45"/>
    <n v="-244"/>
    <n v="46"/>
    <n v="45"/>
    <n v="-244"/>
    <n v="46"/>
    <m/>
  </r>
  <r>
    <x v="54"/>
    <n v="117"/>
    <n v="0"/>
    <n v="0"/>
    <n v="5"/>
    <n v="40"/>
    <n v="40"/>
    <n v="15"/>
    <x v="0"/>
    <x v="2"/>
    <x v="5"/>
    <n v="30"/>
    <n v="30"/>
    <n v="40"/>
    <n v="0"/>
    <n v="5"/>
    <n v="23"/>
    <n v="23"/>
    <n v="64"/>
    <n v="0"/>
    <n v="0"/>
    <n v="0"/>
    <n v="0"/>
    <n v="0"/>
    <n v="0"/>
    <n v="23"/>
    <n v="23"/>
    <n v="64"/>
    <n v="0"/>
    <n v="0"/>
    <n v="0"/>
    <n v="0"/>
    <n v="0"/>
    <n v="0"/>
    <n v="23"/>
    <n v="23"/>
    <n v="64"/>
    <n v="0"/>
    <n v="0"/>
    <n v="0"/>
    <n v="23"/>
    <n v="23"/>
    <n v="64"/>
    <n v="0"/>
    <n v="0"/>
    <n v="0"/>
    <n v="0"/>
    <n v="0"/>
    <n v="0"/>
    <n v="0"/>
    <n v="0"/>
    <n v="0"/>
    <n v="23"/>
    <n v="23"/>
    <n v="64"/>
    <n v="0"/>
    <n v="0"/>
    <n v="0"/>
    <n v="0"/>
    <n v="0"/>
    <n v="0"/>
    <n v="23"/>
    <n v="23"/>
    <n v="64"/>
    <n v="0"/>
    <n v="0"/>
    <n v="0"/>
    <n v="111"/>
    <n v="111"/>
    <n v="158"/>
    <n v="60"/>
    <n v="60"/>
    <n v="66"/>
    <n v="42"/>
    <n v="42"/>
    <n v="85"/>
    <n v="0"/>
    <n v="0"/>
    <n v="0"/>
    <n v="0"/>
    <n v="0"/>
    <n v="0"/>
    <n v="0"/>
    <n v="0"/>
    <n v="0"/>
    <n v="0"/>
    <n v="0"/>
    <n v="0"/>
    <n v="9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111"/>
    <n v="158"/>
    <n v="0"/>
    <n v="0"/>
    <n v="0"/>
    <n v="0"/>
    <n v="0"/>
    <n v="0"/>
    <n v="0"/>
    <n v="0"/>
    <n v="0"/>
    <n v="63"/>
    <n v="63"/>
    <n v="73"/>
    <n v="0"/>
    <n v="0"/>
    <n v="0"/>
    <n v="60"/>
    <n v="60"/>
    <n v="70"/>
    <n v="3"/>
    <n v="3"/>
    <n v="3"/>
    <x v="42"/>
    <x v="49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111"/>
    <n v="111"/>
    <n v="158"/>
    <n v="111"/>
    <n v="111"/>
    <n v="158"/>
    <n v="0"/>
    <n v="0"/>
    <n v="0"/>
    <n v="0"/>
    <n v="0"/>
    <n v="0"/>
    <m/>
  </r>
  <r>
    <x v="55"/>
    <n v="720"/>
    <n v="1"/>
    <n v="37"/>
    <n v="6"/>
    <n v="6"/>
    <n v="22"/>
    <n v="28"/>
    <x v="0"/>
    <x v="0"/>
    <x v="5"/>
    <n v="60"/>
    <n v="20"/>
    <n v="15"/>
    <n v="5"/>
    <n v="7"/>
    <n v="897"/>
    <n v="1193"/>
    <n v="1686"/>
    <n v="0"/>
    <n v="0"/>
    <n v="0"/>
    <n v="0"/>
    <n v="0"/>
    <n v="0"/>
    <n v="897"/>
    <n v="1193"/>
    <n v="1686"/>
    <n v="0"/>
    <n v="0"/>
    <n v="0"/>
    <n v="0"/>
    <n v="0"/>
    <n v="0"/>
    <n v="897"/>
    <n v="1193"/>
    <n v="1686"/>
    <n v="0"/>
    <n v="0"/>
    <n v="0"/>
    <n v="897"/>
    <n v="1193"/>
    <n v="1686"/>
    <n v="897"/>
    <n v="1193"/>
    <n v="1686"/>
    <n v="310"/>
    <n v="0"/>
    <n v="0"/>
    <n v="587"/>
    <n v="1193"/>
    <n v="1686"/>
    <n v="0"/>
    <n v="0"/>
    <n v="0"/>
    <n v="0"/>
    <n v="0"/>
    <n v="0"/>
    <n v="0"/>
    <n v="0"/>
    <n v="0"/>
    <n v="0"/>
    <n v="0"/>
    <n v="0"/>
    <n v="0"/>
    <n v="0"/>
    <n v="0"/>
    <n v="2297"/>
    <n v="2513"/>
    <n v="2502"/>
    <n v="592"/>
    <n v="1914"/>
    <n v="2048"/>
    <n v="1705"/>
    <n v="0"/>
    <n v="0"/>
    <n v="0"/>
    <n v="246"/>
    <n v="427"/>
    <n v="0"/>
    <n v="0"/>
    <n v="27"/>
    <n v="0"/>
    <n v="35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"/>
    <n v="3696"/>
    <n v="4188"/>
    <n v="0"/>
    <n v="0"/>
    <n v="0"/>
    <n v="0"/>
    <n v="0"/>
    <n v="0"/>
    <n v="0"/>
    <n v="0"/>
    <n v="0"/>
    <n v="2879"/>
    <n v="2355"/>
    <n v="2637"/>
    <n v="0"/>
    <n v="0"/>
    <n v="0"/>
    <n v="1352"/>
    <n v="1064"/>
    <n v="724"/>
    <n v="1527"/>
    <n v="1291"/>
    <n v="1913"/>
    <x v="2"/>
    <x v="50"/>
    <x v="51"/>
    <n v="582"/>
    <n v="1183"/>
    <n v="1686"/>
    <n v="582"/>
    <n v="1183"/>
    <n v="1686"/>
    <n v="5"/>
    <n v="10"/>
    <n v="0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0"/>
    <n v="5"/>
    <n v="10"/>
    <n v="0"/>
    <n v="2297"/>
    <n v="2513"/>
    <n v="2502"/>
    <n v="2884"/>
    <n v="3706"/>
    <n v="4188"/>
    <n v="587"/>
    <n v="1193"/>
    <n v="1686"/>
    <n v="587"/>
    <n v="1193"/>
    <n v="1686"/>
    <m/>
  </r>
  <r>
    <x v="56"/>
    <n v="25"/>
    <n v="0"/>
    <n v="0"/>
    <n v="15"/>
    <n v="70"/>
    <n v="8"/>
    <n v="7"/>
    <x v="0"/>
    <x v="1"/>
    <x v="5"/>
    <n v="10"/>
    <n v="45"/>
    <n v="30"/>
    <n v="15"/>
    <n v="5"/>
    <n v="5432"/>
    <n v="5511"/>
    <n v="7071"/>
    <n v="4243"/>
    <n v="4243"/>
    <n v="4420"/>
    <n v="-2094"/>
    <n v="-2272"/>
    <n v="-2451"/>
    <n v="3183"/>
    <n v="3440"/>
    <n v="5002"/>
    <n v="0"/>
    <n v="0"/>
    <n v="0"/>
    <n v="462"/>
    <n v="362"/>
    <n v="1160"/>
    <n v="2702"/>
    <n v="3055"/>
    <n v="3832"/>
    <n v="19"/>
    <n v="23"/>
    <n v="10"/>
    <n v="5432"/>
    <n v="5511"/>
    <n v="7071"/>
    <n v="4437"/>
    <n v="4712"/>
    <n v="6437"/>
    <n v="5326"/>
    <n v="5326"/>
    <n v="5326"/>
    <n v="-889"/>
    <n v="-614"/>
    <n v="1111"/>
    <n v="995"/>
    <n v="799"/>
    <n v="634"/>
    <n v="0"/>
    <n v="0"/>
    <n v="0"/>
    <n v="0"/>
    <n v="0"/>
    <n v="0"/>
    <n v="968"/>
    <n v="776"/>
    <n v="523"/>
    <n v="27"/>
    <n v="23"/>
    <n v="111"/>
    <n v="6919"/>
    <n v="6258"/>
    <n v="7631"/>
    <n v="1936"/>
    <n v="5524"/>
    <n v="6500"/>
    <n v="4645"/>
    <n v="0"/>
    <n v="0"/>
    <n v="71"/>
    <n v="515"/>
    <n v="864"/>
    <n v="4"/>
    <n v="6"/>
    <n v="11"/>
    <n v="88"/>
    <n v="35"/>
    <n v="78"/>
    <n v="175"/>
    <n v="178"/>
    <n v="178"/>
    <n v="0"/>
    <n v="0"/>
    <n v="0"/>
    <n v="0"/>
    <n v="0"/>
    <n v="0"/>
    <n v="264"/>
    <n v="233"/>
    <n v="510"/>
    <n v="202"/>
    <n v="203"/>
    <n v="472"/>
    <n v="22"/>
    <n v="0"/>
    <n v="0"/>
    <n v="2"/>
    <n v="0"/>
    <n v="0"/>
    <n v="16"/>
    <n v="11"/>
    <n v="19"/>
    <n v="19"/>
    <n v="19"/>
    <n v="19"/>
    <n v="3"/>
    <n v="0"/>
    <n v="0"/>
    <n v="0"/>
    <n v="0"/>
    <n v="0"/>
    <n v="0"/>
    <n v="0"/>
    <n v="0"/>
    <n v="6440"/>
    <n v="6477"/>
    <n v="9478"/>
    <n v="948"/>
    <n v="894"/>
    <n v="1632"/>
    <n v="0"/>
    <n v="0"/>
    <n v="6"/>
    <n v="0"/>
    <n v="0"/>
    <n v="0"/>
    <n v="2969"/>
    <n v="2762"/>
    <n v="4043"/>
    <n v="0"/>
    <n v="0"/>
    <n v="0"/>
    <n v="637"/>
    <n v="724"/>
    <n v="804"/>
    <n v="2332"/>
    <n v="2338"/>
    <n v="3239"/>
    <x v="43"/>
    <x v="51"/>
    <x v="52"/>
    <n v="-479"/>
    <n v="219"/>
    <n v="1847"/>
    <n v="-523"/>
    <n v="188"/>
    <n v="1805"/>
    <n v="344"/>
    <n v="320"/>
    <n v="430"/>
    <n v="344"/>
    <n v="320"/>
    <n v="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87"/>
    <n v="-80"/>
    <n v="72"/>
    <n v="87"/>
    <n v="-80"/>
    <n v="7183"/>
    <n v="6491"/>
    <n v="8141"/>
    <n v="6784"/>
    <n v="6797"/>
    <n v="9908"/>
    <n v="-399"/>
    <n v="306"/>
    <n v="1767"/>
    <n v="-451"/>
    <n v="275"/>
    <n v="1725"/>
    <m/>
  </r>
  <r>
    <x v="57"/>
    <n v="21"/>
    <n v="0"/>
    <n v="10"/>
    <n v="20"/>
    <n v="30"/>
    <n v="40"/>
    <n v="0"/>
    <x v="11"/>
    <x v="2"/>
    <x v="3"/>
    <n v="50"/>
    <n v="45"/>
    <n v="0"/>
    <n v="5"/>
    <n v="5"/>
    <n v="77"/>
    <n v="42"/>
    <n v="89"/>
    <n v="0"/>
    <n v="0"/>
    <n v="0"/>
    <n v="0"/>
    <n v="0"/>
    <n v="0"/>
    <n v="77"/>
    <n v="42"/>
    <n v="89"/>
    <n v="0"/>
    <n v="0"/>
    <n v="0"/>
    <n v="0"/>
    <n v="0"/>
    <n v="0"/>
    <n v="77"/>
    <n v="42"/>
    <n v="89"/>
    <n v="0"/>
    <n v="0"/>
    <n v="0"/>
    <n v="77"/>
    <n v="42"/>
    <n v="89"/>
    <n v="77"/>
    <n v="14"/>
    <n v="68"/>
    <n v="33"/>
    <n v="33"/>
    <n v="33"/>
    <n v="44"/>
    <n v="-19"/>
    <n v="35"/>
    <n v="0"/>
    <n v="28"/>
    <n v="21"/>
    <n v="0"/>
    <n v="0"/>
    <n v="0"/>
    <n v="0"/>
    <n v="0"/>
    <n v="0"/>
    <n v="0"/>
    <n v="28"/>
    <n v="21"/>
    <n v="0"/>
    <n v="0"/>
    <n v="0"/>
    <n v="71"/>
    <n v="120"/>
    <n v="95"/>
    <n v="5"/>
    <n v="120"/>
    <n v="95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57"/>
    <n v="148"/>
    <n v="33"/>
    <n v="6"/>
    <n v="58"/>
    <n v="0"/>
    <n v="0"/>
    <n v="0"/>
    <n v="0"/>
    <n v="0"/>
    <n v="0"/>
    <n v="82"/>
    <n v="51"/>
    <n v="90"/>
    <n v="0"/>
    <n v="0"/>
    <n v="0"/>
    <n v="82"/>
    <n v="24"/>
    <n v="65"/>
    <n v="0"/>
    <n v="27"/>
    <n v="25"/>
    <x v="2"/>
    <x v="2"/>
    <x v="23"/>
    <n v="44"/>
    <n v="-63"/>
    <n v="53"/>
    <n v="44"/>
    <n v="-63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120"/>
    <n v="95"/>
    <n v="115"/>
    <n v="57"/>
    <n v="148"/>
    <n v="44"/>
    <n v="-63"/>
    <n v="53"/>
    <n v="44"/>
    <n v="-63"/>
    <n v="53"/>
    <m/>
  </r>
  <r>
    <x v="58"/>
    <n v="19"/>
    <n v="0"/>
    <n v="0"/>
    <n v="15"/>
    <n v="60"/>
    <n v="20"/>
    <n v="5"/>
    <x v="3"/>
    <x v="2"/>
    <x v="0"/>
    <n v="38"/>
    <n v="10"/>
    <n v="47"/>
    <n v="5"/>
    <n v="5"/>
    <n v="920"/>
    <n v="793"/>
    <n v="800"/>
    <n v="588"/>
    <n v="572"/>
    <n v="572"/>
    <n v="-523"/>
    <n v="-507"/>
    <n v="-528"/>
    <n v="855"/>
    <n v="728"/>
    <n v="756"/>
    <n v="47"/>
    <n v="0"/>
    <n v="0"/>
    <n v="88"/>
    <n v="10"/>
    <n v="32"/>
    <n v="720"/>
    <n v="718"/>
    <n v="723"/>
    <n v="0"/>
    <n v="0"/>
    <n v="1"/>
    <n v="920"/>
    <n v="793"/>
    <n v="800"/>
    <n v="801"/>
    <n v="764"/>
    <n v="680"/>
    <n v="1721"/>
    <n v="792"/>
    <n v="772"/>
    <n v="-920"/>
    <n v="-28"/>
    <n v="-92"/>
    <n v="119"/>
    <n v="29"/>
    <n v="120"/>
    <n v="0"/>
    <n v="0"/>
    <n v="0"/>
    <n v="0"/>
    <n v="0"/>
    <n v="0"/>
    <n v="119"/>
    <n v="15"/>
    <n v="99"/>
    <n v="0"/>
    <n v="14"/>
    <n v="21"/>
    <n v="603"/>
    <n v="955"/>
    <n v="1125"/>
    <n v="118"/>
    <n v="854"/>
    <n v="831"/>
    <n v="298"/>
    <n v="0"/>
    <n v="0"/>
    <n v="35"/>
    <n v="101"/>
    <n v="237"/>
    <n v="0"/>
    <n v="0"/>
    <n v="0"/>
    <n v="70"/>
    <n v="0"/>
    <n v="36"/>
    <n v="5"/>
    <n v="0"/>
    <n v="21"/>
    <n v="77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"/>
    <n v="862"/>
    <n v="930"/>
    <n v="8"/>
    <n v="11"/>
    <n v="20"/>
    <n v="74"/>
    <n v="282"/>
    <n v="236"/>
    <n v="10"/>
    <n v="0"/>
    <n v="0"/>
    <n v="294"/>
    <n v="282"/>
    <n v="269"/>
    <n v="33"/>
    <n v="0"/>
    <n v="0"/>
    <n v="39"/>
    <n v="40"/>
    <n v="56"/>
    <n v="222"/>
    <n v="222"/>
    <n v="213"/>
    <x v="44"/>
    <x v="52"/>
    <x v="53"/>
    <n v="-10"/>
    <n v="-93"/>
    <n v="-195"/>
    <n v="-10"/>
    <n v="-93"/>
    <n v="-195"/>
    <n v="42"/>
    <n v="65"/>
    <n v="106"/>
    <n v="42"/>
    <n v="65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65"/>
    <n v="103"/>
    <n v="42"/>
    <n v="65"/>
    <n v="103"/>
    <n v="603"/>
    <n v="955"/>
    <n v="1128"/>
    <n v="635"/>
    <n v="927"/>
    <n v="1036"/>
    <n v="32"/>
    <n v="-28"/>
    <n v="-92"/>
    <n v="32"/>
    <n v="-28"/>
    <n v="-92"/>
    <m/>
  </r>
  <r>
    <x v="59"/>
    <n v="70"/>
    <n v="5"/>
    <n v="10"/>
    <n v="25"/>
    <n v="59"/>
    <n v="1"/>
    <n v="0"/>
    <x v="3"/>
    <x v="1"/>
    <x v="1"/>
    <n v="45"/>
    <n v="10"/>
    <n v="35"/>
    <n v="10"/>
    <n v="4"/>
    <n v="48"/>
    <n v="84"/>
    <n v="154"/>
    <n v="0"/>
    <n v="0"/>
    <n v="0"/>
    <n v="0"/>
    <n v="0"/>
    <n v="0"/>
    <n v="48"/>
    <n v="84"/>
    <n v="154"/>
    <n v="0"/>
    <n v="0"/>
    <n v="0"/>
    <n v="0"/>
    <n v="0"/>
    <n v="0"/>
    <n v="48"/>
    <n v="84"/>
    <n v="154"/>
    <n v="0"/>
    <n v="0"/>
    <n v="0"/>
    <n v="48"/>
    <n v="84"/>
    <n v="154"/>
    <n v="36"/>
    <n v="81"/>
    <n v="154"/>
    <n v="154"/>
    <n v="0"/>
    <n v="64"/>
    <n v="-118"/>
    <n v="81"/>
    <n v="90"/>
    <n v="12"/>
    <n v="3"/>
    <n v="0"/>
    <n v="0"/>
    <n v="0"/>
    <n v="0"/>
    <n v="0"/>
    <n v="0"/>
    <n v="0"/>
    <n v="12"/>
    <n v="3"/>
    <n v="0"/>
    <n v="0"/>
    <n v="0"/>
    <n v="0"/>
    <n v="393"/>
    <n v="471"/>
    <n v="992"/>
    <n v="10"/>
    <n v="471"/>
    <n v="840"/>
    <n v="0"/>
    <n v="0"/>
    <n v="0"/>
    <n v="0"/>
    <n v="0"/>
    <n v="153"/>
    <n v="0"/>
    <n v="0"/>
    <n v="0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559"/>
    <n v="1082"/>
    <n v="133"/>
    <n v="216"/>
    <n v="443"/>
    <n v="0"/>
    <n v="0"/>
    <n v="0"/>
    <n v="0"/>
    <n v="0"/>
    <n v="0"/>
    <n v="142"/>
    <n v="343"/>
    <n v="515"/>
    <n v="0"/>
    <n v="0"/>
    <n v="0"/>
    <n v="0"/>
    <n v="0"/>
    <n v="0"/>
    <n v="142"/>
    <n v="343"/>
    <n v="515"/>
    <x v="2"/>
    <x v="2"/>
    <x v="54"/>
    <n v="-118"/>
    <n v="88"/>
    <n v="90"/>
    <n v="-118"/>
    <n v="88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471"/>
    <n v="992"/>
    <n v="275"/>
    <n v="559"/>
    <n v="1082"/>
    <n v="-118"/>
    <n v="88"/>
    <n v="90"/>
    <n v="-118"/>
    <n v="88"/>
    <n v="90"/>
    <m/>
  </r>
  <r>
    <x v="60"/>
    <n v="160"/>
    <n v="0"/>
    <n v="42"/>
    <n v="7"/>
    <n v="18"/>
    <n v="21"/>
    <n v="12"/>
    <x v="3"/>
    <x v="2"/>
    <x v="1"/>
    <n v="25"/>
    <n v="65"/>
    <n v="7"/>
    <n v="3"/>
    <n v="6"/>
    <n v="7213"/>
    <n v="7223"/>
    <n v="7225"/>
    <n v="1504"/>
    <n v="1504"/>
    <n v="1504"/>
    <n v="-6"/>
    <n v="-11"/>
    <n v="-17"/>
    <n v="5715"/>
    <n v="5730"/>
    <n v="5738"/>
    <n v="0"/>
    <n v="0"/>
    <n v="0"/>
    <n v="28"/>
    <n v="13"/>
    <n v="106"/>
    <n v="5687"/>
    <n v="5717"/>
    <n v="5632"/>
    <n v="0"/>
    <n v="0"/>
    <n v="0"/>
    <n v="7213"/>
    <n v="7223"/>
    <n v="7225"/>
    <n v="7213"/>
    <n v="7223"/>
    <n v="7222"/>
    <n v="2794"/>
    <n v="2794"/>
    <n v="2794"/>
    <n v="4419"/>
    <n v="4429"/>
    <n v="4428"/>
    <n v="0"/>
    <n v="0"/>
    <n v="3"/>
    <n v="0"/>
    <n v="0"/>
    <n v="0"/>
    <n v="0"/>
    <n v="0"/>
    <n v="0"/>
    <n v="0"/>
    <n v="0"/>
    <n v="3"/>
    <n v="0"/>
    <n v="0"/>
    <n v="0"/>
    <n v="346"/>
    <n v="405"/>
    <n v="485"/>
    <n v="68"/>
    <n v="350"/>
    <n v="408"/>
    <n v="221"/>
    <n v="0"/>
    <n v="0"/>
    <n v="16"/>
    <n v="20"/>
    <n v="33"/>
    <n v="7"/>
    <n v="8"/>
    <n v="1"/>
    <n v="6"/>
    <n v="0"/>
    <n v="15"/>
    <n v="5"/>
    <n v="5"/>
    <n v="5"/>
    <n v="23"/>
    <n v="22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415"/>
    <n v="485"/>
    <n v="69"/>
    <n v="9"/>
    <n v="56"/>
    <n v="62"/>
    <n v="40"/>
    <n v="13"/>
    <n v="0"/>
    <n v="0"/>
    <n v="0"/>
    <n v="140"/>
    <n v="190"/>
    <n v="159"/>
    <n v="0"/>
    <n v="0"/>
    <n v="0"/>
    <n v="0"/>
    <n v="0"/>
    <n v="0"/>
    <n v="140"/>
    <n v="190"/>
    <n v="159"/>
    <x v="45"/>
    <x v="53"/>
    <x v="55"/>
    <n v="78"/>
    <n v="10"/>
    <n v="0"/>
    <n v="7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405"/>
    <n v="485"/>
    <n v="424"/>
    <n v="415"/>
    <n v="485"/>
    <n v="78"/>
    <n v="10"/>
    <n v="0"/>
    <n v="78"/>
    <n v="10"/>
    <n v="0"/>
    <s v="priloha"/>
  </r>
  <r>
    <x v="61"/>
    <n v="150"/>
    <n v="5"/>
    <n v="60"/>
    <n v="20"/>
    <n v="10"/>
    <n v="5"/>
    <n v="0"/>
    <x v="3"/>
    <x v="0"/>
    <x v="4"/>
    <n v="40"/>
    <n v="60"/>
    <n v="0"/>
    <n v="0"/>
    <n v="1"/>
    <n v="151"/>
    <n v="167"/>
    <n v="356"/>
    <n v="124"/>
    <n v="0"/>
    <n v="0"/>
    <n v="-124"/>
    <n v="0"/>
    <n v="0"/>
    <n v="151"/>
    <n v="167"/>
    <n v="356"/>
    <n v="0"/>
    <n v="0"/>
    <n v="0"/>
    <n v="0"/>
    <n v="0"/>
    <n v="0"/>
    <n v="151"/>
    <n v="167"/>
    <n v="356"/>
    <n v="0"/>
    <n v="0"/>
    <n v="0"/>
    <n v="151"/>
    <n v="167"/>
    <n v="356"/>
    <n v="151"/>
    <n v="167"/>
    <n v="332"/>
    <n v="46"/>
    <n v="151"/>
    <n v="167"/>
    <n v="105"/>
    <n v="16"/>
    <n v="165"/>
    <n v="0"/>
    <n v="0"/>
    <n v="24"/>
    <n v="0"/>
    <n v="0"/>
    <n v="0"/>
    <n v="0"/>
    <n v="0"/>
    <n v="0"/>
    <n v="0"/>
    <n v="0"/>
    <n v="24"/>
    <n v="0"/>
    <n v="0"/>
    <n v="0"/>
    <n v="449"/>
    <n v="864"/>
    <n v="948"/>
    <n v="39"/>
    <n v="726"/>
    <n v="732"/>
    <n v="331"/>
    <n v="0"/>
    <n v="0"/>
    <n v="74"/>
    <n v="120"/>
    <n v="214"/>
    <n v="0"/>
    <n v="0"/>
    <n v="0"/>
    <n v="5"/>
    <n v="1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"/>
    <n v="880"/>
    <n v="1113"/>
    <n v="0"/>
    <n v="0"/>
    <n v="0"/>
    <n v="79"/>
    <n v="7"/>
    <n v="0"/>
    <n v="0"/>
    <n v="0"/>
    <n v="0"/>
    <n v="265"/>
    <n v="873"/>
    <n v="1113"/>
    <n v="10"/>
    <n v="19"/>
    <n v="0"/>
    <n v="80"/>
    <n v="595"/>
    <n v="699"/>
    <n v="175"/>
    <n v="259"/>
    <n v="414"/>
    <x v="46"/>
    <x v="2"/>
    <x v="23"/>
    <n v="105"/>
    <n v="16"/>
    <n v="165"/>
    <n v="105"/>
    <n v="16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"/>
    <n v="864"/>
    <n v="948"/>
    <n v="554"/>
    <n v="880"/>
    <n v="1113"/>
    <n v="105"/>
    <n v="16"/>
    <n v="165"/>
    <n v="105"/>
    <n v="16"/>
    <n v="165"/>
    <s v="priloha"/>
  </r>
  <r>
    <x v="62"/>
    <n v="230"/>
    <n v="5"/>
    <n v="35"/>
    <n v="10"/>
    <n v="15"/>
    <n v="25"/>
    <n v="10"/>
    <x v="4"/>
    <x v="0"/>
    <x v="0"/>
    <n v="10"/>
    <n v="40"/>
    <n v="45"/>
    <n v="5"/>
    <n v="3"/>
    <n v="406"/>
    <n v="675"/>
    <n v="422"/>
    <n v="370"/>
    <n v="640"/>
    <n v="0"/>
    <n v="0"/>
    <n v="0"/>
    <n v="280"/>
    <n v="36"/>
    <n v="34"/>
    <n v="142"/>
    <n v="0"/>
    <n v="0"/>
    <n v="0"/>
    <n v="0"/>
    <n v="0"/>
    <n v="0"/>
    <n v="36"/>
    <n v="34"/>
    <n v="17"/>
    <n v="0"/>
    <n v="0"/>
    <n v="125"/>
    <n v="406"/>
    <n v="675"/>
    <n v="422"/>
    <n v="406"/>
    <n v="675"/>
    <n v="422"/>
    <n v="406"/>
    <n v="675"/>
    <n v="169"/>
    <n v="0"/>
    <n v="0"/>
    <n v="-253"/>
    <n v="0"/>
    <n v="0"/>
    <n v="0"/>
    <n v="0"/>
    <n v="0"/>
    <n v="0"/>
    <n v="0"/>
    <n v="0"/>
    <n v="0"/>
    <n v="0"/>
    <n v="0"/>
    <n v="0"/>
    <n v="0"/>
    <n v="0"/>
    <n v="0"/>
    <n v="426"/>
    <n v="588"/>
    <n v="1018"/>
    <n v="351"/>
    <n v="346"/>
    <n v="337"/>
    <n v="75"/>
    <n v="129"/>
    <n v="348"/>
    <n v="0"/>
    <n v="38"/>
    <n v="68"/>
    <n v="0"/>
    <n v="0"/>
    <n v="0"/>
    <n v="0"/>
    <n v="75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588"/>
    <n v="765"/>
    <n v="67"/>
    <n v="293"/>
    <n v="293"/>
    <n v="0"/>
    <n v="24"/>
    <n v="44"/>
    <n v="0"/>
    <n v="0"/>
    <n v="0"/>
    <n v="190"/>
    <n v="81"/>
    <n v="93"/>
    <n v="0"/>
    <n v="0"/>
    <n v="0"/>
    <n v="158"/>
    <n v="41"/>
    <n v="48"/>
    <n v="32"/>
    <n v="40"/>
    <n v="45"/>
    <x v="47"/>
    <x v="0"/>
    <x v="56"/>
    <n v="0"/>
    <n v="0"/>
    <n v="-253"/>
    <n v="0"/>
    <n v="0"/>
    <n v="-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588"/>
    <n v="1018"/>
    <n v="426"/>
    <n v="588"/>
    <n v="765"/>
    <n v="0"/>
    <n v="0"/>
    <n v="-253"/>
    <n v="0"/>
    <n v="0"/>
    <n v="-253"/>
    <m/>
  </r>
  <r>
    <x v="63"/>
    <n v="420"/>
    <n v="0"/>
    <n v="15"/>
    <n v="20"/>
    <n v="25"/>
    <n v="30"/>
    <n v="10"/>
    <x v="4"/>
    <x v="2"/>
    <x v="0"/>
    <n v="50"/>
    <n v="10"/>
    <n v="20"/>
    <n v="20"/>
    <n v="2"/>
    <n v="106"/>
    <n v="154"/>
    <n v="201"/>
    <n v="0"/>
    <n v="0"/>
    <n v="0"/>
    <n v="0"/>
    <n v="0"/>
    <n v="0"/>
    <n v="106"/>
    <n v="154"/>
    <n v="201"/>
    <n v="0"/>
    <n v="0"/>
    <n v="0"/>
    <n v="0"/>
    <n v="0"/>
    <n v="0"/>
    <n v="106"/>
    <n v="154"/>
    <n v="201"/>
    <n v="0"/>
    <n v="0"/>
    <n v="0"/>
    <n v="106"/>
    <n v="154"/>
    <n v="201"/>
    <n v="106"/>
    <n v="154"/>
    <n v="201"/>
    <n v="74"/>
    <n v="106"/>
    <n v="154"/>
    <n v="32"/>
    <n v="48"/>
    <n v="47"/>
    <n v="0"/>
    <n v="0"/>
    <n v="0"/>
    <n v="0"/>
    <n v="0"/>
    <n v="0"/>
    <n v="0"/>
    <n v="0"/>
    <n v="0"/>
    <n v="0"/>
    <n v="0"/>
    <n v="0"/>
    <n v="0"/>
    <n v="0"/>
    <n v="0"/>
    <n v="58"/>
    <n v="111"/>
    <n v="97"/>
    <n v="26"/>
    <n v="38"/>
    <n v="85"/>
    <n v="23"/>
    <n v="0"/>
    <n v="0"/>
    <n v="0"/>
    <n v="0"/>
    <n v="0"/>
    <n v="0"/>
    <n v="0"/>
    <n v="0"/>
    <n v="8"/>
    <n v="55"/>
    <n v="6"/>
    <n v="0"/>
    <n v="0"/>
    <n v="0"/>
    <n v="1"/>
    <n v="1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120"/>
    <n v="106"/>
    <n v="30"/>
    <n v="14"/>
    <n v="14"/>
    <n v="0"/>
    <n v="0"/>
    <n v="0"/>
    <n v="0"/>
    <n v="0"/>
    <n v="0"/>
    <n v="42"/>
    <n v="106"/>
    <n v="36"/>
    <n v="0"/>
    <n v="0"/>
    <n v="0"/>
    <n v="17"/>
    <n v="83"/>
    <n v="13"/>
    <n v="25"/>
    <n v="21"/>
    <n v="23"/>
    <x v="2"/>
    <x v="2"/>
    <x v="57"/>
    <n v="14"/>
    <n v="9"/>
    <n v="9"/>
    <n v="14"/>
    <n v="9"/>
    <n v="9"/>
    <n v="18"/>
    <n v="39"/>
    <n v="39"/>
    <n v="16"/>
    <n v="0"/>
    <n v="39"/>
    <n v="0"/>
    <n v="14"/>
    <n v="0"/>
    <n v="0"/>
    <n v="0"/>
    <n v="0"/>
    <n v="2"/>
    <n v="25"/>
    <n v="0"/>
    <n v="0"/>
    <n v="0"/>
    <n v="0"/>
    <n v="2"/>
    <n v="25"/>
    <n v="0"/>
    <n v="0"/>
    <n v="0"/>
    <n v="0"/>
    <n v="0"/>
    <n v="0"/>
    <n v="0"/>
    <n v="18"/>
    <n v="39"/>
    <n v="39"/>
    <n v="18"/>
    <n v="39"/>
    <n v="39"/>
    <n v="58"/>
    <n v="111"/>
    <n v="97"/>
    <n v="90"/>
    <n v="159"/>
    <n v="145"/>
    <n v="32"/>
    <n v="48"/>
    <n v="48"/>
    <n v="32"/>
    <n v="48"/>
    <n v="48"/>
    <m/>
  </r>
  <r>
    <x v="64"/>
    <n v="125"/>
    <n v="0"/>
    <n v="29"/>
    <n v="1"/>
    <n v="20"/>
    <n v="30"/>
    <n v="20"/>
    <x v="4"/>
    <x v="2"/>
    <x v="4"/>
    <n v="20"/>
    <n v="30"/>
    <n v="10"/>
    <n v="40"/>
    <n v="2"/>
    <n v="99113"/>
    <n v="100110"/>
    <n v="13336"/>
    <n v="105784"/>
    <n v="111548"/>
    <n v="8766"/>
    <n v="-22595"/>
    <n v="-24904"/>
    <n v="-3216"/>
    <n v="15924"/>
    <n v="13466"/>
    <n v="7766"/>
    <n v="0"/>
    <n v="0"/>
    <n v="0"/>
    <n v="4590"/>
    <n v="3247"/>
    <n v="3113"/>
    <n v="11334"/>
    <n v="10213"/>
    <n v="4590"/>
    <n v="0"/>
    <n v="6"/>
    <n v="63"/>
    <n v="99113"/>
    <n v="100110"/>
    <n v="13336"/>
    <n v="92342"/>
    <n v="97717"/>
    <n v="5840"/>
    <n v="97020"/>
    <n v="94786"/>
    <n v="6052"/>
    <n v="-4681"/>
    <n v="2931"/>
    <n v="-212"/>
    <n v="6771"/>
    <n v="2393"/>
    <n v="7496"/>
    <n v="0"/>
    <n v="0"/>
    <n v="0"/>
    <n v="0"/>
    <n v="0"/>
    <n v="0"/>
    <n v="6771"/>
    <n v="1555"/>
    <n v="7108"/>
    <n v="0"/>
    <n v="838"/>
    <n v="388"/>
    <n v="13613"/>
    <n v="12835"/>
    <n v="2778"/>
    <n v="2533"/>
    <n v="7396"/>
    <n v="1473"/>
    <n v="6006"/>
    <n v="0"/>
    <n v="0"/>
    <n v="2374"/>
    <n v="2513"/>
    <n v="1008"/>
    <n v="107"/>
    <n v="66"/>
    <n v="5"/>
    <n v="931"/>
    <n v="906"/>
    <n v="58"/>
    <n v="1542"/>
    <n v="1846"/>
    <n v="229"/>
    <n v="120"/>
    <n v="105"/>
    <n v="5"/>
    <n v="0"/>
    <n v="3"/>
    <n v="0"/>
    <n v="3967"/>
    <n v="4537"/>
    <n v="349"/>
    <n v="1523"/>
    <n v="2187"/>
    <n v="73"/>
    <n v="363"/>
    <n v="0"/>
    <n v="0"/>
    <n v="1418"/>
    <n v="1433"/>
    <n v="200"/>
    <n v="48"/>
    <n v="39"/>
    <n v="29"/>
    <n v="221"/>
    <n v="223"/>
    <n v="27"/>
    <n v="379"/>
    <n v="440"/>
    <n v="20"/>
    <n v="15"/>
    <n v="15"/>
    <n v="0"/>
    <n v="0"/>
    <n v="200"/>
    <m/>
    <n v="13110"/>
    <n v="13401"/>
    <n v="2486"/>
    <n v="3029"/>
    <n v="3078"/>
    <n v="46"/>
    <n v="874"/>
    <n v="550"/>
    <n v="47"/>
    <n v="0"/>
    <n v="0"/>
    <n v="0"/>
    <n v="9207"/>
    <n v="7141"/>
    <n v="2012"/>
    <n v="0"/>
    <n v="0"/>
    <n v="0"/>
    <n v="6153"/>
    <n v="3812"/>
    <n v="796"/>
    <n v="3054"/>
    <n v="3329"/>
    <n v="1216"/>
    <x v="2"/>
    <x v="54"/>
    <x v="58"/>
    <n v="-503"/>
    <n v="569"/>
    <n v="-292"/>
    <n v="-503"/>
    <n v="569"/>
    <n v="-292"/>
    <n v="5768"/>
    <n v="5843"/>
    <n v="429"/>
    <n v="5768"/>
    <n v="5843"/>
    <n v="42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"/>
    <n v="1506"/>
    <n v="80"/>
    <n v="1562"/>
    <n v="1306"/>
    <n v="80"/>
    <n v="17580"/>
    <n v="17372"/>
    <n v="3127"/>
    <n v="18878"/>
    <n v="19244"/>
    <n v="2915"/>
    <n v="1298"/>
    <n v="1872"/>
    <n v="-212"/>
    <n v="1059"/>
    <n v="1875"/>
    <n v="-212"/>
    <m/>
  </r>
  <r>
    <x v="65"/>
    <n v="100"/>
    <n v="0"/>
    <n v="36"/>
    <n v="11"/>
    <n v="21"/>
    <n v="25"/>
    <n v="7"/>
    <x v="4"/>
    <x v="2"/>
    <x v="1"/>
    <n v="10"/>
    <n v="40"/>
    <n v="20"/>
    <n v="30"/>
    <n v="6"/>
    <n v="596"/>
    <n v="503"/>
    <n v="625"/>
    <n v="289"/>
    <n v="289"/>
    <n v="289"/>
    <n v="-48"/>
    <n v="-77"/>
    <n v="-106"/>
    <n v="355"/>
    <n v="291"/>
    <n v="442"/>
    <n v="0"/>
    <n v="0"/>
    <n v="0"/>
    <n v="18"/>
    <n v="18"/>
    <n v="20"/>
    <n v="337"/>
    <n v="273"/>
    <n v="422"/>
    <n v="0"/>
    <n v="0"/>
    <n v="0"/>
    <n v="696"/>
    <n v="603"/>
    <n v="625"/>
    <n v="559"/>
    <n v="535"/>
    <n v="602"/>
    <n v="179"/>
    <n v="350"/>
    <n v="341"/>
    <n v="380"/>
    <n v="185"/>
    <n v="261"/>
    <n v="37"/>
    <n v="68"/>
    <n v="23"/>
    <n v="0"/>
    <n v="0"/>
    <n v="0"/>
    <n v="0"/>
    <n v="0"/>
    <n v="0"/>
    <n v="37"/>
    <n v="68"/>
    <n v="23"/>
    <n v="0"/>
    <n v="0"/>
    <n v="0"/>
    <n v="286"/>
    <n v="301"/>
    <n v="277"/>
    <n v="135"/>
    <n v="84"/>
    <n v="87"/>
    <n v="115"/>
    <n v="172"/>
    <n v="145"/>
    <n v="0"/>
    <n v="0"/>
    <n v="0"/>
    <n v="0"/>
    <n v="0"/>
    <n v="0"/>
    <n v="16"/>
    <n v="16"/>
    <n v="16"/>
    <n v="20"/>
    <n v="29"/>
    <n v="29"/>
    <n v="0"/>
    <n v="0"/>
    <n v="0"/>
    <n v="0"/>
    <n v="0"/>
    <n v="0"/>
    <n v="97"/>
    <n v="12"/>
    <n v="20"/>
    <n v="6"/>
    <n v="7"/>
    <n v="16"/>
    <n v="91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5"/>
    <n v="221"/>
    <n v="283"/>
    <n v="116"/>
    <n v="108"/>
    <n v="91"/>
    <n v="29"/>
    <n v="11"/>
    <n v="9"/>
    <n v="0"/>
    <n v="0"/>
    <n v="0"/>
    <n v="118"/>
    <n v="52"/>
    <n v="59"/>
    <n v="0"/>
    <n v="0"/>
    <n v="0"/>
    <n v="13"/>
    <n v="12"/>
    <n v="6"/>
    <n v="105"/>
    <n v="40"/>
    <n v="53"/>
    <x v="48"/>
    <x v="55"/>
    <x v="54"/>
    <n v="49"/>
    <n v="-80"/>
    <n v="6"/>
    <n v="49"/>
    <n v="-80"/>
    <n v="6"/>
    <n v="148"/>
    <n v="77"/>
    <n v="90"/>
    <n v="148"/>
    <n v="77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65"/>
    <n v="70"/>
    <n v="51"/>
    <n v="65"/>
    <n v="70"/>
    <n v="383"/>
    <n v="313"/>
    <n v="297"/>
    <n v="483"/>
    <n v="298"/>
    <n v="373"/>
    <n v="100"/>
    <n v="-15"/>
    <n v="76"/>
    <n v="100"/>
    <n v="-15"/>
    <n v="76"/>
    <s v="priloha"/>
  </r>
  <r>
    <x v="66"/>
    <n v="195"/>
    <n v="0"/>
    <n v="25"/>
    <n v="2"/>
    <n v="25"/>
    <n v="25"/>
    <n v="23"/>
    <x v="4"/>
    <x v="1"/>
    <x v="1"/>
    <n v="20"/>
    <n v="25"/>
    <n v="50"/>
    <n v="5"/>
    <n v="5"/>
    <n v="18941"/>
    <n v="18693"/>
    <n v="19055"/>
    <n v="18453"/>
    <n v="18723"/>
    <n v="18723"/>
    <n v="0"/>
    <n v="-30"/>
    <n v="-90"/>
    <n v="488"/>
    <n v="271"/>
    <n v="422"/>
    <n v="0"/>
    <n v="0"/>
    <n v="0"/>
    <n v="124"/>
    <n v="135"/>
    <n v="197"/>
    <n v="246"/>
    <n v="136"/>
    <n v="220"/>
    <n v="0"/>
    <n v="0"/>
    <n v="5"/>
    <n v="18941"/>
    <n v="18964"/>
    <n v="19055"/>
    <n v="17615"/>
    <n v="17605"/>
    <n v="17600"/>
    <n v="17560"/>
    <n v="17615"/>
    <n v="17605"/>
    <n v="55"/>
    <n v="-10"/>
    <n v="-5"/>
    <n v="1326"/>
    <n v="1359"/>
    <n v="1455"/>
    <n v="0"/>
    <n v="0"/>
    <n v="0"/>
    <n v="0"/>
    <n v="0"/>
    <n v="0"/>
    <n v="1326"/>
    <n v="1359"/>
    <n v="1351"/>
    <n v="0"/>
    <n v="0"/>
    <n v="0"/>
    <n v="868"/>
    <n v="1750"/>
    <n v="1041"/>
    <n v="385"/>
    <n v="1540"/>
    <n v="624"/>
    <n v="483"/>
    <n v="0"/>
    <n v="0"/>
    <n v="304"/>
    <n v="0"/>
    <n v="95"/>
    <n v="0"/>
    <n v="0"/>
    <n v="2"/>
    <n v="0"/>
    <n v="180"/>
    <n v="260"/>
    <n v="0"/>
    <n v="30"/>
    <n v="60"/>
    <n v="0"/>
    <n v="0"/>
    <n v="0"/>
    <n v="0"/>
    <n v="0"/>
    <n v="0"/>
    <n v="49"/>
    <n v="291"/>
    <n v="207"/>
    <n v="30"/>
    <n v="291"/>
    <n v="20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"/>
    <n v="1740"/>
    <n v="1040"/>
    <n v="392"/>
    <n v="278"/>
    <n v="183"/>
    <n v="1"/>
    <n v="0"/>
    <n v="0"/>
    <n v="0"/>
    <n v="0"/>
    <n v="0"/>
    <n v="474"/>
    <n v="1462"/>
    <n v="393"/>
    <n v="0"/>
    <n v="0"/>
    <n v="0"/>
    <n v="0"/>
    <n v="0"/>
    <n v="393"/>
    <n v="474"/>
    <n v="1462"/>
    <n v="0"/>
    <x v="2"/>
    <x v="2"/>
    <x v="59"/>
    <n v="-1"/>
    <n v="-10"/>
    <n v="-1"/>
    <n v="-1"/>
    <n v="-10"/>
    <n v="-1"/>
    <n v="105"/>
    <n v="291"/>
    <n v="203"/>
    <n v="57"/>
    <n v="233"/>
    <n v="203"/>
    <n v="48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-4"/>
    <n v="56"/>
    <n v="0"/>
    <n v="-4"/>
    <n v="917"/>
    <n v="2041"/>
    <n v="1248"/>
    <n v="972"/>
    <n v="2031"/>
    <n v="1243"/>
    <n v="55"/>
    <n v="-10"/>
    <n v="-5"/>
    <n v="55"/>
    <n v="-10"/>
    <n v="-5"/>
    <m/>
  </r>
  <r>
    <x v="67"/>
    <n v="112"/>
    <n v="0"/>
    <n v="3"/>
    <n v="3"/>
    <n v="10"/>
    <n v="50"/>
    <n v="34"/>
    <x v="4"/>
    <x v="2"/>
    <x v="4"/>
    <n v="15"/>
    <n v="50"/>
    <n v="30"/>
    <n v="5"/>
    <n v="2"/>
    <n v="20"/>
    <n v="20"/>
    <n v="20"/>
    <n v="0"/>
    <n v="0"/>
    <n v="0"/>
    <n v="0"/>
    <n v="0"/>
    <n v="0"/>
    <n v="20"/>
    <n v="20"/>
    <n v="20"/>
    <n v="0"/>
    <n v="0"/>
    <n v="0"/>
    <n v="0"/>
    <n v="0"/>
    <n v="0"/>
    <n v="20"/>
    <n v="20"/>
    <n v="20"/>
    <n v="0"/>
    <n v="0"/>
    <n v="0"/>
    <n v="20"/>
    <n v="20"/>
    <n v="20"/>
    <n v="20"/>
    <n v="20"/>
    <n v="20"/>
    <n v="14"/>
    <n v="20"/>
    <n v="2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6"/>
    <n v="69"/>
    <n v="11"/>
    <n v="15"/>
    <n v="32"/>
    <n v="43"/>
    <n v="39"/>
    <n v="34"/>
    <n v="0"/>
    <n v="0"/>
    <n v="0"/>
    <n v="0"/>
    <n v="0"/>
    <n v="0"/>
    <n v="8"/>
    <n v="22"/>
    <n v="3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73"/>
    <n v="69"/>
    <n v="0"/>
    <n v="0"/>
    <n v="0"/>
    <n v="0"/>
    <n v="5"/>
    <n v="2"/>
    <n v="0"/>
    <n v="0"/>
    <n v="0"/>
    <n v="77"/>
    <n v="68"/>
    <n v="67"/>
    <n v="0"/>
    <n v="0"/>
    <n v="0"/>
    <n v="55"/>
    <n v="33"/>
    <n v="50"/>
    <n v="22"/>
    <n v="35"/>
    <n v="17"/>
    <x v="2"/>
    <x v="2"/>
    <x v="23"/>
    <n v="3"/>
    <n v="-3"/>
    <n v="0"/>
    <n v="3"/>
    <n v="-3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3"/>
    <n v="3"/>
    <n v="0"/>
    <n v="74"/>
    <n v="76"/>
    <n v="69"/>
    <n v="80"/>
    <n v="76"/>
    <n v="69"/>
    <n v="6"/>
    <n v="0"/>
    <n v="0"/>
    <n v="6"/>
    <n v="0"/>
    <n v="0"/>
    <m/>
  </r>
  <r>
    <x v="68"/>
    <n v="130"/>
    <n v="15"/>
    <n v="30"/>
    <n v="10"/>
    <n v="15"/>
    <n v="25"/>
    <n v="5"/>
    <x v="4"/>
    <x v="1"/>
    <x v="4"/>
    <n v="10"/>
    <n v="50"/>
    <n v="10"/>
    <n v="30"/>
    <n v="1"/>
    <n v="2705"/>
    <n v="2724"/>
    <n v="2810"/>
    <n v="2604"/>
    <n v="2570"/>
    <n v="2663"/>
    <n v="0"/>
    <n v="0"/>
    <n v="-5"/>
    <n v="101"/>
    <n v="154"/>
    <n v="153"/>
    <n v="0"/>
    <n v="0"/>
    <n v="0"/>
    <n v="33"/>
    <n v="30"/>
    <n v="14"/>
    <n v="68"/>
    <n v="124"/>
    <n v="139"/>
    <n v="0"/>
    <n v="0"/>
    <n v="0"/>
    <n v="2706"/>
    <n v="2724"/>
    <n v="2810"/>
    <n v="2661"/>
    <n v="2700"/>
    <n v="2786"/>
    <n v="2627"/>
    <n v="2660"/>
    <n v="2700"/>
    <n v="34"/>
    <n v="40"/>
    <n v="86"/>
    <n v="45"/>
    <n v="24"/>
    <n v="25"/>
    <n v="0"/>
    <n v="0"/>
    <n v="0"/>
    <n v="0"/>
    <n v="0"/>
    <n v="0"/>
    <n v="45"/>
    <n v="24"/>
    <n v="25"/>
    <n v="0"/>
    <n v="0"/>
    <n v="0"/>
    <n v="330"/>
    <n v="442"/>
    <n v="404"/>
    <n v="158"/>
    <n v="266"/>
    <n v="279"/>
    <n v="91"/>
    <n v="0"/>
    <n v="0"/>
    <n v="60"/>
    <n v="120"/>
    <n v="95"/>
    <n v="0"/>
    <n v="0"/>
    <n v="1"/>
    <n v="21"/>
    <n v="1"/>
    <n v="1"/>
    <n v="0"/>
    <n v="34"/>
    <n v="6"/>
    <n v="0"/>
    <n v="21"/>
    <n v="22"/>
    <n v="0"/>
    <n v="0"/>
    <n v="0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457"/>
    <n v="442"/>
    <n v="53"/>
    <n v="78"/>
    <n v="43"/>
    <n v="0"/>
    <n v="0"/>
    <n v="0"/>
    <n v="0"/>
    <n v="0"/>
    <n v="0"/>
    <n v="108"/>
    <n v="127"/>
    <n v="249"/>
    <n v="0"/>
    <n v="0"/>
    <n v="0"/>
    <n v="72"/>
    <n v="73"/>
    <n v="207"/>
    <n v="36"/>
    <n v="54"/>
    <n v="42"/>
    <x v="49"/>
    <x v="56"/>
    <x v="60"/>
    <n v="-19"/>
    <n v="15"/>
    <n v="38"/>
    <n v="-19"/>
    <n v="15"/>
    <n v="38"/>
    <n v="53"/>
    <n v="24"/>
    <n v="47"/>
    <n v="53"/>
    <n v="2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4"/>
    <n v="47"/>
    <n v="53"/>
    <n v="24"/>
    <n v="47"/>
    <n v="641"/>
    <n v="442"/>
    <n v="404"/>
    <n v="364"/>
    <n v="481"/>
    <n v="489"/>
    <n v="-277"/>
    <n v="39"/>
    <n v="85"/>
    <n v="34"/>
    <n v="39"/>
    <n v="85"/>
    <m/>
  </r>
  <r>
    <x v="69"/>
    <n v="187"/>
    <n v="2"/>
    <n v="30"/>
    <n v="15"/>
    <n v="15"/>
    <n v="26"/>
    <n v="12"/>
    <x v="4"/>
    <x v="0"/>
    <x v="3"/>
    <n v="8"/>
    <n v="60"/>
    <n v="12"/>
    <n v="20"/>
    <n v="5"/>
    <n v="194"/>
    <n v="250"/>
    <n v="377"/>
    <n v="57"/>
    <n v="57"/>
    <n v="172"/>
    <n v="0"/>
    <n v="0"/>
    <n v="-13"/>
    <n v="137"/>
    <n v="193"/>
    <n v="218"/>
    <n v="0"/>
    <n v="0"/>
    <n v="0"/>
    <n v="2"/>
    <n v="3"/>
    <n v="13"/>
    <n v="135"/>
    <n v="190"/>
    <n v="205"/>
    <n v="0"/>
    <n v="0"/>
    <n v="0"/>
    <n v="194"/>
    <n v="250"/>
    <n v="377"/>
    <n v="166"/>
    <n v="221"/>
    <n v="280"/>
    <n v="102"/>
    <n v="167"/>
    <n v="220"/>
    <n v="64"/>
    <n v="54"/>
    <n v="60"/>
    <n v="28"/>
    <n v="29"/>
    <n v="97"/>
    <n v="0"/>
    <n v="0"/>
    <n v="0"/>
    <n v="0"/>
    <n v="0"/>
    <n v="0"/>
    <n v="28"/>
    <n v="29"/>
    <n v="97"/>
    <n v="0"/>
    <n v="0"/>
    <n v="0"/>
    <n v="500"/>
    <n v="590"/>
    <n v="629"/>
    <n v="168"/>
    <n v="474"/>
    <n v="494"/>
    <n v="294"/>
    <n v="0"/>
    <n v="0"/>
    <n v="0"/>
    <n v="75"/>
    <n v="75"/>
    <n v="1"/>
    <n v="1"/>
    <n v="2"/>
    <n v="7"/>
    <n v="8"/>
    <n v="9"/>
    <n v="0"/>
    <n v="0"/>
    <n v="13"/>
    <n v="30"/>
    <n v="32"/>
    <n v="36"/>
    <n v="0"/>
    <n v="0"/>
    <n v="0"/>
    <n v="12"/>
    <n v="33"/>
    <n v="15"/>
    <n v="12"/>
    <n v="15"/>
    <n v="15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388"/>
    <n v="552"/>
    <n v="568"/>
    <n v="35"/>
    <n v="56"/>
    <n v="59"/>
    <n v="8"/>
    <n v="2"/>
    <n v="1"/>
    <n v="0"/>
    <n v="0"/>
    <n v="0"/>
    <n v="145"/>
    <n v="193"/>
    <n v="83"/>
    <n v="0"/>
    <n v="0"/>
    <n v="0"/>
    <n v="112"/>
    <n v="140"/>
    <n v="41"/>
    <n v="33"/>
    <n v="53"/>
    <n v="42"/>
    <x v="35"/>
    <x v="57"/>
    <x v="61"/>
    <n v="-112"/>
    <n v="-38"/>
    <n v="-61"/>
    <n v="-112"/>
    <n v="-38"/>
    <n v="-61"/>
    <n v="188"/>
    <n v="125"/>
    <n v="136"/>
    <n v="173"/>
    <n v="112"/>
    <n v="111"/>
    <n v="15"/>
    <n v="13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92"/>
    <n v="121"/>
    <n v="176"/>
    <n v="92"/>
    <n v="121"/>
    <n v="512"/>
    <n v="623"/>
    <n v="644"/>
    <n v="576"/>
    <n v="677"/>
    <n v="704"/>
    <n v="64"/>
    <n v="54"/>
    <n v="60"/>
    <n v="64"/>
    <n v="54"/>
    <n v="60"/>
    <m/>
  </r>
  <r>
    <x v="70"/>
    <n v="55"/>
    <n v="0"/>
    <n v="40"/>
    <n v="5"/>
    <n v="35"/>
    <n v="15"/>
    <n v="5"/>
    <x v="4"/>
    <x v="2"/>
    <x v="1"/>
    <n v="20"/>
    <n v="70"/>
    <n v="7"/>
    <n v="3"/>
    <n v="6"/>
    <n v="0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n v="0"/>
    <n v="18"/>
    <n v="0"/>
    <n v="0"/>
    <n v="0"/>
    <n v="0"/>
    <n v="0"/>
    <n v="18"/>
    <n v="0"/>
    <n v="0"/>
    <n v="18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229"/>
    <n v="240"/>
    <n v="334"/>
    <n v="172"/>
    <n v="160"/>
    <n v="317"/>
    <n v="57"/>
    <n v="78"/>
    <n v="0"/>
    <n v="0"/>
    <n v="0"/>
    <n v="1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240"/>
    <n v="352"/>
    <n v="229"/>
    <n v="0"/>
    <n v="121"/>
    <n v="0"/>
    <n v="0"/>
    <n v="0"/>
    <n v="0"/>
    <n v="0"/>
    <n v="0"/>
    <n v="0"/>
    <n v="51"/>
    <n v="0"/>
    <n v="0"/>
    <n v="0"/>
    <n v="0"/>
    <n v="0"/>
    <n v="37"/>
    <n v="0"/>
    <n v="0"/>
    <n v="14"/>
    <n v="0"/>
    <x v="2"/>
    <x v="58"/>
    <x v="62"/>
    <n v="0"/>
    <n v="0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240"/>
    <n v="334"/>
    <n v="229"/>
    <n v="240"/>
    <n v="352"/>
    <n v="0"/>
    <n v="0"/>
    <n v="18"/>
    <n v="0"/>
    <n v="0"/>
    <n v="18"/>
    <m/>
  </r>
  <r>
    <x v="71"/>
    <n v="336"/>
    <n v="0.5"/>
    <n v="35"/>
    <n v="12"/>
    <n v="19"/>
    <n v="21"/>
    <n v="12.5"/>
    <x v="4"/>
    <x v="0"/>
    <x v="4"/>
    <n v="23"/>
    <n v="55"/>
    <n v="15"/>
    <n v="7"/>
    <n v="2"/>
    <n v="5784"/>
    <n v="5628"/>
    <n v="5634"/>
    <n v="4913"/>
    <n v="4977"/>
    <n v="4977"/>
    <n v="0"/>
    <n v="-64"/>
    <n v="-64"/>
    <n v="871"/>
    <n v="715"/>
    <n v="721"/>
    <n v="0"/>
    <n v="0"/>
    <n v="0"/>
    <n v="63"/>
    <n v="79"/>
    <n v="61"/>
    <n v="806"/>
    <n v="634"/>
    <n v="658"/>
    <n v="2"/>
    <n v="2"/>
    <n v="2"/>
    <n v="5784"/>
    <n v="5628"/>
    <n v="5634"/>
    <n v="5689"/>
    <n v="5374"/>
    <n v="5378"/>
    <n v="5019"/>
    <n v="5019"/>
    <n v="5019"/>
    <n v="670"/>
    <n v="355"/>
    <n v="359"/>
    <n v="95"/>
    <n v="254"/>
    <n v="256"/>
    <n v="0"/>
    <n v="0"/>
    <n v="0"/>
    <n v="0"/>
    <n v="0"/>
    <n v="2"/>
    <n v="95"/>
    <n v="252"/>
    <n v="254"/>
    <n v="0"/>
    <n v="0"/>
    <n v="0"/>
    <n v="2736"/>
    <n v="3257"/>
    <n v="3081"/>
    <n v="164"/>
    <n v="2937"/>
    <n v="2738"/>
    <n v="2455"/>
    <n v="0"/>
    <n v="0"/>
    <n v="67"/>
    <n v="261"/>
    <n v="266"/>
    <n v="0"/>
    <n v="0"/>
    <n v="0"/>
    <n v="0"/>
    <n v="1"/>
    <n v="18"/>
    <n v="0"/>
    <n v="0"/>
    <n v="0"/>
    <n v="50"/>
    <n v="58"/>
    <n v="59"/>
    <n v="0"/>
    <n v="0"/>
    <n v="0"/>
    <n v="176"/>
    <n v="121"/>
    <n v="69"/>
    <n v="166"/>
    <n v="121"/>
    <n v="69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0"/>
    <n v="3258"/>
    <n v="3083"/>
    <n v="128"/>
    <n v="208"/>
    <n v="245"/>
    <n v="20"/>
    <n v="146"/>
    <n v="70"/>
    <n v="0"/>
    <n v="0"/>
    <n v="0"/>
    <n v="650"/>
    <n v="728"/>
    <n v="350"/>
    <n v="77"/>
    <n v="0"/>
    <n v="0"/>
    <n v="110"/>
    <n v="131"/>
    <n v="25"/>
    <n v="463"/>
    <n v="597"/>
    <n v="325"/>
    <x v="50"/>
    <x v="59"/>
    <x v="63"/>
    <n v="-6"/>
    <n v="1"/>
    <n v="2"/>
    <n v="-6"/>
    <n v="1"/>
    <n v="2"/>
    <n v="205"/>
    <n v="125"/>
    <n v="71"/>
    <n v="175"/>
    <n v="125"/>
    <n v="7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"/>
    <n v="2"/>
    <n v="29"/>
    <n v="4"/>
    <n v="2"/>
    <n v="2912"/>
    <n v="3378"/>
    <n v="3150"/>
    <n v="2935"/>
    <n v="3383"/>
    <n v="3154"/>
    <n v="23"/>
    <n v="5"/>
    <n v="4"/>
    <n v="23"/>
    <n v="5"/>
    <n v="4"/>
    <m/>
  </r>
  <r>
    <x v="72"/>
    <n v="104"/>
    <n v="5"/>
    <n v="35"/>
    <n v="15"/>
    <n v="20"/>
    <n v="20"/>
    <n v="5"/>
    <x v="4"/>
    <x v="0"/>
    <x v="5"/>
    <n v="10"/>
    <n v="40"/>
    <n v="35"/>
    <n v="15"/>
    <n v="3"/>
    <n v="1000"/>
    <n v="1101"/>
    <n v="1292"/>
    <n v="1294"/>
    <n v="1405"/>
    <n v="1762"/>
    <n v="-413"/>
    <n v="-523"/>
    <n v="-658"/>
    <n v="119"/>
    <n v="219"/>
    <n v="179"/>
    <n v="12"/>
    <n v="15"/>
    <n v="13"/>
    <n v="0"/>
    <n v="0"/>
    <n v="0"/>
    <n v="107"/>
    <n v="198"/>
    <n v="166"/>
    <n v="1"/>
    <n v="6"/>
    <n v="0"/>
    <n v="1000"/>
    <n v="1101"/>
    <n v="1292"/>
    <n v="987"/>
    <n v="1072"/>
    <n v="1267"/>
    <n v="934"/>
    <n v="953"/>
    <n v="1090"/>
    <n v="53"/>
    <n v="119"/>
    <n v="177"/>
    <n v="13"/>
    <n v="29"/>
    <n v="25"/>
    <n v="0"/>
    <n v="0"/>
    <n v="0"/>
    <n v="0"/>
    <n v="0"/>
    <n v="0"/>
    <n v="13"/>
    <n v="15"/>
    <n v="13"/>
    <n v="0"/>
    <n v="14"/>
    <n v="12"/>
    <n v="331"/>
    <n v="500"/>
    <n v="601"/>
    <n v="163"/>
    <n v="366"/>
    <n v="432"/>
    <n v="157"/>
    <n v="0"/>
    <n v="0"/>
    <n v="0"/>
    <n v="54"/>
    <n v="54"/>
    <n v="1"/>
    <n v="1"/>
    <n v="1"/>
    <n v="10"/>
    <n v="9"/>
    <n v="31"/>
    <n v="0"/>
    <n v="69"/>
    <n v="82"/>
    <n v="0"/>
    <n v="1"/>
    <n v="1"/>
    <n v="0"/>
    <n v="0"/>
    <n v="0"/>
    <n v="95"/>
    <n v="146"/>
    <n v="156"/>
    <n v="60"/>
    <n v="138"/>
    <n v="153"/>
    <n v="33"/>
    <n v="0"/>
    <n v="0"/>
    <n v="0"/>
    <n v="0"/>
    <n v="0"/>
    <n v="2"/>
    <n v="2"/>
    <n v="3"/>
    <n v="0"/>
    <n v="6"/>
    <n v="0"/>
    <n v="0"/>
    <n v="0"/>
    <n v="0"/>
    <n v="0"/>
    <n v="0"/>
    <n v="0"/>
    <n v="0"/>
    <n v="0"/>
    <n v="0"/>
    <n v="268"/>
    <n v="400"/>
    <n v="650"/>
    <n v="10"/>
    <n v="12"/>
    <n v="14"/>
    <n v="0"/>
    <n v="0"/>
    <n v="1"/>
    <n v="0"/>
    <n v="0"/>
    <n v="0"/>
    <n v="122"/>
    <n v="388"/>
    <n v="211"/>
    <n v="0"/>
    <n v="0"/>
    <n v="0"/>
    <n v="95"/>
    <n v="330"/>
    <n v="112"/>
    <n v="24"/>
    <n v="58"/>
    <n v="99"/>
    <x v="39"/>
    <x v="2"/>
    <x v="64"/>
    <n v="-63"/>
    <n v="-100"/>
    <n v="49"/>
    <n v="-63"/>
    <n v="-100"/>
    <n v="49"/>
    <n v="211"/>
    <n v="364"/>
    <n v="284"/>
    <n v="191"/>
    <n v="360"/>
    <n v="284"/>
    <n v="0"/>
    <n v="4"/>
    <n v="0"/>
    <n v="0"/>
    <n v="0"/>
    <n v="0"/>
    <n v="20"/>
    <n v="0"/>
    <n v="0"/>
    <n v="0"/>
    <n v="0"/>
    <n v="0"/>
    <n v="20"/>
    <n v="0"/>
    <n v="0"/>
    <n v="0"/>
    <n v="0"/>
    <n v="0"/>
    <n v="0"/>
    <n v="0"/>
    <n v="0"/>
    <n v="116"/>
    <n v="218"/>
    <n v="128"/>
    <n v="116"/>
    <n v="218"/>
    <n v="128"/>
    <n v="426"/>
    <n v="646"/>
    <n v="757"/>
    <n v="479"/>
    <n v="764"/>
    <n v="934"/>
    <n v="53"/>
    <n v="118"/>
    <n v="177"/>
    <n v="53"/>
    <n v="118"/>
    <n v="177"/>
    <s v="priloha"/>
  </r>
  <r>
    <x v="73"/>
    <n v="127"/>
    <n v="5"/>
    <n v="10"/>
    <n v="10"/>
    <n v="20"/>
    <n v="30"/>
    <n v="25"/>
    <x v="4"/>
    <x v="2"/>
    <x v="5"/>
    <n v="5"/>
    <n v="10"/>
    <n v="30"/>
    <n v="55"/>
    <n v="5"/>
    <n v="877"/>
    <n v="969"/>
    <n v="1137"/>
    <n v="1442"/>
    <n v="1471"/>
    <n v="1496"/>
    <n v="-920"/>
    <n v="-961"/>
    <n v="-999"/>
    <n v="355"/>
    <n v="459"/>
    <n v="640"/>
    <n v="0"/>
    <n v="0"/>
    <n v="0"/>
    <n v="7"/>
    <n v="6"/>
    <n v="4"/>
    <n v="342"/>
    <n v="447"/>
    <n v="630"/>
    <n v="6"/>
    <n v="6"/>
    <n v="6"/>
    <n v="877"/>
    <n v="969"/>
    <n v="1137"/>
    <n v="877"/>
    <n v="969"/>
    <n v="1132"/>
    <n v="773"/>
    <n v="771"/>
    <n v="770"/>
    <n v="104"/>
    <n v="198"/>
    <n v="362"/>
    <n v="0"/>
    <n v="0"/>
    <n v="5"/>
    <n v="0"/>
    <n v="0"/>
    <n v="0"/>
    <n v="0"/>
    <n v="0"/>
    <n v="0"/>
    <n v="0"/>
    <n v="0"/>
    <n v="5"/>
    <n v="0"/>
    <n v="0"/>
    <n v="0"/>
    <n v="337"/>
    <n v="279"/>
    <n v="329"/>
    <n v="68"/>
    <n v="233"/>
    <n v="258"/>
    <n v="212"/>
    <n v="0"/>
    <n v="0"/>
    <n v="0"/>
    <n v="0"/>
    <n v="0"/>
    <n v="1"/>
    <n v="1"/>
    <n v="2"/>
    <n v="27"/>
    <n v="19"/>
    <n v="43"/>
    <n v="13"/>
    <n v="13"/>
    <n v="13"/>
    <n v="16"/>
    <n v="13"/>
    <n v="13"/>
    <n v="0"/>
    <n v="0"/>
    <n v="0"/>
    <n v="149"/>
    <n v="240"/>
    <n v="269"/>
    <n v="141"/>
    <n v="240"/>
    <n v="269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222"/>
    <n v="254"/>
    <n v="33"/>
    <n v="45"/>
    <n v="45"/>
    <n v="17"/>
    <n v="10"/>
    <n v="56"/>
    <n v="0"/>
    <n v="0"/>
    <n v="0"/>
    <n v="68"/>
    <n v="52"/>
    <n v="63"/>
    <n v="0"/>
    <n v="0"/>
    <n v="0"/>
    <n v="47"/>
    <n v="30"/>
    <n v="63"/>
    <n v="21"/>
    <n v="22"/>
    <n v="0"/>
    <x v="51"/>
    <x v="60"/>
    <x v="65"/>
    <n v="-149"/>
    <n v="-57"/>
    <n v="-75"/>
    <n v="-149"/>
    <n v="-57"/>
    <n v="-75"/>
    <n v="293"/>
    <n v="388"/>
    <n v="507"/>
    <n v="293"/>
    <n v="388"/>
    <n v="5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48"/>
    <n v="238"/>
    <n v="144"/>
    <n v="148"/>
    <n v="238"/>
    <n v="486"/>
    <n v="519"/>
    <n v="598"/>
    <n v="481"/>
    <n v="610"/>
    <n v="761"/>
    <n v="-5"/>
    <n v="91"/>
    <n v="163"/>
    <n v="-5"/>
    <n v="91"/>
    <n v="163"/>
    <m/>
  </r>
  <r>
    <x v="74"/>
    <n v="147"/>
    <n v="2"/>
    <n v="34"/>
    <n v="10"/>
    <n v="26"/>
    <n v="26"/>
    <n v="2"/>
    <x v="4"/>
    <x v="2"/>
    <x v="5"/>
    <n v="10"/>
    <n v="30"/>
    <n v="20"/>
    <n v="40"/>
    <n v="5"/>
    <n v="2650"/>
    <n v="2793"/>
    <n v="2882"/>
    <n v="2547"/>
    <n v="2629"/>
    <n v="2645"/>
    <n v="-98"/>
    <n v="-154"/>
    <n v="-170"/>
    <n v="201"/>
    <n v="318"/>
    <n v="407"/>
    <n v="0"/>
    <n v="0"/>
    <n v="0"/>
    <n v="16"/>
    <n v="13"/>
    <n v="12"/>
    <n v="176"/>
    <n v="295"/>
    <n v="386"/>
    <n v="1"/>
    <n v="1"/>
    <n v="1"/>
    <n v="2650"/>
    <n v="2793"/>
    <n v="2882"/>
    <n v="2634"/>
    <n v="2781"/>
    <n v="2868"/>
    <n v="2575"/>
    <n v="2634"/>
    <n v="2781"/>
    <n v="59"/>
    <n v="147"/>
    <n v="87"/>
    <n v="16"/>
    <n v="12"/>
    <n v="14"/>
    <n v="0"/>
    <n v="0"/>
    <n v="0"/>
    <n v="0"/>
    <n v="0"/>
    <n v="0"/>
    <n v="16"/>
    <n v="12"/>
    <n v="14"/>
    <n v="0"/>
    <n v="0"/>
    <n v="0"/>
    <n v="160"/>
    <n v="294"/>
    <n v="331"/>
    <n v="56"/>
    <n v="262"/>
    <n v="227"/>
    <n v="72"/>
    <n v="0"/>
    <n v="0"/>
    <n v="0"/>
    <n v="25"/>
    <n v="75"/>
    <n v="0"/>
    <n v="0"/>
    <n v="7"/>
    <n v="31"/>
    <n v="6"/>
    <n v="21"/>
    <n v="0"/>
    <n v="0"/>
    <n v="0"/>
    <n v="1"/>
    <n v="1"/>
    <n v="1"/>
    <n v="0"/>
    <n v="0"/>
    <n v="0"/>
    <n v="221"/>
    <n v="194"/>
    <n v="210"/>
    <n v="209"/>
    <n v="194"/>
    <n v="21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240"/>
    <n v="346"/>
    <n v="10"/>
    <n v="9"/>
    <n v="19"/>
    <n v="0"/>
    <n v="0"/>
    <n v="0"/>
    <n v="0"/>
    <n v="0"/>
    <n v="0"/>
    <n v="58"/>
    <n v="46"/>
    <n v="96"/>
    <n v="0"/>
    <n v="0"/>
    <n v="0"/>
    <n v="43"/>
    <n v="26"/>
    <n v="42"/>
    <n v="15"/>
    <n v="20"/>
    <n v="54"/>
    <x v="52"/>
    <x v="61"/>
    <x v="62"/>
    <n v="-39"/>
    <n v="-54"/>
    <n v="15"/>
    <n v="-39"/>
    <n v="-54"/>
    <n v="15"/>
    <n v="319"/>
    <n v="395"/>
    <n v="282"/>
    <n v="319"/>
    <n v="395"/>
    <n v="276"/>
    <n v="0"/>
    <n v="0"/>
    <n v="0"/>
    <n v="0"/>
    <n v="0"/>
    <n v="6"/>
    <n v="0"/>
    <n v="0"/>
    <n v="0"/>
    <n v="0"/>
    <n v="0"/>
    <n v="6"/>
    <n v="0"/>
    <n v="0"/>
    <n v="0"/>
    <n v="0"/>
    <n v="0"/>
    <n v="0"/>
    <n v="0"/>
    <n v="0"/>
    <n v="0"/>
    <n v="98"/>
    <n v="201"/>
    <n v="72"/>
    <n v="98"/>
    <n v="201"/>
    <n v="72"/>
    <n v="381"/>
    <n v="488"/>
    <n v="541"/>
    <n v="440"/>
    <n v="635"/>
    <n v="628"/>
    <n v="59"/>
    <n v="147"/>
    <n v="87"/>
    <n v="59"/>
    <n v="147"/>
    <n v="87"/>
    <m/>
  </r>
  <r>
    <x v="75"/>
    <n v="45"/>
    <n v="0"/>
    <n v="37.78"/>
    <n v="0"/>
    <n v="13.33"/>
    <n v="42.22"/>
    <n v="6.67"/>
    <x v="4"/>
    <x v="2"/>
    <x v="5"/>
    <n v="20"/>
    <n v="70"/>
    <n v="5"/>
    <n v="5"/>
    <n v="3"/>
    <n v="36"/>
    <n v="262"/>
    <n v="223"/>
    <n v="0"/>
    <n v="69"/>
    <n v="78"/>
    <n v="0"/>
    <n v="0"/>
    <n v="-26"/>
    <n v="36"/>
    <n v="193"/>
    <n v="171"/>
    <n v="2"/>
    <n v="0"/>
    <n v="0"/>
    <n v="0"/>
    <n v="0"/>
    <n v="0"/>
    <n v="34"/>
    <n v="193"/>
    <n v="171"/>
    <n v="0"/>
    <n v="0"/>
    <n v="0"/>
    <n v="36"/>
    <n v="262"/>
    <n v="223"/>
    <n v="33"/>
    <n v="154"/>
    <n v="139"/>
    <n v="53"/>
    <n v="33"/>
    <n v="154"/>
    <n v="-20"/>
    <n v="121"/>
    <n v="-15"/>
    <n v="3"/>
    <n v="108"/>
    <n v="84"/>
    <n v="0"/>
    <n v="0"/>
    <n v="0"/>
    <n v="0"/>
    <n v="49"/>
    <n v="32"/>
    <n v="3"/>
    <n v="59"/>
    <n v="52"/>
    <n v="0"/>
    <n v="0"/>
    <n v="0"/>
    <n v="115"/>
    <n v="309"/>
    <n v="274"/>
    <n v="45"/>
    <n v="137"/>
    <n v="159"/>
    <n v="39"/>
    <n v="0"/>
    <n v="0"/>
    <n v="0"/>
    <n v="50"/>
    <n v="76"/>
    <n v="0"/>
    <n v="0"/>
    <n v="0"/>
    <n v="21"/>
    <n v="102"/>
    <n v="10"/>
    <n v="0"/>
    <n v="9"/>
    <n v="17"/>
    <n v="10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253"/>
    <n v="249"/>
    <n v="3"/>
    <n v="0"/>
    <n v="0"/>
    <n v="33"/>
    <n v="133"/>
    <n v="18"/>
    <n v="0"/>
    <n v="11"/>
    <n v="0"/>
    <n v="35"/>
    <n v="63"/>
    <n v="89"/>
    <n v="0"/>
    <n v="0"/>
    <n v="16"/>
    <n v="14"/>
    <n v="14"/>
    <n v="23"/>
    <n v="21"/>
    <n v="49"/>
    <n v="50"/>
    <x v="53"/>
    <x v="18"/>
    <x v="66"/>
    <n v="-20"/>
    <n v="-56"/>
    <n v="-25"/>
    <n v="-20"/>
    <n v="-56"/>
    <n v="-25"/>
    <n v="0"/>
    <n v="177"/>
    <n v="10"/>
    <n v="0"/>
    <n v="20"/>
    <n v="10"/>
    <n v="0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10"/>
    <n v="0"/>
    <n v="177"/>
    <n v="10"/>
    <n v="115"/>
    <n v="309"/>
    <n v="274"/>
    <n v="95"/>
    <n v="430"/>
    <n v="259"/>
    <n v="-20"/>
    <n v="121"/>
    <n v="-15"/>
    <n v="-20"/>
    <n v="121"/>
    <n v="-15"/>
    <s v="priloha"/>
  </r>
  <r>
    <x v="76"/>
    <n v="120"/>
    <n v="10"/>
    <n v="20"/>
    <n v="20"/>
    <n v="30"/>
    <n v="15"/>
    <n v="5"/>
    <x v="4"/>
    <x v="2"/>
    <x v="1"/>
    <n v="10"/>
    <n v="40"/>
    <n v="25"/>
    <n v="25"/>
    <n v="7"/>
    <n v="345"/>
    <n v="324"/>
    <n v="259"/>
    <n v="130"/>
    <n v="130"/>
    <n v="130"/>
    <n v="-75"/>
    <m/>
    <n v="130"/>
    <n v="287"/>
    <n v="194"/>
    <n v="259"/>
    <n v="16"/>
    <n v="0"/>
    <n v="0"/>
    <n v="72"/>
    <n v="17"/>
    <n v="8"/>
    <n v="199"/>
    <n v="174"/>
    <n v="251"/>
    <n v="0"/>
    <n v="3"/>
    <n v="0"/>
    <n v="345"/>
    <n v="324"/>
    <n v="259"/>
    <n v="289"/>
    <n v="287"/>
    <n v="259"/>
    <n v="100"/>
    <n v="390"/>
    <n v="100"/>
    <n v="189"/>
    <n v="-103"/>
    <n v="159"/>
    <n v="56"/>
    <n v="37"/>
    <n v="0"/>
    <n v="0"/>
    <n v="0"/>
    <n v="0"/>
    <n v="0"/>
    <n v="0"/>
    <n v="0"/>
    <n v="56"/>
    <n v="37"/>
    <n v="0"/>
    <n v="0"/>
    <n v="0"/>
    <n v="0"/>
    <n v="1203"/>
    <n v="457"/>
    <n v="362"/>
    <n v="1177"/>
    <n v="257"/>
    <n v="301"/>
    <n v="0"/>
    <n v="0"/>
    <n v="0"/>
    <n v="26"/>
    <n v="163"/>
    <n v="0"/>
    <n v="0"/>
    <n v="0"/>
    <n v="0"/>
    <n v="0"/>
    <n v="0"/>
    <n v="22"/>
    <n v="0"/>
    <n v="37"/>
    <n v="27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"/>
    <n v="537"/>
    <n v="365"/>
    <n v="933"/>
    <n v="10"/>
    <n v="18"/>
    <n v="0"/>
    <n v="20"/>
    <n v="0"/>
    <n v="0"/>
    <n v="0"/>
    <n v="0"/>
    <n v="0"/>
    <n v="97"/>
    <n v="47"/>
    <n v="0"/>
    <n v="61"/>
    <n v="0"/>
    <n v="0"/>
    <n v="36"/>
    <n v="11"/>
    <n v="0"/>
    <n v="0"/>
    <n v="36"/>
    <x v="2"/>
    <x v="62"/>
    <x v="67"/>
    <n v="-270"/>
    <n v="80"/>
    <n v="3"/>
    <n v="-270"/>
    <n v="8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3"/>
    <n v="457"/>
    <n v="362"/>
    <n v="933"/>
    <n v="537"/>
    <n v="365"/>
    <n v="-270"/>
    <n v="80"/>
    <n v="3"/>
    <n v="-270"/>
    <n v="80"/>
    <n v="3"/>
    <m/>
  </r>
  <r>
    <x v="77"/>
    <n v="110"/>
    <n v="3"/>
    <n v="10"/>
    <n v="10"/>
    <n v="35"/>
    <n v="22"/>
    <n v="20"/>
    <x v="4"/>
    <x v="2"/>
    <x v="4"/>
    <n v="5"/>
    <n v="60"/>
    <n v="30"/>
    <n v="5"/>
    <n v="5"/>
    <n v="4722"/>
    <n v="4668"/>
    <n v="4794"/>
    <n v="4759"/>
    <n v="4788"/>
    <n v="4891"/>
    <n v="-304"/>
    <n v="-365"/>
    <n v="-487"/>
    <n v="267"/>
    <n v="245"/>
    <n v="390"/>
    <n v="1"/>
    <n v="1"/>
    <n v="1"/>
    <n v="4"/>
    <n v="2"/>
    <n v="13"/>
    <n v="262"/>
    <n v="242"/>
    <n v="374"/>
    <n v="0"/>
    <n v="0"/>
    <n v="2"/>
    <n v="4722"/>
    <n v="4668"/>
    <n v="4794"/>
    <n v="4653"/>
    <n v="4632"/>
    <n v="4772"/>
    <n v="4400"/>
    <n v="4362"/>
    <n v="4377"/>
    <n v="253"/>
    <n v="270"/>
    <n v="395"/>
    <n v="69"/>
    <n v="36"/>
    <n v="22"/>
    <n v="0"/>
    <n v="0"/>
    <n v="0"/>
    <n v="0"/>
    <n v="0"/>
    <n v="0"/>
    <n v="6"/>
    <n v="4"/>
    <n v="9"/>
    <n v="63"/>
    <n v="32"/>
    <n v="13"/>
    <n v="240"/>
    <n v="354"/>
    <n v="285"/>
    <n v="100"/>
    <n v="138"/>
    <n v="170"/>
    <n v="54"/>
    <n v="0"/>
    <n v="0"/>
    <n v="0"/>
    <n v="0"/>
    <n v="18"/>
    <n v="2"/>
    <n v="13"/>
    <n v="1"/>
    <n v="23"/>
    <n v="42"/>
    <n v="35"/>
    <n v="61"/>
    <n v="61"/>
    <n v="61"/>
    <n v="0"/>
    <n v="0"/>
    <n v="0"/>
    <n v="0"/>
    <n v="0"/>
    <n v="0"/>
    <n v="42"/>
    <n v="52"/>
    <n v="40"/>
    <n v="42"/>
    <n v="52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36"/>
    <n v="221"/>
    <n v="0"/>
    <n v="0"/>
    <n v="0"/>
    <n v="49"/>
    <n v="49"/>
    <n v="54"/>
    <n v="0"/>
    <n v="0"/>
    <n v="0"/>
    <n v="22"/>
    <n v="23"/>
    <n v="25"/>
    <n v="0"/>
    <n v="0"/>
    <n v="0"/>
    <n v="8"/>
    <n v="9"/>
    <n v="7"/>
    <n v="14"/>
    <n v="14"/>
    <n v="25"/>
    <x v="54"/>
    <x v="63"/>
    <x v="66"/>
    <n v="-96"/>
    <n v="-118"/>
    <n v="-64"/>
    <n v="-96"/>
    <n v="-118"/>
    <n v="-64"/>
    <n v="168"/>
    <n v="188"/>
    <n v="187"/>
    <n v="166"/>
    <n v="188"/>
    <n v="18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136"/>
    <n v="147"/>
    <n v="126"/>
    <n v="136"/>
    <n v="147"/>
    <n v="282"/>
    <n v="406"/>
    <n v="325"/>
    <n v="312"/>
    <n v="324"/>
    <n v="408"/>
    <n v="30"/>
    <n v="-82"/>
    <n v="83"/>
    <n v="30"/>
    <n v="18"/>
    <n v="83"/>
    <m/>
  </r>
  <r>
    <x v="78"/>
    <n v="76"/>
    <n v="0"/>
    <n v="30"/>
    <n v="0"/>
    <n v="5"/>
    <n v="55"/>
    <n v="10"/>
    <x v="4"/>
    <x v="1"/>
    <x v="3"/>
    <n v="30"/>
    <n v="50"/>
    <n v="20"/>
    <n v="0"/>
    <n v="4"/>
    <n v="24"/>
    <n v="45"/>
    <n v="60"/>
    <n v="0"/>
    <n v="0"/>
    <n v="0"/>
    <n v="0"/>
    <n v="0"/>
    <n v="0"/>
    <n v="24"/>
    <n v="45"/>
    <n v="60"/>
    <n v="0"/>
    <n v="0"/>
    <n v="0"/>
    <n v="0"/>
    <n v="0"/>
    <n v="0"/>
    <n v="24"/>
    <n v="45"/>
    <n v="60"/>
    <n v="0"/>
    <n v="0"/>
    <n v="0"/>
    <n v="24"/>
    <n v="45"/>
    <n v="60"/>
    <n v="19"/>
    <n v="40"/>
    <n v="49"/>
    <n v="0"/>
    <n v="0"/>
    <n v="0"/>
    <n v="19"/>
    <n v="40"/>
    <n v="49"/>
    <n v="5"/>
    <n v="5"/>
    <n v="11"/>
    <n v="0"/>
    <n v="0"/>
    <n v="0"/>
    <n v="0"/>
    <n v="0"/>
    <n v="0"/>
    <n v="5"/>
    <n v="5"/>
    <n v="11"/>
    <n v="0"/>
    <n v="0"/>
    <n v="0"/>
    <n v="192"/>
    <n v="128"/>
    <n v="128"/>
    <n v="20"/>
    <n v="37"/>
    <n v="39"/>
    <n v="40"/>
    <n v="68"/>
    <n v="51"/>
    <n v="15"/>
    <n v="2"/>
    <n v="0"/>
    <n v="11"/>
    <n v="0"/>
    <n v="0"/>
    <n v="94"/>
    <n v="11"/>
    <n v="26"/>
    <n v="0"/>
    <n v="0"/>
    <n v="0"/>
    <n v="12"/>
    <n v="1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149"/>
    <n v="137"/>
    <n v="0"/>
    <n v="0"/>
    <n v="0"/>
    <n v="65"/>
    <n v="58"/>
    <n v="28"/>
    <n v="0"/>
    <n v="0"/>
    <n v="0"/>
    <n v="48"/>
    <n v="36"/>
    <n v="31"/>
    <n v="0"/>
    <n v="0"/>
    <n v="0"/>
    <n v="17"/>
    <n v="0"/>
    <n v="0"/>
    <n v="31"/>
    <n v="36"/>
    <n v="31"/>
    <x v="30"/>
    <x v="64"/>
    <x v="68"/>
    <n v="-34"/>
    <n v="21"/>
    <n v="9"/>
    <n v="-34"/>
    <n v="2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128"/>
    <n v="128"/>
    <n v="158"/>
    <n v="149"/>
    <n v="137"/>
    <n v="-34"/>
    <n v="21"/>
    <n v="9"/>
    <n v="-34"/>
    <n v="21"/>
    <n v="9"/>
    <m/>
  </r>
  <r>
    <x v="79"/>
    <n v="111"/>
    <n v="15"/>
    <n v="20"/>
    <n v="1"/>
    <n v="30"/>
    <n v="30"/>
    <n v="4"/>
    <x v="4"/>
    <x v="2"/>
    <x v="5"/>
    <n v="20"/>
    <n v="40"/>
    <n v="20"/>
    <n v="20"/>
    <n v="6"/>
    <n v="62"/>
    <n v="124"/>
    <n v="135"/>
    <n v="0"/>
    <n v="0"/>
    <n v="0"/>
    <n v="0"/>
    <n v="0"/>
    <n v="0"/>
    <n v="62"/>
    <n v="124"/>
    <n v="135"/>
    <n v="0"/>
    <n v="0"/>
    <n v="0"/>
    <n v="0"/>
    <n v="0"/>
    <n v="0"/>
    <n v="62"/>
    <n v="124"/>
    <n v="135"/>
    <n v="0"/>
    <n v="0"/>
    <n v="0"/>
    <n v="62"/>
    <n v="124"/>
    <n v="135"/>
    <n v="62"/>
    <n v="124"/>
    <n v="135"/>
    <n v="81"/>
    <n v="62"/>
    <n v="124"/>
    <n v="-19"/>
    <n v="62"/>
    <n v="11"/>
    <n v="0"/>
    <n v="0"/>
    <n v="0"/>
    <n v="0"/>
    <n v="0"/>
    <n v="0"/>
    <n v="0"/>
    <n v="0"/>
    <n v="0"/>
    <n v="0"/>
    <n v="0"/>
    <n v="0"/>
    <n v="0"/>
    <n v="0"/>
    <n v="0"/>
    <n v="227"/>
    <n v="215"/>
    <n v="305"/>
    <n v="127"/>
    <n v="200"/>
    <n v="273"/>
    <n v="84"/>
    <n v="0"/>
    <n v="0"/>
    <n v="0"/>
    <n v="0"/>
    <n v="0"/>
    <n v="2"/>
    <n v="0"/>
    <n v="0"/>
    <n v="0"/>
    <n v="0"/>
    <n v="15"/>
    <n v="0"/>
    <n v="0"/>
    <n v="0"/>
    <n v="14"/>
    <n v="1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277"/>
    <n v="316"/>
    <n v="33"/>
    <n v="60"/>
    <n v="53"/>
    <n v="19"/>
    <n v="39"/>
    <n v="56"/>
    <n v="0"/>
    <n v="0"/>
    <n v="0"/>
    <n v="96"/>
    <n v="78"/>
    <n v="54"/>
    <n v="0"/>
    <n v="0"/>
    <n v="0"/>
    <n v="71"/>
    <n v="17"/>
    <n v="10"/>
    <n v="25"/>
    <n v="61"/>
    <n v="44"/>
    <x v="21"/>
    <x v="22"/>
    <x v="69"/>
    <n v="-19"/>
    <n v="62"/>
    <n v="11"/>
    <n v="-19"/>
    <n v="6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215"/>
    <n v="305"/>
    <n v="208"/>
    <n v="277"/>
    <n v="316"/>
    <n v="-19"/>
    <n v="62"/>
    <n v="11"/>
    <n v="-19"/>
    <n v="62"/>
    <n v="11"/>
    <m/>
  </r>
  <r>
    <x v="80"/>
    <n v="105"/>
    <n v="15"/>
    <n v="20"/>
    <n v="20"/>
    <n v="25"/>
    <n v="15"/>
    <n v="5"/>
    <x v="4"/>
    <x v="2"/>
    <x v="3"/>
    <n v="10"/>
    <n v="75"/>
    <n v="10"/>
    <n v="5"/>
    <n v="6"/>
    <n v="163"/>
    <n v="220"/>
    <n v="225"/>
    <n v="421"/>
    <n v="580"/>
    <n v="580"/>
    <n v="-266"/>
    <n v="-408"/>
    <n v="-408"/>
    <n v="8"/>
    <n v="48"/>
    <n v="53"/>
    <n v="0"/>
    <n v="0"/>
    <n v="0"/>
    <n v="0"/>
    <n v="0"/>
    <n v="0"/>
    <n v="8"/>
    <n v="48"/>
    <n v="53"/>
    <n v="0"/>
    <n v="0"/>
    <n v="0"/>
    <n v="163"/>
    <n v="220"/>
    <n v="225"/>
    <n v="163"/>
    <n v="219"/>
    <n v="225"/>
    <n v="229"/>
    <n v="191"/>
    <n v="191"/>
    <n v="-66"/>
    <n v="28"/>
    <n v="34"/>
    <n v="0"/>
    <n v="1"/>
    <n v="0"/>
    <n v="0"/>
    <n v="0"/>
    <n v="0"/>
    <n v="0"/>
    <n v="0"/>
    <n v="0"/>
    <n v="0"/>
    <n v="1"/>
    <n v="0"/>
    <n v="0"/>
    <n v="0"/>
    <n v="0"/>
    <n v="172"/>
    <n v="445"/>
    <n v="409"/>
    <n v="134"/>
    <n v="275"/>
    <n v="213"/>
    <n v="12"/>
    <n v="0"/>
    <n v="0"/>
    <n v="20"/>
    <n v="128"/>
    <n v="142"/>
    <n v="0"/>
    <n v="0"/>
    <n v="0"/>
    <n v="3"/>
    <n v="29"/>
    <n v="54"/>
    <n v="0"/>
    <n v="1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473"/>
    <n v="415"/>
    <n v="0"/>
    <n v="0"/>
    <n v="0"/>
    <n v="0"/>
    <n v="139"/>
    <n v="106"/>
    <n v="0"/>
    <n v="0"/>
    <n v="0"/>
    <n v="70"/>
    <n v="39"/>
    <n v="43"/>
    <n v="0"/>
    <n v="0"/>
    <n v="0"/>
    <n v="57"/>
    <n v="14"/>
    <n v="20"/>
    <n v="13"/>
    <n v="25"/>
    <n v="23"/>
    <x v="55"/>
    <x v="65"/>
    <x v="70"/>
    <n v="-66"/>
    <n v="28"/>
    <n v="6"/>
    <n v="-66"/>
    <n v="2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445"/>
    <n v="409"/>
    <n v="106"/>
    <n v="473"/>
    <n v="415"/>
    <n v="-66"/>
    <n v="28"/>
    <n v="6"/>
    <n v="-66"/>
    <n v="28"/>
    <n v="6"/>
    <s v="priloha"/>
  </r>
  <r>
    <x v="81"/>
    <n v="278"/>
    <n v="1.8"/>
    <n v="29.9"/>
    <n v="15.5"/>
    <n v="20.5"/>
    <n v="19.399999999999999"/>
    <n v="12.9"/>
    <x v="4"/>
    <x v="1"/>
    <x v="1"/>
    <n v="16"/>
    <n v="44"/>
    <n v="15"/>
    <n v="25"/>
    <n v="5"/>
    <n v="746"/>
    <n v="693"/>
    <n v="602"/>
    <n v="827"/>
    <n v="800"/>
    <n v="800"/>
    <n v="-404"/>
    <n v="-456"/>
    <n v="-508"/>
    <n v="323"/>
    <n v="349"/>
    <n v="310"/>
    <n v="0"/>
    <n v="0"/>
    <n v="0"/>
    <n v="0"/>
    <n v="0"/>
    <n v="0"/>
    <n v="323"/>
    <n v="349"/>
    <n v="309"/>
    <n v="0"/>
    <n v="0"/>
    <n v="1"/>
    <n v="746"/>
    <n v="693"/>
    <n v="602"/>
    <n v="746"/>
    <n v="693"/>
    <n v="602"/>
    <n v="719"/>
    <n v="719"/>
    <n v="693"/>
    <n v="27"/>
    <n v="-26"/>
    <n v="-91"/>
    <n v="0"/>
    <n v="0"/>
    <n v="0"/>
    <n v="0"/>
    <n v="0"/>
    <n v="0"/>
    <n v="0"/>
    <n v="0"/>
    <n v="0"/>
    <n v="0"/>
    <n v="0"/>
    <n v="0"/>
    <n v="0"/>
    <n v="0"/>
    <n v="0"/>
    <n v="860"/>
    <n v="638"/>
    <n v="747"/>
    <n v="240"/>
    <n v="505"/>
    <n v="524"/>
    <n v="213"/>
    <n v="0"/>
    <n v="0"/>
    <n v="0"/>
    <n v="0"/>
    <n v="63"/>
    <n v="12"/>
    <n v="4"/>
    <n v="7"/>
    <n v="343"/>
    <n v="27"/>
    <n v="71"/>
    <n v="52"/>
    <n v="52"/>
    <n v="52"/>
    <n v="0"/>
    <n v="50"/>
    <n v="30"/>
    <n v="0"/>
    <n v="0"/>
    <n v="0"/>
    <n v="3"/>
    <n v="58"/>
    <n v="23"/>
    <n v="0"/>
    <n v="58"/>
    <n v="8"/>
    <n v="0"/>
    <n v="0"/>
    <n v="0"/>
    <n v="0"/>
    <n v="0"/>
    <n v="0"/>
    <n v="0"/>
    <n v="0"/>
    <n v="0"/>
    <n v="3"/>
    <n v="0"/>
    <n v="15"/>
    <n v="0"/>
    <n v="0"/>
    <n v="0"/>
    <n v="0"/>
    <n v="0"/>
    <n v="0"/>
    <n v="0"/>
    <n v="0"/>
    <n v="0"/>
    <n v="771"/>
    <n v="359"/>
    <n v="515"/>
    <n v="95"/>
    <n v="0"/>
    <n v="10"/>
    <n v="0"/>
    <n v="17"/>
    <n v="22"/>
    <n v="0"/>
    <n v="0"/>
    <n v="0"/>
    <n v="416"/>
    <n v="87"/>
    <n v="483"/>
    <n v="326"/>
    <n v="4"/>
    <n v="0"/>
    <n v="0"/>
    <n v="0"/>
    <n v="393"/>
    <n v="90"/>
    <n v="83"/>
    <n v="90"/>
    <x v="56"/>
    <x v="66"/>
    <x v="23"/>
    <n v="-89"/>
    <n v="-279"/>
    <n v="-232"/>
    <n v="-89"/>
    <n v="-279"/>
    <n v="-232"/>
    <n v="119"/>
    <n v="311"/>
    <n v="164"/>
    <n v="119"/>
    <n v="0"/>
    <n v="124"/>
    <n v="0"/>
    <n v="296"/>
    <n v="0"/>
    <n v="0"/>
    <n v="0"/>
    <n v="0"/>
    <n v="0"/>
    <n v="15"/>
    <n v="40"/>
    <n v="0"/>
    <n v="0"/>
    <n v="0"/>
    <n v="0"/>
    <n v="15"/>
    <n v="40"/>
    <n v="0"/>
    <n v="0"/>
    <n v="0"/>
    <n v="0"/>
    <n v="0"/>
    <n v="0"/>
    <n v="116"/>
    <n v="253"/>
    <n v="141"/>
    <n v="116"/>
    <n v="253"/>
    <n v="141"/>
    <n v="863"/>
    <n v="696"/>
    <n v="770"/>
    <n v="890"/>
    <n v="670"/>
    <n v="679"/>
    <n v="27"/>
    <n v="-26"/>
    <n v="-91"/>
    <n v="27"/>
    <n v="-26"/>
    <n v="-91"/>
    <m/>
  </r>
  <r>
    <x v="82"/>
    <n v="138"/>
    <n v="18"/>
    <n v="31"/>
    <n v="11"/>
    <n v="20"/>
    <n v="10"/>
    <n v="10"/>
    <x v="4"/>
    <x v="0"/>
    <x v="3"/>
    <n v="10"/>
    <n v="55"/>
    <n v="15"/>
    <n v="20"/>
    <n v="6"/>
    <n v="1402"/>
    <n v="1431"/>
    <n v="2071"/>
    <n v="1092"/>
    <n v="1092"/>
    <n v="1770"/>
    <n v="-151"/>
    <n v="-151"/>
    <n v="-165"/>
    <n v="461"/>
    <n v="490"/>
    <n v="466"/>
    <n v="0"/>
    <n v="0"/>
    <n v="0"/>
    <n v="228"/>
    <n v="219"/>
    <n v="227"/>
    <n v="231"/>
    <n v="269"/>
    <n v="233"/>
    <n v="2"/>
    <n v="2"/>
    <n v="6"/>
    <n v="1402"/>
    <n v="1431"/>
    <n v="2071"/>
    <n v="1210"/>
    <n v="1226"/>
    <n v="1855"/>
    <n v="1093"/>
    <n v="1210"/>
    <n v="1226"/>
    <n v="117"/>
    <n v="16"/>
    <n v="629"/>
    <n v="192"/>
    <n v="205"/>
    <n v="216"/>
    <n v="0"/>
    <n v="0"/>
    <n v="0"/>
    <n v="0"/>
    <n v="0"/>
    <n v="0"/>
    <n v="27"/>
    <n v="205"/>
    <n v="62"/>
    <n v="165"/>
    <n v="0"/>
    <n v="154"/>
    <n v="655"/>
    <n v="874"/>
    <n v="888"/>
    <n v="202"/>
    <n v="791"/>
    <n v="708"/>
    <n v="372"/>
    <n v="0"/>
    <n v="0"/>
    <n v="53"/>
    <n v="49"/>
    <n v="127"/>
    <n v="1"/>
    <n v="1"/>
    <n v="1"/>
    <n v="8"/>
    <n v="11"/>
    <n v="17"/>
    <n v="0"/>
    <n v="0"/>
    <n v="14"/>
    <n v="19"/>
    <n v="22"/>
    <n v="21"/>
    <n v="0"/>
    <n v="0"/>
    <n v="0"/>
    <n v="190"/>
    <n v="166"/>
    <n v="133"/>
    <n v="186"/>
    <n v="166"/>
    <n v="13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"/>
    <n v="864"/>
    <n v="1493"/>
    <n v="58"/>
    <n v="80"/>
    <n v="93"/>
    <n v="0"/>
    <n v="0"/>
    <n v="0"/>
    <n v="0"/>
    <n v="0"/>
    <n v="0"/>
    <n v="232"/>
    <n v="237"/>
    <n v="142"/>
    <n v="28"/>
    <n v="13"/>
    <n v="0"/>
    <n v="21"/>
    <n v="92"/>
    <n v="22"/>
    <n v="183"/>
    <n v="132"/>
    <n v="120"/>
    <x v="38"/>
    <x v="67"/>
    <x v="71"/>
    <n v="51"/>
    <n v="-10"/>
    <n v="605"/>
    <n v="51"/>
    <n v="-10"/>
    <n v="605"/>
    <n v="256"/>
    <n v="192"/>
    <n v="157"/>
    <n v="256"/>
    <n v="192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6"/>
    <n v="24"/>
    <n v="66"/>
    <n v="26"/>
    <n v="24"/>
    <n v="845"/>
    <n v="1040"/>
    <n v="1021"/>
    <n v="962"/>
    <n v="1056"/>
    <n v="1650"/>
    <n v="117"/>
    <n v="16"/>
    <n v="629"/>
    <n v="117"/>
    <n v="16"/>
    <n v="629"/>
    <m/>
  </r>
  <r>
    <x v="83"/>
    <n v="105"/>
    <n v="2"/>
    <n v="38"/>
    <n v="5"/>
    <n v="20"/>
    <n v="20"/>
    <n v="15"/>
    <x v="4"/>
    <x v="2"/>
    <x v="0"/>
    <n v="10"/>
    <n v="65"/>
    <n v="10"/>
    <n v="15"/>
    <n v="6"/>
    <n v="3240"/>
    <n v="4637"/>
    <n v="4543"/>
    <n v="2455"/>
    <n v="4626"/>
    <n v="4626"/>
    <n v="-18"/>
    <n v="-62"/>
    <n v="-176"/>
    <n v="803"/>
    <n v="73"/>
    <n v="93"/>
    <n v="0"/>
    <n v="13"/>
    <n v="8"/>
    <n v="109"/>
    <n v="37"/>
    <n v="28"/>
    <n v="694"/>
    <n v="23"/>
    <n v="57"/>
    <n v="0"/>
    <n v="0"/>
    <n v="0"/>
    <n v="3240"/>
    <n v="4637"/>
    <n v="4543"/>
    <n v="2905"/>
    <n v="4431"/>
    <n v="4431"/>
    <n v="1036"/>
    <n v="2905"/>
    <n v="4329"/>
    <n v="1869"/>
    <n v="1526"/>
    <n v="102"/>
    <n v="335"/>
    <n v="206"/>
    <n v="11"/>
    <n v="0"/>
    <n v="0"/>
    <n v="0"/>
    <n v="0"/>
    <n v="0"/>
    <n v="0"/>
    <n v="335"/>
    <n v="206"/>
    <n v="11"/>
    <n v="0"/>
    <n v="0"/>
    <n v="0"/>
    <n v="1551"/>
    <n v="1224"/>
    <n v="739"/>
    <n v="244"/>
    <n v="418"/>
    <n v="545"/>
    <n v="926"/>
    <n v="468"/>
    <n v="0"/>
    <n v="132"/>
    <n v="278"/>
    <n v="72"/>
    <n v="73"/>
    <n v="1"/>
    <n v="5"/>
    <n v="148"/>
    <n v="4"/>
    <n v="4"/>
    <n v="19"/>
    <n v="43"/>
    <n v="114"/>
    <n v="9"/>
    <n v="12"/>
    <n v="1"/>
    <n v="0"/>
    <n v="0"/>
    <n v="0"/>
    <n v="0"/>
    <n v="348"/>
    <n v="730"/>
    <n v="0"/>
    <n v="300"/>
    <n v="554"/>
    <n v="0"/>
    <n v="47"/>
    <n v="0"/>
    <n v="0"/>
    <n v="0"/>
    <n v="175"/>
    <n v="0"/>
    <n v="1"/>
    <n v="1"/>
    <n v="0"/>
    <n v="0"/>
    <n v="0"/>
    <n v="0"/>
    <n v="0"/>
    <n v="0"/>
    <n v="0"/>
    <n v="0"/>
    <n v="0"/>
    <n v="0"/>
    <n v="0"/>
    <n v="0"/>
    <n v="3340"/>
    <n v="2658"/>
    <n v="632"/>
    <n v="58"/>
    <n v="66"/>
    <n v="104"/>
    <n v="2873"/>
    <n v="2090"/>
    <n v="22"/>
    <n v="0"/>
    <n v="0"/>
    <n v="0"/>
    <n v="289"/>
    <n v="298"/>
    <n v="380"/>
    <n v="0"/>
    <n v="8"/>
    <n v="26"/>
    <n v="209"/>
    <n v="183"/>
    <n v="265"/>
    <n v="80"/>
    <n v="107"/>
    <n v="89"/>
    <x v="57"/>
    <x v="68"/>
    <x v="72"/>
    <n v="1789"/>
    <n v="1434"/>
    <n v="-107"/>
    <n v="1789"/>
    <n v="1434"/>
    <n v="-107"/>
    <n v="80"/>
    <n v="440"/>
    <n v="939"/>
    <n v="80"/>
    <n v="440"/>
    <n v="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92"/>
    <n v="209"/>
    <n v="80"/>
    <n v="92"/>
    <n v="209"/>
    <n v="1551"/>
    <n v="1572"/>
    <n v="1469"/>
    <n v="3420"/>
    <n v="3098"/>
    <n v="1571"/>
    <n v="1869"/>
    <n v="1526"/>
    <n v="102"/>
    <n v="1869"/>
    <n v="1526"/>
    <n v="102"/>
    <m/>
  </r>
  <r>
    <x v="84"/>
    <n v="124"/>
    <n v="5"/>
    <n v="15"/>
    <n v="15"/>
    <n v="20"/>
    <n v="30"/>
    <n v="15"/>
    <x v="4"/>
    <x v="1"/>
    <x v="5"/>
    <n v="5"/>
    <n v="35"/>
    <n v="5"/>
    <n v="55"/>
    <n v="2"/>
    <n v="1098"/>
    <n v="1137"/>
    <n v="1136"/>
    <n v="1055"/>
    <n v="1127"/>
    <n v="1127"/>
    <n v="0"/>
    <n v="-8"/>
    <n v="-24"/>
    <n v="43"/>
    <n v="18"/>
    <n v="33"/>
    <n v="0"/>
    <n v="0"/>
    <n v="0"/>
    <n v="2"/>
    <n v="0"/>
    <n v="6"/>
    <n v="41"/>
    <n v="18"/>
    <n v="27"/>
    <n v="0"/>
    <n v="0"/>
    <n v="0"/>
    <n v="1098"/>
    <n v="1137"/>
    <n v="1136"/>
    <n v="1091"/>
    <n v="1104"/>
    <n v="1122"/>
    <n v="1102"/>
    <n v="1102"/>
    <n v="1102"/>
    <n v="-11"/>
    <n v="2"/>
    <n v="30"/>
    <n v="7"/>
    <n v="33"/>
    <n v="14"/>
    <n v="0"/>
    <n v="0"/>
    <n v="0"/>
    <n v="0"/>
    <n v="0"/>
    <n v="0"/>
    <n v="7"/>
    <n v="33"/>
    <n v="14"/>
    <n v="0"/>
    <n v="0"/>
    <n v="0"/>
    <n v="76"/>
    <n v="100"/>
    <n v="167"/>
    <n v="15"/>
    <n v="90"/>
    <n v="140"/>
    <n v="58"/>
    <n v="0"/>
    <n v="0"/>
    <n v="0"/>
    <n v="0"/>
    <n v="8"/>
    <n v="1"/>
    <n v="0"/>
    <n v="1"/>
    <n v="2"/>
    <n v="2"/>
    <n v="2"/>
    <n v="0"/>
    <n v="8"/>
    <n v="16"/>
    <n v="0"/>
    <n v="0"/>
    <n v="0"/>
    <n v="0"/>
    <n v="0"/>
    <n v="0"/>
    <n v="12"/>
    <n v="29"/>
    <n v="60"/>
    <n v="0"/>
    <n v="29"/>
    <n v="6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75"/>
    <n v="182"/>
    <n v="0"/>
    <n v="5"/>
    <n v="37"/>
    <n v="0"/>
    <n v="0"/>
    <n v="0"/>
    <n v="0"/>
    <n v="0"/>
    <n v="0"/>
    <n v="35"/>
    <n v="40"/>
    <n v="67"/>
    <n v="0"/>
    <n v="0"/>
    <n v="0"/>
    <n v="0"/>
    <n v="0"/>
    <n v="0"/>
    <n v="35"/>
    <n v="40"/>
    <n v="67"/>
    <x v="58"/>
    <x v="69"/>
    <x v="68"/>
    <n v="6"/>
    <n v="-25"/>
    <n v="15"/>
    <n v="6"/>
    <n v="-25"/>
    <n v="15"/>
    <n v="19"/>
    <n v="67"/>
    <n v="63"/>
    <n v="19"/>
    <n v="67"/>
    <n v="45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"/>
    <n v="3"/>
    <n v="7"/>
    <n v="38"/>
    <n v="3"/>
    <n v="88"/>
    <n v="129"/>
    <n v="227"/>
    <n v="101"/>
    <n v="142"/>
    <n v="245"/>
    <n v="13"/>
    <n v="13"/>
    <n v="18"/>
    <n v="13"/>
    <n v="13"/>
    <n v="18"/>
    <m/>
  </r>
  <r>
    <x v="85"/>
    <n v="95"/>
    <n v="10"/>
    <n v="25"/>
    <n v="25"/>
    <n v="20"/>
    <n v="15"/>
    <n v="5"/>
    <x v="12"/>
    <x v="0"/>
    <x v="6"/>
    <n v="10"/>
    <n v="40"/>
    <n v="20"/>
    <n v="30"/>
    <n v="7"/>
    <n v="314"/>
    <n v="388"/>
    <n v="314"/>
    <n v="0"/>
    <n v="0"/>
    <n v="0"/>
    <n v="0"/>
    <n v="0"/>
    <n v="0"/>
    <n v="314"/>
    <n v="388"/>
    <n v="34"/>
    <n v="0"/>
    <n v="0"/>
    <n v="0"/>
    <n v="0"/>
    <n v="3"/>
    <n v="0"/>
    <n v="314"/>
    <n v="385"/>
    <n v="314"/>
    <n v="0"/>
    <n v="0"/>
    <n v="0"/>
    <n v="314"/>
    <n v="388"/>
    <n v="314"/>
    <n v="314"/>
    <n v="380"/>
    <n v="314"/>
    <n v="0"/>
    <n v="0"/>
    <n v="0"/>
    <n v="314"/>
    <n v="388"/>
    <n v="314"/>
    <n v="0"/>
    <n v="8"/>
    <n v="0"/>
    <n v="0"/>
    <n v="0"/>
    <n v="0"/>
    <n v="0"/>
    <n v="0"/>
    <n v="0"/>
    <n v="0"/>
    <n v="8"/>
    <n v="0"/>
    <n v="0"/>
    <n v="0"/>
    <n v="0"/>
    <n v="342"/>
    <n v="503"/>
    <n v="398"/>
    <n v="19"/>
    <n v="25"/>
    <n v="12"/>
    <n v="41"/>
    <n v="0"/>
    <n v="0"/>
    <n v="85"/>
    <n v="119"/>
    <n v="108"/>
    <n v="0"/>
    <n v="0"/>
    <n v="0"/>
    <n v="197"/>
    <n v="359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569"/>
    <n v="524"/>
    <n v="0"/>
    <n v="0"/>
    <n v="0"/>
    <n v="378"/>
    <n v="336"/>
    <n v="301"/>
    <n v="0"/>
    <n v="0"/>
    <n v="0"/>
    <n v="0"/>
    <n v="0"/>
    <n v="0"/>
    <n v="0"/>
    <n v="0"/>
    <n v="0"/>
    <n v="0"/>
    <n v="0"/>
    <n v="0"/>
    <n v="0"/>
    <n v="0"/>
    <n v="0"/>
    <x v="59"/>
    <x v="70"/>
    <x v="73"/>
    <n v="119"/>
    <n v="65"/>
    <n v="126"/>
    <n v="119"/>
    <n v="65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503"/>
    <n v="398"/>
    <n v="461"/>
    <n v="569"/>
    <n v="524"/>
    <n v="119"/>
    <n v="66"/>
    <n v="126"/>
    <n v="119"/>
    <n v="65"/>
    <n v="126"/>
    <m/>
  </r>
  <r>
    <x v="55"/>
    <n v="300"/>
    <n v="5"/>
    <n v="60"/>
    <n v="10"/>
    <n v="10"/>
    <n v="8"/>
    <n v="7"/>
    <x v="0"/>
    <x v="2"/>
    <x v="0"/>
    <n v="70"/>
    <n v="20"/>
    <n v="10"/>
    <n v="0"/>
    <n v="6"/>
    <n v="897"/>
    <n v="1193"/>
    <n v="1686"/>
    <n v="0"/>
    <n v="0"/>
    <n v="0"/>
    <n v="0"/>
    <n v="0"/>
    <n v="0"/>
    <n v="897"/>
    <n v="1193"/>
    <n v="1686"/>
    <n v="0"/>
    <n v="0"/>
    <n v="0"/>
    <n v="0"/>
    <n v="0"/>
    <n v="0"/>
    <n v="897"/>
    <n v="1193"/>
    <n v="1686"/>
    <n v="0"/>
    <n v="0"/>
    <n v="0"/>
    <n v="897"/>
    <n v="1193"/>
    <n v="1686"/>
    <n v="897"/>
    <n v="1193"/>
    <n v="1686"/>
    <n v="310"/>
    <n v="0"/>
    <n v="0"/>
    <n v="587"/>
    <n v="1193"/>
    <n v="1686"/>
    <n v="0"/>
    <n v="0"/>
    <n v="0"/>
    <n v="0"/>
    <n v="0"/>
    <n v="0"/>
    <n v="0"/>
    <n v="0"/>
    <n v="0"/>
    <n v="0"/>
    <n v="0"/>
    <n v="0"/>
    <n v="0"/>
    <n v="0"/>
    <n v="0"/>
    <n v="2297"/>
    <n v="2513"/>
    <n v="2502"/>
    <n v="592"/>
    <n v="1914"/>
    <n v="2048"/>
    <n v="1705"/>
    <n v="0"/>
    <n v="0"/>
    <n v="0"/>
    <n v="246"/>
    <n v="427"/>
    <n v="0"/>
    <n v="0"/>
    <n v="7"/>
    <n v="0"/>
    <n v="35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"/>
    <n v="3696"/>
    <n v="4188"/>
    <n v="0"/>
    <n v="0"/>
    <n v="0"/>
    <n v="0"/>
    <n v="0"/>
    <n v="0"/>
    <n v="0"/>
    <n v="0"/>
    <n v="0"/>
    <n v="2879"/>
    <n v="2355"/>
    <n v="2637"/>
    <n v="0"/>
    <n v="0"/>
    <n v="0"/>
    <n v="1352"/>
    <n v="1064"/>
    <n v="724"/>
    <n v="1527"/>
    <n v="1291"/>
    <n v="1913"/>
    <x v="2"/>
    <x v="50"/>
    <x v="51"/>
    <n v="582"/>
    <n v="1183"/>
    <n v="1686"/>
    <n v="582"/>
    <n v="1183"/>
    <n v="1686"/>
    <n v="5"/>
    <n v="10"/>
    <n v="0"/>
    <n v="5"/>
    <n v="1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5"/>
    <n v="10"/>
    <n v="0"/>
    <n v="5"/>
    <n v="10"/>
    <n v="0"/>
    <n v="2297"/>
    <n v="2513"/>
    <n v="2502"/>
    <n v="2884"/>
    <n v="3706"/>
    <n v="4188"/>
    <n v="587"/>
    <n v="1193"/>
    <n v="1686"/>
    <n v="587"/>
    <n v="1193"/>
    <n v="1686"/>
    <s v="priloha"/>
  </r>
  <r>
    <x v="86"/>
    <n v="269"/>
    <n v="1"/>
    <n v="36"/>
    <n v="15"/>
    <n v="16"/>
    <n v="20"/>
    <n v="12"/>
    <x v="8"/>
    <x v="0"/>
    <x v="3"/>
    <n v="18"/>
    <n v="49"/>
    <n v="10"/>
    <n v="23"/>
    <n v="3"/>
    <n v="4047"/>
    <n v="4223"/>
    <n v="4270"/>
    <n v="3325"/>
    <n v="3325"/>
    <n v="3325"/>
    <n v="0"/>
    <n v="0"/>
    <n v="0"/>
    <n v="722"/>
    <n v="898"/>
    <n v="945"/>
    <n v="0"/>
    <n v="0"/>
    <n v="0"/>
    <n v="103"/>
    <n v="107"/>
    <n v="114"/>
    <n v="619"/>
    <n v="791"/>
    <n v="831"/>
    <n v="0"/>
    <n v="0"/>
    <n v="0"/>
    <n v="4047"/>
    <n v="4223"/>
    <n v="4270"/>
    <n v="887"/>
    <n v="4031"/>
    <n v="4090"/>
    <n v="3852"/>
    <n v="3852"/>
    <n v="3853"/>
    <n v="35"/>
    <n v="179"/>
    <n v="237"/>
    <n v="160"/>
    <n v="192"/>
    <n v="180"/>
    <n v="0"/>
    <n v="0"/>
    <n v="0"/>
    <n v="0"/>
    <n v="0"/>
    <n v="0"/>
    <n v="93"/>
    <n v="125"/>
    <n v="114"/>
    <n v="42"/>
    <n v="67"/>
    <n v="66"/>
    <n v="1049"/>
    <n v="1018"/>
    <n v="1369"/>
    <n v="384"/>
    <n v="830"/>
    <n v="1021"/>
    <n v="561"/>
    <n v="0"/>
    <n v="0"/>
    <n v="77"/>
    <n v="169"/>
    <n v="278"/>
    <n v="0"/>
    <n v="0"/>
    <n v="0"/>
    <n v="19"/>
    <n v="19"/>
    <n v="60"/>
    <n v="0"/>
    <n v="0"/>
    <n v="0"/>
    <n v="8"/>
    <n v="0"/>
    <n v="10"/>
    <n v="0"/>
    <n v="0"/>
    <n v="0"/>
    <n v="445"/>
    <n v="358"/>
    <n v="358"/>
    <n v="174"/>
    <n v="279"/>
    <n v="299"/>
    <n v="200"/>
    <n v="0"/>
    <n v="0"/>
    <n v="60"/>
    <n v="59"/>
    <n v="59"/>
    <n v="0"/>
    <n v="0"/>
    <n v="0"/>
    <n v="11"/>
    <n v="11"/>
    <n v="0"/>
    <n v="0"/>
    <n v="0"/>
    <n v="0"/>
    <n v="0"/>
    <n v="9"/>
    <n v="0"/>
    <n v="0"/>
    <n v="0"/>
    <n v="0"/>
    <n v="765"/>
    <n v="1109"/>
    <n v="1109"/>
    <n v="29"/>
    <n v="35"/>
    <n v="54"/>
    <n v="0"/>
    <n v="0"/>
    <n v="13"/>
    <n v="0"/>
    <n v="0"/>
    <n v="0"/>
    <n v="330"/>
    <n v="363"/>
    <n v="525"/>
    <n v="87"/>
    <n v="32"/>
    <n v="283"/>
    <n v="25"/>
    <n v="55"/>
    <n v="25"/>
    <n v="218"/>
    <n v="276"/>
    <n v="217"/>
    <x v="60"/>
    <x v="71"/>
    <x v="74"/>
    <n v="-66"/>
    <n v="91"/>
    <n v="-260"/>
    <n v="-66"/>
    <n v="91"/>
    <n v="-260"/>
    <n v="523"/>
    <n v="413"/>
    <n v="676"/>
    <n v="518"/>
    <n v="413"/>
    <n v="676"/>
    <n v="0"/>
    <n v="0"/>
    <n v="0"/>
    <n v="0"/>
    <n v="0"/>
    <n v="0"/>
    <n v="5"/>
    <n v="0"/>
    <n v="0"/>
    <n v="0"/>
    <n v="0"/>
    <n v="0"/>
    <n v="5"/>
    <n v="0"/>
    <n v="0"/>
    <n v="0"/>
    <n v="0"/>
    <n v="0"/>
    <n v="0"/>
    <n v="0"/>
    <n v="0"/>
    <n v="78"/>
    <n v="55"/>
    <n v="318"/>
    <n v="78"/>
    <n v="55"/>
    <n v="318"/>
    <n v="1494"/>
    <n v="1376"/>
    <n v="1727"/>
    <n v="1288"/>
    <n v="1522"/>
    <n v="1785"/>
    <n v="-206"/>
    <n v="146"/>
    <n v="58"/>
    <n v="12"/>
    <n v="146"/>
    <n v="58"/>
    <s v="priloha"/>
  </r>
  <r>
    <x v="87"/>
    <n v="230"/>
    <n v="15"/>
    <n v="38"/>
    <n v="23"/>
    <n v="14"/>
    <n v="10"/>
    <n v="0"/>
    <x v="3"/>
    <x v="0"/>
    <x v="1"/>
    <n v="40"/>
    <n v="40"/>
    <n v="20"/>
    <n v="0"/>
    <n v="5"/>
    <n v="634"/>
    <n v="475"/>
    <n v="733"/>
    <n v="251"/>
    <n v="252"/>
    <n v="252"/>
    <n v="-194"/>
    <n v="-252"/>
    <n v="-252"/>
    <n v="577"/>
    <n v="475"/>
    <n v="677"/>
    <n v="0"/>
    <n v="0"/>
    <n v="0"/>
    <n v="1"/>
    <n v="1"/>
    <n v="3"/>
    <n v="549"/>
    <n v="451"/>
    <n v="649"/>
    <n v="27"/>
    <n v="23"/>
    <n v="25"/>
    <n v="634"/>
    <n v="475"/>
    <n v="733"/>
    <n v="460"/>
    <n v="375"/>
    <n v="577"/>
    <n v="130"/>
    <n v="130"/>
    <n v="130"/>
    <n v="330"/>
    <n v="245"/>
    <n v="447"/>
    <n v="174"/>
    <n v="100"/>
    <n v="156"/>
    <n v="0"/>
    <n v="0"/>
    <n v="0"/>
    <n v="0"/>
    <n v="0"/>
    <n v="0"/>
    <n v="154"/>
    <n v="86"/>
    <n v="138"/>
    <n v="20"/>
    <n v="14"/>
    <n v="18"/>
    <n v="1707"/>
    <n v="1823"/>
    <n v="1841"/>
    <n v="258"/>
    <n v="1489"/>
    <n v="1198"/>
    <n v="1097"/>
    <n v="0"/>
    <n v="0"/>
    <n v="233"/>
    <n v="232"/>
    <n v="521"/>
    <n v="55"/>
    <n v="71"/>
    <n v="114"/>
    <n v="17"/>
    <n v="5"/>
    <n v="3"/>
    <n v="47"/>
    <n v="26"/>
    <n v="5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31"/>
    <n v="0"/>
    <n v="31"/>
    <n v="0"/>
    <n v="0"/>
    <n v="0"/>
    <n v="0"/>
    <n v="0"/>
    <n v="0"/>
    <n v="0"/>
    <n v="0"/>
    <n v="1389"/>
    <n v="1736"/>
    <n v="1853"/>
    <n v="8"/>
    <n v="6"/>
    <n v="59"/>
    <n v="0"/>
    <n v="0"/>
    <n v="0"/>
    <n v="0"/>
    <n v="0"/>
    <n v="0"/>
    <n v="762"/>
    <n v="794"/>
    <n v="748"/>
    <n v="0"/>
    <n v="0"/>
    <n v="0"/>
    <n v="152"/>
    <n v="159"/>
    <n v="150"/>
    <n v="610"/>
    <n v="635"/>
    <n v="598"/>
    <x v="61"/>
    <x v="72"/>
    <x v="75"/>
    <n v="-318"/>
    <n v="-87"/>
    <n v="12"/>
    <n v="-318"/>
    <n v="-87"/>
    <n v="12"/>
    <n v="93"/>
    <n v="33"/>
    <n v="190"/>
    <n v="93"/>
    <n v="33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"/>
    <n v="190"/>
    <n v="62"/>
    <n v="2"/>
    <n v="190"/>
    <n v="1738"/>
    <n v="1854"/>
    <n v="1841"/>
    <n v="1482"/>
    <n v="1769"/>
    <n v="2043"/>
    <n v="-256"/>
    <n v="-85"/>
    <n v="202"/>
    <n v="-256"/>
    <n v="-85"/>
    <n v="202"/>
    <m/>
  </r>
  <r>
    <x v="88"/>
    <n v="138"/>
    <n v="2"/>
    <n v="25"/>
    <n v="3"/>
    <n v="14"/>
    <n v="30"/>
    <n v="26"/>
    <x v="4"/>
    <x v="0"/>
    <x v="6"/>
    <n v="3"/>
    <n v="84"/>
    <n v="2"/>
    <n v="11"/>
    <n v="6"/>
    <n v="505"/>
    <n v="559"/>
    <n v="545"/>
    <n v="455"/>
    <n v="469"/>
    <n v="475"/>
    <n v="0"/>
    <n v="0"/>
    <n v="0"/>
    <n v="50"/>
    <n v="90"/>
    <n v="70"/>
    <n v="0"/>
    <n v="0"/>
    <n v="0"/>
    <n v="0"/>
    <n v="33"/>
    <n v="32"/>
    <n v="50"/>
    <n v="56"/>
    <n v="38"/>
    <n v="0"/>
    <n v="0"/>
    <n v="0"/>
    <n v="505"/>
    <n v="559"/>
    <n v="545"/>
    <n v="483"/>
    <n v="526"/>
    <n v="539"/>
    <n v="385"/>
    <n v="385"/>
    <n v="385"/>
    <n v="98"/>
    <n v="140"/>
    <n v="154"/>
    <n v="22"/>
    <n v="33"/>
    <n v="6"/>
    <n v="0"/>
    <n v="0"/>
    <n v="0"/>
    <n v="0"/>
    <n v="0"/>
    <n v="0"/>
    <n v="22"/>
    <n v="33"/>
    <n v="6"/>
    <n v="0"/>
    <n v="0"/>
    <n v="0"/>
    <n v="696"/>
    <n v="743"/>
    <n v="528"/>
    <n v="262"/>
    <n v="495"/>
    <n v="326"/>
    <n v="217"/>
    <n v="0"/>
    <n v="0"/>
    <n v="216"/>
    <n v="248"/>
    <n v="201"/>
    <n v="2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"/>
    <n v="786"/>
    <n v="519"/>
    <n v="174"/>
    <n v="174"/>
    <n v="40"/>
    <n v="0"/>
    <n v="0"/>
    <n v="0"/>
    <n v="0"/>
    <n v="0"/>
    <n v="0"/>
    <n v="79"/>
    <n v="54"/>
    <n v="32"/>
    <n v="0"/>
    <n v="0"/>
    <n v="0"/>
    <n v="48"/>
    <n v="23"/>
    <n v="13"/>
    <n v="31"/>
    <n v="31"/>
    <n v="19"/>
    <x v="62"/>
    <x v="73"/>
    <x v="76"/>
    <n v="6"/>
    <n v="43"/>
    <n v="-9"/>
    <n v="6"/>
    <n v="43"/>
    <n v="-9"/>
    <n v="0"/>
    <n v="0"/>
    <n v="126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22"/>
    <n v="696"/>
    <n v="743"/>
    <n v="632"/>
    <n v="702"/>
    <n v="786"/>
    <n v="645"/>
    <n v="6"/>
    <n v="43"/>
    <n v="13"/>
    <n v="6"/>
    <n v="43"/>
    <n v="13"/>
    <m/>
  </r>
  <r>
    <x v="89"/>
    <n v="85"/>
    <n v="15"/>
    <n v="25"/>
    <n v="20"/>
    <n v="25"/>
    <n v="10"/>
    <n v="5"/>
    <x v="4"/>
    <x v="0"/>
    <x v="4"/>
    <n v="5"/>
    <n v="40"/>
    <n v="30"/>
    <n v="25"/>
    <n v="7"/>
    <n v="3826"/>
    <n v="3850"/>
    <n v="3876"/>
    <n v="3596"/>
    <n v="3613"/>
    <n v="3655"/>
    <n v="0"/>
    <n v="0"/>
    <n v="0"/>
    <n v="230"/>
    <n v="237"/>
    <n v="221"/>
    <n v="0"/>
    <n v="10"/>
    <n v="13"/>
    <n v="14"/>
    <n v="0"/>
    <n v="15"/>
    <n v="208"/>
    <n v="227"/>
    <n v="193"/>
    <n v="0"/>
    <n v="0"/>
    <n v="0"/>
    <n v="3826"/>
    <n v="3850"/>
    <n v="3876"/>
    <n v="3822"/>
    <n v="3821"/>
    <n v="3876"/>
    <n v="3714"/>
    <n v="3714"/>
    <n v="3714"/>
    <n v="108"/>
    <n v="107"/>
    <n v="162"/>
    <n v="4"/>
    <n v="29"/>
    <n v="0"/>
    <n v="0"/>
    <n v="0"/>
    <n v="0"/>
    <n v="0"/>
    <n v="0"/>
    <n v="0"/>
    <n v="4"/>
    <n v="29"/>
    <n v="0"/>
    <n v="0"/>
    <n v="0"/>
    <n v="0"/>
    <n v="366"/>
    <n v="475"/>
    <n v="469"/>
    <n v="175"/>
    <n v="395"/>
    <n v="416"/>
    <n v="157"/>
    <n v="0"/>
    <n v="0"/>
    <n v="0"/>
    <n v="28"/>
    <n v="14"/>
    <n v="0"/>
    <n v="0"/>
    <n v="0"/>
    <n v="19"/>
    <n v="38"/>
    <n v="24"/>
    <n v="0"/>
    <n v="0"/>
    <n v="0"/>
    <n v="0"/>
    <n v="14"/>
    <n v="15"/>
    <n v="0"/>
    <n v="0"/>
    <n v="0"/>
    <n v="123"/>
    <n v="128"/>
    <n v="202"/>
    <n v="121"/>
    <n v="128"/>
    <n v="20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431"/>
    <n v="457"/>
    <n v="117"/>
    <n v="88"/>
    <n v="86"/>
    <n v="4"/>
    <n v="19"/>
    <n v="3"/>
    <n v="0"/>
    <n v="0"/>
    <n v="0"/>
    <n v="111"/>
    <n v="147"/>
    <n v="129"/>
    <n v="0"/>
    <n v="0"/>
    <n v="0"/>
    <n v="40"/>
    <n v="37"/>
    <n v="43"/>
    <n v="71"/>
    <n v="110"/>
    <n v="86"/>
    <x v="63"/>
    <x v="74"/>
    <x v="77"/>
    <n v="62"/>
    <n v="-44"/>
    <n v="-12"/>
    <n v="62"/>
    <n v="-44"/>
    <n v="-12"/>
    <n v="155"/>
    <n v="173"/>
    <n v="269"/>
    <n v="155"/>
    <n v="173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7"/>
    <n v="0"/>
    <n v="45"/>
    <n v="67"/>
    <n v="489"/>
    <n v="603"/>
    <n v="671"/>
    <n v="583"/>
    <n v="604"/>
    <n v="726"/>
    <n v="94"/>
    <n v="1"/>
    <n v="55"/>
    <n v="62"/>
    <n v="1"/>
    <n v="55"/>
    <m/>
  </r>
  <r>
    <x v="90"/>
    <n v="350"/>
    <n v="10"/>
    <n v="63"/>
    <n v="13"/>
    <n v="7"/>
    <n v="5"/>
    <n v="2"/>
    <x v="1"/>
    <x v="1"/>
    <x v="6"/>
    <n v="30"/>
    <n v="60"/>
    <n v="5"/>
    <n v="5"/>
    <n v="7"/>
    <n v="733"/>
    <n v="571"/>
    <n v="496"/>
    <n v="0"/>
    <n v="0"/>
    <n v="0"/>
    <n v="0"/>
    <n v="0"/>
    <n v="0"/>
    <n v="733"/>
    <n v="571"/>
    <n v="498"/>
    <n v="0"/>
    <n v="0"/>
    <n v="0"/>
    <n v="0"/>
    <n v="50"/>
    <n v="50"/>
    <n v="565"/>
    <n v="521"/>
    <n v="448"/>
    <n v="168"/>
    <n v="0"/>
    <n v="0"/>
    <n v="733"/>
    <n v="571"/>
    <n v="498"/>
    <n v="585"/>
    <n v="331"/>
    <n v="150"/>
    <n v="0"/>
    <n v="300"/>
    <n v="300"/>
    <n v="585"/>
    <n v="31"/>
    <n v="-150"/>
    <n v="148"/>
    <n v="240"/>
    <n v="348"/>
    <n v="0"/>
    <n v="0"/>
    <n v="0"/>
    <n v="0"/>
    <n v="0"/>
    <n v="0"/>
    <n v="131"/>
    <n v="240"/>
    <n v="348"/>
    <n v="17"/>
    <n v="0"/>
    <n v="0"/>
    <n v="3785"/>
    <n v="4642"/>
    <n v="5306"/>
    <n v="63"/>
    <n v="3197"/>
    <n v="3552"/>
    <n v="2375"/>
    <n v="0"/>
    <n v="0"/>
    <n v="1278"/>
    <n v="1291"/>
    <n v="1720"/>
    <n v="56"/>
    <n v="0"/>
    <n v="0"/>
    <n v="13"/>
    <n v="47"/>
    <n v="34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8"/>
    <n v="3940"/>
    <n v="5030"/>
    <n v="887"/>
    <n v="0"/>
    <n v="64"/>
    <n v="0"/>
    <n v="-3"/>
    <n v="1"/>
    <n v="0"/>
    <n v="0"/>
    <n v="0"/>
    <n v="1265"/>
    <n v="2084"/>
    <n v="2592"/>
    <n v="0"/>
    <n v="0"/>
    <n v="0"/>
    <n v="97"/>
    <n v="431"/>
    <n v="619"/>
    <n v="1168"/>
    <n v="1653"/>
    <n v="1973"/>
    <x v="64"/>
    <x v="75"/>
    <x v="78"/>
    <n v="143"/>
    <n v="-702"/>
    <n v="-276"/>
    <n v="143"/>
    <n v="-702"/>
    <n v="-276"/>
    <n v="0"/>
    <n v="148"/>
    <n v="96"/>
    <n v="0"/>
    <n v="148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96"/>
    <n v="0"/>
    <n v="148"/>
    <n v="96"/>
    <n v="3785"/>
    <n v="4642"/>
    <n v="5306"/>
    <n v="3928"/>
    <n v="4088"/>
    <n v="5126"/>
    <n v="143"/>
    <n v="-554"/>
    <n v="-180"/>
    <n v="143"/>
    <n v="-554"/>
    <n v="-180"/>
    <m/>
  </r>
  <r>
    <x v="91"/>
    <n v="210"/>
    <n v="4"/>
    <n v="70"/>
    <n v="15"/>
    <n v="5"/>
    <n v="4"/>
    <n v="2"/>
    <x v="1"/>
    <x v="1"/>
    <x v="1"/>
    <n v="70"/>
    <n v="25"/>
    <n v="5"/>
    <n v="0"/>
    <n v="3"/>
    <n v="742"/>
    <n v="3127"/>
    <n v="1438"/>
    <n v="0"/>
    <n v="165"/>
    <n v="0"/>
    <n v="0"/>
    <n v="-165"/>
    <n v="0"/>
    <n v="742"/>
    <n v="3127"/>
    <n v="1438"/>
    <n v="0"/>
    <n v="0"/>
    <n v="0"/>
    <n v="0"/>
    <n v="86"/>
    <n v="0"/>
    <n v="742"/>
    <n v="3031"/>
    <n v="1350"/>
    <n v="0"/>
    <n v="10"/>
    <n v="88"/>
    <n v="742"/>
    <n v="3127"/>
    <n v="1438"/>
    <n v="520"/>
    <n v="3051"/>
    <n v="200"/>
    <n v="376"/>
    <n v="1079"/>
    <n v="954"/>
    <n v="144"/>
    <n v="1972"/>
    <n v="284"/>
    <n v="22"/>
    <n v="76"/>
    <n v="0"/>
    <n v="0"/>
    <n v="0"/>
    <n v="0"/>
    <n v="0"/>
    <n v="0"/>
    <n v="0"/>
    <n v="22"/>
    <n v="76"/>
    <n v="0"/>
    <n v="200"/>
    <n v="0"/>
    <n v="0"/>
    <n v="1195"/>
    <n v="1496"/>
    <n v="1743"/>
    <n v="46"/>
    <n v="76"/>
    <n v="111"/>
    <n v="940"/>
    <n v="1195"/>
    <n v="1391"/>
    <n v="184"/>
    <n v="197"/>
    <n v="222"/>
    <n v="0"/>
    <n v="0"/>
    <n v="0"/>
    <n v="17"/>
    <n v="16"/>
    <n v="5"/>
    <n v="0"/>
    <n v="0"/>
    <n v="0"/>
    <n v="8"/>
    <n v="1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9"/>
    <n v="1930"/>
    <n v="2027"/>
    <n v="162"/>
    <n v="215"/>
    <n v="384"/>
    <n v="0"/>
    <n v="0"/>
    <n v="0"/>
    <n v="0"/>
    <n v="0"/>
    <n v="0"/>
    <n v="949"/>
    <n v="1028"/>
    <n v="856"/>
    <n v="42"/>
    <n v="121"/>
    <n v="853"/>
    <n v="25"/>
    <n v="25"/>
    <n v="0"/>
    <n v="882"/>
    <n v="882"/>
    <n v="3"/>
    <x v="65"/>
    <x v="76"/>
    <x v="79"/>
    <n v="144"/>
    <n v="434"/>
    <n v="284"/>
    <n v="144"/>
    <n v="434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"/>
    <n v="1496"/>
    <n v="1743"/>
    <n v="1339"/>
    <n v="1930"/>
    <n v="2027"/>
    <n v="144"/>
    <n v="434"/>
    <n v="284"/>
    <n v="144"/>
    <n v="434"/>
    <n v="284"/>
    <m/>
  </r>
  <r>
    <x v="92"/>
    <n v="15450"/>
    <n v="471.3"/>
    <n v="3322.6800000000003"/>
    <n v="1153.5"/>
    <n v="1739.83"/>
    <n v="1800.6200000000001"/>
    <n v="812.06999999999994"/>
    <x v="13"/>
    <x v="3"/>
    <x v="7"/>
    <n v="2371"/>
    <n v="4109"/>
    <n v="1612"/>
    <n v="1208"/>
    <n v="414"/>
    <n v="452584"/>
    <n v="418337"/>
    <n v="348972"/>
    <n v="494000"/>
    <n v="478764"/>
    <n v="378007"/>
    <n v="-120229"/>
    <n v="-139410"/>
    <n v="-110372"/>
    <n v="89070"/>
    <n v="86051"/>
    <n v="101853"/>
    <n v="1477"/>
    <n v="8351"/>
    <n v="1485"/>
    <n v="18390"/>
    <n v="12132"/>
    <n v="13233"/>
    <n v="68183"/>
    <n v="72235"/>
    <n v="272188"/>
    <n v="948"/>
    <n v="343"/>
    <n v="788"/>
    <n v="452584"/>
    <n v="419202"/>
    <n v="348871"/>
    <n v="414477"/>
    <n v="391620"/>
    <n v="310755"/>
    <n v="404620"/>
    <n v="367953"/>
    <n v="279345"/>
    <n v="12892"/>
    <n v="23729"/>
    <n v="31727"/>
    <n v="34808"/>
    <n v="27611"/>
    <n v="36754"/>
    <n v="30"/>
    <n v="30"/>
    <n v="30"/>
    <n v="1591"/>
    <n v="1988"/>
    <n v="1571"/>
    <n v="28387"/>
    <n v="19677"/>
    <n v="28208"/>
    <n v="4976"/>
    <n v="5996"/>
    <n v="3864"/>
    <n v="175884"/>
    <n v="198545"/>
    <n v="199973"/>
    <n v="33814"/>
    <n v="112650"/>
    <n v="111142"/>
    <n v="95946"/>
    <n v="25889"/>
    <n v="32327"/>
    <n v="22032"/>
    <n v="29294"/>
    <n v="35913"/>
    <n v="1370"/>
    <n v="1041.5"/>
    <n v="1296"/>
    <n v="12179"/>
    <n v="18001"/>
    <n v="19375"/>
    <n v="9878"/>
    <n v="14817"/>
    <n v="5119"/>
    <n v="1263"/>
    <n v="1596"/>
    <n v="1509"/>
    <n v="17"/>
    <n v="216.5"/>
    <n v="210"/>
    <n v="14090"/>
    <n v="16888"/>
    <n v="15789"/>
    <n v="5693"/>
    <n v="9049"/>
    <n v="8793"/>
    <n v="3044"/>
    <n v="2038"/>
    <n v="663"/>
    <n v="2986"/>
    <n v="3027"/>
    <n v="1701"/>
    <n v="133"/>
    <n v="158"/>
    <n v="253"/>
    <n v="506"/>
    <n v="495"/>
    <n v="551"/>
    <n v="1392"/>
    <n v="1322"/>
    <n v="1072"/>
    <n v="15"/>
    <n v="24"/>
    <n v="0"/>
    <n v="0"/>
    <n v="766"/>
    <n v="2751"/>
    <n v="162918"/>
    <n v="191282"/>
    <n v="198674"/>
    <n v="31911"/>
    <n v="26342"/>
    <n v="27391"/>
    <n v="20199"/>
    <n v="17960"/>
    <n v="12706"/>
    <n v="112"/>
    <n v="975"/>
    <n v="140"/>
    <n v="75781"/>
    <n v="66285"/>
    <n v="70607"/>
    <n v="11069"/>
    <n v="4826"/>
    <n v="5206"/>
    <n v="24391"/>
    <n v="20520"/>
    <n v="21209"/>
    <n v="37130"/>
    <n v="43315"/>
    <n v="44401"/>
    <x v="66"/>
    <x v="77"/>
    <x v="80"/>
    <n v="-10016"/>
    <n v="-6794"/>
    <n v="-2091"/>
    <n v="-13175"/>
    <n v="-7036"/>
    <n v="-2344"/>
    <n v="26526"/>
    <n v="28689"/>
    <n v="35798"/>
    <n v="24773"/>
    <n v="27028"/>
    <n v="22376"/>
    <n v="804"/>
    <n v="1002"/>
    <n v="670"/>
    <n v="500"/>
    <n v="158"/>
    <n v="12211"/>
    <n v="27"/>
    <n v="45"/>
    <n v="332"/>
    <n v="0"/>
    <n v="0"/>
    <n v="6"/>
    <n v="27"/>
    <n v="45"/>
    <n v="332"/>
    <n v="0"/>
    <n v="0"/>
    <n v="0"/>
    <n v="423"/>
    <n v="209"/>
    <n v="1103"/>
    <n v="12806"/>
    <n v="12605"/>
    <n v="23776"/>
    <n v="12330"/>
    <n v="11830"/>
    <n v="21000"/>
    <n v="189974"/>
    <n v="215433"/>
    <n v="215762"/>
    <n v="189444"/>
    <n v="219971"/>
    <n v="234463"/>
    <n v="-530"/>
    <n v="4538"/>
    <n v="18712"/>
    <n v="-845"/>
    <n v="4794"/>
    <n v="18656"/>
    <m/>
  </r>
  <r>
    <x v="93"/>
    <n v="164.36170212765958"/>
    <n v="5.0138297872340427"/>
    <n v="35.347659574468089"/>
    <n v="12.271276595744681"/>
    <n v="18.508829787234042"/>
    <n v="19.155531914893619"/>
    <n v="8.6390425531914889"/>
    <x v="13"/>
    <x v="3"/>
    <x v="8"/>
    <n v="25.223404255319149"/>
    <n v="43.712765957446805"/>
    <n v="17.148936170212767"/>
    <n v="12.851063829787234"/>
    <n v="4.4042553191489358"/>
    <n v="4814.7234042553191"/>
    <n v="4450.3936170212764"/>
    <n v="3712.4680851063831"/>
    <n v="5255.3191489361698"/>
    <n v="5093.2340425531911"/>
    <n v="4021.3510638297871"/>
    <n v="-1279.0319148936171"/>
    <n v="-1483.0851063829787"/>
    <n v="-1174.1702127659576"/>
    <n v="947.55319148936167"/>
    <n v="915.436170212766"/>
    <n v="1083.5425531914893"/>
    <n v="15.712765957446809"/>
    <n v="88.840425531914889"/>
    <n v="15.797872340425531"/>
    <n v="195.63829787234042"/>
    <n v="129.06382978723406"/>
    <n v="140.77659574468086"/>
    <n v="725.35106382978722"/>
    <n v="768.45744680851067"/>
    <n v="2895.6170212765956"/>
    <n v="10.085106382978724"/>
    <n v="3.6489361702127661"/>
    <n v="8.3829787234042552"/>
    <n v="4814.7234042553191"/>
    <n v="4459.5957446808507"/>
    <n v="3711.3936170212764"/>
    <n v="4409.3297872340427"/>
    <n v="4166.1702127659573"/>
    <n v="3305.9042553191489"/>
    <n v="4304.4680851063831"/>
    <n v="3914.3936170212764"/>
    <n v="2971.755319148936"/>
    <n v="137.14893617021278"/>
    <n v="252.43617021276594"/>
    <n v="337.52127659574467"/>
    <n v="370.29787234042556"/>
    <n v="293.7340425531915"/>
    <n v="391"/>
    <n v="0.31914893617021278"/>
    <n v="0.31914893617021278"/>
    <n v="0.31914893617021278"/>
    <n v="16.925531914893618"/>
    <n v="21.148936170212767"/>
    <n v="16.712765957446809"/>
    <n v="301.98936170212767"/>
    <n v="209.32978723404256"/>
    <n v="300.08510638297872"/>
    <n v="52.936170212765958"/>
    <n v="63.787234042553195"/>
    <n v="41.106382978723403"/>
    <n v="1871.1063829787233"/>
    <n v="2112.1808510638298"/>
    <n v="2127.372340425532"/>
    <n v="359.72340425531917"/>
    <n v="1198.4042553191489"/>
    <n v="1182.3617021276596"/>
    <n v="1020.7021276595744"/>
    <n v="275.41489361702128"/>
    <n v="343.90425531914894"/>
    <n v="234.38297872340425"/>
    <n v="311.63829787234044"/>
    <n v="382.05319148936172"/>
    <n v="14.574468085106384"/>
    <n v="11.079787234042554"/>
    <n v="13.787234042553191"/>
    <n v="129.56382978723406"/>
    <n v="191.5"/>
    <n v="206.11702127659575"/>
    <n v="105.08510638297872"/>
    <n v="157.62765957446808"/>
    <n v="54.457446808510639"/>
    <n v="13.436170212765957"/>
    <n v="16.978723404255319"/>
    <n v="16.053191489361701"/>
    <n v="0.18085106382978725"/>
    <n v="2.3031914893617023"/>
    <n v="2.2340425531914891"/>
    <n v="149.89361702127658"/>
    <n v="179.65957446808511"/>
    <n v="167.96808510638297"/>
    <n v="60.563829787234042"/>
    <n v="96.265957446808514"/>
    <n v="93.542553191489361"/>
    <n v="32.382978723404257"/>
    <n v="21.680851063829788"/>
    <n v="7.0531914893617023"/>
    <n v="31.76595744680851"/>
    <n v="32.202127659574465"/>
    <n v="18.095744680851062"/>
    <n v="1.4148936170212767"/>
    <n v="1.6808510638297873"/>
    <n v="2.6914893617021276"/>
    <n v="5.3829787234042552"/>
    <n v="5.2659574468085104"/>
    <n v="5.8617021276595747"/>
    <n v="14.808510638297872"/>
    <n v="14.063829787234043"/>
    <n v="11.404255319148936"/>
    <n v="0.15957446808510639"/>
    <n v="0.25531914893617019"/>
    <n v="0"/>
    <n v="0"/>
    <n v="8.1489361702127656"/>
    <n v="29.26595744680851"/>
    <n v="1733.1702127659576"/>
    <n v="2034.9148936170213"/>
    <n v="2113.5531914893618"/>
    <n v="339.47872340425533"/>
    <n v="280.2340425531915"/>
    <n v="291.39361702127661"/>
    <n v="214.88297872340425"/>
    <n v="191.06382978723406"/>
    <n v="135.17021276595744"/>
    <n v="1.1914893617021276"/>
    <n v="10.372340425531915"/>
    <n v="1.4893617021276595"/>
    <n v="806.18085106382978"/>
    <n v="705.15957446808511"/>
    <n v="751.13829787234044"/>
    <n v="117.75531914893617"/>
    <n v="51.340425531914896"/>
    <n v="55.382978723404257"/>
    <n v="259.47872340425533"/>
    <n v="218.29787234042553"/>
    <n v="225.62765957446808"/>
    <n v="395"/>
    <n v="460.79787234042556"/>
    <n v="472.35106382978722"/>
    <x v="67"/>
    <x v="78"/>
    <x v="81"/>
    <n v="-106.55319148936171"/>
    <n v="-72.276595744680847"/>
    <n v="-22.24468085106383"/>
    <n v="-140.15957446808511"/>
    <n v="-74.851063829787236"/>
    <n v="-24.936170212765958"/>
    <n v="282.19148936170211"/>
    <n v="305.20212765957444"/>
    <n v="380.82978723404256"/>
    <n v="263.54255319148939"/>
    <n v="287.531914893617"/>
    <n v="238.04255319148936"/>
    <n v="8.5531914893617014"/>
    <n v="10.659574468085106"/>
    <n v="7.1276595744680851"/>
    <n v="5.3191489361702127"/>
    <n v="1.6808510638297873"/>
    <n v="129.90425531914894"/>
    <n v="0.28723404255319152"/>
    <n v="0.47872340425531917"/>
    <n v="3.5319148936170213"/>
    <n v="0"/>
    <n v="0"/>
    <n v="6.3829787234042548E-2"/>
    <n v="0.28723404255319152"/>
    <n v="0.47872340425531917"/>
    <n v="3.5319148936170213"/>
    <n v="0"/>
    <n v="0"/>
    <n v="0"/>
    <n v="4.5"/>
    <n v="2.2234042553191489"/>
    <n v="11.73404255319149"/>
    <n v="136.2340425531915"/>
    <n v="134.09574468085106"/>
    <n v="252.93617021276594"/>
    <n v="131.17021276595744"/>
    <n v="125.85106382978724"/>
    <n v="223.40425531914894"/>
    <n v="2021"/>
    <n v="2291.8404255319151"/>
    <n v="2295.3404255319151"/>
    <n v="2015.3617021276596"/>
    <n v="2340.1170212765956"/>
    <n v="2494.2872340425533"/>
    <n v="-5.6382978723404253"/>
    <n v="48.276595744680854"/>
    <n v="199.06382978723406"/>
    <n v="-8.9893617021276597"/>
    <n v="51"/>
    <n v="198.4680851063829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099559-56AA-3848-ABFF-888034DC768C}" name="Kontingenční tabulka4" cacheId="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2">
  <location ref="A103:B117" firstHeaderRow="1" firstDataRow="1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h="1" m="1" x="13"/>
        <item x="0"/>
        <item x="2"/>
        <item x="11"/>
        <item x="3"/>
        <item x="4"/>
        <item x="12"/>
        <item x="5"/>
        <item x="6"/>
        <item x="1"/>
        <item x="10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Počet z Název klubu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D6893C-BDC8-A847-9791-5DEA765BD2E4}" name="Kontingenční tabulka3" cacheId="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2">
  <location ref="A125:B139" firstHeaderRow="1" firstDataRow="1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m="1" x="13"/>
        <item x="0"/>
        <item x="2"/>
        <item x="11"/>
        <item x="3"/>
        <item x="4"/>
        <item x="12"/>
        <item x="5"/>
        <item x="6"/>
        <item x="1"/>
        <item x="10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Počet klubů v odvětví" fld="0" subtotal="count" baseField="0" baseItem="0"/>
  </dataFields>
  <formats count="4"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505227-F89C-3C45-9096-B8A391921ED7}" name="Kontingenční tabulka5" cacheId="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50:E165" firstHeaderRow="1" firstDataRow="2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h="1" x="13"/>
        <item x="0"/>
        <item x="2"/>
        <item x="11"/>
        <item x="3"/>
        <item x="4"/>
        <item x="12"/>
        <item x="5"/>
        <item x="6"/>
        <item x="1"/>
        <item x="10"/>
        <item x="7"/>
        <item x="8"/>
        <item x="9"/>
        <item t="default"/>
      </items>
    </pivotField>
    <pivotField axis="axisCol" showAll="0">
      <items count="5"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9"/>
  </colFields>
  <colItems count="4">
    <i>
      <x v="1"/>
    </i>
    <i>
      <x v="2"/>
    </i>
    <i>
      <x v="3"/>
    </i>
    <i t="grand">
      <x/>
    </i>
  </colItems>
  <dataFields count="1">
    <dataField name="Počet z Název klubu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CC04A1-DAAA-B545-BA64-428C5C144ECD}" name="Kontingenční tabulka4" cacheId="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43:B147" firstHeaderRow="1" firstDataRow="1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9">
        <item x="2"/>
        <item x="5"/>
        <item x="53"/>
        <item x="27"/>
        <item x="55"/>
        <item x="10"/>
        <item x="30"/>
        <item x="58"/>
        <item x="42"/>
        <item x="52"/>
        <item x="40"/>
        <item x="21"/>
        <item x="51"/>
        <item x="48"/>
        <item x="54"/>
        <item x="59"/>
        <item x="31"/>
        <item x="18"/>
        <item x="57"/>
        <item x="39"/>
        <item x="0"/>
        <item x="19"/>
        <item x="29"/>
        <item x="24"/>
        <item x="49"/>
        <item x="45"/>
        <item x="25"/>
        <item x="47"/>
        <item x="11"/>
        <item x="63"/>
        <item x="1"/>
        <item x="35"/>
        <item x="9"/>
        <item x="44"/>
        <item x="46"/>
        <item x="13"/>
        <item x="65"/>
        <item x="56"/>
        <item x="8"/>
        <item x="12"/>
        <item x="23"/>
        <item x="7"/>
        <item x="34"/>
        <item x="38"/>
        <item x="62"/>
        <item x="67"/>
        <item x="41"/>
        <item x="17"/>
        <item x="15"/>
        <item x="32"/>
        <item x="61"/>
        <item x="60"/>
        <item x="14"/>
        <item x="28"/>
        <item x="16"/>
        <item x="36"/>
        <item x="37"/>
        <item x="26"/>
        <item x="6"/>
        <item x="3"/>
        <item x="64"/>
        <item x="50"/>
        <item x="4"/>
        <item x="43"/>
        <item x="33"/>
        <item x="22"/>
        <item x="20"/>
        <item x="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Počet z Název klubu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4A077-48A4-1747-B53A-2D13CF505020}" name="Kontingenční tabulka5" cacheId="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22:B130" firstHeaderRow="1" firstDataRow="1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6"/>
        <item x="4"/>
        <item x="3"/>
        <item x="1"/>
        <item x="5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Počet z Název klubu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78869F-EF1A-2A41-A6A4-D4DFBEACFA52}" name="Kontingenční tabulka7" cacheId="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G122:H130" firstHeaderRow="1" firstDataRow="1" firstDataCol="1"/>
  <pivotFields count="20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4"/>
        <item x="5"/>
        <item x="3"/>
        <item h="1" m="1" x="10"/>
        <item x="1"/>
        <item x="0"/>
        <item x="6"/>
        <item x="2"/>
        <item h="1" m="1" x="9"/>
        <item h="1" x="7"/>
        <item h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8">
    <i>
      <x/>
    </i>
    <i>
      <x v="1"/>
    </i>
    <i>
      <x v="2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Počet z Název klubu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W146"/>
  <sheetViews>
    <sheetView topLeftCell="A2" zoomScale="64" zoomScaleNormal="50" workbookViewId="0">
      <pane ySplit="1" topLeftCell="A12" activePane="bottomLeft" state="frozen"/>
      <selection activeCell="A2" sqref="A2"/>
      <selection pane="bottomLeft" activeCell="F21" sqref="F21"/>
    </sheetView>
  </sheetViews>
  <sheetFormatPr baseColWidth="10" defaultColWidth="11" defaultRowHeight="16"/>
  <cols>
    <col min="1" max="1" width="45.5" bestFit="1" customWidth="1"/>
    <col min="2" max="2" width="23.5" customWidth="1"/>
    <col min="3" max="3" width="10" bestFit="1" customWidth="1"/>
    <col min="4" max="7" width="11" bestFit="1" customWidth="1"/>
    <col min="8" max="8" width="14.33203125" bestFit="1" customWidth="1"/>
    <col min="9" max="9" width="21.6640625" bestFit="1" customWidth="1"/>
    <col min="10" max="10" width="20.33203125" bestFit="1" customWidth="1"/>
    <col min="12" max="12" width="13.6640625" bestFit="1" customWidth="1"/>
    <col min="14" max="14" width="11.33203125" bestFit="1" customWidth="1"/>
    <col min="15" max="15" width="11" bestFit="1" customWidth="1"/>
    <col min="16" max="16" width="13.83203125" customWidth="1"/>
    <col min="17" max="18" width="10.6640625" customWidth="1"/>
    <col min="20" max="20" width="11.5" customWidth="1"/>
    <col min="23" max="23" width="11.5" customWidth="1"/>
    <col min="26" max="26" width="11.33203125" bestFit="1" customWidth="1"/>
    <col min="71" max="71" width="14" customWidth="1"/>
    <col min="98" max="98" width="16.33203125" customWidth="1"/>
    <col min="101" max="101" width="12.83203125" customWidth="1"/>
    <col min="104" max="104" width="13.33203125" customWidth="1"/>
    <col min="107" max="107" width="13.6640625" customWidth="1"/>
    <col min="110" max="110" width="13.33203125" customWidth="1"/>
    <col min="113" max="113" width="13.6640625" customWidth="1"/>
    <col min="116" max="116" width="13.6640625" customWidth="1"/>
    <col min="131" max="131" width="11" style="183"/>
    <col min="132" max="132" width="11" style="83"/>
    <col min="133" max="133" width="11" style="184"/>
    <col min="134" max="134" width="11.6640625" bestFit="1" customWidth="1"/>
    <col min="146" max="148" width="11" style="83"/>
    <col min="200" max="200" width="24.1640625" bestFit="1" customWidth="1"/>
  </cols>
  <sheetData>
    <row r="1" spans="1:20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EA1" s="228"/>
      <c r="EB1" s="229"/>
      <c r="EC1" s="230"/>
    </row>
    <row r="2" spans="1:200" s="1" customFormat="1" ht="317" customHeight="1">
      <c r="A2" s="1" t="s">
        <v>372</v>
      </c>
      <c r="B2" s="1" t="s">
        <v>16</v>
      </c>
      <c r="C2" s="1" t="s">
        <v>17</v>
      </c>
      <c r="D2" s="1" t="s">
        <v>18</v>
      </c>
      <c r="E2" s="1" t="s">
        <v>19</v>
      </c>
      <c r="F2" s="1" t="s">
        <v>20</v>
      </c>
      <c r="G2" s="1" t="s">
        <v>21</v>
      </c>
      <c r="H2" s="1" t="s">
        <v>22</v>
      </c>
      <c r="I2" s="1" t="s">
        <v>23</v>
      </c>
      <c r="J2" s="1" t="s">
        <v>24</v>
      </c>
      <c r="K2" s="1" t="s">
        <v>25</v>
      </c>
      <c r="L2" s="1" t="s">
        <v>26</v>
      </c>
      <c r="M2" s="1" t="s">
        <v>27</v>
      </c>
      <c r="N2" s="1" t="s">
        <v>28</v>
      </c>
      <c r="O2" s="1" t="s">
        <v>29</v>
      </c>
      <c r="P2" s="1" t="s">
        <v>30</v>
      </c>
      <c r="Q2" s="1" t="s">
        <v>142</v>
      </c>
      <c r="R2" s="1" t="s">
        <v>143</v>
      </c>
      <c r="S2" s="1" t="s">
        <v>144</v>
      </c>
      <c r="T2" s="1" t="s">
        <v>141</v>
      </c>
      <c r="U2" s="1" t="s">
        <v>145</v>
      </c>
      <c r="V2" s="1" t="s">
        <v>146</v>
      </c>
      <c r="W2" s="1" t="s">
        <v>317</v>
      </c>
      <c r="X2" s="1" t="s">
        <v>320</v>
      </c>
      <c r="Y2" s="1" t="s">
        <v>321</v>
      </c>
      <c r="Z2" s="1" t="s">
        <v>147</v>
      </c>
      <c r="AA2" s="1" t="s">
        <v>148</v>
      </c>
      <c r="AB2" s="1" t="s">
        <v>149</v>
      </c>
      <c r="AC2" s="1" t="s">
        <v>150</v>
      </c>
      <c r="AD2" s="1" t="s">
        <v>151</v>
      </c>
      <c r="AE2" s="1" t="s">
        <v>152</v>
      </c>
      <c r="AF2" s="1" t="s">
        <v>153</v>
      </c>
      <c r="AG2" s="1" t="s">
        <v>154</v>
      </c>
      <c r="AH2" s="1" t="s">
        <v>155</v>
      </c>
      <c r="AI2" s="1" t="s">
        <v>156</v>
      </c>
      <c r="AJ2" s="1" t="s">
        <v>157</v>
      </c>
      <c r="AK2" s="1" t="s">
        <v>158</v>
      </c>
      <c r="AL2" s="1" t="s">
        <v>159</v>
      </c>
      <c r="AM2" s="1" t="s">
        <v>160</v>
      </c>
      <c r="AN2" s="1" t="s">
        <v>161</v>
      </c>
      <c r="AO2" s="1" t="s">
        <v>308</v>
      </c>
      <c r="AP2" s="1" t="s">
        <v>162</v>
      </c>
      <c r="AQ2" s="1" t="s">
        <v>223</v>
      </c>
      <c r="AR2" s="1" t="s">
        <v>309</v>
      </c>
      <c r="AS2" s="1" t="s">
        <v>163</v>
      </c>
      <c r="AT2" s="1" t="s">
        <v>224</v>
      </c>
      <c r="AU2" s="1" t="s">
        <v>310</v>
      </c>
      <c r="AV2" s="1" t="s">
        <v>164</v>
      </c>
      <c r="AW2" s="1" t="s">
        <v>225</v>
      </c>
      <c r="AX2" s="1" t="s">
        <v>311</v>
      </c>
      <c r="AY2" s="1" t="s">
        <v>165</v>
      </c>
      <c r="AZ2" s="1" t="s">
        <v>226</v>
      </c>
      <c r="BA2" s="1" t="s">
        <v>312</v>
      </c>
      <c r="BB2" s="1" t="s">
        <v>166</v>
      </c>
      <c r="BC2" s="1" t="s">
        <v>227</v>
      </c>
      <c r="BD2" s="1" t="s">
        <v>313</v>
      </c>
      <c r="BE2" s="1" t="s">
        <v>167</v>
      </c>
      <c r="BF2" s="1" t="s">
        <v>228</v>
      </c>
      <c r="BG2" s="1" t="s">
        <v>314</v>
      </c>
      <c r="BH2" s="1" t="s">
        <v>168</v>
      </c>
      <c r="BI2" s="1" t="s">
        <v>229</v>
      </c>
      <c r="BJ2" s="1" t="s">
        <v>315</v>
      </c>
      <c r="BK2" s="1" t="s">
        <v>169</v>
      </c>
      <c r="BL2" s="1" t="s">
        <v>230</v>
      </c>
      <c r="BM2" s="1" t="s">
        <v>316</v>
      </c>
      <c r="BN2" s="1" t="s">
        <v>170</v>
      </c>
      <c r="BO2" s="1" t="s">
        <v>231</v>
      </c>
      <c r="BP2" s="1" t="s">
        <v>171</v>
      </c>
      <c r="BQ2" s="1" t="s">
        <v>180</v>
      </c>
      <c r="BR2" s="1" t="s">
        <v>232</v>
      </c>
      <c r="BS2" s="1" t="s">
        <v>172</v>
      </c>
      <c r="BT2" s="1" t="s">
        <v>181</v>
      </c>
      <c r="BU2" s="1" t="s">
        <v>233</v>
      </c>
      <c r="BV2" s="1" t="s">
        <v>173</v>
      </c>
      <c r="BW2" s="1" t="s">
        <v>182</v>
      </c>
      <c r="BX2" s="1" t="s">
        <v>234</v>
      </c>
      <c r="BY2" s="1" t="s">
        <v>174</v>
      </c>
      <c r="BZ2" s="1" t="s">
        <v>183</v>
      </c>
      <c r="CA2" s="1" t="s">
        <v>235</v>
      </c>
      <c r="CB2" s="1" t="s">
        <v>175</v>
      </c>
      <c r="CC2" s="1" t="s">
        <v>184</v>
      </c>
      <c r="CD2" s="1" t="s">
        <v>236</v>
      </c>
      <c r="CE2" s="1" t="s">
        <v>176</v>
      </c>
      <c r="CF2" s="1" t="s">
        <v>185</v>
      </c>
      <c r="CG2" s="1" t="s">
        <v>237</v>
      </c>
      <c r="CH2" s="1" t="s">
        <v>177</v>
      </c>
      <c r="CI2" s="1" t="s">
        <v>186</v>
      </c>
      <c r="CJ2" s="1" t="s">
        <v>238</v>
      </c>
      <c r="CK2" s="1" t="s">
        <v>178</v>
      </c>
      <c r="CL2" s="1" t="s">
        <v>187</v>
      </c>
      <c r="CM2" s="1" t="s">
        <v>239</v>
      </c>
      <c r="CN2" s="1" t="s">
        <v>179</v>
      </c>
      <c r="CO2" s="1" t="s">
        <v>188</v>
      </c>
      <c r="CP2" s="1" t="s">
        <v>240</v>
      </c>
      <c r="CQ2" s="1" t="s">
        <v>299</v>
      </c>
      <c r="CR2" s="1" t="s">
        <v>189</v>
      </c>
      <c r="CS2" s="1" t="s">
        <v>241</v>
      </c>
      <c r="CT2" s="1" t="s">
        <v>300</v>
      </c>
      <c r="CU2" s="1" t="s">
        <v>190</v>
      </c>
      <c r="CV2" s="1" t="s">
        <v>242</v>
      </c>
      <c r="CW2" s="1" t="s">
        <v>301</v>
      </c>
      <c r="CX2" s="1" t="s">
        <v>191</v>
      </c>
      <c r="CY2" s="1" t="s">
        <v>243</v>
      </c>
      <c r="CZ2" s="1" t="s">
        <v>302</v>
      </c>
      <c r="DA2" s="1" t="s">
        <v>192</v>
      </c>
      <c r="DB2" s="1" t="s">
        <v>244</v>
      </c>
      <c r="DC2" s="1" t="s">
        <v>303</v>
      </c>
      <c r="DD2" s="1" t="s">
        <v>193</v>
      </c>
      <c r="DE2" s="1" t="s">
        <v>245</v>
      </c>
      <c r="DF2" s="1" t="s">
        <v>304</v>
      </c>
      <c r="DG2" s="1" t="s">
        <v>194</v>
      </c>
      <c r="DH2" s="1" t="s">
        <v>246</v>
      </c>
      <c r="DI2" s="1" t="s">
        <v>305</v>
      </c>
      <c r="DJ2" s="1" t="s">
        <v>195</v>
      </c>
      <c r="DK2" s="1" t="s">
        <v>247</v>
      </c>
      <c r="DL2" s="1" t="s">
        <v>306</v>
      </c>
      <c r="DM2" s="1" t="s">
        <v>196</v>
      </c>
      <c r="DN2" s="1" t="s">
        <v>248</v>
      </c>
      <c r="DO2" s="1" t="s">
        <v>307</v>
      </c>
      <c r="DP2" s="1" t="s">
        <v>197</v>
      </c>
      <c r="DQ2" s="1" t="s">
        <v>249</v>
      </c>
      <c r="DR2" s="1" t="s">
        <v>289</v>
      </c>
      <c r="DS2" s="1" t="s">
        <v>198</v>
      </c>
      <c r="DT2" s="1" t="s">
        <v>250</v>
      </c>
      <c r="DU2" s="1" t="s">
        <v>290</v>
      </c>
      <c r="DV2" s="1" t="s">
        <v>199</v>
      </c>
      <c r="DW2" s="1" t="s">
        <v>251</v>
      </c>
      <c r="DX2" s="1" t="s">
        <v>291</v>
      </c>
      <c r="DY2" s="1" t="s">
        <v>200</v>
      </c>
      <c r="DZ2" s="1" t="s">
        <v>252</v>
      </c>
      <c r="EA2" s="231" t="s">
        <v>349</v>
      </c>
      <c r="EB2" s="178" t="s">
        <v>350</v>
      </c>
      <c r="EC2" s="232" t="s">
        <v>351</v>
      </c>
      <c r="ED2" s="1" t="s">
        <v>292</v>
      </c>
      <c r="EE2" s="1" t="s">
        <v>201</v>
      </c>
      <c r="EF2" s="1" t="s">
        <v>253</v>
      </c>
      <c r="EG2" s="1" t="s">
        <v>293</v>
      </c>
      <c r="EH2" s="1" t="s">
        <v>202</v>
      </c>
      <c r="EI2" s="1" t="s">
        <v>254</v>
      </c>
      <c r="EJ2" s="1" t="s">
        <v>294</v>
      </c>
      <c r="EK2" s="1" t="s">
        <v>203</v>
      </c>
      <c r="EL2" s="1" t="s">
        <v>255</v>
      </c>
      <c r="EM2" s="1" t="s">
        <v>295</v>
      </c>
      <c r="EN2" s="1" t="s">
        <v>204</v>
      </c>
      <c r="EO2" s="1" t="s">
        <v>256</v>
      </c>
      <c r="EP2" s="178" t="s">
        <v>296</v>
      </c>
      <c r="EQ2" s="178" t="s">
        <v>205</v>
      </c>
      <c r="ER2" s="178" t="s">
        <v>257</v>
      </c>
      <c r="ES2" s="1" t="s">
        <v>297</v>
      </c>
      <c r="ET2" s="1" t="s">
        <v>206</v>
      </c>
      <c r="EU2" s="1" t="s">
        <v>258</v>
      </c>
      <c r="EV2" s="1" t="s">
        <v>298</v>
      </c>
      <c r="EW2" s="1" t="s">
        <v>207</v>
      </c>
      <c r="EX2" s="1" t="s">
        <v>259</v>
      </c>
      <c r="EY2" s="1" t="s">
        <v>279</v>
      </c>
      <c r="EZ2" s="1" t="s">
        <v>208</v>
      </c>
      <c r="FA2" s="1" t="s">
        <v>260</v>
      </c>
      <c r="FB2" s="1" t="s">
        <v>280</v>
      </c>
      <c r="FC2" s="1" t="s">
        <v>209</v>
      </c>
      <c r="FD2" s="1" t="s">
        <v>261</v>
      </c>
      <c r="FE2" s="1" t="s">
        <v>281</v>
      </c>
      <c r="FF2" s="1" t="s">
        <v>210</v>
      </c>
      <c r="FG2" s="1" t="s">
        <v>262</v>
      </c>
      <c r="FH2" s="1" t="s">
        <v>327</v>
      </c>
      <c r="FI2" s="1" t="s">
        <v>211</v>
      </c>
      <c r="FJ2" s="1" t="s">
        <v>263</v>
      </c>
      <c r="FK2" s="1" t="s">
        <v>282</v>
      </c>
      <c r="FL2" s="1" t="s">
        <v>212</v>
      </c>
      <c r="FM2" s="1" t="s">
        <v>264</v>
      </c>
      <c r="FN2" s="1" t="s">
        <v>283</v>
      </c>
      <c r="FO2" s="1" t="s">
        <v>213</v>
      </c>
      <c r="FP2" s="1" t="s">
        <v>265</v>
      </c>
      <c r="FQ2" s="1" t="s">
        <v>284</v>
      </c>
      <c r="FR2" s="1" t="s">
        <v>214</v>
      </c>
      <c r="FS2" s="1" t="s">
        <v>266</v>
      </c>
      <c r="FT2" s="1" t="s">
        <v>285</v>
      </c>
      <c r="FU2" s="1" t="s">
        <v>215</v>
      </c>
      <c r="FV2" s="1" t="s">
        <v>267</v>
      </c>
      <c r="FW2" s="1" t="s">
        <v>286</v>
      </c>
      <c r="FX2" s="1" t="s">
        <v>216</v>
      </c>
      <c r="FY2" s="1" t="s">
        <v>268</v>
      </c>
      <c r="FZ2" s="1" t="s">
        <v>287</v>
      </c>
      <c r="GA2" s="1" t="s">
        <v>217</v>
      </c>
      <c r="GB2" s="1" t="s">
        <v>269</v>
      </c>
      <c r="GC2" s="1" t="s">
        <v>288</v>
      </c>
      <c r="GD2" s="1" t="s">
        <v>218</v>
      </c>
      <c r="GE2" s="1" t="s">
        <v>270</v>
      </c>
      <c r="GF2" s="1" t="s">
        <v>275</v>
      </c>
      <c r="GG2" s="1" t="s">
        <v>219</v>
      </c>
      <c r="GH2" s="1" t="s">
        <v>271</v>
      </c>
      <c r="GI2" s="1" t="s">
        <v>276</v>
      </c>
      <c r="GJ2" s="2" t="s">
        <v>220</v>
      </c>
      <c r="GK2" s="2" t="s">
        <v>272</v>
      </c>
      <c r="GL2" s="1" t="s">
        <v>277</v>
      </c>
      <c r="GM2" s="1" t="s">
        <v>221</v>
      </c>
      <c r="GN2" s="1" t="s">
        <v>273</v>
      </c>
      <c r="GO2" s="1" t="s">
        <v>278</v>
      </c>
      <c r="GP2" s="1" t="s">
        <v>222</v>
      </c>
      <c r="GQ2" s="1" t="s">
        <v>274</v>
      </c>
      <c r="GR2" s="1" t="s">
        <v>318</v>
      </c>
    </row>
    <row r="3" spans="1:200" ht="19" customHeight="1">
      <c r="A3" t="s">
        <v>48</v>
      </c>
      <c r="B3">
        <v>50</v>
      </c>
      <c r="C3">
        <v>40</v>
      </c>
      <c r="D3">
        <v>45</v>
      </c>
      <c r="E3">
        <v>0</v>
      </c>
      <c r="F3">
        <v>5</v>
      </c>
      <c r="G3">
        <v>10</v>
      </c>
      <c r="H3">
        <v>0</v>
      </c>
      <c r="I3" t="s">
        <v>31</v>
      </c>
      <c r="J3" t="s">
        <v>32</v>
      </c>
      <c r="K3">
        <v>5</v>
      </c>
      <c r="L3">
        <v>30</v>
      </c>
      <c r="M3">
        <v>40</v>
      </c>
      <c r="N3">
        <v>30</v>
      </c>
      <c r="O3">
        <v>0</v>
      </c>
      <c r="P3">
        <v>6</v>
      </c>
      <c r="Q3">
        <v>48</v>
      </c>
      <c r="R3">
        <v>43</v>
      </c>
      <c r="S3">
        <v>59</v>
      </c>
      <c r="T3">
        <v>151</v>
      </c>
      <c r="U3">
        <v>215</v>
      </c>
      <c r="V3">
        <v>244</v>
      </c>
      <c r="W3">
        <v>-151</v>
      </c>
      <c r="X3">
        <v>-215</v>
      </c>
      <c r="Y3">
        <v>-244</v>
      </c>
      <c r="Z3">
        <v>48</v>
      </c>
      <c r="AA3">
        <v>43</v>
      </c>
      <c r="AB3">
        <v>59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48</v>
      </c>
      <c r="AJ3">
        <v>43</v>
      </c>
      <c r="AK3">
        <v>59</v>
      </c>
      <c r="AM3">
        <v>0</v>
      </c>
      <c r="AN3">
        <v>0</v>
      </c>
      <c r="AO3">
        <v>48</v>
      </c>
      <c r="AP3">
        <v>43</v>
      </c>
      <c r="AQ3">
        <v>59</v>
      </c>
      <c r="AR3">
        <v>46</v>
      </c>
      <c r="AS3">
        <v>60</v>
      </c>
      <c r="AT3">
        <v>56</v>
      </c>
      <c r="AU3">
        <v>60</v>
      </c>
      <c r="AV3">
        <v>60</v>
      </c>
      <c r="AW3">
        <v>60</v>
      </c>
      <c r="AX3">
        <v>-14</v>
      </c>
      <c r="AY3">
        <v>-29</v>
      </c>
      <c r="AZ3">
        <v>-4</v>
      </c>
      <c r="BA3">
        <v>2</v>
      </c>
      <c r="BB3">
        <v>12</v>
      </c>
      <c r="BC3">
        <v>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2</v>
      </c>
      <c r="BK3">
        <v>12</v>
      </c>
      <c r="BL3">
        <v>2</v>
      </c>
      <c r="BM3">
        <v>0</v>
      </c>
      <c r="BN3">
        <v>0</v>
      </c>
      <c r="BO3">
        <v>0</v>
      </c>
      <c r="BP3">
        <v>248</v>
      </c>
      <c r="BQ3">
        <v>323</v>
      </c>
      <c r="BR3">
        <v>232</v>
      </c>
      <c r="BS3">
        <v>75</v>
      </c>
      <c r="BT3">
        <v>82</v>
      </c>
      <c r="BU3">
        <v>55</v>
      </c>
      <c r="BV3">
        <v>170</v>
      </c>
      <c r="BW3">
        <v>172</v>
      </c>
      <c r="BX3">
        <v>80</v>
      </c>
      <c r="BY3">
        <v>0</v>
      </c>
      <c r="BZ3">
        <v>0</v>
      </c>
      <c r="CA3">
        <v>64</v>
      </c>
      <c r="CB3">
        <v>3</v>
      </c>
      <c r="CC3">
        <v>4</v>
      </c>
      <c r="CD3">
        <v>4</v>
      </c>
      <c r="CF3">
        <v>0</v>
      </c>
      <c r="CG3">
        <v>0</v>
      </c>
      <c r="CH3">
        <v>0</v>
      </c>
      <c r="CI3">
        <v>65</v>
      </c>
      <c r="CJ3">
        <v>29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226</v>
      </c>
      <c r="DS3">
        <v>273</v>
      </c>
      <c r="DT3">
        <v>265</v>
      </c>
      <c r="DU3">
        <v>0</v>
      </c>
      <c r="DV3">
        <v>4</v>
      </c>
      <c r="DW3">
        <v>47</v>
      </c>
      <c r="DX3">
        <v>40</v>
      </c>
      <c r="DY3">
        <v>22</v>
      </c>
      <c r="DZ3">
        <v>0</v>
      </c>
      <c r="EA3" s="183">
        <v>0</v>
      </c>
      <c r="EB3" s="83">
        <v>0</v>
      </c>
      <c r="EC3" s="184">
        <v>0</v>
      </c>
      <c r="ED3">
        <v>49</v>
      </c>
      <c r="EE3">
        <v>57</v>
      </c>
      <c r="EF3">
        <v>39</v>
      </c>
      <c r="EG3">
        <v>0</v>
      </c>
      <c r="EH3">
        <v>0</v>
      </c>
      <c r="EI3">
        <v>0</v>
      </c>
      <c r="EJ3">
        <v>6</v>
      </c>
      <c r="EK3">
        <v>14</v>
      </c>
      <c r="EL3">
        <v>0</v>
      </c>
      <c r="EM3">
        <v>43</v>
      </c>
      <c r="EN3">
        <v>43</v>
      </c>
      <c r="EO3">
        <v>39</v>
      </c>
      <c r="EP3">
        <v>137</v>
      </c>
      <c r="EQ3">
        <v>190</v>
      </c>
      <c r="ER3">
        <v>170</v>
      </c>
      <c r="ES3">
        <v>-22</v>
      </c>
      <c r="ET3">
        <v>-50</v>
      </c>
      <c r="EU3">
        <v>24</v>
      </c>
      <c r="EV3">
        <v>-22</v>
      </c>
      <c r="EW3">
        <v>-50</v>
      </c>
      <c r="EX3">
        <v>24</v>
      </c>
      <c r="EY3">
        <v>48</v>
      </c>
      <c r="EZ3">
        <v>34</v>
      </c>
      <c r="FA3">
        <v>2</v>
      </c>
      <c r="FB3">
        <v>48</v>
      </c>
      <c r="FC3">
        <v>34</v>
      </c>
      <c r="FD3">
        <v>2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48</v>
      </c>
      <c r="GA3">
        <v>34</v>
      </c>
      <c r="GB3">
        <v>2</v>
      </c>
      <c r="GC3">
        <v>48</v>
      </c>
      <c r="GD3">
        <v>34</v>
      </c>
      <c r="GE3">
        <v>2</v>
      </c>
      <c r="GF3">
        <v>248</v>
      </c>
      <c r="GG3">
        <v>323</v>
      </c>
      <c r="GH3">
        <v>232</v>
      </c>
      <c r="GI3">
        <v>274</v>
      </c>
      <c r="GJ3">
        <v>307</v>
      </c>
      <c r="GK3">
        <v>258</v>
      </c>
      <c r="GL3">
        <v>26</v>
      </c>
      <c r="GM3">
        <v>-16</v>
      </c>
      <c r="GN3">
        <v>26</v>
      </c>
      <c r="GO3">
        <f t="shared" ref="GO3:GO34" si="0">GC3+EV3</f>
        <v>26</v>
      </c>
      <c r="GP3">
        <f t="shared" ref="GP3:GP34" si="1">GD3+EW3</f>
        <v>-16</v>
      </c>
      <c r="GQ3">
        <f t="shared" ref="GQ3:GQ34" si="2">GE3+EX3</f>
        <v>26</v>
      </c>
      <c r="GR3" t="s">
        <v>319</v>
      </c>
    </row>
    <row r="4" spans="1:200">
      <c r="A4" t="s">
        <v>49</v>
      </c>
      <c r="B4">
        <v>208</v>
      </c>
      <c r="C4">
        <v>0</v>
      </c>
      <c r="D4">
        <v>46</v>
      </c>
      <c r="E4">
        <v>10</v>
      </c>
      <c r="F4">
        <v>11</v>
      </c>
      <c r="G4">
        <v>25</v>
      </c>
      <c r="H4">
        <v>8</v>
      </c>
      <c r="I4" t="s">
        <v>31</v>
      </c>
      <c r="J4" t="s">
        <v>32</v>
      </c>
      <c r="K4">
        <v>4</v>
      </c>
      <c r="L4">
        <v>30</v>
      </c>
      <c r="M4">
        <v>60</v>
      </c>
      <c r="N4">
        <v>2</v>
      </c>
      <c r="O4">
        <v>8</v>
      </c>
      <c r="P4">
        <v>4</v>
      </c>
      <c r="Q4">
        <v>50</v>
      </c>
      <c r="R4">
        <v>29</v>
      </c>
      <c r="S4">
        <v>304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50</v>
      </c>
      <c r="AA4">
        <v>29</v>
      </c>
      <c r="AB4">
        <v>304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50</v>
      </c>
      <c r="AJ4">
        <v>29</v>
      </c>
      <c r="AK4">
        <v>304</v>
      </c>
      <c r="AL4">
        <v>0</v>
      </c>
      <c r="AM4">
        <v>0</v>
      </c>
      <c r="AN4">
        <v>0</v>
      </c>
      <c r="AO4">
        <v>50</v>
      </c>
      <c r="AP4">
        <v>29</v>
      </c>
      <c r="AQ4">
        <v>304</v>
      </c>
      <c r="AR4">
        <v>50</v>
      </c>
      <c r="AS4">
        <v>29</v>
      </c>
      <c r="AT4">
        <v>304</v>
      </c>
      <c r="AU4">
        <v>50</v>
      </c>
      <c r="AV4">
        <v>29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723</v>
      </c>
      <c r="BQ4">
        <v>742</v>
      </c>
      <c r="BR4">
        <v>846</v>
      </c>
      <c r="BS4">
        <v>415</v>
      </c>
      <c r="BT4">
        <v>137</v>
      </c>
      <c r="BU4">
        <v>120</v>
      </c>
      <c r="BV4">
        <v>282</v>
      </c>
      <c r="BW4">
        <v>505</v>
      </c>
      <c r="BX4">
        <v>578</v>
      </c>
      <c r="BY4">
        <v>22</v>
      </c>
      <c r="BZ4">
        <v>85</v>
      </c>
      <c r="CA4">
        <v>126</v>
      </c>
      <c r="CB4">
        <v>4</v>
      </c>
      <c r="CC4">
        <v>15</v>
      </c>
      <c r="CD4">
        <v>22</v>
      </c>
      <c r="CE4">
        <v>0</v>
      </c>
      <c r="CF4">
        <v>0</v>
      </c>
      <c r="CG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21</v>
      </c>
      <c r="CR4">
        <v>19</v>
      </c>
      <c r="CS4">
        <v>25</v>
      </c>
      <c r="CT4">
        <v>0</v>
      </c>
      <c r="CU4">
        <v>0</v>
      </c>
      <c r="CV4">
        <v>0</v>
      </c>
      <c r="CW4">
        <v>19</v>
      </c>
      <c r="CX4">
        <v>16</v>
      </c>
      <c r="CY4">
        <v>24</v>
      </c>
      <c r="CZ4">
        <v>200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3</v>
      </c>
      <c r="DH4">
        <v>1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668</v>
      </c>
      <c r="DS4">
        <v>672</v>
      </c>
      <c r="DT4">
        <v>1100</v>
      </c>
      <c r="DU4">
        <v>84</v>
      </c>
      <c r="DV4">
        <v>0</v>
      </c>
      <c r="DW4">
        <v>0</v>
      </c>
      <c r="DX4">
        <v>0</v>
      </c>
      <c r="DY4">
        <v>0</v>
      </c>
      <c r="DZ4">
        <v>0</v>
      </c>
      <c r="EA4" s="183">
        <v>0</v>
      </c>
      <c r="EB4" s="83">
        <v>0</v>
      </c>
      <c r="EC4" s="184">
        <v>0</v>
      </c>
      <c r="ED4">
        <v>387</v>
      </c>
      <c r="EE4">
        <v>370</v>
      </c>
      <c r="EF4">
        <v>428</v>
      </c>
      <c r="EG4">
        <v>0</v>
      </c>
      <c r="EH4">
        <v>0</v>
      </c>
      <c r="EJ4">
        <v>5</v>
      </c>
      <c r="EK4">
        <v>10</v>
      </c>
      <c r="EL4">
        <v>40</v>
      </c>
      <c r="EM4">
        <v>382</v>
      </c>
      <c r="EN4">
        <v>360</v>
      </c>
      <c r="EO4">
        <v>388</v>
      </c>
      <c r="EP4">
        <v>197</v>
      </c>
      <c r="EQ4">
        <v>302</v>
      </c>
      <c r="ER4">
        <v>672</v>
      </c>
      <c r="ES4">
        <v>-54</v>
      </c>
      <c r="ET4">
        <v>-70</v>
      </c>
      <c r="EU4">
        <v>254</v>
      </c>
      <c r="EV4">
        <v>-54</v>
      </c>
      <c r="EW4">
        <v>-70</v>
      </c>
      <c r="EX4">
        <v>254</v>
      </c>
      <c r="EY4">
        <v>36</v>
      </c>
      <c r="EZ4">
        <v>55</v>
      </c>
      <c r="FA4">
        <v>59</v>
      </c>
      <c r="FB4">
        <v>36</v>
      </c>
      <c r="FC4">
        <v>55</v>
      </c>
      <c r="FD4">
        <v>59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14</v>
      </c>
      <c r="GA4">
        <v>36</v>
      </c>
      <c r="GB4">
        <v>33</v>
      </c>
      <c r="GC4">
        <v>14</v>
      </c>
      <c r="GD4">
        <v>36</v>
      </c>
      <c r="GE4">
        <v>33</v>
      </c>
      <c r="GF4">
        <f>CQ4+BP4</f>
        <v>744</v>
      </c>
      <c r="GG4">
        <f>CR4+BQ4</f>
        <v>761</v>
      </c>
      <c r="GH4">
        <f>BR4+CS4</f>
        <v>871</v>
      </c>
      <c r="GI4">
        <f>EY4+DR4</f>
        <v>704</v>
      </c>
      <c r="GJ4">
        <f>EZ4+DS4</f>
        <v>727</v>
      </c>
      <c r="GK4">
        <f>DT4+FA4</f>
        <v>1159</v>
      </c>
      <c r="GL4">
        <f>FZ4+ES4</f>
        <v>-40</v>
      </c>
      <c r="GM4">
        <v>-34</v>
      </c>
      <c r="GN4">
        <f>EX4+GE4</f>
        <v>287</v>
      </c>
      <c r="GO4">
        <f t="shared" si="0"/>
        <v>-40</v>
      </c>
      <c r="GP4">
        <f t="shared" si="1"/>
        <v>-34</v>
      </c>
      <c r="GQ4">
        <f t="shared" si="2"/>
        <v>287</v>
      </c>
      <c r="GR4" t="s">
        <v>322</v>
      </c>
    </row>
    <row r="5" spans="1:200">
      <c r="A5" t="s">
        <v>50</v>
      </c>
      <c r="B5">
        <v>350</v>
      </c>
      <c r="C5">
        <v>0</v>
      </c>
      <c r="D5">
        <v>20</v>
      </c>
      <c r="E5">
        <v>20</v>
      </c>
      <c r="F5">
        <v>30</v>
      </c>
      <c r="G5">
        <v>20</v>
      </c>
      <c r="H5">
        <v>10</v>
      </c>
      <c r="I5" t="s">
        <v>31</v>
      </c>
      <c r="J5" t="s">
        <v>33</v>
      </c>
      <c r="K5">
        <v>7</v>
      </c>
      <c r="L5">
        <v>59</v>
      </c>
      <c r="M5">
        <v>15</v>
      </c>
      <c r="N5">
        <v>1</v>
      </c>
      <c r="O5">
        <v>25</v>
      </c>
      <c r="P5">
        <v>7</v>
      </c>
      <c r="Q5">
        <v>4805</v>
      </c>
      <c r="R5">
        <v>4932</v>
      </c>
      <c r="S5">
        <v>5863</v>
      </c>
      <c r="T5">
        <v>2110</v>
      </c>
      <c r="U5">
        <v>2190</v>
      </c>
      <c r="V5">
        <v>2343</v>
      </c>
      <c r="W5">
        <v>-2110</v>
      </c>
      <c r="X5">
        <v>-2190</v>
      </c>
      <c r="Y5">
        <v>2343</v>
      </c>
      <c r="Z5">
        <v>4805</v>
      </c>
      <c r="AA5">
        <v>4932</v>
      </c>
      <c r="AB5">
        <v>5863</v>
      </c>
      <c r="AC5">
        <v>0</v>
      </c>
      <c r="AD5">
        <v>0</v>
      </c>
      <c r="AE5">
        <v>0</v>
      </c>
      <c r="AF5">
        <v>0</v>
      </c>
      <c r="AG5">
        <v>0</v>
      </c>
      <c r="AH5">
        <v>85</v>
      </c>
      <c r="AI5">
        <v>4771</v>
      </c>
      <c r="AJ5">
        <v>4931</v>
      </c>
      <c r="AK5">
        <v>5738</v>
      </c>
      <c r="AL5">
        <v>34</v>
      </c>
      <c r="AM5">
        <v>1</v>
      </c>
      <c r="AN5">
        <v>40</v>
      </c>
      <c r="AO5">
        <v>4805</v>
      </c>
      <c r="AP5">
        <v>4932</v>
      </c>
      <c r="AQ5">
        <v>5863</v>
      </c>
      <c r="AR5">
        <v>4677</v>
      </c>
      <c r="AS5">
        <v>4806</v>
      </c>
      <c r="AT5">
        <v>5653</v>
      </c>
      <c r="AU5">
        <v>4698</v>
      </c>
      <c r="AV5">
        <v>4582</v>
      </c>
      <c r="AW5">
        <v>4807</v>
      </c>
      <c r="AX5">
        <v>-31</v>
      </c>
      <c r="AY5">
        <v>224</v>
      </c>
      <c r="AZ5">
        <v>846</v>
      </c>
      <c r="BA5">
        <v>128</v>
      </c>
      <c r="BB5">
        <v>126</v>
      </c>
      <c r="BC5">
        <v>210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128</v>
      </c>
      <c r="BK5">
        <v>126</v>
      </c>
      <c r="BL5">
        <v>209</v>
      </c>
      <c r="BN5">
        <v>0</v>
      </c>
      <c r="BO5">
        <v>1</v>
      </c>
      <c r="BP5">
        <v>5145</v>
      </c>
      <c r="BQ5">
        <v>6342</v>
      </c>
      <c r="BR5">
        <v>7889</v>
      </c>
      <c r="BS5">
        <v>601</v>
      </c>
      <c r="BT5">
        <f>BQ5-BZ5-CF5</f>
        <v>5069</v>
      </c>
      <c r="BU5">
        <v>525</v>
      </c>
      <c r="BV5">
        <v>3565</v>
      </c>
      <c r="BX5">
        <v>5541</v>
      </c>
      <c r="BY5">
        <v>962</v>
      </c>
      <c r="BZ5">
        <f>300+865</f>
        <v>1165</v>
      </c>
      <c r="CA5">
        <v>1804</v>
      </c>
      <c r="CB5">
        <v>13</v>
      </c>
      <c r="CD5">
        <v>14</v>
      </c>
      <c r="CE5">
        <v>0</v>
      </c>
      <c r="CF5">
        <v>108</v>
      </c>
      <c r="CG5">
        <v>0</v>
      </c>
      <c r="CH5">
        <v>0</v>
      </c>
      <c r="CJ5">
        <v>0</v>
      </c>
      <c r="CK5">
        <v>4</v>
      </c>
      <c r="CM5">
        <v>0</v>
      </c>
      <c r="CN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5125</v>
      </c>
      <c r="DS5">
        <v>6566</v>
      </c>
      <c r="DT5">
        <v>8734</v>
      </c>
      <c r="DU5">
        <v>1331</v>
      </c>
      <c r="DV5">
        <v>0</v>
      </c>
      <c r="DW5">
        <v>2411</v>
      </c>
      <c r="DX5">
        <v>0</v>
      </c>
      <c r="DY5">
        <v>0</v>
      </c>
      <c r="DZ5">
        <v>1</v>
      </c>
      <c r="EA5" s="183">
        <v>0</v>
      </c>
      <c r="EB5" s="83">
        <v>0</v>
      </c>
      <c r="EC5" s="184">
        <v>0</v>
      </c>
      <c r="ED5">
        <v>3788</v>
      </c>
      <c r="EE5">
        <v>0</v>
      </c>
      <c r="EF5">
        <v>5460</v>
      </c>
      <c r="EG5">
        <v>0</v>
      </c>
      <c r="EH5">
        <v>0</v>
      </c>
      <c r="EI5">
        <v>0</v>
      </c>
      <c r="EJ5">
        <v>1978</v>
      </c>
      <c r="EK5">
        <v>0</v>
      </c>
      <c r="EL5">
        <v>5142</v>
      </c>
      <c r="EM5">
        <v>1810</v>
      </c>
      <c r="EN5">
        <v>1810</v>
      </c>
      <c r="EO5">
        <v>318</v>
      </c>
      <c r="EP5">
        <v>0</v>
      </c>
      <c r="EQ5">
        <v>0</v>
      </c>
      <c r="ER5">
        <v>862</v>
      </c>
      <c r="ES5">
        <v>0</v>
      </c>
      <c r="ET5">
        <v>224</v>
      </c>
      <c r="EU5">
        <v>845</v>
      </c>
      <c r="EV5">
        <v>-20</v>
      </c>
      <c r="EW5">
        <v>224</v>
      </c>
      <c r="EX5">
        <v>845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5145</v>
      </c>
      <c r="GG5">
        <v>6342</v>
      </c>
      <c r="GH5">
        <v>7889</v>
      </c>
      <c r="GI5">
        <v>5125</v>
      </c>
      <c r="GJ5">
        <v>6566</v>
      </c>
      <c r="GK5">
        <v>8734</v>
      </c>
      <c r="GL5">
        <v>-20</v>
      </c>
      <c r="GM5">
        <v>224</v>
      </c>
      <c r="GN5">
        <v>845</v>
      </c>
      <c r="GO5">
        <f t="shared" si="0"/>
        <v>-20</v>
      </c>
      <c r="GP5">
        <f t="shared" si="1"/>
        <v>224</v>
      </c>
      <c r="GQ5">
        <f t="shared" si="2"/>
        <v>845</v>
      </c>
    </row>
    <row r="6" spans="1:200">
      <c r="A6" t="s">
        <v>51</v>
      </c>
      <c r="B6">
        <v>570</v>
      </c>
      <c r="C6">
        <v>5</v>
      </c>
      <c r="D6">
        <v>65</v>
      </c>
      <c r="E6">
        <v>10</v>
      </c>
      <c r="F6">
        <v>10</v>
      </c>
      <c r="G6">
        <v>5</v>
      </c>
      <c r="H6">
        <v>5</v>
      </c>
      <c r="I6" t="s">
        <v>31</v>
      </c>
      <c r="J6" t="s">
        <v>33</v>
      </c>
      <c r="K6">
        <v>5</v>
      </c>
      <c r="L6">
        <v>20</v>
      </c>
      <c r="M6">
        <v>65</v>
      </c>
      <c r="N6">
        <v>10</v>
      </c>
      <c r="O6">
        <v>5</v>
      </c>
      <c r="P6">
        <v>6</v>
      </c>
      <c r="Q6">
        <v>746</v>
      </c>
      <c r="R6">
        <v>767</v>
      </c>
      <c r="S6">
        <v>1354</v>
      </c>
      <c r="T6">
        <v>0</v>
      </c>
      <c r="U6">
        <v>157</v>
      </c>
      <c r="V6">
        <v>205</v>
      </c>
      <c r="W6">
        <v>0</v>
      </c>
      <c r="X6">
        <v>-39</v>
      </c>
      <c r="Y6">
        <v>-102</v>
      </c>
      <c r="Z6">
        <v>746</v>
      </c>
      <c r="AA6">
        <v>610</v>
      </c>
      <c r="AB6">
        <v>1149</v>
      </c>
      <c r="AC6">
        <v>0</v>
      </c>
      <c r="AD6">
        <v>0</v>
      </c>
      <c r="AE6">
        <v>0</v>
      </c>
      <c r="AF6">
        <v>0</v>
      </c>
      <c r="AG6">
        <v>84</v>
      </c>
      <c r="AH6">
        <v>91</v>
      </c>
      <c r="AI6">
        <v>746</v>
      </c>
      <c r="AJ6">
        <v>494</v>
      </c>
      <c r="AK6">
        <v>1058</v>
      </c>
      <c r="AL6">
        <v>0</v>
      </c>
      <c r="AM6">
        <v>32</v>
      </c>
      <c r="AN6">
        <v>0</v>
      </c>
      <c r="AO6">
        <v>746</v>
      </c>
      <c r="AP6">
        <v>767</v>
      </c>
      <c r="AQ6">
        <v>1354</v>
      </c>
      <c r="AR6">
        <v>613</v>
      </c>
      <c r="AS6">
        <v>606</v>
      </c>
      <c r="AT6">
        <v>924</v>
      </c>
      <c r="AU6">
        <v>0</v>
      </c>
      <c r="AV6">
        <v>0</v>
      </c>
      <c r="AW6">
        <v>150</v>
      </c>
      <c r="AX6">
        <v>613</v>
      </c>
      <c r="AY6">
        <v>606</v>
      </c>
      <c r="AZ6">
        <v>774</v>
      </c>
      <c r="BA6">
        <v>133</v>
      </c>
      <c r="BB6">
        <v>161</v>
      </c>
      <c r="BC6">
        <v>430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133</v>
      </c>
      <c r="BK6">
        <v>161</v>
      </c>
      <c r="BL6">
        <v>409</v>
      </c>
      <c r="BM6">
        <v>0</v>
      </c>
      <c r="BN6">
        <v>5</v>
      </c>
      <c r="BO6">
        <v>21</v>
      </c>
      <c r="BP6">
        <v>3773</v>
      </c>
      <c r="BQ6">
        <v>4337</v>
      </c>
      <c r="BR6">
        <v>5708</v>
      </c>
      <c r="BS6">
        <v>656</v>
      </c>
      <c r="BT6">
        <v>674</v>
      </c>
      <c r="BU6">
        <v>741</v>
      </c>
      <c r="BV6">
        <v>1980</v>
      </c>
      <c r="BW6">
        <f>2196+26+268</f>
        <v>2490</v>
      </c>
      <c r="BX6">
        <f>14+256+27+2378</f>
        <v>2675</v>
      </c>
      <c r="BY6">
        <v>975</v>
      </c>
      <c r="BZ6">
        <v>1056</v>
      </c>
      <c r="CA6">
        <v>2119</v>
      </c>
      <c r="CB6">
        <v>0</v>
      </c>
      <c r="CC6">
        <v>0</v>
      </c>
      <c r="CD6">
        <v>1</v>
      </c>
      <c r="CE6">
        <v>20</v>
      </c>
      <c r="CF6">
        <v>60</v>
      </c>
      <c r="CG6">
        <v>44</v>
      </c>
      <c r="CH6">
        <v>40</v>
      </c>
      <c r="CI6">
        <v>39</v>
      </c>
      <c r="CJ6">
        <v>27</v>
      </c>
      <c r="CK6">
        <v>85</v>
      </c>
      <c r="CL6">
        <v>18</v>
      </c>
      <c r="CM6">
        <v>101</v>
      </c>
      <c r="CN6">
        <v>17</v>
      </c>
      <c r="CO6">
        <v>0</v>
      </c>
      <c r="CP6">
        <v>0</v>
      </c>
      <c r="CQ6">
        <v>0</v>
      </c>
      <c r="CR6">
        <v>0</v>
      </c>
      <c r="CS6">
        <v>83</v>
      </c>
      <c r="CT6">
        <v>0</v>
      </c>
      <c r="CU6">
        <v>0</v>
      </c>
      <c r="CV6">
        <v>47</v>
      </c>
      <c r="CW6">
        <v>0</v>
      </c>
      <c r="CX6">
        <v>0</v>
      </c>
      <c r="CY6">
        <f>19+17</f>
        <v>36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4040</v>
      </c>
      <c r="DS6">
        <v>4083</v>
      </c>
      <c r="DT6">
        <v>5621</v>
      </c>
      <c r="DU6">
        <v>231</v>
      </c>
      <c r="DV6">
        <v>295</v>
      </c>
      <c r="DW6">
        <v>917</v>
      </c>
      <c r="DX6">
        <v>26</v>
      </c>
      <c r="DY6">
        <v>1</v>
      </c>
      <c r="DZ6">
        <v>0</v>
      </c>
      <c r="EA6" s="183">
        <v>0</v>
      </c>
      <c r="EB6" s="83">
        <v>0</v>
      </c>
      <c r="EC6" s="184">
        <v>0</v>
      </c>
      <c r="ED6">
        <v>3783</v>
      </c>
      <c r="EE6">
        <v>680</v>
      </c>
      <c r="EF6">
        <v>1416</v>
      </c>
      <c r="EG6">
        <v>3094</v>
      </c>
      <c r="EH6">
        <v>0</v>
      </c>
      <c r="EI6">
        <v>0</v>
      </c>
      <c r="EJ6">
        <v>0</v>
      </c>
      <c r="EK6">
        <v>47</v>
      </c>
      <c r="EL6">
        <v>751</v>
      </c>
      <c r="EM6">
        <v>689</v>
      </c>
      <c r="EN6">
        <v>633</v>
      </c>
      <c r="EO6">
        <v>665</v>
      </c>
      <c r="EP6">
        <v>0</v>
      </c>
      <c r="EQ6">
        <v>3107</v>
      </c>
      <c r="ER6">
        <v>3288</v>
      </c>
      <c r="ES6">
        <v>267</v>
      </c>
      <c r="ET6">
        <v>-254</v>
      </c>
      <c r="EU6">
        <v>-87</v>
      </c>
      <c r="EV6">
        <v>267</v>
      </c>
      <c r="EW6">
        <v>-254</v>
      </c>
      <c r="EX6">
        <v>-87</v>
      </c>
      <c r="EY6">
        <v>0</v>
      </c>
      <c r="EZ6">
        <v>248</v>
      </c>
      <c r="FA6">
        <v>337</v>
      </c>
      <c r="FB6">
        <v>0</v>
      </c>
      <c r="FC6">
        <v>0</v>
      </c>
      <c r="FD6">
        <v>174</v>
      </c>
      <c r="FE6">
        <v>0</v>
      </c>
      <c r="FF6">
        <v>0</v>
      </c>
      <c r="FG6">
        <v>163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248</v>
      </c>
      <c r="GB6">
        <v>254</v>
      </c>
      <c r="GC6">
        <v>0</v>
      </c>
      <c r="GD6">
        <v>248</v>
      </c>
      <c r="GE6">
        <v>254</v>
      </c>
      <c r="GF6">
        <v>3773</v>
      </c>
      <c r="GG6">
        <v>4337</v>
      </c>
      <c r="GH6">
        <v>5791</v>
      </c>
      <c r="GI6">
        <v>4040</v>
      </c>
      <c r="GJ6">
        <v>4331</v>
      </c>
      <c r="GK6">
        <v>5958</v>
      </c>
      <c r="GL6">
        <v>267</v>
      </c>
      <c r="GM6">
        <v>-6</v>
      </c>
      <c r="GN6">
        <v>167</v>
      </c>
      <c r="GO6">
        <f t="shared" si="0"/>
        <v>267</v>
      </c>
      <c r="GP6">
        <f t="shared" si="1"/>
        <v>-6</v>
      </c>
      <c r="GQ6">
        <f t="shared" si="2"/>
        <v>167</v>
      </c>
    </row>
    <row r="7" spans="1:200">
      <c r="A7" t="s">
        <v>52</v>
      </c>
      <c r="B7">
        <v>450</v>
      </c>
      <c r="C7">
        <v>5</v>
      </c>
      <c r="D7">
        <v>60</v>
      </c>
      <c r="E7">
        <v>17</v>
      </c>
      <c r="F7">
        <v>10</v>
      </c>
      <c r="G7">
        <v>6</v>
      </c>
      <c r="H7">
        <v>2</v>
      </c>
      <c r="I7" t="s">
        <v>31</v>
      </c>
      <c r="J7" t="s">
        <v>33</v>
      </c>
      <c r="K7">
        <v>3</v>
      </c>
      <c r="L7">
        <v>20</v>
      </c>
      <c r="M7">
        <v>60</v>
      </c>
      <c r="N7">
        <v>15</v>
      </c>
      <c r="O7">
        <v>5</v>
      </c>
      <c r="P7">
        <v>3</v>
      </c>
      <c r="Q7">
        <v>6474</v>
      </c>
      <c r="R7">
        <v>6207</v>
      </c>
      <c r="S7">
        <v>6074</v>
      </c>
      <c r="T7">
        <v>11846</v>
      </c>
      <c r="U7">
        <v>11841</v>
      </c>
      <c r="V7">
        <v>11184</v>
      </c>
      <c r="W7">
        <v>-6290</v>
      </c>
      <c r="X7">
        <v>-6404</v>
      </c>
      <c r="Y7">
        <v>6498</v>
      </c>
      <c r="Z7">
        <v>918</v>
      </c>
      <c r="AA7">
        <v>770</v>
      </c>
      <c r="AB7">
        <v>1388</v>
      </c>
      <c r="AC7">
        <v>0</v>
      </c>
      <c r="AD7">
        <v>0</v>
      </c>
      <c r="AE7">
        <v>0</v>
      </c>
      <c r="AF7">
        <v>0</v>
      </c>
      <c r="AG7">
        <v>93</v>
      </c>
      <c r="AH7">
        <v>0</v>
      </c>
      <c r="AI7">
        <v>918</v>
      </c>
      <c r="AJ7">
        <v>677</v>
      </c>
      <c r="AK7">
        <v>1388</v>
      </c>
      <c r="AL7">
        <v>0</v>
      </c>
      <c r="AM7">
        <v>0</v>
      </c>
      <c r="AN7">
        <v>0</v>
      </c>
      <c r="AO7">
        <v>6474</v>
      </c>
      <c r="AP7">
        <v>6207</v>
      </c>
      <c r="AQ7">
        <v>6071</v>
      </c>
      <c r="AR7">
        <v>6474</v>
      </c>
      <c r="AS7">
        <v>6207</v>
      </c>
      <c r="AT7">
        <v>6071</v>
      </c>
      <c r="AU7">
        <v>6381</v>
      </c>
      <c r="AV7">
        <v>6519</v>
      </c>
      <c r="AW7">
        <v>5491</v>
      </c>
      <c r="AX7">
        <v>93</v>
      </c>
      <c r="AY7">
        <v>-312</v>
      </c>
      <c r="AZ7">
        <v>580</v>
      </c>
      <c r="BA7">
        <v>0</v>
      </c>
      <c r="BB7">
        <v>0</v>
      </c>
      <c r="BC7">
        <v>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3</v>
      </c>
      <c r="BM7">
        <v>0</v>
      </c>
      <c r="BN7">
        <v>0</v>
      </c>
      <c r="BO7">
        <v>0</v>
      </c>
      <c r="BP7">
        <v>5835</v>
      </c>
      <c r="BQ7">
        <v>7169</v>
      </c>
      <c r="BR7">
        <v>7198</v>
      </c>
      <c r="BS7">
        <v>2024</v>
      </c>
      <c r="BT7">
        <v>1796</v>
      </c>
      <c r="BU7">
        <v>2383</v>
      </c>
      <c r="BV7">
        <v>780</v>
      </c>
      <c r="BW7">
        <v>1195</v>
      </c>
      <c r="BX7">
        <v>983</v>
      </c>
      <c r="BY7">
        <v>1078</v>
      </c>
      <c r="BZ7">
        <v>1450</v>
      </c>
      <c r="CA7">
        <v>1257</v>
      </c>
      <c r="CB7">
        <v>16</v>
      </c>
      <c r="CC7">
        <v>19</v>
      </c>
      <c r="CD7">
        <v>21</v>
      </c>
      <c r="CE7">
        <v>1890</v>
      </c>
      <c r="CF7">
        <v>2639</v>
      </c>
      <c r="CG7">
        <v>2495</v>
      </c>
      <c r="CH7">
        <v>6</v>
      </c>
      <c r="CI7">
        <v>5145</v>
      </c>
      <c r="CJ7">
        <v>5</v>
      </c>
      <c r="CK7">
        <v>40</v>
      </c>
      <c r="CL7">
        <v>63</v>
      </c>
      <c r="CM7">
        <v>54</v>
      </c>
      <c r="CN7">
        <v>0</v>
      </c>
      <c r="CO7">
        <v>0</v>
      </c>
      <c r="CP7">
        <v>0</v>
      </c>
      <c r="CQ7">
        <v>572</v>
      </c>
      <c r="CR7">
        <v>608</v>
      </c>
      <c r="CS7">
        <v>451</v>
      </c>
      <c r="CT7">
        <v>0</v>
      </c>
      <c r="CU7">
        <v>0</v>
      </c>
      <c r="CV7">
        <v>0</v>
      </c>
      <c r="CW7">
        <v>200</v>
      </c>
      <c r="CX7">
        <v>258</v>
      </c>
      <c r="CY7">
        <v>188</v>
      </c>
      <c r="CZ7">
        <v>148</v>
      </c>
      <c r="DA7">
        <v>208</v>
      </c>
      <c r="DB7">
        <v>135</v>
      </c>
      <c r="DC7">
        <v>10</v>
      </c>
      <c r="DD7">
        <v>5</v>
      </c>
      <c r="DE7">
        <v>5</v>
      </c>
      <c r="DF7">
        <v>28</v>
      </c>
      <c r="DG7">
        <v>28</v>
      </c>
      <c r="DH7">
        <v>29</v>
      </c>
      <c r="DI7">
        <v>125</v>
      </c>
      <c r="DJ7">
        <v>110</v>
      </c>
      <c r="DK7">
        <v>94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5634</v>
      </c>
      <c r="DS7">
        <v>6584</v>
      </c>
      <c r="DT7">
        <v>7481</v>
      </c>
      <c r="DU7">
        <v>0</v>
      </c>
      <c r="DV7">
        <v>0</v>
      </c>
      <c r="DW7">
        <v>0</v>
      </c>
      <c r="DX7">
        <v>2440</v>
      </c>
      <c r="DY7">
        <v>2904</v>
      </c>
      <c r="DZ7">
        <v>2836</v>
      </c>
      <c r="EA7" s="183">
        <v>0</v>
      </c>
      <c r="EB7" s="83">
        <v>0</v>
      </c>
      <c r="EC7" s="184">
        <v>0</v>
      </c>
      <c r="ED7">
        <v>1800</v>
      </c>
      <c r="EE7">
        <v>2111</v>
      </c>
      <c r="EF7">
        <v>2530</v>
      </c>
      <c r="EG7">
        <v>313</v>
      </c>
      <c r="EH7">
        <v>338</v>
      </c>
      <c r="EI7">
        <v>107</v>
      </c>
      <c r="EJ7">
        <v>545</v>
      </c>
      <c r="EK7">
        <v>592</v>
      </c>
      <c r="EL7">
        <v>946</v>
      </c>
      <c r="EM7">
        <v>940</v>
      </c>
      <c r="EN7">
        <v>1180</v>
      </c>
      <c r="EO7">
        <v>1477</v>
      </c>
      <c r="EP7">
        <v>1397</v>
      </c>
      <c r="EQ7">
        <v>1566</v>
      </c>
      <c r="ER7">
        <v>2115</v>
      </c>
      <c r="ES7">
        <v>-200</v>
      </c>
      <c r="ET7">
        <v>-585</v>
      </c>
      <c r="EU7">
        <v>283</v>
      </c>
      <c r="EV7">
        <v>-200</v>
      </c>
      <c r="EW7">
        <v>-585</v>
      </c>
      <c r="EX7">
        <v>283</v>
      </c>
      <c r="EY7">
        <v>865</v>
      </c>
      <c r="EZ7">
        <v>881</v>
      </c>
      <c r="FA7">
        <v>748</v>
      </c>
      <c r="FB7">
        <v>467</v>
      </c>
      <c r="FC7">
        <v>440</v>
      </c>
      <c r="FD7">
        <v>434</v>
      </c>
      <c r="FE7">
        <v>399</v>
      </c>
      <c r="FF7">
        <v>441</v>
      </c>
      <c r="FG7">
        <v>314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294</v>
      </c>
      <c r="GA7">
        <v>273</v>
      </c>
      <c r="GB7">
        <v>297</v>
      </c>
      <c r="GC7">
        <v>294</v>
      </c>
      <c r="GD7">
        <v>273</v>
      </c>
      <c r="GE7">
        <v>297</v>
      </c>
      <c r="GF7">
        <f t="shared" ref="GF7:GF38" si="3">BP7+CQ7</f>
        <v>6407</v>
      </c>
      <c r="GG7">
        <f t="shared" ref="GG7:GG38" si="4">BQ7+CR7</f>
        <v>7777</v>
      </c>
      <c r="GH7">
        <f t="shared" ref="GH7:GH38" si="5">BR7+CS7</f>
        <v>7649</v>
      </c>
      <c r="GI7">
        <f t="shared" ref="GI7:GI38" si="6">DR7+EY7</f>
        <v>6499</v>
      </c>
      <c r="GJ7">
        <f t="shared" ref="GJ7:GJ38" si="7">DS7+EZ7</f>
        <v>7465</v>
      </c>
      <c r="GK7">
        <f t="shared" ref="GK7:GK38" si="8">DT7+FA7</f>
        <v>8229</v>
      </c>
      <c r="GL7">
        <f t="shared" ref="GL7:GL34" si="9">GI7-GF7</f>
        <v>92</v>
      </c>
      <c r="GM7">
        <f t="shared" ref="GM7:GM34" si="10">GJ7-GG7</f>
        <v>-312</v>
      </c>
      <c r="GN7">
        <f t="shared" ref="GN7:GN34" si="11">GK7-GH7</f>
        <v>580</v>
      </c>
      <c r="GO7">
        <f t="shared" si="0"/>
        <v>94</v>
      </c>
      <c r="GP7">
        <f t="shared" si="1"/>
        <v>-312</v>
      </c>
      <c r="GQ7">
        <f t="shared" si="2"/>
        <v>580</v>
      </c>
    </row>
    <row r="8" spans="1:200">
      <c r="A8" t="s">
        <v>92</v>
      </c>
      <c r="B8">
        <v>385</v>
      </c>
      <c r="C8">
        <v>25</v>
      </c>
      <c r="D8">
        <v>45</v>
      </c>
      <c r="E8">
        <v>15</v>
      </c>
      <c r="F8">
        <v>8</v>
      </c>
      <c r="G8">
        <v>5</v>
      </c>
      <c r="H8">
        <v>2</v>
      </c>
      <c r="I8" t="s">
        <v>31</v>
      </c>
      <c r="J8" t="s">
        <v>33</v>
      </c>
      <c r="K8">
        <v>6</v>
      </c>
      <c r="L8">
        <v>20</v>
      </c>
      <c r="M8">
        <v>50</v>
      </c>
      <c r="N8">
        <v>5</v>
      </c>
      <c r="O8">
        <v>25</v>
      </c>
      <c r="P8">
        <v>6</v>
      </c>
      <c r="Q8">
        <v>61</v>
      </c>
      <c r="R8">
        <v>124</v>
      </c>
      <c r="S8">
        <v>210</v>
      </c>
      <c r="T8">
        <v>91</v>
      </c>
      <c r="U8">
        <v>91</v>
      </c>
      <c r="V8">
        <v>82</v>
      </c>
      <c r="W8">
        <v>-91</v>
      </c>
      <c r="X8">
        <v>-91</v>
      </c>
      <c r="Y8">
        <v>-82</v>
      </c>
      <c r="Z8">
        <v>61</v>
      </c>
      <c r="AA8">
        <v>124</v>
      </c>
      <c r="AB8">
        <v>210</v>
      </c>
      <c r="AD8">
        <v>0</v>
      </c>
      <c r="AE8">
        <v>0</v>
      </c>
      <c r="AF8">
        <v>0</v>
      </c>
      <c r="AG8">
        <v>0</v>
      </c>
      <c r="AH8">
        <v>0</v>
      </c>
      <c r="AI8">
        <v>56</v>
      </c>
      <c r="AJ8">
        <v>123</v>
      </c>
      <c r="AK8">
        <v>210</v>
      </c>
      <c r="AL8">
        <v>5</v>
      </c>
      <c r="AM8">
        <v>1</v>
      </c>
      <c r="AN8">
        <v>0</v>
      </c>
      <c r="AO8">
        <v>61</v>
      </c>
      <c r="AP8">
        <v>124</v>
      </c>
      <c r="AQ8">
        <v>210</v>
      </c>
      <c r="AR8">
        <v>-64</v>
      </c>
      <c r="AS8">
        <v>-76</v>
      </c>
      <c r="AT8">
        <v>14</v>
      </c>
      <c r="AU8">
        <v>0</v>
      </c>
      <c r="AV8">
        <v>0</v>
      </c>
      <c r="AW8">
        <v>0</v>
      </c>
      <c r="AX8">
        <v>-64</v>
      </c>
      <c r="AY8">
        <v>-76</v>
      </c>
      <c r="AZ8">
        <v>14</v>
      </c>
      <c r="BA8">
        <v>125</v>
      </c>
      <c r="BB8">
        <v>200</v>
      </c>
      <c r="BC8">
        <f>AQ8-BO8</f>
        <v>70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22</v>
      </c>
      <c r="BK8">
        <v>77</v>
      </c>
      <c r="BL8">
        <v>70</v>
      </c>
      <c r="BM8">
        <v>103</v>
      </c>
      <c r="BN8">
        <v>123</v>
      </c>
      <c r="BO8">
        <v>140</v>
      </c>
      <c r="BP8">
        <v>1422</v>
      </c>
      <c r="BQ8">
        <v>1832</v>
      </c>
      <c r="BR8">
        <v>2480</v>
      </c>
      <c r="BS8">
        <v>275</v>
      </c>
      <c r="BT8">
        <v>1325</v>
      </c>
      <c r="BU8">
        <v>1556</v>
      </c>
      <c r="BV8">
        <v>946</v>
      </c>
      <c r="BW8">
        <v>0</v>
      </c>
      <c r="BX8">
        <v>1033</v>
      </c>
      <c r="BY8">
        <v>198</v>
      </c>
      <c r="BZ8">
        <v>504</v>
      </c>
      <c r="CA8">
        <v>920</v>
      </c>
      <c r="CB8">
        <v>0</v>
      </c>
      <c r="CC8">
        <v>0</v>
      </c>
      <c r="CD8">
        <v>0</v>
      </c>
      <c r="CE8">
        <v>3</v>
      </c>
      <c r="CF8">
        <v>3</v>
      </c>
      <c r="CG8">
        <v>4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1351</v>
      </c>
      <c r="DS8">
        <v>1820</v>
      </c>
      <c r="DT8">
        <v>2494</v>
      </c>
      <c r="DU8">
        <v>0</v>
      </c>
      <c r="DV8">
        <v>30</v>
      </c>
      <c r="DW8">
        <v>0</v>
      </c>
      <c r="DX8">
        <v>361</v>
      </c>
      <c r="DY8">
        <v>361</v>
      </c>
      <c r="DZ8">
        <v>553</v>
      </c>
      <c r="EA8" s="183">
        <v>0</v>
      </c>
      <c r="EB8" s="83">
        <v>0</v>
      </c>
      <c r="EC8" s="184">
        <v>0</v>
      </c>
      <c r="ED8">
        <v>180</v>
      </c>
      <c r="EE8">
        <v>311</v>
      </c>
      <c r="EF8">
        <v>223</v>
      </c>
      <c r="EG8">
        <v>0</v>
      </c>
      <c r="EH8">
        <v>0</v>
      </c>
      <c r="EI8">
        <v>0</v>
      </c>
      <c r="EJ8">
        <v>29</v>
      </c>
      <c r="EK8">
        <v>126</v>
      </c>
      <c r="EL8">
        <v>6</v>
      </c>
      <c r="EM8">
        <v>151</v>
      </c>
      <c r="EN8">
        <v>185</v>
      </c>
      <c r="EO8">
        <v>217</v>
      </c>
      <c r="EP8">
        <v>810</v>
      </c>
      <c r="EQ8">
        <v>1118</v>
      </c>
      <c r="ER8">
        <v>1718</v>
      </c>
      <c r="ES8">
        <v>-71</v>
      </c>
      <c r="ET8">
        <v>12</v>
      </c>
      <c r="EU8">
        <f>DT8-BR8</f>
        <v>14</v>
      </c>
      <c r="EV8">
        <v>-71</v>
      </c>
      <c r="EW8">
        <v>12</v>
      </c>
      <c r="EX8">
        <v>14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 s="4">
        <f t="shared" si="3"/>
        <v>1422</v>
      </c>
      <c r="GG8">
        <f t="shared" si="4"/>
        <v>1832</v>
      </c>
      <c r="GH8" s="4">
        <f t="shared" si="5"/>
        <v>2480</v>
      </c>
      <c r="GI8" s="4">
        <f t="shared" si="6"/>
        <v>1351</v>
      </c>
      <c r="GJ8">
        <f t="shared" si="7"/>
        <v>1820</v>
      </c>
      <c r="GK8" s="4">
        <f t="shared" si="8"/>
        <v>2494</v>
      </c>
      <c r="GL8" s="4">
        <f t="shared" si="9"/>
        <v>-71</v>
      </c>
      <c r="GM8">
        <f t="shared" si="10"/>
        <v>-12</v>
      </c>
      <c r="GN8" s="4">
        <f t="shared" si="11"/>
        <v>14</v>
      </c>
      <c r="GO8" s="4">
        <f t="shared" si="0"/>
        <v>-71</v>
      </c>
      <c r="GP8">
        <f t="shared" si="1"/>
        <v>12</v>
      </c>
      <c r="GQ8" s="4">
        <f t="shared" si="2"/>
        <v>14</v>
      </c>
      <c r="GR8" t="s">
        <v>326</v>
      </c>
    </row>
    <row r="9" spans="1:200">
      <c r="A9" t="s">
        <v>93</v>
      </c>
      <c r="B9">
        <v>260</v>
      </c>
      <c r="C9">
        <v>1</v>
      </c>
      <c r="D9">
        <v>89</v>
      </c>
      <c r="E9">
        <v>7</v>
      </c>
      <c r="F9">
        <v>2</v>
      </c>
      <c r="G9">
        <v>1</v>
      </c>
      <c r="H9">
        <v>0</v>
      </c>
      <c r="I9" t="s">
        <v>31</v>
      </c>
      <c r="J9" t="s">
        <v>32</v>
      </c>
      <c r="K9">
        <v>4</v>
      </c>
      <c r="L9">
        <v>52</v>
      </c>
      <c r="M9">
        <v>45</v>
      </c>
      <c r="N9">
        <v>3</v>
      </c>
      <c r="O9">
        <v>0</v>
      </c>
      <c r="P9">
        <v>6</v>
      </c>
      <c r="Q9">
        <v>5522</v>
      </c>
      <c r="R9">
        <v>5754</v>
      </c>
      <c r="S9">
        <v>5801</v>
      </c>
      <c r="T9">
        <v>7079</v>
      </c>
      <c r="U9">
        <v>7079</v>
      </c>
      <c r="V9">
        <v>7250</v>
      </c>
      <c r="W9">
        <v>-4739</v>
      </c>
      <c r="X9">
        <v>-4747</v>
      </c>
      <c r="Y9">
        <v>-4882</v>
      </c>
      <c r="Z9">
        <v>3182</v>
      </c>
      <c r="AA9">
        <v>3422</v>
      </c>
      <c r="AB9">
        <v>3433</v>
      </c>
      <c r="AC9">
        <v>0</v>
      </c>
      <c r="AD9">
        <v>0</v>
      </c>
      <c r="AE9">
        <v>0</v>
      </c>
      <c r="AF9">
        <v>151</v>
      </c>
      <c r="AG9">
        <v>177</v>
      </c>
      <c r="AH9">
        <v>161</v>
      </c>
      <c r="AI9">
        <v>3031</v>
      </c>
      <c r="AJ9">
        <v>3285</v>
      </c>
      <c r="AK9">
        <v>3315</v>
      </c>
      <c r="AL9">
        <v>0</v>
      </c>
      <c r="AM9">
        <v>-40</v>
      </c>
      <c r="AN9">
        <v>-43</v>
      </c>
      <c r="AO9">
        <v>5522</v>
      </c>
      <c r="AP9">
        <v>5754</v>
      </c>
      <c r="AQ9">
        <v>5801</v>
      </c>
      <c r="AR9">
        <v>5230</v>
      </c>
      <c r="AS9">
        <v>5505</v>
      </c>
      <c r="AT9">
        <v>5537</v>
      </c>
      <c r="AU9">
        <v>4352</v>
      </c>
      <c r="AV9">
        <v>4352</v>
      </c>
      <c r="AW9">
        <v>4352</v>
      </c>
      <c r="AX9">
        <v>878</v>
      </c>
      <c r="AY9">
        <v>1153</v>
      </c>
      <c r="AZ9">
        <v>1185</v>
      </c>
      <c r="BA9">
        <v>292</v>
      </c>
      <c r="BB9">
        <v>249</v>
      </c>
      <c r="BC9">
        <v>264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292</v>
      </c>
      <c r="BK9">
        <v>236</v>
      </c>
      <c r="BL9">
        <v>260</v>
      </c>
      <c r="BM9">
        <v>0</v>
      </c>
      <c r="BN9">
        <v>13</v>
      </c>
      <c r="BO9">
        <v>4</v>
      </c>
      <c r="BP9">
        <v>3562</v>
      </c>
      <c r="BQ9">
        <v>4108</v>
      </c>
      <c r="BR9">
        <v>5480</v>
      </c>
      <c r="BS9">
        <v>1047</v>
      </c>
      <c r="BT9">
        <v>2905</v>
      </c>
      <c r="BU9">
        <v>3688</v>
      </c>
      <c r="BV9">
        <v>1665</v>
      </c>
      <c r="BW9">
        <v>0</v>
      </c>
      <c r="BX9">
        <v>0</v>
      </c>
      <c r="BY9">
        <v>624</v>
      </c>
      <c r="BZ9">
        <v>1005</v>
      </c>
      <c r="CA9">
        <v>1461</v>
      </c>
      <c r="CB9">
        <v>5</v>
      </c>
      <c r="CC9">
        <v>6</v>
      </c>
      <c r="CD9">
        <v>6</v>
      </c>
      <c r="CE9">
        <v>164</v>
      </c>
      <c r="CF9">
        <v>150</v>
      </c>
      <c r="CG9">
        <v>191</v>
      </c>
      <c r="CH9">
        <v>24</v>
      </c>
      <c r="CI9">
        <v>8</v>
      </c>
      <c r="CJ9">
        <v>134</v>
      </c>
      <c r="CK9">
        <v>33</v>
      </c>
      <c r="CL9">
        <v>34</v>
      </c>
      <c r="CM9">
        <v>0</v>
      </c>
      <c r="CN9">
        <v>0</v>
      </c>
      <c r="CO9">
        <v>0</v>
      </c>
      <c r="CP9">
        <v>0</v>
      </c>
      <c r="CQ9">
        <v>397</v>
      </c>
      <c r="CR9">
        <v>499</v>
      </c>
      <c r="CS9">
        <v>396</v>
      </c>
      <c r="CT9">
        <v>0</v>
      </c>
      <c r="CU9">
        <v>57</v>
      </c>
      <c r="CV9">
        <v>1</v>
      </c>
      <c r="CW9">
        <v>16</v>
      </c>
      <c r="CX9">
        <v>0</v>
      </c>
      <c r="CY9">
        <v>0</v>
      </c>
      <c r="CZ9">
        <v>382</v>
      </c>
      <c r="DA9">
        <v>413</v>
      </c>
      <c r="DB9">
        <v>368</v>
      </c>
      <c r="DC9">
        <v>0</v>
      </c>
      <c r="DD9">
        <v>0</v>
      </c>
      <c r="DE9">
        <v>0</v>
      </c>
      <c r="DF9">
        <v>-1</v>
      </c>
      <c r="DG9">
        <v>4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15</v>
      </c>
      <c r="DQ9">
        <v>22</v>
      </c>
      <c r="DR9">
        <v>3395</v>
      </c>
      <c r="DS9">
        <v>4086</v>
      </c>
      <c r="DT9">
        <v>5120</v>
      </c>
      <c r="DU9">
        <v>203</v>
      </c>
      <c r="DV9">
        <v>126</v>
      </c>
      <c r="DW9">
        <v>576</v>
      </c>
      <c r="DX9">
        <v>91</v>
      </c>
      <c r="DY9">
        <v>54</v>
      </c>
      <c r="DZ9">
        <v>33</v>
      </c>
      <c r="EA9" s="183">
        <v>0</v>
      </c>
      <c r="EB9" s="83">
        <v>0</v>
      </c>
      <c r="EC9" s="184">
        <v>0</v>
      </c>
      <c r="ED9">
        <v>1799</v>
      </c>
      <c r="EE9">
        <v>1922</v>
      </c>
      <c r="EF9">
        <v>2073</v>
      </c>
      <c r="EG9">
        <v>570</v>
      </c>
      <c r="EH9">
        <v>15</v>
      </c>
      <c r="EI9">
        <v>48</v>
      </c>
      <c r="EJ9">
        <v>255</v>
      </c>
      <c r="EK9">
        <v>683</v>
      </c>
      <c r="EL9">
        <v>567</v>
      </c>
      <c r="EM9">
        <v>974</v>
      </c>
      <c r="EN9">
        <v>1224</v>
      </c>
      <c r="EO9">
        <v>1458</v>
      </c>
      <c r="EP9">
        <v>1302</v>
      </c>
      <c r="EQ9">
        <v>1964</v>
      </c>
      <c r="ER9">
        <v>2438</v>
      </c>
      <c r="ES9">
        <v>-167</v>
      </c>
      <c r="ET9">
        <v>-22</v>
      </c>
      <c r="EU9">
        <v>-360</v>
      </c>
      <c r="EV9">
        <v>-167</v>
      </c>
      <c r="EW9">
        <v>-22</v>
      </c>
      <c r="EX9">
        <v>-360</v>
      </c>
      <c r="EY9">
        <v>920</v>
      </c>
      <c r="EZ9">
        <v>796</v>
      </c>
      <c r="FA9">
        <v>788</v>
      </c>
      <c r="FB9">
        <v>915</v>
      </c>
      <c r="FC9">
        <v>795</v>
      </c>
      <c r="FD9">
        <v>788</v>
      </c>
      <c r="FE9">
        <v>5</v>
      </c>
      <c r="FF9">
        <v>1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523</v>
      </c>
      <c r="GA9">
        <v>312</v>
      </c>
      <c r="GB9">
        <v>414</v>
      </c>
      <c r="GC9">
        <v>479</v>
      </c>
      <c r="GD9">
        <v>297</v>
      </c>
      <c r="GE9">
        <v>392</v>
      </c>
      <c r="GF9" s="4">
        <f t="shared" si="3"/>
        <v>3959</v>
      </c>
      <c r="GG9">
        <f t="shared" si="4"/>
        <v>4607</v>
      </c>
      <c r="GH9" s="4">
        <f t="shared" si="5"/>
        <v>5876</v>
      </c>
      <c r="GI9" s="4">
        <f t="shared" si="6"/>
        <v>4315</v>
      </c>
      <c r="GJ9">
        <f t="shared" si="7"/>
        <v>4882</v>
      </c>
      <c r="GK9" s="4">
        <f t="shared" si="8"/>
        <v>5908</v>
      </c>
      <c r="GL9" s="4">
        <f t="shared" si="9"/>
        <v>356</v>
      </c>
      <c r="GM9">
        <f t="shared" si="10"/>
        <v>275</v>
      </c>
      <c r="GN9" s="4">
        <f t="shared" si="11"/>
        <v>32</v>
      </c>
      <c r="GO9" s="4">
        <f t="shared" si="0"/>
        <v>312</v>
      </c>
      <c r="GP9">
        <f t="shared" si="1"/>
        <v>275</v>
      </c>
      <c r="GQ9" s="4">
        <f t="shared" si="2"/>
        <v>32</v>
      </c>
    </row>
    <row r="10" spans="1:200">
      <c r="A10" t="s">
        <v>100</v>
      </c>
      <c r="B10">
        <v>10</v>
      </c>
      <c r="C10">
        <v>0</v>
      </c>
      <c r="D10">
        <v>30</v>
      </c>
      <c r="E10">
        <v>0</v>
      </c>
      <c r="F10">
        <v>20</v>
      </c>
      <c r="G10">
        <v>10</v>
      </c>
      <c r="H10">
        <v>40</v>
      </c>
      <c r="I10" t="s">
        <v>31</v>
      </c>
      <c r="J10" t="s">
        <v>33</v>
      </c>
      <c r="K10">
        <v>3</v>
      </c>
      <c r="L10">
        <v>10</v>
      </c>
      <c r="M10">
        <v>90</v>
      </c>
      <c r="N10">
        <v>0</v>
      </c>
      <c r="O10">
        <v>0</v>
      </c>
      <c r="P10">
        <v>5</v>
      </c>
      <c r="Q10">
        <v>64872</v>
      </c>
      <c r="R10">
        <v>60997</v>
      </c>
      <c r="S10">
        <v>59187</v>
      </c>
      <c r="T10">
        <v>97138</v>
      </c>
      <c r="U10">
        <v>97248</v>
      </c>
      <c r="V10">
        <v>96279</v>
      </c>
      <c r="W10">
        <v>-33956</v>
      </c>
      <c r="X10">
        <v>-37114</v>
      </c>
      <c r="Y10">
        <v>-39130</v>
      </c>
      <c r="Z10">
        <v>1690</v>
      </c>
      <c r="AA10">
        <v>863</v>
      </c>
      <c r="AB10">
        <v>2038</v>
      </c>
      <c r="AC10">
        <v>0</v>
      </c>
      <c r="AD10">
        <v>0</v>
      </c>
      <c r="AE10">
        <v>0</v>
      </c>
      <c r="AF10">
        <v>1169</v>
      </c>
      <c r="AG10">
        <v>814</v>
      </c>
      <c r="AH10">
        <v>1985</v>
      </c>
      <c r="AI10">
        <v>508</v>
      </c>
      <c r="AJ10">
        <v>43</v>
      </c>
      <c r="AK10">
        <v>47</v>
      </c>
      <c r="AL10">
        <v>13</v>
      </c>
      <c r="AM10">
        <v>6</v>
      </c>
      <c r="AN10">
        <v>6</v>
      </c>
      <c r="AO10">
        <v>64872</v>
      </c>
      <c r="AP10">
        <v>60997</v>
      </c>
      <c r="AQ10">
        <v>59187</v>
      </c>
      <c r="AR10">
        <v>58389</v>
      </c>
      <c r="AS10">
        <v>57294</v>
      </c>
      <c r="AT10">
        <v>55128</v>
      </c>
      <c r="AU10">
        <v>60301</v>
      </c>
      <c r="AV10">
        <v>57251</v>
      </c>
      <c r="AW10">
        <v>56146</v>
      </c>
      <c r="AX10">
        <v>-1912</v>
      </c>
      <c r="AY10">
        <v>43</v>
      </c>
      <c r="AZ10">
        <v>-1018</v>
      </c>
      <c r="BA10">
        <v>6483</v>
      </c>
      <c r="BB10">
        <v>3703</v>
      </c>
      <c r="BC10">
        <v>4059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5767</v>
      </c>
      <c r="BK10">
        <v>3205</v>
      </c>
      <c r="BL10">
        <v>3474</v>
      </c>
      <c r="BM10">
        <v>716</v>
      </c>
      <c r="BN10">
        <v>498</v>
      </c>
      <c r="BO10">
        <v>585</v>
      </c>
      <c r="BP10">
        <v>11203</v>
      </c>
      <c r="BQ10">
        <v>11933</v>
      </c>
      <c r="BR10">
        <v>10542</v>
      </c>
      <c r="BS10">
        <v>1861</v>
      </c>
      <c r="BT10">
        <v>4994</v>
      </c>
      <c r="BU10">
        <v>4426</v>
      </c>
      <c r="BV10">
        <v>2996</v>
      </c>
      <c r="BW10">
        <v>0</v>
      </c>
      <c r="BX10">
        <v>0</v>
      </c>
      <c r="BY10">
        <v>2024</v>
      </c>
      <c r="BZ10">
        <v>2321</v>
      </c>
      <c r="CA10">
        <v>1909</v>
      </c>
      <c r="CB10">
        <v>118</v>
      </c>
      <c r="CC10">
        <v>227</v>
      </c>
      <c r="CD10">
        <v>338</v>
      </c>
      <c r="CE10">
        <v>1320</v>
      </c>
      <c r="CF10">
        <v>1553</v>
      </c>
      <c r="CG10">
        <v>3869</v>
      </c>
      <c r="CH10">
        <v>2884</v>
      </c>
      <c r="CI10">
        <v>2838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1728</v>
      </c>
      <c r="CR10">
        <v>1395</v>
      </c>
      <c r="CS10">
        <v>1759</v>
      </c>
      <c r="CT10">
        <v>625</v>
      </c>
      <c r="CU10">
        <v>752</v>
      </c>
      <c r="CV10">
        <v>1067</v>
      </c>
      <c r="CW10">
        <v>361</v>
      </c>
      <c r="CX10">
        <v>0</v>
      </c>
      <c r="CY10">
        <v>0</v>
      </c>
      <c r="CZ10">
        <v>359</v>
      </c>
      <c r="DA10">
        <v>318</v>
      </c>
      <c r="DB10">
        <v>305</v>
      </c>
      <c r="DC10">
        <v>32</v>
      </c>
      <c r="DD10">
        <v>42</v>
      </c>
      <c r="DE10">
        <v>65</v>
      </c>
      <c r="DF10">
        <v>48</v>
      </c>
      <c r="DG10">
        <v>40</v>
      </c>
      <c r="DH10">
        <v>322</v>
      </c>
      <c r="DI10">
        <v>303</v>
      </c>
      <c r="DJ10">
        <v>243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9050</v>
      </c>
      <c r="DS10">
        <v>11560</v>
      </c>
      <c r="DT10">
        <v>9207</v>
      </c>
      <c r="DU10">
        <v>3455</v>
      </c>
      <c r="DV10">
        <v>3343</v>
      </c>
      <c r="DW10">
        <v>3573</v>
      </c>
      <c r="DX10">
        <v>1815</v>
      </c>
      <c r="DY10">
        <v>4158</v>
      </c>
      <c r="DZ10">
        <v>3207</v>
      </c>
      <c r="EA10" s="183">
        <v>1</v>
      </c>
      <c r="EB10" s="83">
        <v>3</v>
      </c>
      <c r="EC10" s="184">
        <v>27</v>
      </c>
      <c r="ED10">
        <v>3779</v>
      </c>
      <c r="EE10">
        <v>3847</v>
      </c>
      <c r="EF10">
        <v>2204</v>
      </c>
      <c r="EG10">
        <v>1046</v>
      </c>
      <c r="EH10">
        <v>1236</v>
      </c>
      <c r="EI10">
        <v>547</v>
      </c>
      <c r="EJ10">
        <v>1445</v>
      </c>
      <c r="EK10">
        <v>1380</v>
      </c>
      <c r="EL10">
        <v>1023</v>
      </c>
      <c r="EM10">
        <v>1288</v>
      </c>
      <c r="EN10">
        <v>1231</v>
      </c>
      <c r="EO10">
        <v>634</v>
      </c>
      <c r="EP10">
        <v>0</v>
      </c>
      <c r="EQ10">
        <v>209</v>
      </c>
      <c r="ER10">
        <v>196</v>
      </c>
      <c r="ES10">
        <v>-2153</v>
      </c>
      <c r="ET10">
        <v>-373</v>
      </c>
      <c r="EU10">
        <v>-1335</v>
      </c>
      <c r="EV10">
        <v>-2153</v>
      </c>
      <c r="EW10">
        <v>-373</v>
      </c>
      <c r="EX10">
        <v>-1335</v>
      </c>
      <c r="EY10">
        <v>1969</v>
      </c>
      <c r="EZ10">
        <v>1811</v>
      </c>
      <c r="FA10">
        <v>2076</v>
      </c>
      <c r="FB10">
        <v>1969</v>
      </c>
      <c r="FC10">
        <v>1811</v>
      </c>
      <c r="FD10">
        <v>2076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241</v>
      </c>
      <c r="GA10">
        <v>416</v>
      </c>
      <c r="GB10">
        <v>317</v>
      </c>
      <c r="GC10">
        <v>241</v>
      </c>
      <c r="GD10">
        <v>416</v>
      </c>
      <c r="GE10">
        <v>317</v>
      </c>
      <c r="GF10" s="4">
        <f t="shared" si="3"/>
        <v>12931</v>
      </c>
      <c r="GG10">
        <f t="shared" si="4"/>
        <v>13328</v>
      </c>
      <c r="GH10" s="4">
        <f t="shared" si="5"/>
        <v>12301</v>
      </c>
      <c r="GI10" s="4">
        <f t="shared" si="6"/>
        <v>11019</v>
      </c>
      <c r="GJ10">
        <f t="shared" si="7"/>
        <v>13371</v>
      </c>
      <c r="GK10" s="4">
        <f t="shared" si="8"/>
        <v>11283</v>
      </c>
      <c r="GL10" s="4">
        <f t="shared" si="9"/>
        <v>-1912</v>
      </c>
      <c r="GM10">
        <f t="shared" si="10"/>
        <v>43</v>
      </c>
      <c r="GN10" s="4">
        <f t="shared" si="11"/>
        <v>-1018</v>
      </c>
      <c r="GO10" s="4">
        <f t="shared" si="0"/>
        <v>-1912</v>
      </c>
      <c r="GP10">
        <f t="shared" si="1"/>
        <v>43</v>
      </c>
      <c r="GQ10" s="4">
        <f t="shared" si="2"/>
        <v>-1018</v>
      </c>
    </row>
    <row r="11" spans="1:200">
      <c r="A11" t="s">
        <v>101</v>
      </c>
      <c r="B11">
        <v>176</v>
      </c>
      <c r="C11">
        <v>4</v>
      </c>
      <c r="D11">
        <v>59</v>
      </c>
      <c r="E11">
        <v>17</v>
      </c>
      <c r="F11">
        <v>12</v>
      </c>
      <c r="G11">
        <v>6</v>
      </c>
      <c r="H11">
        <v>2</v>
      </c>
      <c r="I11" t="s">
        <v>31</v>
      </c>
      <c r="J11" t="s">
        <v>32</v>
      </c>
      <c r="K11">
        <v>6</v>
      </c>
      <c r="L11">
        <v>30</v>
      </c>
      <c r="M11">
        <v>50</v>
      </c>
      <c r="N11">
        <v>15</v>
      </c>
      <c r="O11">
        <v>5</v>
      </c>
      <c r="P11">
        <v>6</v>
      </c>
      <c r="Q11">
        <v>12700</v>
      </c>
      <c r="R11">
        <v>11888</v>
      </c>
      <c r="S11">
        <v>11295</v>
      </c>
      <c r="T11">
        <v>20365</v>
      </c>
      <c r="U11">
        <v>20468</v>
      </c>
      <c r="V11">
        <v>20468</v>
      </c>
      <c r="W11">
        <v>-8081</v>
      </c>
      <c r="X11">
        <v>-8908</v>
      </c>
      <c r="Y11">
        <v>-9693</v>
      </c>
      <c r="Z11">
        <v>416</v>
      </c>
      <c r="AA11">
        <v>328</v>
      </c>
      <c r="AB11">
        <v>520</v>
      </c>
      <c r="AC11">
        <v>0</v>
      </c>
      <c r="AD11">
        <v>0</v>
      </c>
      <c r="AE11">
        <v>0</v>
      </c>
      <c r="AF11">
        <v>24</v>
      </c>
      <c r="AG11">
        <v>23</v>
      </c>
      <c r="AH11">
        <v>47</v>
      </c>
      <c r="AI11">
        <v>283</v>
      </c>
      <c r="AJ11">
        <v>197</v>
      </c>
      <c r="AK11">
        <v>373</v>
      </c>
      <c r="AL11">
        <v>109</v>
      </c>
      <c r="AM11">
        <v>108</v>
      </c>
      <c r="AN11">
        <v>100</v>
      </c>
      <c r="AO11">
        <v>12700</v>
      </c>
      <c r="AP11">
        <v>11888</v>
      </c>
      <c r="AQ11">
        <v>11295</v>
      </c>
      <c r="AR11">
        <v>12071</v>
      </c>
      <c r="AS11">
        <v>11282</v>
      </c>
      <c r="AT11">
        <v>10790</v>
      </c>
      <c r="AU11">
        <v>12026</v>
      </c>
      <c r="AV11">
        <v>11526</v>
      </c>
      <c r="AW11">
        <v>10744</v>
      </c>
      <c r="AX11">
        <v>45</v>
      </c>
      <c r="AY11">
        <v>-244</v>
      </c>
      <c r="AZ11">
        <v>46</v>
      </c>
      <c r="BA11">
        <v>629</v>
      </c>
      <c r="BB11">
        <v>606</v>
      </c>
      <c r="BC11">
        <v>505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25</v>
      </c>
      <c r="BK11">
        <v>49</v>
      </c>
      <c r="BL11">
        <v>15</v>
      </c>
      <c r="BM11">
        <v>604</v>
      </c>
      <c r="BN11">
        <v>557</v>
      </c>
      <c r="BO11">
        <v>0</v>
      </c>
      <c r="BP11">
        <v>1695</v>
      </c>
      <c r="BQ11">
        <v>2103</v>
      </c>
      <c r="BR11">
        <v>1850</v>
      </c>
      <c r="BS11">
        <v>319</v>
      </c>
      <c r="BT11">
        <v>1299</v>
      </c>
      <c r="BU11">
        <v>1041</v>
      </c>
      <c r="BV11">
        <v>636</v>
      </c>
      <c r="BW11">
        <v>0</v>
      </c>
      <c r="BX11">
        <v>0</v>
      </c>
      <c r="BY11">
        <v>105</v>
      </c>
      <c r="BZ11">
        <v>127</v>
      </c>
      <c r="CA11">
        <v>157</v>
      </c>
      <c r="CB11">
        <v>1</v>
      </c>
      <c r="CC11">
        <v>0</v>
      </c>
      <c r="CD11">
        <v>0</v>
      </c>
      <c r="CE11">
        <v>18</v>
      </c>
      <c r="CF11">
        <v>19</v>
      </c>
      <c r="CG11">
        <v>18</v>
      </c>
      <c r="CH11">
        <v>597</v>
      </c>
      <c r="CI11">
        <v>638</v>
      </c>
      <c r="CJ11">
        <v>602</v>
      </c>
      <c r="CK11">
        <v>19</v>
      </c>
      <c r="CL11">
        <v>20</v>
      </c>
      <c r="CM11">
        <v>32</v>
      </c>
      <c r="CN11">
        <v>0</v>
      </c>
      <c r="CO11">
        <v>0</v>
      </c>
      <c r="CP11">
        <v>0</v>
      </c>
      <c r="CQ11">
        <v>218</v>
      </c>
      <c r="CR11">
        <v>361</v>
      </c>
      <c r="CS11">
        <v>242</v>
      </c>
      <c r="CT11">
        <v>0</v>
      </c>
      <c r="CU11">
        <v>159</v>
      </c>
      <c r="CV11">
        <v>40</v>
      </c>
      <c r="CW11">
        <v>16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11</v>
      </c>
      <c r="DD11">
        <v>11</v>
      </c>
      <c r="DE11">
        <v>11</v>
      </c>
      <c r="DF11">
        <v>9</v>
      </c>
      <c r="DG11">
        <v>9</v>
      </c>
      <c r="DH11">
        <v>9</v>
      </c>
      <c r="DI11">
        <v>182</v>
      </c>
      <c r="DJ11">
        <v>182</v>
      </c>
      <c r="DK11">
        <v>182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1540</v>
      </c>
      <c r="DS11">
        <v>1810</v>
      </c>
      <c r="DT11">
        <v>1725</v>
      </c>
      <c r="DU11">
        <v>115</v>
      </c>
      <c r="DV11">
        <v>233</v>
      </c>
      <c r="DW11">
        <v>115</v>
      </c>
      <c r="DX11">
        <v>5487</v>
      </c>
      <c r="DY11">
        <v>599</v>
      </c>
      <c r="DZ11">
        <v>537</v>
      </c>
      <c r="EA11" s="183">
        <v>0</v>
      </c>
      <c r="EB11" s="83">
        <v>0</v>
      </c>
      <c r="EC11" s="184">
        <v>0</v>
      </c>
      <c r="ED11">
        <v>404</v>
      </c>
      <c r="EE11">
        <v>473</v>
      </c>
      <c r="EF11">
        <v>538</v>
      </c>
      <c r="EG11">
        <v>0</v>
      </c>
      <c r="EH11">
        <v>0</v>
      </c>
      <c r="EI11">
        <v>193</v>
      </c>
      <c r="EJ11">
        <v>220</v>
      </c>
      <c r="EK11">
        <v>234</v>
      </c>
      <c r="EL11">
        <v>52</v>
      </c>
      <c r="EM11">
        <v>184</v>
      </c>
      <c r="EN11">
        <v>239</v>
      </c>
      <c r="EO11">
        <v>293</v>
      </c>
      <c r="EP11">
        <v>474</v>
      </c>
      <c r="EQ11">
        <v>505</v>
      </c>
      <c r="ER11">
        <v>535</v>
      </c>
      <c r="ES11">
        <v>-155</v>
      </c>
      <c r="ET11">
        <v>-293</v>
      </c>
      <c r="EU11">
        <v>-125</v>
      </c>
      <c r="EV11">
        <v>-155</v>
      </c>
      <c r="EW11">
        <v>-293</v>
      </c>
      <c r="EX11">
        <v>-125</v>
      </c>
      <c r="EY11">
        <v>418</v>
      </c>
      <c r="EZ11">
        <v>410</v>
      </c>
      <c r="FA11">
        <v>413</v>
      </c>
      <c r="FB11">
        <v>418</v>
      </c>
      <c r="FC11">
        <v>410</v>
      </c>
      <c r="FD11">
        <v>413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200</v>
      </c>
      <c r="GA11">
        <v>49</v>
      </c>
      <c r="GB11">
        <v>171</v>
      </c>
      <c r="GC11">
        <v>200</v>
      </c>
      <c r="GD11">
        <v>49</v>
      </c>
      <c r="GE11">
        <v>171</v>
      </c>
      <c r="GF11" s="4">
        <f t="shared" si="3"/>
        <v>1913</v>
      </c>
      <c r="GG11">
        <f t="shared" si="4"/>
        <v>2464</v>
      </c>
      <c r="GH11" s="4">
        <f t="shared" si="5"/>
        <v>2092</v>
      </c>
      <c r="GI11" s="4">
        <f t="shared" si="6"/>
        <v>1958</v>
      </c>
      <c r="GJ11">
        <f t="shared" si="7"/>
        <v>2220</v>
      </c>
      <c r="GK11" s="4">
        <f t="shared" si="8"/>
        <v>2138</v>
      </c>
      <c r="GL11" s="4">
        <f t="shared" si="9"/>
        <v>45</v>
      </c>
      <c r="GM11">
        <f t="shared" si="10"/>
        <v>-244</v>
      </c>
      <c r="GN11" s="4">
        <f t="shared" si="11"/>
        <v>46</v>
      </c>
      <c r="GO11" s="4">
        <f t="shared" si="0"/>
        <v>45</v>
      </c>
      <c r="GP11">
        <f t="shared" si="1"/>
        <v>-244</v>
      </c>
      <c r="GQ11" s="4">
        <f t="shared" si="2"/>
        <v>46</v>
      </c>
    </row>
    <row r="12" spans="1:200">
      <c r="A12" t="s">
        <v>102</v>
      </c>
      <c r="B12">
        <v>117</v>
      </c>
      <c r="C12">
        <v>0</v>
      </c>
      <c r="D12">
        <v>0</v>
      </c>
      <c r="E12">
        <v>5</v>
      </c>
      <c r="F12">
        <v>40</v>
      </c>
      <c r="G12">
        <v>40</v>
      </c>
      <c r="H12">
        <v>15</v>
      </c>
      <c r="I12" t="s">
        <v>31</v>
      </c>
      <c r="J12" t="s">
        <v>35</v>
      </c>
      <c r="K12">
        <v>2</v>
      </c>
      <c r="L12">
        <v>30</v>
      </c>
      <c r="M12">
        <v>30</v>
      </c>
      <c r="N12">
        <v>40</v>
      </c>
      <c r="O12">
        <v>0</v>
      </c>
      <c r="P12">
        <v>5</v>
      </c>
      <c r="Q12">
        <v>23</v>
      </c>
      <c r="R12">
        <v>23</v>
      </c>
      <c r="S12">
        <v>64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23</v>
      </c>
      <c r="AA12">
        <v>23</v>
      </c>
      <c r="AB12">
        <v>64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23</v>
      </c>
      <c r="AJ12">
        <v>23</v>
      </c>
      <c r="AK12">
        <v>64</v>
      </c>
      <c r="AL12">
        <v>0</v>
      </c>
      <c r="AM12">
        <v>0</v>
      </c>
      <c r="AN12">
        <v>0</v>
      </c>
      <c r="AO12">
        <v>23</v>
      </c>
      <c r="AP12">
        <v>23</v>
      </c>
      <c r="AQ12">
        <v>64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</v>
      </c>
      <c r="BB12">
        <v>23</v>
      </c>
      <c r="BC12">
        <v>64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23</v>
      </c>
      <c r="BK12">
        <v>23</v>
      </c>
      <c r="BL12">
        <v>64</v>
      </c>
      <c r="BM12">
        <v>0</v>
      </c>
      <c r="BN12">
        <v>0</v>
      </c>
      <c r="BO12">
        <v>0</v>
      </c>
      <c r="BP12">
        <v>111</v>
      </c>
      <c r="BQ12">
        <v>111</v>
      </c>
      <c r="BR12">
        <v>158</v>
      </c>
      <c r="BS12">
        <v>60</v>
      </c>
      <c r="BT12">
        <v>60</v>
      </c>
      <c r="BU12">
        <v>66</v>
      </c>
      <c r="BV12">
        <v>42</v>
      </c>
      <c r="BW12">
        <v>42</v>
      </c>
      <c r="BX12">
        <v>85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9</v>
      </c>
      <c r="CL12">
        <v>9</v>
      </c>
      <c r="CM12">
        <v>7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111</v>
      </c>
      <c r="DS12">
        <v>111</v>
      </c>
      <c r="DT12">
        <v>158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83">
        <v>0</v>
      </c>
      <c r="EB12" s="83">
        <v>0</v>
      </c>
      <c r="EC12" s="184">
        <v>0</v>
      </c>
      <c r="ED12">
        <v>63</v>
      </c>
      <c r="EE12">
        <v>63</v>
      </c>
      <c r="EF12">
        <v>73</v>
      </c>
      <c r="EG12">
        <v>0</v>
      </c>
      <c r="EH12">
        <v>0</v>
      </c>
      <c r="EI12">
        <v>0</v>
      </c>
      <c r="EJ12">
        <v>60</v>
      </c>
      <c r="EK12">
        <v>60</v>
      </c>
      <c r="EL12">
        <v>70</v>
      </c>
      <c r="EM12">
        <v>3</v>
      </c>
      <c r="EN12">
        <v>3</v>
      </c>
      <c r="EO12">
        <v>3</v>
      </c>
      <c r="EP12" s="83">
        <v>49</v>
      </c>
      <c r="EQ12" s="83">
        <v>49</v>
      </c>
      <c r="ER12" s="83">
        <v>85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 s="4">
        <f>BP12+CQ12</f>
        <v>111</v>
      </c>
      <c r="GG12">
        <f>BQ12+CR12</f>
        <v>111</v>
      </c>
      <c r="GH12" s="4">
        <f>BR12+CS12</f>
        <v>158</v>
      </c>
      <c r="GI12" s="4">
        <f>DR12+EY12</f>
        <v>111</v>
      </c>
      <c r="GJ12">
        <f>DS12+EZ12</f>
        <v>111</v>
      </c>
      <c r="GK12" s="4">
        <f>DT12+FA12</f>
        <v>158</v>
      </c>
      <c r="GL12" s="4">
        <f>GI12-GF12</f>
        <v>0</v>
      </c>
      <c r="GM12">
        <f>GJ12-GG12</f>
        <v>0</v>
      </c>
      <c r="GN12" s="4">
        <f>GK12-GH12</f>
        <v>0</v>
      </c>
      <c r="GO12" s="4">
        <f>GC12+EV12</f>
        <v>0</v>
      </c>
      <c r="GP12">
        <f>GD12+EW12</f>
        <v>0</v>
      </c>
      <c r="GQ12" s="4">
        <f>GE12+EX12</f>
        <v>0</v>
      </c>
    </row>
    <row r="13" spans="1:200">
      <c r="A13" t="s">
        <v>103</v>
      </c>
      <c r="B13">
        <v>720</v>
      </c>
      <c r="C13">
        <v>1</v>
      </c>
      <c r="D13">
        <v>37</v>
      </c>
      <c r="E13">
        <v>6</v>
      </c>
      <c r="F13">
        <v>6</v>
      </c>
      <c r="G13">
        <v>22</v>
      </c>
      <c r="H13">
        <v>28</v>
      </c>
      <c r="I13" t="s">
        <v>31</v>
      </c>
      <c r="J13" t="s">
        <v>32</v>
      </c>
      <c r="K13">
        <v>2</v>
      </c>
      <c r="L13">
        <v>60</v>
      </c>
      <c r="M13">
        <v>20</v>
      </c>
      <c r="N13">
        <v>15</v>
      </c>
      <c r="O13">
        <v>5</v>
      </c>
      <c r="P13">
        <v>7</v>
      </c>
      <c r="Q13">
        <v>897</v>
      </c>
      <c r="R13">
        <v>1193</v>
      </c>
      <c r="S13">
        <v>1686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897</v>
      </c>
      <c r="AA13">
        <v>1193</v>
      </c>
      <c r="AB13">
        <v>1686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897</v>
      </c>
      <c r="AJ13">
        <v>1193</v>
      </c>
      <c r="AK13">
        <v>1686</v>
      </c>
      <c r="AL13">
        <v>0</v>
      </c>
      <c r="AM13">
        <v>0</v>
      </c>
      <c r="AN13">
        <v>0</v>
      </c>
      <c r="AO13">
        <v>897</v>
      </c>
      <c r="AP13">
        <v>1193</v>
      </c>
      <c r="AQ13">
        <v>1686</v>
      </c>
      <c r="AR13">
        <v>897</v>
      </c>
      <c r="AS13">
        <v>1193</v>
      </c>
      <c r="AT13">
        <v>1686</v>
      </c>
      <c r="AU13">
        <v>310</v>
      </c>
      <c r="AV13">
        <v>0</v>
      </c>
      <c r="AW13">
        <v>0</v>
      </c>
      <c r="AX13">
        <v>587</v>
      </c>
      <c r="AY13">
        <v>1193</v>
      </c>
      <c r="AZ13">
        <v>1686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2297</v>
      </c>
      <c r="BQ13">
        <v>2513</v>
      </c>
      <c r="BR13">
        <v>2502</v>
      </c>
      <c r="BS13">
        <v>592</v>
      </c>
      <c r="BT13">
        <v>1914</v>
      </c>
      <c r="BU13">
        <v>2048</v>
      </c>
      <c r="BV13">
        <v>1705</v>
      </c>
      <c r="BW13">
        <v>0</v>
      </c>
      <c r="BX13">
        <v>0</v>
      </c>
      <c r="BY13">
        <v>0</v>
      </c>
      <c r="BZ13">
        <v>246</v>
      </c>
      <c r="CA13">
        <v>427</v>
      </c>
      <c r="CB13">
        <v>0</v>
      </c>
      <c r="CC13">
        <v>0</v>
      </c>
      <c r="CD13">
        <v>27</v>
      </c>
      <c r="CE13">
        <v>0</v>
      </c>
      <c r="CF13">
        <v>350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3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2879</v>
      </c>
      <c r="DS13">
        <v>3696</v>
      </c>
      <c r="DT13">
        <v>4188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83">
        <v>0</v>
      </c>
      <c r="EB13" s="83">
        <v>0</v>
      </c>
      <c r="EC13" s="184">
        <v>0</v>
      </c>
      <c r="ED13">
        <v>2879</v>
      </c>
      <c r="EE13">
        <v>2355</v>
      </c>
      <c r="EF13">
        <v>2637</v>
      </c>
      <c r="EG13">
        <v>0</v>
      </c>
      <c r="EH13">
        <v>0</v>
      </c>
      <c r="EI13">
        <v>0</v>
      </c>
      <c r="EJ13">
        <v>1352</v>
      </c>
      <c r="EK13">
        <v>1064</v>
      </c>
      <c r="EL13">
        <v>724</v>
      </c>
      <c r="EM13">
        <v>1527</v>
      </c>
      <c r="EN13">
        <v>1291</v>
      </c>
      <c r="EO13">
        <v>1913</v>
      </c>
      <c r="EP13">
        <v>0</v>
      </c>
      <c r="EQ13">
        <v>1341</v>
      </c>
      <c r="ER13">
        <v>1551</v>
      </c>
      <c r="ES13">
        <v>582</v>
      </c>
      <c r="ET13">
        <v>1183</v>
      </c>
      <c r="EU13">
        <v>1686</v>
      </c>
      <c r="EV13">
        <v>582</v>
      </c>
      <c r="EW13">
        <v>1183</v>
      </c>
      <c r="EX13">
        <v>1686</v>
      </c>
      <c r="EY13">
        <v>5</v>
      </c>
      <c r="EZ13">
        <v>10</v>
      </c>
      <c r="FA13">
        <v>0</v>
      </c>
      <c r="FB13">
        <v>5</v>
      </c>
      <c r="FC13">
        <v>10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5</v>
      </c>
      <c r="GA13">
        <v>10</v>
      </c>
      <c r="GB13">
        <v>0</v>
      </c>
      <c r="GC13">
        <v>5</v>
      </c>
      <c r="GD13">
        <v>10</v>
      </c>
      <c r="GE13">
        <v>0</v>
      </c>
      <c r="GF13" s="4">
        <f>BP13+CQ13</f>
        <v>2297</v>
      </c>
      <c r="GG13">
        <f>BQ13+CR13</f>
        <v>2513</v>
      </c>
      <c r="GH13" s="4">
        <f>BR13+CS13</f>
        <v>2502</v>
      </c>
      <c r="GI13" s="4">
        <f>DR13+EY13</f>
        <v>2884</v>
      </c>
      <c r="GJ13">
        <f>DS13+EZ13</f>
        <v>3706</v>
      </c>
      <c r="GK13" s="4">
        <f>DT13+FA13</f>
        <v>4188</v>
      </c>
      <c r="GL13" s="4">
        <f>GI13-GF13</f>
        <v>587</v>
      </c>
      <c r="GM13">
        <f>GJ13-GG13</f>
        <v>1193</v>
      </c>
      <c r="GN13" s="4">
        <f>GK13-GH13</f>
        <v>1686</v>
      </c>
      <c r="GO13" s="4">
        <f>GC13+EV13</f>
        <v>587</v>
      </c>
      <c r="GP13">
        <f>GD13+EW13</f>
        <v>1193</v>
      </c>
      <c r="GQ13" s="4">
        <f>GE13+EX13</f>
        <v>1686</v>
      </c>
    </row>
    <row r="14" spans="1:200">
      <c r="A14" t="s">
        <v>104</v>
      </c>
      <c r="B14">
        <v>25</v>
      </c>
      <c r="C14">
        <v>0</v>
      </c>
      <c r="D14">
        <v>0</v>
      </c>
      <c r="E14">
        <v>15</v>
      </c>
      <c r="F14">
        <v>70</v>
      </c>
      <c r="G14">
        <v>8</v>
      </c>
      <c r="H14">
        <v>7</v>
      </c>
      <c r="I14" t="s">
        <v>31</v>
      </c>
      <c r="J14" t="s">
        <v>33</v>
      </c>
      <c r="K14">
        <v>2</v>
      </c>
      <c r="L14">
        <v>10</v>
      </c>
      <c r="M14">
        <v>45</v>
      </c>
      <c r="N14">
        <v>30</v>
      </c>
      <c r="O14">
        <v>15</v>
      </c>
      <c r="P14">
        <v>5</v>
      </c>
      <c r="Q14">
        <v>5432</v>
      </c>
      <c r="R14">
        <v>5511</v>
      </c>
      <c r="S14">
        <v>7071</v>
      </c>
      <c r="T14">
        <v>4243</v>
      </c>
      <c r="U14">
        <v>4243</v>
      </c>
      <c r="V14">
        <v>4420</v>
      </c>
      <c r="W14">
        <v>-2094</v>
      </c>
      <c r="X14">
        <v>-2272</v>
      </c>
      <c r="Y14">
        <v>-2451</v>
      </c>
      <c r="Z14">
        <v>3183</v>
      </c>
      <c r="AA14">
        <v>3440</v>
      </c>
      <c r="AB14">
        <v>5002</v>
      </c>
      <c r="AC14">
        <v>0</v>
      </c>
      <c r="AD14">
        <v>0</v>
      </c>
      <c r="AE14">
        <v>0</v>
      </c>
      <c r="AF14">
        <v>462</v>
      </c>
      <c r="AG14">
        <v>362</v>
      </c>
      <c r="AH14">
        <v>1160</v>
      </c>
      <c r="AI14">
        <v>2702</v>
      </c>
      <c r="AJ14">
        <v>3055</v>
      </c>
      <c r="AK14">
        <v>3832</v>
      </c>
      <c r="AL14">
        <v>19</v>
      </c>
      <c r="AM14">
        <v>23</v>
      </c>
      <c r="AN14">
        <v>10</v>
      </c>
      <c r="AO14">
        <v>5432</v>
      </c>
      <c r="AP14">
        <v>5511</v>
      </c>
      <c r="AQ14">
        <v>7071</v>
      </c>
      <c r="AR14">
        <v>4437</v>
      </c>
      <c r="AS14">
        <v>4712</v>
      </c>
      <c r="AT14">
        <v>6437</v>
      </c>
      <c r="AU14">
        <v>5326</v>
      </c>
      <c r="AV14">
        <v>5326</v>
      </c>
      <c r="AW14">
        <v>5326</v>
      </c>
      <c r="AX14">
        <v>-889</v>
      </c>
      <c r="AY14">
        <v>-614</v>
      </c>
      <c r="AZ14">
        <v>1111</v>
      </c>
      <c r="BA14">
        <v>995</v>
      </c>
      <c r="BB14">
        <v>799</v>
      </c>
      <c r="BC14">
        <v>634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968</v>
      </c>
      <c r="BK14">
        <v>776</v>
      </c>
      <c r="BL14">
        <v>523</v>
      </c>
      <c r="BM14">
        <v>27</v>
      </c>
      <c r="BN14">
        <v>23</v>
      </c>
      <c r="BO14">
        <v>111</v>
      </c>
      <c r="BP14">
        <v>6919</v>
      </c>
      <c r="BQ14">
        <v>6258</v>
      </c>
      <c r="BR14">
        <v>7631</v>
      </c>
      <c r="BS14">
        <v>1936</v>
      </c>
      <c r="BT14">
        <v>5524</v>
      </c>
      <c r="BU14">
        <v>6500</v>
      </c>
      <c r="BV14">
        <v>4645</v>
      </c>
      <c r="BW14">
        <v>0</v>
      </c>
      <c r="BX14">
        <v>0</v>
      </c>
      <c r="BY14">
        <v>71</v>
      </c>
      <c r="BZ14">
        <v>515</v>
      </c>
      <c r="CA14">
        <v>864</v>
      </c>
      <c r="CB14">
        <v>4</v>
      </c>
      <c r="CC14">
        <v>6</v>
      </c>
      <c r="CD14">
        <v>11</v>
      </c>
      <c r="CE14">
        <v>88</v>
      </c>
      <c r="CF14">
        <v>35</v>
      </c>
      <c r="CG14">
        <v>78</v>
      </c>
      <c r="CH14">
        <v>175</v>
      </c>
      <c r="CI14">
        <v>178</v>
      </c>
      <c r="CJ14">
        <v>178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264</v>
      </c>
      <c r="CR14">
        <v>233</v>
      </c>
      <c r="CS14">
        <v>510</v>
      </c>
      <c r="CT14">
        <v>202</v>
      </c>
      <c r="CU14">
        <v>203</v>
      </c>
      <c r="CV14">
        <v>472</v>
      </c>
      <c r="CW14">
        <v>22</v>
      </c>
      <c r="CX14">
        <v>0</v>
      </c>
      <c r="CY14">
        <v>0</v>
      </c>
      <c r="CZ14">
        <v>2</v>
      </c>
      <c r="DA14">
        <v>0</v>
      </c>
      <c r="DB14">
        <v>0</v>
      </c>
      <c r="DC14">
        <v>16</v>
      </c>
      <c r="DD14">
        <v>11</v>
      </c>
      <c r="DE14">
        <v>19</v>
      </c>
      <c r="DF14">
        <v>19</v>
      </c>
      <c r="DG14">
        <v>19</v>
      </c>
      <c r="DH14">
        <v>19</v>
      </c>
      <c r="DI14">
        <v>3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6440</v>
      </c>
      <c r="DS14">
        <v>6477</v>
      </c>
      <c r="DT14">
        <v>9478</v>
      </c>
      <c r="DU14">
        <v>948</v>
      </c>
      <c r="DV14">
        <v>894</v>
      </c>
      <c r="DW14">
        <v>1632</v>
      </c>
      <c r="DX14">
        <v>0</v>
      </c>
      <c r="DY14">
        <v>0</v>
      </c>
      <c r="DZ14">
        <v>6</v>
      </c>
      <c r="EA14" s="183">
        <v>0</v>
      </c>
      <c r="EB14" s="83">
        <v>0</v>
      </c>
      <c r="EC14" s="184">
        <v>0</v>
      </c>
      <c r="ED14">
        <v>2969</v>
      </c>
      <c r="EE14">
        <v>2762</v>
      </c>
      <c r="EF14">
        <v>4043</v>
      </c>
      <c r="EG14">
        <v>0</v>
      </c>
      <c r="EH14">
        <v>0</v>
      </c>
      <c r="EI14">
        <v>0</v>
      </c>
      <c r="EJ14">
        <v>637</v>
      </c>
      <c r="EK14">
        <v>724</v>
      </c>
      <c r="EL14">
        <v>804</v>
      </c>
      <c r="EM14">
        <v>2332</v>
      </c>
      <c r="EN14">
        <v>2338</v>
      </c>
      <c r="EO14">
        <v>3239</v>
      </c>
      <c r="EP14">
        <v>2523</v>
      </c>
      <c r="EQ14">
        <v>2821</v>
      </c>
      <c r="ER14">
        <v>3797</v>
      </c>
      <c r="ES14">
        <v>-479</v>
      </c>
      <c r="ET14">
        <v>219</v>
      </c>
      <c r="EU14">
        <v>1847</v>
      </c>
      <c r="EV14">
        <v>-523</v>
      </c>
      <c r="EW14">
        <v>188</v>
      </c>
      <c r="EX14">
        <v>1805</v>
      </c>
      <c r="EY14">
        <v>344</v>
      </c>
      <c r="EZ14">
        <v>320</v>
      </c>
      <c r="FA14">
        <v>430</v>
      </c>
      <c r="FB14">
        <v>344</v>
      </c>
      <c r="FC14">
        <v>320</v>
      </c>
      <c r="FD14">
        <v>430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80</v>
      </c>
      <c r="GA14">
        <v>87</v>
      </c>
      <c r="GB14">
        <v>-80</v>
      </c>
      <c r="GC14">
        <v>72</v>
      </c>
      <c r="GD14">
        <v>87</v>
      </c>
      <c r="GE14">
        <v>-80</v>
      </c>
      <c r="GF14" s="4">
        <f>BP14+CQ14</f>
        <v>7183</v>
      </c>
      <c r="GG14">
        <f>BQ14+CR14</f>
        <v>6491</v>
      </c>
      <c r="GH14" s="4">
        <f>BR14+CS14</f>
        <v>8141</v>
      </c>
      <c r="GI14" s="4">
        <f>DR14+EY14</f>
        <v>6784</v>
      </c>
      <c r="GJ14">
        <f>DS14+EZ14</f>
        <v>6797</v>
      </c>
      <c r="GK14" s="4">
        <f>DT14+FA14</f>
        <v>9908</v>
      </c>
      <c r="GL14" s="4">
        <f>GI14-GF14</f>
        <v>-399</v>
      </c>
      <c r="GM14">
        <f>GJ14-GG14</f>
        <v>306</v>
      </c>
      <c r="GN14" s="4">
        <f>GK14-GH14</f>
        <v>1767</v>
      </c>
      <c r="GO14" s="4">
        <f>GC14+EV14</f>
        <v>-451</v>
      </c>
      <c r="GP14">
        <f>GD14+EW14</f>
        <v>275</v>
      </c>
      <c r="GQ14" s="4">
        <f>GE14+EX14</f>
        <v>1725</v>
      </c>
    </row>
    <row r="15" spans="1:200">
      <c r="A15" t="s">
        <v>134</v>
      </c>
      <c r="B15">
        <v>300</v>
      </c>
      <c r="C15">
        <v>5</v>
      </c>
      <c r="D15">
        <v>60</v>
      </c>
      <c r="E15">
        <v>10</v>
      </c>
      <c r="F15">
        <v>10</v>
      </c>
      <c r="G15">
        <v>8</v>
      </c>
      <c r="H15">
        <v>7</v>
      </c>
      <c r="I15" t="s">
        <v>31</v>
      </c>
      <c r="J15" t="s">
        <v>35</v>
      </c>
      <c r="K15">
        <v>5</v>
      </c>
      <c r="L15">
        <v>70</v>
      </c>
      <c r="M15">
        <v>20</v>
      </c>
      <c r="N15">
        <v>10</v>
      </c>
      <c r="O15">
        <v>0</v>
      </c>
      <c r="P15">
        <v>6</v>
      </c>
      <c r="Q15">
        <v>897</v>
      </c>
      <c r="R15">
        <v>1193</v>
      </c>
      <c r="S15">
        <v>1686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897</v>
      </c>
      <c r="AA15">
        <v>1193</v>
      </c>
      <c r="AB15">
        <v>1686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897</v>
      </c>
      <c r="AJ15">
        <v>1193</v>
      </c>
      <c r="AK15">
        <v>1686</v>
      </c>
      <c r="AL15">
        <v>0</v>
      </c>
      <c r="AM15">
        <v>0</v>
      </c>
      <c r="AN15">
        <v>0</v>
      </c>
      <c r="AO15">
        <v>897</v>
      </c>
      <c r="AP15">
        <v>1193</v>
      </c>
      <c r="AQ15">
        <v>1686</v>
      </c>
      <c r="AR15">
        <v>897</v>
      </c>
      <c r="AS15">
        <v>1193</v>
      </c>
      <c r="AT15">
        <v>1686</v>
      </c>
      <c r="AU15">
        <v>310</v>
      </c>
      <c r="AV15">
        <v>0</v>
      </c>
      <c r="AW15">
        <v>0</v>
      </c>
      <c r="AX15">
        <v>587</v>
      </c>
      <c r="AY15">
        <v>1193</v>
      </c>
      <c r="AZ15">
        <v>1686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2297</v>
      </c>
      <c r="BQ15">
        <v>2513</v>
      </c>
      <c r="BR15">
        <v>2502</v>
      </c>
      <c r="BS15">
        <v>592</v>
      </c>
      <c r="BT15">
        <v>1914</v>
      </c>
      <c r="BU15">
        <v>2048</v>
      </c>
      <c r="BV15">
        <v>1705</v>
      </c>
      <c r="BW15">
        <v>0</v>
      </c>
      <c r="BX15">
        <v>0</v>
      </c>
      <c r="BY15">
        <v>0</v>
      </c>
      <c r="BZ15">
        <v>246</v>
      </c>
      <c r="CA15">
        <v>427</v>
      </c>
      <c r="CB15">
        <v>0</v>
      </c>
      <c r="CC15">
        <v>0</v>
      </c>
      <c r="CD15">
        <v>7</v>
      </c>
      <c r="CE15">
        <v>0</v>
      </c>
      <c r="CF15">
        <v>350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3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2879</v>
      </c>
      <c r="DS15">
        <v>3696</v>
      </c>
      <c r="DT15">
        <v>4188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83">
        <v>0</v>
      </c>
      <c r="EB15" s="83">
        <v>0</v>
      </c>
      <c r="EC15" s="184">
        <v>0</v>
      </c>
      <c r="ED15">
        <v>2879</v>
      </c>
      <c r="EE15">
        <v>2355</v>
      </c>
      <c r="EF15">
        <v>2637</v>
      </c>
      <c r="EG15">
        <v>0</v>
      </c>
      <c r="EH15">
        <v>0</v>
      </c>
      <c r="EI15">
        <v>0</v>
      </c>
      <c r="EJ15">
        <v>1352</v>
      </c>
      <c r="EK15">
        <v>1064</v>
      </c>
      <c r="EL15">
        <v>724</v>
      </c>
      <c r="EM15">
        <v>1527</v>
      </c>
      <c r="EN15">
        <v>1291</v>
      </c>
      <c r="EO15">
        <v>1913</v>
      </c>
      <c r="EP15" s="83">
        <v>0</v>
      </c>
      <c r="EQ15" s="83">
        <v>1341</v>
      </c>
      <c r="ER15" s="83">
        <v>1551</v>
      </c>
      <c r="ES15">
        <v>582</v>
      </c>
      <c r="ET15">
        <v>1183</v>
      </c>
      <c r="EU15">
        <v>1686</v>
      </c>
      <c r="EV15">
        <v>582</v>
      </c>
      <c r="EW15">
        <v>1183</v>
      </c>
      <c r="EX15">
        <v>1686</v>
      </c>
      <c r="EY15">
        <v>5</v>
      </c>
      <c r="EZ15">
        <v>10</v>
      </c>
      <c r="FA15">
        <v>0</v>
      </c>
      <c r="FB15">
        <v>5</v>
      </c>
      <c r="FC15">
        <v>10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5</v>
      </c>
      <c r="GA15">
        <v>10</v>
      </c>
      <c r="GB15">
        <v>0</v>
      </c>
      <c r="GC15">
        <v>5</v>
      </c>
      <c r="GD15">
        <v>10</v>
      </c>
      <c r="GE15">
        <v>0</v>
      </c>
      <c r="GF15" s="4">
        <f>BP15+CQ15</f>
        <v>2297</v>
      </c>
      <c r="GG15">
        <f>BQ15+CR15</f>
        <v>2513</v>
      </c>
      <c r="GH15" s="4">
        <f>BR15+CS15</f>
        <v>2502</v>
      </c>
      <c r="GI15" s="4">
        <f>DR15+EY15</f>
        <v>2884</v>
      </c>
      <c r="GJ15">
        <f>DS15+EZ15</f>
        <v>3706</v>
      </c>
      <c r="GK15" s="4">
        <f>DT15+FA15</f>
        <v>4188</v>
      </c>
      <c r="GL15" s="4">
        <f>GI15-GF15</f>
        <v>587</v>
      </c>
      <c r="GM15">
        <f>GJ15-GG15</f>
        <v>1193</v>
      </c>
      <c r="GN15" s="4">
        <f>GK15-GH15</f>
        <v>1686</v>
      </c>
      <c r="GO15" s="4">
        <f>GC15+EV15</f>
        <v>587</v>
      </c>
      <c r="GP15">
        <f>GD15+EW15</f>
        <v>1193</v>
      </c>
      <c r="GQ15" s="4">
        <f>GE15+EX15</f>
        <v>1686</v>
      </c>
      <c r="GR15" t="s">
        <v>326</v>
      </c>
    </row>
    <row r="16" spans="1:200">
      <c r="A16" t="s">
        <v>54</v>
      </c>
      <c r="B16">
        <v>11</v>
      </c>
      <c r="C16">
        <v>0</v>
      </c>
      <c r="D16">
        <v>30</v>
      </c>
      <c r="E16">
        <v>35</v>
      </c>
      <c r="F16">
        <v>20</v>
      </c>
      <c r="G16">
        <v>15</v>
      </c>
      <c r="H16">
        <v>0</v>
      </c>
      <c r="I16" t="s">
        <v>36</v>
      </c>
      <c r="J16" t="s">
        <v>35</v>
      </c>
      <c r="K16">
        <v>1</v>
      </c>
      <c r="L16">
        <v>20</v>
      </c>
      <c r="M16">
        <v>70</v>
      </c>
      <c r="N16">
        <v>10</v>
      </c>
      <c r="O16">
        <v>0</v>
      </c>
      <c r="P16">
        <v>2</v>
      </c>
      <c r="Q16">
        <v>8</v>
      </c>
      <c r="R16">
        <v>2</v>
      </c>
      <c r="S16">
        <v>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8</v>
      </c>
      <c r="AA16">
        <v>2</v>
      </c>
      <c r="AB16">
        <v>3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8</v>
      </c>
      <c r="AJ16">
        <v>2</v>
      </c>
      <c r="AK16">
        <v>3</v>
      </c>
      <c r="AL16">
        <v>0</v>
      </c>
      <c r="AM16">
        <v>0</v>
      </c>
      <c r="AN16">
        <v>0</v>
      </c>
      <c r="AO16">
        <v>8</v>
      </c>
      <c r="AP16">
        <v>2</v>
      </c>
      <c r="AQ16">
        <v>3</v>
      </c>
      <c r="AR16">
        <v>8</v>
      </c>
      <c r="AS16">
        <v>2</v>
      </c>
      <c r="AT16">
        <v>3</v>
      </c>
      <c r="AU16">
        <v>0</v>
      </c>
      <c r="AV16">
        <v>0</v>
      </c>
      <c r="AW16">
        <v>0</v>
      </c>
      <c r="AX16">
        <v>8</v>
      </c>
      <c r="AY16">
        <v>2</v>
      </c>
      <c r="AZ16">
        <v>3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15</v>
      </c>
      <c r="BQ16">
        <v>24</v>
      </c>
      <c r="BR16">
        <v>12</v>
      </c>
      <c r="BS16">
        <v>10</v>
      </c>
      <c r="BT16">
        <v>23</v>
      </c>
      <c r="BU16">
        <v>10</v>
      </c>
      <c r="BV16">
        <v>5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</v>
      </c>
      <c r="CM16">
        <v>2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14</v>
      </c>
      <c r="DS16">
        <v>18</v>
      </c>
      <c r="DT16">
        <v>14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 s="183">
        <v>0</v>
      </c>
      <c r="EB16" s="83">
        <v>0</v>
      </c>
      <c r="EC16" s="184">
        <v>0</v>
      </c>
      <c r="ED16">
        <v>1</v>
      </c>
      <c r="EE16">
        <v>5</v>
      </c>
      <c r="EF16">
        <v>4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 s="83">
        <v>13</v>
      </c>
      <c r="EQ16" s="83">
        <v>13</v>
      </c>
      <c r="ER16" s="83">
        <v>10</v>
      </c>
      <c r="ES16">
        <v>-2</v>
      </c>
      <c r="ET16">
        <v>-6</v>
      </c>
      <c r="EU16">
        <v>2</v>
      </c>
      <c r="EV16">
        <v>-2</v>
      </c>
      <c r="EW16">
        <v>-6</v>
      </c>
      <c r="EX16">
        <v>2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f>BP16+CQ16</f>
        <v>15</v>
      </c>
      <c r="GG16">
        <f>BQ16+CR16</f>
        <v>24</v>
      </c>
      <c r="GH16">
        <f>BR16+CS16</f>
        <v>12</v>
      </c>
      <c r="GI16">
        <f>DR16+EY16</f>
        <v>14</v>
      </c>
      <c r="GJ16">
        <f>DS16+EZ16</f>
        <v>18</v>
      </c>
      <c r="GK16">
        <f>DT16+FA16</f>
        <v>14</v>
      </c>
      <c r="GL16">
        <f>GI16-GF16</f>
        <v>-1</v>
      </c>
      <c r="GM16">
        <f>GJ16-GG16</f>
        <v>-6</v>
      </c>
      <c r="GN16">
        <f>GK16-GH16</f>
        <v>2</v>
      </c>
      <c r="GO16">
        <f>GC16+EV16</f>
        <v>-2</v>
      </c>
      <c r="GP16">
        <f>GD16+EW16</f>
        <v>-6</v>
      </c>
      <c r="GQ16">
        <f>GE16+EX16</f>
        <v>2</v>
      </c>
    </row>
    <row r="17" spans="1:200">
      <c r="A17" t="s">
        <v>94</v>
      </c>
      <c r="B17">
        <v>50</v>
      </c>
      <c r="C17">
        <v>0</v>
      </c>
      <c r="D17">
        <v>74</v>
      </c>
      <c r="E17">
        <v>14</v>
      </c>
      <c r="F17">
        <v>5</v>
      </c>
      <c r="G17">
        <v>5</v>
      </c>
      <c r="H17">
        <v>2</v>
      </c>
      <c r="I17" t="s">
        <v>36</v>
      </c>
      <c r="J17" t="s">
        <v>32</v>
      </c>
      <c r="K17">
        <v>3</v>
      </c>
      <c r="L17">
        <v>46</v>
      </c>
      <c r="M17">
        <v>50</v>
      </c>
      <c r="N17">
        <v>2</v>
      </c>
      <c r="O17">
        <v>2</v>
      </c>
      <c r="P17">
        <v>5</v>
      </c>
      <c r="Q17">
        <v>2336</v>
      </c>
      <c r="R17">
        <v>2109</v>
      </c>
      <c r="S17">
        <v>1928</v>
      </c>
      <c r="T17">
        <f>1040+1034</f>
        <v>2074</v>
      </c>
      <c r="U17">
        <f>1034+1040</f>
        <v>2074</v>
      </c>
      <c r="V17">
        <f>1040+1034</f>
        <v>2074</v>
      </c>
      <c r="W17">
        <v>-351</v>
      </c>
      <c r="X17">
        <v>-571</v>
      </c>
      <c r="Y17">
        <v>-791</v>
      </c>
      <c r="Z17">
        <f>AC17+AF17+AI17+AL17</f>
        <v>611</v>
      </c>
      <c r="AA17">
        <f>AD17+AJ17</f>
        <v>575</v>
      </c>
      <c r="AB17">
        <f>AE17+AK17+AN17</f>
        <v>644</v>
      </c>
      <c r="AC17">
        <v>453</v>
      </c>
      <c r="AD17">
        <v>453</v>
      </c>
      <c r="AE17">
        <v>453</v>
      </c>
      <c r="AF17">
        <v>0</v>
      </c>
      <c r="AG17">
        <v>0</v>
      </c>
      <c r="AH17">
        <v>0</v>
      </c>
      <c r="AI17">
        <f>26+91</f>
        <v>117</v>
      </c>
      <c r="AJ17">
        <f>122</f>
        <v>122</v>
      </c>
      <c r="AK17">
        <v>172</v>
      </c>
      <c r="AL17">
        <v>41</v>
      </c>
      <c r="AM17">
        <v>30</v>
      </c>
      <c r="AN17">
        <v>19</v>
      </c>
      <c r="AO17">
        <v>2236</v>
      </c>
      <c r="AP17">
        <v>2109</v>
      </c>
      <c r="AQ17">
        <v>1928</v>
      </c>
      <c r="AR17">
        <v>2236</v>
      </c>
      <c r="AS17">
        <v>2109</v>
      </c>
      <c r="AT17">
        <v>1928</v>
      </c>
      <c r="AU17">
        <v>1093</v>
      </c>
      <c r="AV17">
        <v>1093</v>
      </c>
      <c r="AW17">
        <v>1093</v>
      </c>
      <c r="AX17">
        <v>1243</v>
      </c>
      <c r="AY17">
        <f>AS17-AV17</f>
        <v>1016</v>
      </c>
      <c r="AZ17">
        <f>AT17-AW17</f>
        <v>835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969</v>
      </c>
      <c r="BQ17">
        <v>1637</v>
      </c>
      <c r="BR17">
        <v>2009</v>
      </c>
      <c r="BS17">
        <v>152</v>
      </c>
      <c r="BT17">
        <v>602</v>
      </c>
      <c r="BU17">
        <v>966</v>
      </c>
      <c r="BV17">
        <v>487</v>
      </c>
      <c r="BW17">
        <v>649</v>
      </c>
      <c r="BX17">
        <v>566</v>
      </c>
      <c r="BY17">
        <v>110</v>
      </c>
      <c r="BZ17">
        <v>137</v>
      </c>
      <c r="CA17">
        <v>217</v>
      </c>
      <c r="CB17">
        <v>0</v>
      </c>
      <c r="CC17">
        <v>0</v>
      </c>
      <c r="CD17">
        <v>0</v>
      </c>
      <c r="CE17">
        <v>0</v>
      </c>
      <c r="CF17">
        <v>29</v>
      </c>
      <c r="CG17">
        <v>41</v>
      </c>
      <c r="CH17">
        <v>220</v>
      </c>
      <c r="CI17">
        <v>220</v>
      </c>
      <c r="CJ17">
        <v>220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255</v>
      </c>
      <c r="DS17">
        <v>1409</v>
      </c>
      <c r="DT17">
        <v>1828</v>
      </c>
      <c r="DU17">
        <v>3</v>
      </c>
      <c r="DV17">
        <v>0</v>
      </c>
      <c r="DW17">
        <v>20</v>
      </c>
      <c r="DX17">
        <v>55</v>
      </c>
      <c r="DY17">
        <v>146</v>
      </c>
      <c r="DZ17">
        <v>38</v>
      </c>
      <c r="EA17" s="183">
        <v>0</v>
      </c>
      <c r="EB17" s="83">
        <v>0</v>
      </c>
      <c r="EC17" s="184">
        <v>0</v>
      </c>
      <c r="ED17">
        <v>197</v>
      </c>
      <c r="EE17">
        <v>378</v>
      </c>
      <c r="EF17">
        <v>690</v>
      </c>
      <c r="EG17">
        <v>0</v>
      </c>
      <c r="EH17">
        <v>206</v>
      </c>
      <c r="EI17">
        <v>445</v>
      </c>
      <c r="EJ17">
        <v>177</v>
      </c>
      <c r="EK17">
        <v>102</v>
      </c>
      <c r="EL17">
        <v>198</v>
      </c>
      <c r="EM17">
        <v>20</v>
      </c>
      <c r="EN17">
        <v>70</v>
      </c>
      <c r="EO17">
        <v>48</v>
      </c>
      <c r="EP17">
        <v>0</v>
      </c>
      <c r="EQ17">
        <v>885</v>
      </c>
      <c r="ER17">
        <v>1080</v>
      </c>
      <c r="ES17">
        <v>-714</v>
      </c>
      <c r="ET17">
        <v>-227</v>
      </c>
      <c r="EU17">
        <v>-181</v>
      </c>
      <c r="EV17">
        <v>-714</v>
      </c>
      <c r="EW17">
        <v>-227</v>
      </c>
      <c r="EX17">
        <v>-181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 s="4">
        <f>BP17+CQ17</f>
        <v>969</v>
      </c>
      <c r="GG17">
        <f>BQ17+CR17</f>
        <v>1637</v>
      </c>
      <c r="GH17" s="4">
        <f>BR17+CS17</f>
        <v>2009</v>
      </c>
      <c r="GI17" s="4">
        <f>DR17+EY17</f>
        <v>255</v>
      </c>
      <c r="GJ17">
        <f>DS17+EZ17</f>
        <v>1409</v>
      </c>
      <c r="GK17" s="4">
        <f>DT17+FA17</f>
        <v>1828</v>
      </c>
      <c r="GL17" s="4">
        <f>GI17-GF17</f>
        <v>-714</v>
      </c>
      <c r="GM17">
        <f>GJ17-GG17</f>
        <v>-228</v>
      </c>
      <c r="GN17" s="4">
        <f>GK17-GH17</f>
        <v>-181</v>
      </c>
      <c r="GO17" s="4">
        <f>GC17+EV17</f>
        <v>-714</v>
      </c>
      <c r="GP17">
        <f>GD17+EW17</f>
        <v>-227</v>
      </c>
      <c r="GQ17" s="4">
        <f>GE17+EX17</f>
        <v>-181</v>
      </c>
    </row>
    <row r="18" spans="1:200">
      <c r="A18" t="s">
        <v>105</v>
      </c>
      <c r="B18">
        <v>21</v>
      </c>
      <c r="C18">
        <v>0</v>
      </c>
      <c r="D18">
        <v>10</v>
      </c>
      <c r="E18">
        <v>20</v>
      </c>
      <c r="F18">
        <v>30</v>
      </c>
      <c r="G18">
        <v>40</v>
      </c>
      <c r="H18">
        <v>0</v>
      </c>
      <c r="I18" t="s">
        <v>46</v>
      </c>
      <c r="J18" t="s">
        <v>35</v>
      </c>
      <c r="K18">
        <v>3</v>
      </c>
      <c r="L18">
        <v>50</v>
      </c>
      <c r="M18">
        <v>45</v>
      </c>
      <c r="N18">
        <v>0</v>
      </c>
      <c r="O18">
        <v>5</v>
      </c>
      <c r="P18">
        <v>5</v>
      </c>
      <c r="Q18">
        <v>77</v>
      </c>
      <c r="R18">
        <v>42</v>
      </c>
      <c r="S18">
        <v>89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77</v>
      </c>
      <c r="AA18">
        <v>42</v>
      </c>
      <c r="AB18">
        <v>89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77</v>
      </c>
      <c r="AJ18">
        <v>42</v>
      </c>
      <c r="AK18">
        <v>89</v>
      </c>
      <c r="AL18">
        <v>0</v>
      </c>
      <c r="AM18">
        <v>0</v>
      </c>
      <c r="AN18">
        <v>0</v>
      </c>
      <c r="AO18">
        <v>77</v>
      </c>
      <c r="AP18">
        <v>42</v>
      </c>
      <c r="AQ18">
        <v>89</v>
      </c>
      <c r="AR18">
        <v>77</v>
      </c>
      <c r="AS18">
        <v>14</v>
      </c>
      <c r="AT18">
        <v>68</v>
      </c>
      <c r="AU18">
        <v>33</v>
      </c>
      <c r="AV18">
        <v>33</v>
      </c>
      <c r="AW18">
        <v>33</v>
      </c>
      <c r="AX18">
        <v>44</v>
      </c>
      <c r="AY18">
        <v>-19</v>
      </c>
      <c r="AZ18">
        <v>35</v>
      </c>
      <c r="BA18">
        <v>0</v>
      </c>
      <c r="BB18">
        <v>28</v>
      </c>
      <c r="BC18">
        <v>21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28</v>
      </c>
      <c r="BL18">
        <v>21</v>
      </c>
      <c r="BM18">
        <v>0</v>
      </c>
      <c r="BN18">
        <v>0</v>
      </c>
      <c r="BO18">
        <v>0</v>
      </c>
      <c r="BP18">
        <v>71</v>
      </c>
      <c r="BQ18">
        <v>120</v>
      </c>
      <c r="BR18">
        <v>95</v>
      </c>
      <c r="BS18">
        <v>5</v>
      </c>
      <c r="BT18">
        <v>120</v>
      </c>
      <c r="BU18">
        <v>95</v>
      </c>
      <c r="BV18">
        <v>66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115</v>
      </c>
      <c r="DS18">
        <v>57</v>
      </c>
      <c r="DT18">
        <v>148</v>
      </c>
      <c r="DU18">
        <v>33</v>
      </c>
      <c r="DV18">
        <v>6</v>
      </c>
      <c r="DW18">
        <v>58</v>
      </c>
      <c r="DX18">
        <v>0</v>
      </c>
      <c r="DY18">
        <v>0</v>
      </c>
      <c r="DZ18">
        <v>0</v>
      </c>
      <c r="EA18" s="183">
        <v>0</v>
      </c>
      <c r="EB18" s="83">
        <v>0</v>
      </c>
      <c r="EC18" s="184">
        <v>0</v>
      </c>
      <c r="ED18">
        <v>82</v>
      </c>
      <c r="EE18">
        <v>51</v>
      </c>
      <c r="EF18">
        <v>90</v>
      </c>
      <c r="EG18">
        <v>0</v>
      </c>
      <c r="EH18">
        <v>0</v>
      </c>
      <c r="EI18">
        <v>0</v>
      </c>
      <c r="EJ18">
        <v>82</v>
      </c>
      <c r="EK18">
        <v>24</v>
      </c>
      <c r="EL18">
        <v>65</v>
      </c>
      <c r="EM18">
        <v>0</v>
      </c>
      <c r="EN18">
        <v>27</v>
      </c>
      <c r="EO18">
        <v>25</v>
      </c>
      <c r="EP18" s="83">
        <v>0</v>
      </c>
      <c r="EQ18" s="83">
        <v>0</v>
      </c>
      <c r="ER18" s="83">
        <v>0</v>
      </c>
      <c r="ES18">
        <v>44</v>
      </c>
      <c r="ET18">
        <v>-63</v>
      </c>
      <c r="EU18">
        <v>53</v>
      </c>
      <c r="EV18">
        <v>44</v>
      </c>
      <c r="EW18">
        <v>-63</v>
      </c>
      <c r="EX18">
        <v>53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4">
        <f>BP18+CQ18</f>
        <v>71</v>
      </c>
      <c r="GG18">
        <f>BQ18+CR18</f>
        <v>120</v>
      </c>
      <c r="GH18" s="4">
        <f>BR18+CS18</f>
        <v>95</v>
      </c>
      <c r="GI18" s="4">
        <f>DR18+EY18</f>
        <v>115</v>
      </c>
      <c r="GJ18">
        <f>DS18+EZ18</f>
        <v>57</v>
      </c>
      <c r="GK18" s="4">
        <f>DT18+FA18</f>
        <v>148</v>
      </c>
      <c r="GL18" s="4">
        <f>GI18-GF18</f>
        <v>44</v>
      </c>
      <c r="GM18">
        <f>GJ18-GG18</f>
        <v>-63</v>
      </c>
      <c r="GN18" s="4">
        <f>GK18-GH18</f>
        <v>53</v>
      </c>
      <c r="GO18" s="4">
        <f>GC18+EV18</f>
        <v>44</v>
      </c>
      <c r="GP18">
        <f>GD18+EW18</f>
        <v>-63</v>
      </c>
      <c r="GQ18" s="4">
        <f>GE18+EX18</f>
        <v>53</v>
      </c>
    </row>
    <row r="19" spans="1:200">
      <c r="A19" t="s">
        <v>55</v>
      </c>
      <c r="B19">
        <v>450</v>
      </c>
      <c r="C19">
        <v>5</v>
      </c>
      <c r="D19">
        <v>45</v>
      </c>
      <c r="E19">
        <v>30</v>
      </c>
      <c r="F19">
        <v>15</v>
      </c>
      <c r="G19">
        <v>5</v>
      </c>
      <c r="H19">
        <v>0</v>
      </c>
      <c r="I19" t="s">
        <v>37</v>
      </c>
      <c r="J19" t="s">
        <v>33</v>
      </c>
      <c r="K19">
        <v>2</v>
      </c>
      <c r="L19">
        <v>70</v>
      </c>
      <c r="M19">
        <v>15</v>
      </c>
      <c r="N19">
        <v>10</v>
      </c>
      <c r="O19">
        <v>5</v>
      </c>
      <c r="P19">
        <v>4</v>
      </c>
      <c r="Q19">
        <v>424</v>
      </c>
      <c r="R19">
        <v>39</v>
      </c>
      <c r="S19">
        <v>39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424</v>
      </c>
      <c r="AA19">
        <v>39</v>
      </c>
      <c r="AB19">
        <v>39</v>
      </c>
      <c r="AC19">
        <v>0</v>
      </c>
      <c r="AD19">
        <v>0</v>
      </c>
      <c r="AE19">
        <v>0</v>
      </c>
      <c r="AF19">
        <v>316</v>
      </c>
      <c r="AG19">
        <v>6</v>
      </c>
      <c r="AH19">
        <v>6</v>
      </c>
      <c r="AI19">
        <v>108</v>
      </c>
      <c r="AJ19">
        <v>33</v>
      </c>
      <c r="AK19">
        <v>33</v>
      </c>
      <c r="AL19">
        <v>0</v>
      </c>
      <c r="AM19">
        <v>0</v>
      </c>
      <c r="AN19">
        <v>0</v>
      </c>
      <c r="AO19">
        <v>424</v>
      </c>
      <c r="AP19">
        <v>39</v>
      </c>
      <c r="AQ19">
        <v>39</v>
      </c>
      <c r="AR19">
        <v>8</v>
      </c>
      <c r="AS19">
        <v>-467</v>
      </c>
      <c r="AT19">
        <v>-349</v>
      </c>
      <c r="AU19">
        <v>0</v>
      </c>
      <c r="AV19">
        <v>0</v>
      </c>
      <c r="AW19">
        <v>0</v>
      </c>
      <c r="AX19">
        <v>8</v>
      </c>
      <c r="AY19">
        <v>-467</v>
      </c>
      <c r="AZ19">
        <v>-349</v>
      </c>
      <c r="BA19">
        <v>416</v>
      </c>
      <c r="BB19">
        <v>506</v>
      </c>
      <c r="BC19">
        <v>388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416</v>
      </c>
      <c r="BK19">
        <v>506</v>
      </c>
      <c r="BL19">
        <v>388</v>
      </c>
      <c r="BM19">
        <v>0</v>
      </c>
      <c r="BN19">
        <v>0</v>
      </c>
      <c r="BO19">
        <v>0</v>
      </c>
      <c r="BP19">
        <v>4481</v>
      </c>
      <c r="BQ19">
        <v>6426</v>
      </c>
      <c r="BR19">
        <v>5859</v>
      </c>
      <c r="BS19">
        <v>299</v>
      </c>
      <c r="BT19">
        <v>5804</v>
      </c>
      <c r="BU19">
        <v>5347</v>
      </c>
      <c r="BV19">
        <v>3747</v>
      </c>
      <c r="BW19">
        <v>0</v>
      </c>
      <c r="BX19">
        <v>0</v>
      </c>
      <c r="BY19">
        <v>392</v>
      </c>
      <c r="BZ19">
        <v>610</v>
      </c>
      <c r="CA19">
        <v>502</v>
      </c>
      <c r="CB19">
        <v>0</v>
      </c>
      <c r="CC19">
        <v>0</v>
      </c>
      <c r="CD19">
        <v>0</v>
      </c>
      <c r="CE19">
        <v>44</v>
      </c>
      <c r="CF19">
        <v>12</v>
      </c>
      <c r="CG19">
        <v>5859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250</v>
      </c>
      <c r="CS19">
        <v>78</v>
      </c>
      <c r="CT19">
        <v>0</v>
      </c>
      <c r="CU19">
        <v>250</v>
      </c>
      <c r="CV19">
        <v>78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4397</v>
      </c>
      <c r="DS19">
        <v>6040</v>
      </c>
      <c r="DT19">
        <v>5510</v>
      </c>
      <c r="DU19">
        <v>2502</v>
      </c>
      <c r="DV19">
        <v>2408</v>
      </c>
      <c r="DW19">
        <v>0</v>
      </c>
      <c r="DX19">
        <v>60</v>
      </c>
      <c r="DY19">
        <v>0</v>
      </c>
      <c r="DZ19">
        <v>1</v>
      </c>
      <c r="EA19" s="183">
        <v>0</v>
      </c>
      <c r="EB19" s="83">
        <v>536</v>
      </c>
      <c r="EC19" s="184">
        <v>72</v>
      </c>
      <c r="ED19">
        <v>1835</v>
      </c>
      <c r="EE19">
        <v>2350</v>
      </c>
      <c r="EF19">
        <v>4696</v>
      </c>
      <c r="EG19">
        <v>120</v>
      </c>
      <c r="EH19">
        <v>0</v>
      </c>
      <c r="EI19">
        <v>0</v>
      </c>
      <c r="EJ19">
        <v>0</v>
      </c>
      <c r="EK19">
        <v>224</v>
      </c>
      <c r="EL19">
        <v>0</v>
      </c>
      <c r="EM19">
        <v>1715</v>
      </c>
      <c r="EN19">
        <v>2126</v>
      </c>
      <c r="EO19">
        <v>4696</v>
      </c>
      <c r="EP19">
        <v>0</v>
      </c>
      <c r="EQ19">
        <v>746</v>
      </c>
      <c r="ER19">
        <v>741</v>
      </c>
      <c r="ES19">
        <v>-85</v>
      </c>
      <c r="ET19">
        <v>-386</v>
      </c>
      <c r="EU19">
        <v>-349</v>
      </c>
      <c r="EV19">
        <v>-85</v>
      </c>
      <c r="EW19">
        <v>-386</v>
      </c>
      <c r="EX19">
        <v>-349</v>
      </c>
      <c r="EY19">
        <v>0</v>
      </c>
      <c r="EZ19">
        <v>245</v>
      </c>
      <c r="FA19">
        <v>79</v>
      </c>
      <c r="FB19">
        <v>0</v>
      </c>
      <c r="FC19">
        <v>245</v>
      </c>
      <c r="FD19">
        <v>79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-5</v>
      </c>
      <c r="GB19">
        <v>1</v>
      </c>
      <c r="GC19">
        <v>0</v>
      </c>
      <c r="GD19">
        <v>-5</v>
      </c>
      <c r="GE19">
        <v>1</v>
      </c>
      <c r="GF19">
        <f>BP19+CQ19</f>
        <v>4481</v>
      </c>
      <c r="GG19">
        <f>BQ19+CR19</f>
        <v>6676</v>
      </c>
      <c r="GH19">
        <f>BR19+CS19</f>
        <v>5937</v>
      </c>
      <c r="GI19">
        <f>DR19+EY19</f>
        <v>4397</v>
      </c>
      <c r="GJ19">
        <f>DS19+EZ19</f>
        <v>6285</v>
      </c>
      <c r="GK19">
        <f>DT19+FA19</f>
        <v>5589</v>
      </c>
      <c r="GL19">
        <f>GI19-GF19</f>
        <v>-84</v>
      </c>
      <c r="GM19">
        <f>GJ19-GG19</f>
        <v>-391</v>
      </c>
      <c r="GN19">
        <f>GK19-GH19</f>
        <v>-348</v>
      </c>
      <c r="GO19">
        <f>GC19+EV19</f>
        <v>-85</v>
      </c>
      <c r="GP19">
        <f>GD19+EW19</f>
        <v>-391</v>
      </c>
      <c r="GQ19">
        <f>GE19+EX19</f>
        <v>-348</v>
      </c>
      <c r="GR19" t="s">
        <v>326</v>
      </c>
    </row>
    <row r="20" spans="1:200">
      <c r="A20" t="s">
        <v>56</v>
      </c>
      <c r="B20">
        <v>80</v>
      </c>
      <c r="C20">
        <v>10</v>
      </c>
      <c r="D20">
        <v>50</v>
      </c>
      <c r="E20">
        <v>15</v>
      </c>
      <c r="F20">
        <v>10</v>
      </c>
      <c r="G20">
        <v>15</v>
      </c>
      <c r="H20">
        <v>0</v>
      </c>
      <c r="I20" t="s">
        <v>37</v>
      </c>
      <c r="J20" t="s">
        <v>32</v>
      </c>
      <c r="K20">
        <v>7</v>
      </c>
      <c r="L20">
        <v>20</v>
      </c>
      <c r="M20">
        <v>60</v>
      </c>
      <c r="N20">
        <v>15</v>
      </c>
      <c r="O20">
        <v>5</v>
      </c>
      <c r="P20">
        <v>7</v>
      </c>
      <c r="Q20">
        <v>406</v>
      </c>
      <c r="R20">
        <v>610</v>
      </c>
      <c r="S20">
        <v>707</v>
      </c>
      <c r="T20">
        <v>90</v>
      </c>
      <c r="U20">
        <v>304</v>
      </c>
      <c r="V20">
        <v>304</v>
      </c>
      <c r="W20">
        <v>-30</v>
      </c>
      <c r="X20">
        <v>-57</v>
      </c>
      <c r="Y20">
        <v>-91</v>
      </c>
      <c r="Z20">
        <v>346</v>
      </c>
      <c r="AA20">
        <v>363</v>
      </c>
      <c r="AB20">
        <v>494</v>
      </c>
      <c r="AC20">
        <v>0</v>
      </c>
      <c r="AD20">
        <v>0</v>
      </c>
      <c r="AE20">
        <v>0</v>
      </c>
      <c r="AF20">
        <v>0</v>
      </c>
      <c r="AG20">
        <v>77</v>
      </c>
      <c r="AH20">
        <v>0</v>
      </c>
      <c r="AI20">
        <v>346</v>
      </c>
      <c r="AJ20">
        <v>286</v>
      </c>
      <c r="AK20">
        <v>494</v>
      </c>
      <c r="AL20">
        <v>0</v>
      </c>
      <c r="AM20">
        <v>0</v>
      </c>
      <c r="AN20">
        <v>0</v>
      </c>
      <c r="AO20">
        <v>406</v>
      </c>
      <c r="AP20">
        <v>610</v>
      </c>
      <c r="AQ20">
        <v>707</v>
      </c>
      <c r="AR20">
        <v>156</v>
      </c>
      <c r="AS20">
        <v>406</v>
      </c>
      <c r="AT20">
        <v>530</v>
      </c>
      <c r="AU20">
        <v>60</v>
      </c>
      <c r="AV20">
        <v>156</v>
      </c>
      <c r="AW20">
        <v>406</v>
      </c>
      <c r="AX20">
        <v>96</v>
      </c>
      <c r="AY20">
        <v>250</v>
      </c>
      <c r="AZ20">
        <v>124</v>
      </c>
      <c r="BA20">
        <v>250</v>
      </c>
      <c r="BB20">
        <v>204</v>
      </c>
      <c r="BC20">
        <v>177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250</v>
      </c>
      <c r="BK20">
        <v>204</v>
      </c>
      <c r="BL20">
        <v>177</v>
      </c>
      <c r="BM20">
        <v>0</v>
      </c>
      <c r="BN20">
        <v>0</v>
      </c>
      <c r="BO20">
        <v>0</v>
      </c>
      <c r="BP20">
        <v>3205</v>
      </c>
      <c r="BQ20">
        <v>3614</v>
      </c>
      <c r="BR20">
        <v>4133</v>
      </c>
      <c r="BS20">
        <v>950</v>
      </c>
      <c r="BT20">
        <v>909</v>
      </c>
      <c r="BU20">
        <v>955</v>
      </c>
      <c r="BV20">
        <v>1921</v>
      </c>
      <c r="BW20">
        <f>3270-BT20</f>
        <v>2361</v>
      </c>
      <c r="BX20">
        <f>3836-BU20</f>
        <v>2881</v>
      </c>
      <c r="BY20">
        <v>297</v>
      </c>
      <c r="BZ20">
        <v>300</v>
      </c>
      <c r="CA20">
        <v>263</v>
      </c>
      <c r="CB20">
        <v>0</v>
      </c>
      <c r="CC20">
        <v>0</v>
      </c>
      <c r="CD20">
        <v>0</v>
      </c>
      <c r="CE20">
        <v>17</v>
      </c>
      <c r="CF20">
        <v>17</v>
      </c>
      <c r="CG20">
        <v>0</v>
      </c>
      <c r="CH20">
        <v>20</v>
      </c>
      <c r="CI20">
        <v>27</v>
      </c>
      <c r="CJ20">
        <v>34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15</v>
      </c>
      <c r="CS20">
        <v>2</v>
      </c>
      <c r="CT20">
        <v>0</v>
      </c>
      <c r="CU20">
        <v>15</v>
      </c>
      <c r="CV20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3005</v>
      </c>
      <c r="DS20">
        <v>3565</v>
      </c>
      <c r="DT20">
        <v>3957</v>
      </c>
      <c r="DU20">
        <v>642</v>
      </c>
      <c r="DV20">
        <v>808</v>
      </c>
      <c r="DW20">
        <v>807</v>
      </c>
      <c r="DX20">
        <v>1</v>
      </c>
      <c r="DY20">
        <v>0</v>
      </c>
      <c r="DZ20">
        <v>0</v>
      </c>
      <c r="EA20" s="183">
        <v>0</v>
      </c>
      <c r="EB20" s="83">
        <v>0</v>
      </c>
      <c r="EC20" s="184">
        <v>0</v>
      </c>
      <c r="ED20">
        <v>996</v>
      </c>
      <c r="EE20">
        <v>976</v>
      </c>
      <c r="EF20">
        <v>1140</v>
      </c>
      <c r="EG20">
        <v>0</v>
      </c>
      <c r="EH20">
        <v>0</v>
      </c>
      <c r="EI20">
        <v>0</v>
      </c>
      <c r="EJ20">
        <v>412</v>
      </c>
      <c r="EK20">
        <v>308</v>
      </c>
      <c r="EL20">
        <v>351</v>
      </c>
      <c r="EM20">
        <v>584</v>
      </c>
      <c r="EN20">
        <v>668</v>
      </c>
      <c r="EO20">
        <v>789</v>
      </c>
      <c r="EP20">
        <v>1366</v>
      </c>
      <c r="EQ20">
        <v>1781</v>
      </c>
      <c r="ER20">
        <v>2010</v>
      </c>
      <c r="ES20">
        <v>-200</v>
      </c>
      <c r="ET20">
        <v>-49</v>
      </c>
      <c r="EU20">
        <v>-176</v>
      </c>
      <c r="EV20">
        <v>-200</v>
      </c>
      <c r="EW20">
        <v>-49</v>
      </c>
      <c r="EX20">
        <v>-176</v>
      </c>
      <c r="EY20">
        <v>296</v>
      </c>
      <c r="EZ20">
        <v>314</v>
      </c>
      <c r="FA20">
        <v>302</v>
      </c>
      <c r="FB20">
        <v>296</v>
      </c>
      <c r="FC20">
        <v>314</v>
      </c>
      <c r="FD20">
        <v>302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299</v>
      </c>
      <c r="GB20">
        <v>300</v>
      </c>
      <c r="GC20">
        <v>0</v>
      </c>
      <c r="GD20">
        <v>299</v>
      </c>
      <c r="GE20">
        <v>300</v>
      </c>
      <c r="GF20">
        <f>BP20+CQ20</f>
        <v>3205</v>
      </c>
      <c r="GG20">
        <f>BQ20+CR20</f>
        <v>3629</v>
      </c>
      <c r="GH20">
        <f>BR20+CS20</f>
        <v>4135</v>
      </c>
      <c r="GI20">
        <f>DR20+EY20</f>
        <v>3301</v>
      </c>
      <c r="GJ20">
        <f>DS20+EZ20</f>
        <v>3879</v>
      </c>
      <c r="GK20">
        <f>DT20+FA20</f>
        <v>4259</v>
      </c>
      <c r="GL20">
        <f>GI20-GF20</f>
        <v>96</v>
      </c>
      <c r="GM20">
        <f>GJ20-GG20</f>
        <v>250</v>
      </c>
      <c r="GN20">
        <f>GK20-GH20</f>
        <v>124</v>
      </c>
      <c r="GO20">
        <f>GC20+EV20</f>
        <v>-200</v>
      </c>
      <c r="GP20">
        <f>GD20+EW20</f>
        <v>250</v>
      </c>
      <c r="GQ20">
        <f>GE20+EX20</f>
        <v>124</v>
      </c>
    </row>
    <row r="21" spans="1:200">
      <c r="A21" t="s">
        <v>57</v>
      </c>
      <c r="B21">
        <v>366</v>
      </c>
      <c r="C21">
        <v>10</v>
      </c>
      <c r="D21">
        <v>43</v>
      </c>
      <c r="E21">
        <v>20</v>
      </c>
      <c r="F21">
        <v>20</v>
      </c>
      <c r="G21">
        <v>6</v>
      </c>
      <c r="H21">
        <v>1</v>
      </c>
      <c r="I21" t="s">
        <v>37</v>
      </c>
      <c r="J21" t="s">
        <v>32</v>
      </c>
      <c r="K21">
        <v>3</v>
      </c>
      <c r="L21">
        <v>50</v>
      </c>
      <c r="M21">
        <v>20</v>
      </c>
      <c r="N21">
        <v>30</v>
      </c>
      <c r="O21">
        <v>0</v>
      </c>
      <c r="P21">
        <v>5</v>
      </c>
      <c r="Q21">
        <v>723</v>
      </c>
      <c r="R21">
        <v>905</v>
      </c>
      <c r="S21">
        <v>1212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723</v>
      </c>
      <c r="AA21">
        <v>905</v>
      </c>
      <c r="AB21">
        <v>1212</v>
      </c>
      <c r="AC21">
        <v>0</v>
      </c>
      <c r="AD21">
        <v>5</v>
      </c>
      <c r="AE21">
        <v>0</v>
      </c>
      <c r="AF21">
        <v>385</v>
      </c>
      <c r="AG21">
        <v>484</v>
      </c>
      <c r="AH21">
        <v>755</v>
      </c>
      <c r="AI21">
        <v>277</v>
      </c>
      <c r="AJ21">
        <v>464</v>
      </c>
      <c r="AK21">
        <v>457</v>
      </c>
      <c r="AL21">
        <v>61</v>
      </c>
      <c r="AM21">
        <v>3</v>
      </c>
      <c r="AN21">
        <v>0</v>
      </c>
      <c r="AO21">
        <v>723</v>
      </c>
      <c r="AP21">
        <v>905</v>
      </c>
      <c r="AQ21">
        <v>1212</v>
      </c>
      <c r="AR21">
        <v>-113</v>
      </c>
      <c r="AS21">
        <v>77</v>
      </c>
      <c r="AT21">
        <v>336</v>
      </c>
      <c r="AU21">
        <v>0</v>
      </c>
      <c r="AW21">
        <v>0</v>
      </c>
      <c r="AX21">
        <v>-113</v>
      </c>
      <c r="AY21">
        <v>77</v>
      </c>
      <c r="AZ21">
        <v>336</v>
      </c>
      <c r="BA21">
        <v>836</v>
      </c>
      <c r="BB21">
        <v>828</v>
      </c>
      <c r="BC21">
        <v>876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60</v>
      </c>
      <c r="BK21">
        <v>110</v>
      </c>
      <c r="BL21">
        <v>134</v>
      </c>
      <c r="BM21">
        <v>776</v>
      </c>
      <c r="BN21">
        <v>718</v>
      </c>
      <c r="BO21">
        <v>742</v>
      </c>
      <c r="BP21">
        <v>2272</v>
      </c>
      <c r="BQ21">
        <v>2298</v>
      </c>
      <c r="BR21">
        <v>1976</v>
      </c>
      <c r="BS21">
        <v>225</v>
      </c>
      <c r="BT21">
        <v>294</v>
      </c>
      <c r="BU21">
        <v>209</v>
      </c>
      <c r="BV21">
        <v>1808</v>
      </c>
      <c r="BW21">
        <f>1847-BT21</f>
        <v>1553</v>
      </c>
      <c r="BX21">
        <f>1468-BU21</f>
        <v>1259</v>
      </c>
      <c r="BY21">
        <v>40</v>
      </c>
      <c r="BZ21">
        <v>220</v>
      </c>
      <c r="CA21">
        <v>322</v>
      </c>
      <c r="CB21">
        <v>192</v>
      </c>
      <c r="CC21">
        <v>0</v>
      </c>
      <c r="CD21">
        <v>0</v>
      </c>
      <c r="CE21">
        <v>6</v>
      </c>
      <c r="CF21">
        <v>14</v>
      </c>
      <c r="CG21">
        <v>48</v>
      </c>
      <c r="CH21">
        <v>0</v>
      </c>
      <c r="CI21">
        <v>0</v>
      </c>
      <c r="CJ21">
        <v>0</v>
      </c>
      <c r="CK21">
        <v>1</v>
      </c>
      <c r="CL21">
        <v>217</v>
      </c>
      <c r="CM21">
        <v>138</v>
      </c>
      <c r="CN21">
        <v>0</v>
      </c>
      <c r="CO21">
        <v>0</v>
      </c>
      <c r="CP21">
        <v>0</v>
      </c>
      <c r="CQ21">
        <v>82</v>
      </c>
      <c r="CR21">
        <v>133</v>
      </c>
      <c r="CS21">
        <v>187</v>
      </c>
      <c r="CT21">
        <v>30</v>
      </c>
      <c r="CU21">
        <v>3</v>
      </c>
      <c r="CV21">
        <v>5</v>
      </c>
      <c r="CW21">
        <v>22</v>
      </c>
      <c r="CX21">
        <v>85</v>
      </c>
      <c r="CY21">
        <v>182</v>
      </c>
      <c r="CZ21">
        <v>30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20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25</v>
      </c>
      <c r="DQ21">
        <v>0</v>
      </c>
      <c r="DR21">
        <v>1617</v>
      </c>
      <c r="DS21">
        <v>2080</v>
      </c>
      <c r="DT21">
        <v>1952</v>
      </c>
      <c r="DU21">
        <v>326</v>
      </c>
      <c r="DV21">
        <v>121</v>
      </c>
      <c r="DW21">
        <v>29</v>
      </c>
      <c r="DX21">
        <v>0</v>
      </c>
      <c r="DY21">
        <v>60</v>
      </c>
      <c r="DZ21">
        <v>30</v>
      </c>
      <c r="EA21" s="183">
        <v>0</v>
      </c>
      <c r="EB21" s="83">
        <v>0</v>
      </c>
      <c r="EC21" s="184">
        <v>0</v>
      </c>
      <c r="ED21">
        <v>918</v>
      </c>
      <c r="EE21">
        <v>1303</v>
      </c>
      <c r="EF21">
        <v>1270</v>
      </c>
      <c r="EG21">
        <v>0</v>
      </c>
      <c r="EH21">
        <v>0</v>
      </c>
      <c r="EI21">
        <v>0</v>
      </c>
      <c r="EJ21">
        <v>168</v>
      </c>
      <c r="EK21">
        <v>259</v>
      </c>
      <c r="EL21">
        <v>126</v>
      </c>
      <c r="EM21">
        <v>750</v>
      </c>
      <c r="EN21">
        <v>1044</v>
      </c>
      <c r="EO21">
        <v>1144</v>
      </c>
      <c r="EP21">
        <v>373</v>
      </c>
      <c r="EQ21">
        <v>596</v>
      </c>
      <c r="ER21">
        <v>623</v>
      </c>
      <c r="ES21">
        <v>-655</v>
      </c>
      <c r="ET21">
        <v>-218</v>
      </c>
      <c r="EU21">
        <v>-24</v>
      </c>
      <c r="EV21">
        <v>-655</v>
      </c>
      <c r="EW21">
        <v>-218</v>
      </c>
      <c r="EX21">
        <v>-24</v>
      </c>
      <c r="EY21">
        <v>379</v>
      </c>
      <c r="EZ21">
        <v>540</v>
      </c>
      <c r="FA21">
        <v>471</v>
      </c>
      <c r="FB21">
        <v>379</v>
      </c>
      <c r="FC21">
        <v>540</v>
      </c>
      <c r="FD21">
        <v>471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297</v>
      </c>
      <c r="GA21">
        <v>432</v>
      </c>
      <c r="GB21">
        <v>284</v>
      </c>
      <c r="GC21">
        <v>297</v>
      </c>
      <c r="GD21">
        <v>407</v>
      </c>
      <c r="GE21">
        <v>284</v>
      </c>
      <c r="GF21">
        <f>BP21+CQ21</f>
        <v>2354</v>
      </c>
      <c r="GG21">
        <f>BQ21+CR21</f>
        <v>2431</v>
      </c>
      <c r="GH21">
        <f>BR21+CS21</f>
        <v>2163</v>
      </c>
      <c r="GI21">
        <f>DR21+EY21</f>
        <v>1996</v>
      </c>
      <c r="GJ21">
        <f>DS21+EZ21</f>
        <v>2620</v>
      </c>
      <c r="GK21">
        <f>DT21+FA21</f>
        <v>2423</v>
      </c>
      <c r="GL21">
        <f>GI21-GF21</f>
        <v>-358</v>
      </c>
      <c r="GM21">
        <f>GJ21-GG21</f>
        <v>189</v>
      </c>
      <c r="GN21">
        <f>GK21-GH21</f>
        <v>260</v>
      </c>
      <c r="GO21">
        <f>GC21+EV21</f>
        <v>-358</v>
      </c>
      <c r="GP21">
        <f>GD21+EW21</f>
        <v>189</v>
      </c>
      <c r="GQ21">
        <f>GE21+EX21</f>
        <v>260</v>
      </c>
      <c r="GR21" t="s">
        <v>323</v>
      </c>
    </row>
    <row r="22" spans="1:200">
      <c r="A22" t="s">
        <v>58</v>
      </c>
      <c r="B22">
        <v>200</v>
      </c>
      <c r="C22">
        <v>0</v>
      </c>
      <c r="D22">
        <v>60</v>
      </c>
      <c r="E22">
        <v>10</v>
      </c>
      <c r="F22">
        <v>25</v>
      </c>
      <c r="G22">
        <v>5</v>
      </c>
      <c r="H22">
        <v>0</v>
      </c>
      <c r="I22" t="s">
        <v>37</v>
      </c>
      <c r="J22" t="s">
        <v>32</v>
      </c>
      <c r="K22">
        <v>5</v>
      </c>
      <c r="L22">
        <v>30</v>
      </c>
      <c r="M22">
        <v>60</v>
      </c>
      <c r="N22">
        <v>10</v>
      </c>
      <c r="O22">
        <v>0</v>
      </c>
      <c r="P22">
        <v>6</v>
      </c>
      <c r="Q22">
        <v>36</v>
      </c>
      <c r="R22">
        <v>44</v>
      </c>
      <c r="S22">
        <v>136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36</v>
      </c>
      <c r="AA22">
        <v>44</v>
      </c>
      <c r="AB22">
        <v>136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60</v>
      </c>
      <c r="AI22">
        <v>33</v>
      </c>
      <c r="AJ22">
        <v>44</v>
      </c>
      <c r="AK22">
        <v>76</v>
      </c>
      <c r="AL22">
        <v>3</v>
      </c>
      <c r="AM22">
        <v>0</v>
      </c>
      <c r="AN22">
        <v>0</v>
      </c>
      <c r="AO22">
        <v>36</v>
      </c>
      <c r="AP22">
        <v>44</v>
      </c>
      <c r="AQ22">
        <v>136</v>
      </c>
      <c r="AR22">
        <v>11</v>
      </c>
      <c r="AS22">
        <v>25</v>
      </c>
      <c r="AT22">
        <v>115</v>
      </c>
      <c r="AU22">
        <v>23</v>
      </c>
      <c r="AV22">
        <v>23</v>
      </c>
      <c r="AW22">
        <v>23</v>
      </c>
      <c r="AX22">
        <v>-12</v>
      </c>
      <c r="AY22">
        <v>2</v>
      </c>
      <c r="AZ22">
        <v>91</v>
      </c>
      <c r="BA22">
        <v>25</v>
      </c>
      <c r="BB22">
        <v>19</v>
      </c>
      <c r="BC22">
        <v>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25</v>
      </c>
      <c r="BK22">
        <v>19</v>
      </c>
      <c r="BL22">
        <v>21</v>
      </c>
      <c r="BM22">
        <v>0</v>
      </c>
      <c r="BN22">
        <v>0</v>
      </c>
      <c r="BO22">
        <v>0</v>
      </c>
      <c r="BP22">
        <v>897</v>
      </c>
      <c r="BQ22">
        <v>1125</v>
      </c>
      <c r="BR22">
        <v>1414</v>
      </c>
      <c r="BS22">
        <v>279</v>
      </c>
      <c r="BT22">
        <v>326</v>
      </c>
      <c r="BU22">
        <v>334</v>
      </c>
      <c r="BV22">
        <v>612</v>
      </c>
      <c r="BW22">
        <f>1050-BT22</f>
        <v>724</v>
      </c>
      <c r="BX22">
        <v>818</v>
      </c>
      <c r="BY22">
        <v>0</v>
      </c>
      <c r="BZ22">
        <v>22</v>
      </c>
      <c r="CA22">
        <v>253</v>
      </c>
      <c r="CB22">
        <v>0</v>
      </c>
      <c r="CC22">
        <v>0</v>
      </c>
      <c r="CD22">
        <v>0</v>
      </c>
      <c r="CE22">
        <v>6</v>
      </c>
      <c r="CF22">
        <v>3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50</v>
      </c>
      <c r="CM22">
        <v>9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872</v>
      </c>
      <c r="DS22">
        <v>1139</v>
      </c>
      <c r="DT22">
        <v>1504</v>
      </c>
      <c r="DU22">
        <v>0</v>
      </c>
      <c r="DV22">
        <v>11</v>
      </c>
      <c r="DW22">
        <v>49</v>
      </c>
      <c r="DX22">
        <v>5</v>
      </c>
      <c r="DY22">
        <v>53</v>
      </c>
      <c r="DZ22">
        <v>0</v>
      </c>
      <c r="EA22" s="183">
        <v>0</v>
      </c>
      <c r="EB22" s="83">
        <v>0</v>
      </c>
      <c r="EC22" s="184">
        <v>0</v>
      </c>
      <c r="ED22">
        <v>557</v>
      </c>
      <c r="EE22">
        <v>845</v>
      </c>
      <c r="EF22">
        <v>862</v>
      </c>
      <c r="EG22">
        <v>0</v>
      </c>
      <c r="EH22">
        <v>29</v>
      </c>
      <c r="EI22">
        <v>32</v>
      </c>
      <c r="EJ22">
        <v>47</v>
      </c>
      <c r="EK22">
        <v>45</v>
      </c>
      <c r="EL22">
        <v>68</v>
      </c>
      <c r="EM22">
        <v>510</v>
      </c>
      <c r="EN22">
        <v>771</v>
      </c>
      <c r="EO22">
        <v>763</v>
      </c>
      <c r="EP22">
        <v>310</v>
      </c>
      <c r="EQ22">
        <v>230</v>
      </c>
      <c r="ER22">
        <v>592</v>
      </c>
      <c r="ES22">
        <v>-25</v>
      </c>
      <c r="ET22">
        <v>14</v>
      </c>
      <c r="EU22">
        <v>89</v>
      </c>
      <c r="EV22">
        <v>-25</v>
      </c>
      <c r="EW22">
        <v>14</v>
      </c>
      <c r="EX22">
        <v>89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f>BP22+CQ22</f>
        <v>897</v>
      </c>
      <c r="GG22">
        <f>BQ22+CR22</f>
        <v>1125</v>
      </c>
      <c r="GH22">
        <f>BR22+CS22</f>
        <v>1414</v>
      </c>
      <c r="GI22">
        <f>DR22+EY22</f>
        <v>872</v>
      </c>
      <c r="GJ22">
        <f>DS22+EZ22</f>
        <v>1139</v>
      </c>
      <c r="GK22">
        <f>DT22+FA22</f>
        <v>1504</v>
      </c>
      <c r="GL22">
        <f>GI22-GF22</f>
        <v>-25</v>
      </c>
      <c r="GM22">
        <f>GJ22-GG22</f>
        <v>14</v>
      </c>
      <c r="GN22">
        <f>GK22-GH22</f>
        <v>90</v>
      </c>
      <c r="GO22">
        <f>GC22+EV22</f>
        <v>-25</v>
      </c>
      <c r="GP22">
        <f>GD22+EW22</f>
        <v>14</v>
      </c>
      <c r="GQ22">
        <f>GE22+EX22</f>
        <v>89</v>
      </c>
    </row>
    <row r="23" spans="1:200">
      <c r="A23" t="s">
        <v>82</v>
      </c>
      <c r="B23">
        <v>30</v>
      </c>
      <c r="C23">
        <v>0</v>
      </c>
      <c r="D23">
        <v>100</v>
      </c>
      <c r="E23">
        <v>0</v>
      </c>
      <c r="F23">
        <v>0</v>
      </c>
      <c r="G23">
        <v>0</v>
      </c>
      <c r="H23">
        <v>0</v>
      </c>
      <c r="I23" t="s">
        <v>37</v>
      </c>
      <c r="J23" t="s">
        <v>32</v>
      </c>
      <c r="K23">
        <v>4</v>
      </c>
      <c r="L23">
        <v>70</v>
      </c>
      <c r="M23">
        <v>30</v>
      </c>
      <c r="N23">
        <v>0</v>
      </c>
      <c r="O23">
        <v>0</v>
      </c>
      <c r="P23">
        <v>7</v>
      </c>
      <c r="Q23">
        <v>35</v>
      </c>
      <c r="R23">
        <v>90</v>
      </c>
      <c r="S23">
        <v>282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35</v>
      </c>
      <c r="AA23">
        <v>90</v>
      </c>
      <c r="AB23">
        <v>282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35</v>
      </c>
      <c r="AJ23">
        <v>90</v>
      </c>
      <c r="AK23">
        <v>179</v>
      </c>
      <c r="AL23">
        <v>0</v>
      </c>
      <c r="AM23">
        <v>0</v>
      </c>
      <c r="AN23">
        <v>103</v>
      </c>
      <c r="AO23">
        <v>35</v>
      </c>
      <c r="AP23">
        <v>90</v>
      </c>
      <c r="AQ23">
        <v>282</v>
      </c>
      <c r="AR23">
        <v>35</v>
      </c>
      <c r="AS23">
        <v>90</v>
      </c>
      <c r="AT23">
        <v>179</v>
      </c>
      <c r="AU23">
        <v>0</v>
      </c>
      <c r="AV23">
        <v>0</v>
      </c>
      <c r="AW23">
        <v>0</v>
      </c>
      <c r="AX23">
        <v>35</v>
      </c>
      <c r="AY23">
        <v>90</v>
      </c>
      <c r="AZ23">
        <v>179</v>
      </c>
      <c r="BA23">
        <v>0</v>
      </c>
      <c r="BB23">
        <v>0</v>
      </c>
      <c r="BC23">
        <v>103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103</v>
      </c>
      <c r="BM23">
        <v>0</v>
      </c>
      <c r="BN23">
        <v>0</v>
      </c>
      <c r="BO23">
        <v>0</v>
      </c>
      <c r="BP23">
        <v>30</v>
      </c>
      <c r="BQ23">
        <v>108</v>
      </c>
      <c r="BR23">
        <v>260</v>
      </c>
      <c r="BS23">
        <v>5</v>
      </c>
      <c r="BT23">
        <v>108</v>
      </c>
      <c r="BU23">
        <v>72</v>
      </c>
      <c r="BV23">
        <v>25</v>
      </c>
      <c r="BW23">
        <v>0</v>
      </c>
      <c r="BX23">
        <v>188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65</v>
      </c>
      <c r="DS23">
        <v>163</v>
      </c>
      <c r="DT23">
        <v>350</v>
      </c>
      <c r="DU23">
        <v>0</v>
      </c>
      <c r="DV23">
        <v>0</v>
      </c>
      <c r="DW23">
        <v>4</v>
      </c>
      <c r="DX23">
        <v>0</v>
      </c>
      <c r="DY23">
        <v>0</v>
      </c>
      <c r="DZ23">
        <v>0</v>
      </c>
      <c r="EA23" s="183">
        <v>0</v>
      </c>
      <c r="EB23" s="83">
        <v>0</v>
      </c>
      <c r="EC23" s="184">
        <v>0</v>
      </c>
      <c r="ED23">
        <v>35</v>
      </c>
      <c r="EE23">
        <v>123</v>
      </c>
      <c r="EF23">
        <v>202</v>
      </c>
      <c r="EG23">
        <v>0</v>
      </c>
      <c r="EH23">
        <v>0</v>
      </c>
      <c r="EI23">
        <v>5</v>
      </c>
      <c r="EJ23">
        <v>0</v>
      </c>
      <c r="EK23">
        <v>10</v>
      </c>
      <c r="EL23">
        <v>8</v>
      </c>
      <c r="EM23">
        <v>35</v>
      </c>
      <c r="EN23">
        <v>113</v>
      </c>
      <c r="EO23">
        <v>189</v>
      </c>
      <c r="EP23">
        <v>30</v>
      </c>
      <c r="EQ23">
        <v>40</v>
      </c>
      <c r="ER23">
        <v>144</v>
      </c>
      <c r="ES23">
        <v>35</v>
      </c>
      <c r="ET23">
        <v>55</v>
      </c>
      <c r="EU23">
        <v>90</v>
      </c>
      <c r="EV23">
        <v>35</v>
      </c>
      <c r="EW23">
        <v>55</v>
      </c>
      <c r="EX23">
        <v>90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 s="4">
        <f>BP23+CQ23</f>
        <v>30</v>
      </c>
      <c r="GG23">
        <f>BQ23+CR23</f>
        <v>108</v>
      </c>
      <c r="GH23" s="4">
        <f>BR23+CS23</f>
        <v>260</v>
      </c>
      <c r="GI23" s="4">
        <f>DR23+EY23</f>
        <v>65</v>
      </c>
      <c r="GJ23">
        <f>DS23+EZ23</f>
        <v>163</v>
      </c>
      <c r="GK23" s="4">
        <f>DT23+FA23</f>
        <v>350</v>
      </c>
      <c r="GL23" s="4">
        <f>GI23-GF23</f>
        <v>35</v>
      </c>
      <c r="GM23">
        <f>GJ23-GG23</f>
        <v>55</v>
      </c>
      <c r="GN23" s="4">
        <f>GK23-GH23</f>
        <v>90</v>
      </c>
      <c r="GO23" s="4">
        <f>GC23+EV23</f>
        <v>35</v>
      </c>
      <c r="GP23">
        <f>GD23+EW23</f>
        <v>55</v>
      </c>
      <c r="GQ23" s="4">
        <f>GE23+EX23</f>
        <v>90</v>
      </c>
    </row>
    <row r="24" spans="1:200">
      <c r="A24" t="s">
        <v>106</v>
      </c>
      <c r="B24">
        <v>19</v>
      </c>
      <c r="C24">
        <v>0</v>
      </c>
      <c r="D24">
        <v>0</v>
      </c>
      <c r="E24">
        <v>15</v>
      </c>
      <c r="F24">
        <v>60</v>
      </c>
      <c r="G24">
        <v>20</v>
      </c>
      <c r="H24">
        <v>5</v>
      </c>
      <c r="I24" t="s">
        <v>37</v>
      </c>
      <c r="J24" t="s">
        <v>35</v>
      </c>
      <c r="K24">
        <v>5</v>
      </c>
      <c r="L24">
        <v>38</v>
      </c>
      <c r="M24">
        <v>10</v>
      </c>
      <c r="N24">
        <v>47</v>
      </c>
      <c r="O24">
        <v>5</v>
      </c>
      <c r="P24">
        <v>5</v>
      </c>
      <c r="Q24">
        <v>920</v>
      </c>
      <c r="R24">
        <v>793</v>
      </c>
      <c r="S24">
        <v>800</v>
      </c>
      <c r="T24">
        <v>588</v>
      </c>
      <c r="U24">
        <v>572</v>
      </c>
      <c r="V24">
        <v>572</v>
      </c>
      <c r="W24">
        <v>-523</v>
      </c>
      <c r="X24">
        <v>-507</v>
      </c>
      <c r="Y24">
        <v>-528</v>
      </c>
      <c r="Z24">
        <v>855</v>
      </c>
      <c r="AA24">
        <v>728</v>
      </c>
      <c r="AB24">
        <v>756</v>
      </c>
      <c r="AC24">
        <v>47</v>
      </c>
      <c r="AD24">
        <v>0</v>
      </c>
      <c r="AE24">
        <v>0</v>
      </c>
      <c r="AF24">
        <v>88</v>
      </c>
      <c r="AG24">
        <v>10</v>
      </c>
      <c r="AH24">
        <v>32</v>
      </c>
      <c r="AI24">
        <v>720</v>
      </c>
      <c r="AJ24">
        <v>718</v>
      </c>
      <c r="AK24">
        <v>723</v>
      </c>
      <c r="AL24">
        <v>0</v>
      </c>
      <c r="AM24">
        <v>0</v>
      </c>
      <c r="AN24">
        <v>1</v>
      </c>
      <c r="AO24">
        <v>920</v>
      </c>
      <c r="AP24">
        <v>793</v>
      </c>
      <c r="AQ24">
        <v>800</v>
      </c>
      <c r="AR24">
        <v>801</v>
      </c>
      <c r="AS24">
        <v>764</v>
      </c>
      <c r="AT24">
        <v>680</v>
      </c>
      <c r="AU24">
        <v>1721</v>
      </c>
      <c r="AV24">
        <v>792</v>
      </c>
      <c r="AW24">
        <v>772</v>
      </c>
      <c r="AX24">
        <v>-920</v>
      </c>
      <c r="AY24">
        <v>-28</v>
      </c>
      <c r="AZ24">
        <v>-92</v>
      </c>
      <c r="BA24">
        <v>119</v>
      </c>
      <c r="BB24">
        <v>29</v>
      </c>
      <c r="BC24">
        <v>120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119</v>
      </c>
      <c r="BK24">
        <v>15</v>
      </c>
      <c r="BL24">
        <v>99</v>
      </c>
      <c r="BM24">
        <v>0</v>
      </c>
      <c r="BN24">
        <v>14</v>
      </c>
      <c r="BO24">
        <v>21</v>
      </c>
      <c r="BP24">
        <v>603</v>
      </c>
      <c r="BQ24">
        <v>955</v>
      </c>
      <c r="BR24">
        <v>1125</v>
      </c>
      <c r="BS24">
        <v>118</v>
      </c>
      <c r="BT24">
        <v>854</v>
      </c>
      <c r="BU24">
        <v>831</v>
      </c>
      <c r="BV24">
        <v>298</v>
      </c>
      <c r="BW24">
        <v>0</v>
      </c>
      <c r="BX24">
        <v>0</v>
      </c>
      <c r="BY24">
        <v>35</v>
      </c>
      <c r="BZ24">
        <v>101</v>
      </c>
      <c r="CA24">
        <v>237</v>
      </c>
      <c r="CB24">
        <v>0</v>
      </c>
      <c r="CC24">
        <v>0</v>
      </c>
      <c r="CD24">
        <v>0</v>
      </c>
      <c r="CE24">
        <v>70</v>
      </c>
      <c r="CF24">
        <v>0</v>
      </c>
      <c r="CG24">
        <v>36</v>
      </c>
      <c r="CH24">
        <v>5</v>
      </c>
      <c r="CI24">
        <v>0</v>
      </c>
      <c r="CJ24">
        <v>21</v>
      </c>
      <c r="CK24">
        <v>77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3</v>
      </c>
      <c r="CT24">
        <v>0</v>
      </c>
      <c r="CU24">
        <v>0</v>
      </c>
      <c r="CV24">
        <v>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593</v>
      </c>
      <c r="DS24">
        <v>862</v>
      </c>
      <c r="DT24">
        <v>930</v>
      </c>
      <c r="DU24">
        <v>8</v>
      </c>
      <c r="DV24">
        <v>11</v>
      </c>
      <c r="DW24">
        <v>20</v>
      </c>
      <c r="DX24">
        <v>74</v>
      </c>
      <c r="DY24">
        <v>282</v>
      </c>
      <c r="DZ24">
        <v>236</v>
      </c>
      <c r="EA24" s="183">
        <v>10</v>
      </c>
      <c r="EB24" s="83">
        <v>0</v>
      </c>
      <c r="EC24" s="184">
        <v>0</v>
      </c>
      <c r="ED24">
        <v>294</v>
      </c>
      <c r="EE24">
        <v>282</v>
      </c>
      <c r="EF24">
        <v>269</v>
      </c>
      <c r="EG24">
        <v>33</v>
      </c>
      <c r="EH24">
        <v>0</v>
      </c>
      <c r="EI24">
        <v>0</v>
      </c>
      <c r="EJ24">
        <v>39</v>
      </c>
      <c r="EK24">
        <v>40</v>
      </c>
      <c r="EL24">
        <v>56</v>
      </c>
      <c r="EM24">
        <v>222</v>
      </c>
      <c r="EN24">
        <v>222</v>
      </c>
      <c r="EO24">
        <v>213</v>
      </c>
      <c r="EP24" s="83">
        <v>207</v>
      </c>
      <c r="EQ24" s="83">
        <v>287</v>
      </c>
      <c r="ER24" s="83">
        <v>405</v>
      </c>
      <c r="ES24">
        <v>-10</v>
      </c>
      <c r="ET24">
        <v>-93</v>
      </c>
      <c r="EU24">
        <v>-195</v>
      </c>
      <c r="EV24">
        <v>-10</v>
      </c>
      <c r="EW24">
        <v>-93</v>
      </c>
      <c r="EX24">
        <v>-195</v>
      </c>
      <c r="EY24">
        <v>42</v>
      </c>
      <c r="EZ24">
        <v>65</v>
      </c>
      <c r="FA24">
        <v>106</v>
      </c>
      <c r="FB24">
        <v>42</v>
      </c>
      <c r="FC24">
        <v>65</v>
      </c>
      <c r="FD24">
        <v>106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42</v>
      </c>
      <c r="GA24">
        <v>65</v>
      </c>
      <c r="GB24">
        <v>103</v>
      </c>
      <c r="GC24">
        <v>42</v>
      </c>
      <c r="GD24">
        <v>65</v>
      </c>
      <c r="GE24">
        <v>103</v>
      </c>
      <c r="GF24" s="4">
        <f>BP24+CQ24</f>
        <v>603</v>
      </c>
      <c r="GG24">
        <f>BQ24+CR24</f>
        <v>955</v>
      </c>
      <c r="GH24" s="4">
        <f>BR24+CS24</f>
        <v>1128</v>
      </c>
      <c r="GI24" s="4">
        <f>DR24+EY24</f>
        <v>635</v>
      </c>
      <c r="GJ24">
        <f>DS24+EZ24</f>
        <v>927</v>
      </c>
      <c r="GK24" s="4">
        <f>DT24+FA24</f>
        <v>1036</v>
      </c>
      <c r="GL24" s="4">
        <f>GI24-GF24</f>
        <v>32</v>
      </c>
      <c r="GM24">
        <f>GJ24-GG24</f>
        <v>-28</v>
      </c>
      <c r="GN24" s="4">
        <f>GK24-GH24</f>
        <v>-92</v>
      </c>
      <c r="GO24" s="4">
        <f>GC24+EV24</f>
        <v>32</v>
      </c>
      <c r="GP24">
        <f>GD24+EW24</f>
        <v>-28</v>
      </c>
      <c r="GQ24" s="4">
        <f>GE24+EX24</f>
        <v>-92</v>
      </c>
    </row>
    <row r="25" spans="1:200">
      <c r="A25" t="s">
        <v>107</v>
      </c>
      <c r="B25">
        <v>70</v>
      </c>
      <c r="C25">
        <v>5</v>
      </c>
      <c r="D25">
        <v>10</v>
      </c>
      <c r="E25">
        <v>25</v>
      </c>
      <c r="F25">
        <v>59</v>
      </c>
      <c r="G25">
        <v>1</v>
      </c>
      <c r="H25">
        <v>0</v>
      </c>
      <c r="I25" t="s">
        <v>37</v>
      </c>
      <c r="J25" t="s">
        <v>33</v>
      </c>
      <c r="K25">
        <v>4</v>
      </c>
      <c r="L25">
        <v>45</v>
      </c>
      <c r="M25">
        <v>10</v>
      </c>
      <c r="N25">
        <v>35</v>
      </c>
      <c r="O25">
        <v>10</v>
      </c>
      <c r="P25">
        <v>4</v>
      </c>
      <c r="Q25">
        <v>48</v>
      </c>
      <c r="R25">
        <v>84</v>
      </c>
      <c r="S25">
        <v>154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48</v>
      </c>
      <c r="AA25">
        <v>84</v>
      </c>
      <c r="AB25">
        <v>154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48</v>
      </c>
      <c r="AJ25">
        <v>84</v>
      </c>
      <c r="AK25">
        <v>154</v>
      </c>
      <c r="AL25">
        <v>0</v>
      </c>
      <c r="AM25">
        <v>0</v>
      </c>
      <c r="AN25">
        <v>0</v>
      </c>
      <c r="AO25">
        <v>48</v>
      </c>
      <c r="AP25">
        <v>84</v>
      </c>
      <c r="AQ25">
        <v>154</v>
      </c>
      <c r="AR25">
        <f>AO25-BA25</f>
        <v>36</v>
      </c>
      <c r="AS25">
        <v>81</v>
      </c>
      <c r="AT25">
        <v>154</v>
      </c>
      <c r="AU25">
        <f>36+118</f>
        <v>154</v>
      </c>
      <c r="AV25">
        <v>0</v>
      </c>
      <c r="AW25">
        <v>64</v>
      </c>
      <c r="AX25">
        <v>-118</v>
      </c>
      <c r="AY25">
        <v>81</v>
      </c>
      <c r="AZ25">
        <v>90</v>
      </c>
      <c r="BA25">
        <v>12</v>
      </c>
      <c r="BB25">
        <v>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12</v>
      </c>
      <c r="BK25">
        <v>3</v>
      </c>
      <c r="BL25">
        <v>0</v>
      </c>
      <c r="BM25">
        <v>0</v>
      </c>
      <c r="BN25">
        <v>0</v>
      </c>
      <c r="BO25">
        <v>0</v>
      </c>
      <c r="BP25">
        <v>393</v>
      </c>
      <c r="BQ25">
        <v>471</v>
      </c>
      <c r="BR25">
        <v>992</v>
      </c>
      <c r="BS25">
        <v>10</v>
      </c>
      <c r="BT25">
        <v>471</v>
      </c>
      <c r="BU25">
        <v>840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153</v>
      </c>
      <c r="CB25">
        <v>0</v>
      </c>
      <c r="CC25">
        <v>0</v>
      </c>
      <c r="CD25">
        <v>0</v>
      </c>
      <c r="CE25">
        <v>383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275</v>
      </c>
      <c r="DS25">
        <v>559</v>
      </c>
      <c r="DT25">
        <v>1082</v>
      </c>
      <c r="DU25">
        <v>133</v>
      </c>
      <c r="DV25">
        <v>216</v>
      </c>
      <c r="DW25">
        <v>443</v>
      </c>
      <c r="DX25">
        <v>0</v>
      </c>
      <c r="DY25">
        <v>0</v>
      </c>
      <c r="DZ25">
        <v>0</v>
      </c>
      <c r="EA25" s="183">
        <v>0</v>
      </c>
      <c r="EB25" s="83">
        <v>0</v>
      </c>
      <c r="EC25" s="184">
        <v>0</v>
      </c>
      <c r="ED25">
        <v>142</v>
      </c>
      <c r="EE25">
        <v>343</v>
      </c>
      <c r="EF25">
        <f>DT25-DW25-ER25</f>
        <v>515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142</v>
      </c>
      <c r="EN25">
        <v>343</v>
      </c>
      <c r="EO25">
        <v>515</v>
      </c>
      <c r="EP25">
        <v>0</v>
      </c>
      <c r="EQ25">
        <v>0</v>
      </c>
      <c r="ER25">
        <v>124</v>
      </c>
      <c r="ES25">
        <v>-118</v>
      </c>
      <c r="ET25">
        <v>88</v>
      </c>
      <c r="EU25">
        <v>90</v>
      </c>
      <c r="EV25">
        <v>-118</v>
      </c>
      <c r="EW25">
        <v>88</v>
      </c>
      <c r="EX25">
        <v>90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 s="4">
        <f>BP25+CQ25</f>
        <v>393</v>
      </c>
      <c r="GG25">
        <f>BQ25+CR25</f>
        <v>471</v>
      </c>
      <c r="GH25" s="4">
        <f>BR25+CS25</f>
        <v>992</v>
      </c>
      <c r="GI25" s="4">
        <f>DR25+EY25</f>
        <v>275</v>
      </c>
      <c r="GJ25">
        <f>DS25+EZ25</f>
        <v>559</v>
      </c>
      <c r="GK25" s="4">
        <f>DT25+FA25</f>
        <v>1082</v>
      </c>
      <c r="GL25" s="4">
        <f>GI25-GF25</f>
        <v>-118</v>
      </c>
      <c r="GM25">
        <f>GJ25-GG25</f>
        <v>88</v>
      </c>
      <c r="GN25" s="4">
        <f>GK25-GH25</f>
        <v>90</v>
      </c>
      <c r="GO25" s="4">
        <f>GC25+EV25</f>
        <v>-118</v>
      </c>
      <c r="GP25">
        <f>GD25+EW25</f>
        <v>88</v>
      </c>
      <c r="GQ25" s="4">
        <f>GE25+EX25</f>
        <v>90</v>
      </c>
    </row>
    <row r="26" spans="1:200">
      <c r="A26" t="s">
        <v>108</v>
      </c>
      <c r="B26">
        <v>160</v>
      </c>
      <c r="C26">
        <v>0</v>
      </c>
      <c r="D26">
        <v>42</v>
      </c>
      <c r="E26">
        <v>7</v>
      </c>
      <c r="F26">
        <v>18</v>
      </c>
      <c r="G26">
        <v>21</v>
      </c>
      <c r="H26">
        <v>12</v>
      </c>
      <c r="I26" t="s">
        <v>37</v>
      </c>
      <c r="J26" t="s">
        <v>35</v>
      </c>
      <c r="K26">
        <v>4</v>
      </c>
      <c r="L26">
        <v>25</v>
      </c>
      <c r="M26">
        <v>65</v>
      </c>
      <c r="N26">
        <v>7</v>
      </c>
      <c r="O26">
        <v>3</v>
      </c>
      <c r="P26">
        <v>6</v>
      </c>
      <c r="Q26">
        <v>7213</v>
      </c>
      <c r="R26">
        <v>7223</v>
      </c>
      <c r="S26">
        <v>7225</v>
      </c>
      <c r="T26">
        <v>1504</v>
      </c>
      <c r="U26">
        <v>1504</v>
      </c>
      <c r="V26">
        <v>1504</v>
      </c>
      <c r="W26">
        <v>-6</v>
      </c>
      <c r="X26">
        <v>-11</v>
      </c>
      <c r="Y26">
        <v>-17</v>
      </c>
      <c r="Z26">
        <v>5715</v>
      </c>
      <c r="AA26">
        <v>5730</v>
      </c>
      <c r="AB26">
        <v>5738</v>
      </c>
      <c r="AC26">
        <v>0</v>
      </c>
      <c r="AD26">
        <v>0</v>
      </c>
      <c r="AE26">
        <v>0</v>
      </c>
      <c r="AF26">
        <v>28</v>
      </c>
      <c r="AG26">
        <v>13</v>
      </c>
      <c r="AH26">
        <v>106</v>
      </c>
      <c r="AI26">
        <v>5687</v>
      </c>
      <c r="AJ26">
        <v>5717</v>
      </c>
      <c r="AK26">
        <v>5632</v>
      </c>
      <c r="AL26">
        <v>0</v>
      </c>
      <c r="AM26">
        <v>0</v>
      </c>
      <c r="AN26">
        <v>0</v>
      </c>
      <c r="AO26">
        <v>7213</v>
      </c>
      <c r="AP26">
        <v>7223</v>
      </c>
      <c r="AQ26">
        <v>7225</v>
      </c>
      <c r="AR26">
        <v>7213</v>
      </c>
      <c r="AS26">
        <v>7223</v>
      </c>
      <c r="AT26">
        <v>7222</v>
      </c>
      <c r="AU26">
        <v>2794</v>
      </c>
      <c r="AV26">
        <v>2794</v>
      </c>
      <c r="AW26">
        <v>2794</v>
      </c>
      <c r="AX26">
        <v>4419</v>
      </c>
      <c r="AY26">
        <v>4429</v>
      </c>
      <c r="AZ26">
        <v>4428</v>
      </c>
      <c r="BA26">
        <v>0</v>
      </c>
      <c r="BB26">
        <v>0</v>
      </c>
      <c r="BC26">
        <v>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3</v>
      </c>
      <c r="BM26">
        <v>0</v>
      </c>
      <c r="BN26">
        <v>0</v>
      </c>
      <c r="BO26">
        <v>0</v>
      </c>
      <c r="BP26">
        <v>346</v>
      </c>
      <c r="BQ26">
        <v>405</v>
      </c>
      <c r="BR26">
        <v>485</v>
      </c>
      <c r="BS26">
        <v>68</v>
      </c>
      <c r="BT26">
        <v>350</v>
      </c>
      <c r="BU26">
        <v>408</v>
      </c>
      <c r="BV26">
        <v>221</v>
      </c>
      <c r="BW26">
        <v>0</v>
      </c>
      <c r="BX26">
        <v>0</v>
      </c>
      <c r="BY26">
        <v>16</v>
      </c>
      <c r="BZ26">
        <v>20</v>
      </c>
      <c r="CA26">
        <v>33</v>
      </c>
      <c r="CB26">
        <v>7</v>
      </c>
      <c r="CC26">
        <v>8</v>
      </c>
      <c r="CD26">
        <v>1</v>
      </c>
      <c r="CE26">
        <v>6</v>
      </c>
      <c r="CF26">
        <v>0</v>
      </c>
      <c r="CG26">
        <v>15</v>
      </c>
      <c r="CH26">
        <v>5</v>
      </c>
      <c r="CI26">
        <v>5</v>
      </c>
      <c r="CJ26">
        <v>5</v>
      </c>
      <c r="CK26">
        <v>23</v>
      </c>
      <c r="CL26">
        <v>22</v>
      </c>
      <c r="CM26">
        <v>23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424</v>
      </c>
      <c r="DS26">
        <v>415</v>
      </c>
      <c r="DT26">
        <v>485</v>
      </c>
      <c r="DU26">
        <v>69</v>
      </c>
      <c r="DV26">
        <v>9</v>
      </c>
      <c r="DW26">
        <v>56</v>
      </c>
      <c r="DX26">
        <v>62</v>
      </c>
      <c r="DY26">
        <v>40</v>
      </c>
      <c r="DZ26">
        <v>13</v>
      </c>
      <c r="EA26" s="183">
        <v>0</v>
      </c>
      <c r="EB26" s="83">
        <v>0</v>
      </c>
      <c r="EC26" s="184">
        <v>0</v>
      </c>
      <c r="ED26">
        <v>140</v>
      </c>
      <c r="EE26">
        <v>190</v>
      </c>
      <c r="EF26">
        <v>159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140</v>
      </c>
      <c r="EN26">
        <v>190</v>
      </c>
      <c r="EO26">
        <v>159</v>
      </c>
      <c r="EP26" s="83">
        <v>153</v>
      </c>
      <c r="EQ26" s="83">
        <v>176</v>
      </c>
      <c r="ER26" s="83">
        <v>257</v>
      </c>
      <c r="ES26">
        <v>78</v>
      </c>
      <c r="ET26">
        <v>10</v>
      </c>
      <c r="EU26">
        <f>DT26-BR26</f>
        <v>0</v>
      </c>
      <c r="EV26">
        <v>78</v>
      </c>
      <c r="EW26">
        <v>10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 s="4">
        <f>BP26+CQ26</f>
        <v>346</v>
      </c>
      <c r="GG26">
        <f>BQ26+CR26</f>
        <v>405</v>
      </c>
      <c r="GH26" s="4">
        <f>BR26+CS26</f>
        <v>485</v>
      </c>
      <c r="GI26" s="4">
        <f>DR26+EY26</f>
        <v>424</v>
      </c>
      <c r="GJ26">
        <f>DS26+EZ26</f>
        <v>415</v>
      </c>
      <c r="GK26" s="4">
        <f>DT26+FA26</f>
        <v>485</v>
      </c>
      <c r="GL26" s="4">
        <f>GI26-GF26</f>
        <v>78</v>
      </c>
      <c r="GM26">
        <f>GJ26-GG26</f>
        <v>10</v>
      </c>
      <c r="GN26" s="4">
        <f>GK26-GH26</f>
        <v>0</v>
      </c>
      <c r="GO26" s="4">
        <f>GC26+EV26</f>
        <v>78</v>
      </c>
      <c r="GP26">
        <f>GD26+EW26</f>
        <v>10</v>
      </c>
      <c r="GQ26" s="4">
        <f>GE26+EX26</f>
        <v>0</v>
      </c>
      <c r="GR26" t="s">
        <v>326</v>
      </c>
    </row>
    <row r="27" spans="1:200">
      <c r="A27" t="s">
        <v>109</v>
      </c>
      <c r="B27">
        <v>150</v>
      </c>
      <c r="C27">
        <v>5</v>
      </c>
      <c r="D27">
        <v>60</v>
      </c>
      <c r="E27">
        <v>20</v>
      </c>
      <c r="F27">
        <v>10</v>
      </c>
      <c r="G27">
        <v>5</v>
      </c>
      <c r="H27">
        <v>0</v>
      </c>
      <c r="I27" t="s">
        <v>37</v>
      </c>
      <c r="J27" t="s">
        <v>32</v>
      </c>
      <c r="K27">
        <v>1</v>
      </c>
      <c r="L27">
        <v>40</v>
      </c>
      <c r="M27">
        <v>60</v>
      </c>
      <c r="N27">
        <v>0</v>
      </c>
      <c r="O27">
        <v>0</v>
      </c>
      <c r="P27">
        <v>1</v>
      </c>
      <c r="Q27">
        <v>151</v>
      </c>
      <c r="R27">
        <v>167</v>
      </c>
      <c r="S27">
        <v>356</v>
      </c>
      <c r="T27">
        <v>124</v>
      </c>
      <c r="U27">
        <v>0</v>
      </c>
      <c r="V27">
        <v>0</v>
      </c>
      <c r="W27">
        <v>-124</v>
      </c>
      <c r="X27">
        <v>0</v>
      </c>
      <c r="Y27">
        <v>0</v>
      </c>
      <c r="Z27">
        <v>151</v>
      </c>
      <c r="AA27">
        <v>167</v>
      </c>
      <c r="AB27">
        <v>356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151</v>
      </c>
      <c r="AJ27">
        <v>167</v>
      </c>
      <c r="AK27">
        <v>356</v>
      </c>
      <c r="AL27">
        <v>0</v>
      </c>
      <c r="AM27">
        <v>0</v>
      </c>
      <c r="AN27">
        <v>0</v>
      </c>
      <c r="AO27">
        <v>151</v>
      </c>
      <c r="AP27">
        <v>167</v>
      </c>
      <c r="AQ27">
        <v>356</v>
      </c>
      <c r="AR27">
        <v>151</v>
      </c>
      <c r="AS27">
        <v>167</v>
      </c>
      <c r="AT27">
        <v>332</v>
      </c>
      <c r="AU27">
        <v>46</v>
      </c>
      <c r="AV27">
        <v>151</v>
      </c>
      <c r="AW27">
        <v>167</v>
      </c>
      <c r="AX27">
        <v>105</v>
      </c>
      <c r="AY27">
        <v>16</v>
      </c>
      <c r="AZ27">
        <v>165</v>
      </c>
      <c r="BA27">
        <v>0</v>
      </c>
      <c r="BB27">
        <v>0</v>
      </c>
      <c r="BC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24</v>
      </c>
      <c r="BM27">
        <v>0</v>
      </c>
      <c r="BN27">
        <v>0</v>
      </c>
      <c r="BO27">
        <v>0</v>
      </c>
      <c r="BP27">
        <v>449</v>
      </c>
      <c r="BQ27">
        <v>864</v>
      </c>
      <c r="BR27">
        <v>948</v>
      </c>
      <c r="BS27">
        <v>39</v>
      </c>
      <c r="BT27">
        <v>726</v>
      </c>
      <c r="BU27">
        <v>732</v>
      </c>
      <c r="BV27">
        <v>331</v>
      </c>
      <c r="BW27">
        <v>0</v>
      </c>
      <c r="BX27">
        <v>0</v>
      </c>
      <c r="BY27">
        <v>74</v>
      </c>
      <c r="BZ27">
        <v>120</v>
      </c>
      <c r="CA27">
        <v>214</v>
      </c>
      <c r="CB27">
        <v>0</v>
      </c>
      <c r="CC27">
        <v>0</v>
      </c>
      <c r="CD27">
        <v>0</v>
      </c>
      <c r="CE27">
        <v>5</v>
      </c>
      <c r="CF27">
        <v>18</v>
      </c>
      <c r="CG27">
        <v>2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554</v>
      </c>
      <c r="DS27">
        <v>880</v>
      </c>
      <c r="DT27">
        <v>1113</v>
      </c>
      <c r="DU27">
        <v>0</v>
      </c>
      <c r="DV27">
        <v>0</v>
      </c>
      <c r="DW27">
        <v>0</v>
      </c>
      <c r="DX27">
        <v>79</v>
      </c>
      <c r="DY27">
        <v>7</v>
      </c>
      <c r="DZ27">
        <v>0</v>
      </c>
      <c r="EA27" s="183">
        <v>0</v>
      </c>
      <c r="EB27" s="83">
        <v>0</v>
      </c>
      <c r="EC27" s="184">
        <v>0</v>
      </c>
      <c r="ED27">
        <v>265</v>
      </c>
      <c r="EE27">
        <v>873</v>
      </c>
      <c r="EF27">
        <v>1113</v>
      </c>
      <c r="EG27">
        <v>10</v>
      </c>
      <c r="EH27">
        <v>19</v>
      </c>
      <c r="EI27">
        <v>0</v>
      </c>
      <c r="EJ27">
        <v>80</v>
      </c>
      <c r="EK27">
        <v>595</v>
      </c>
      <c r="EL27">
        <v>699</v>
      </c>
      <c r="EM27">
        <v>175</v>
      </c>
      <c r="EN27">
        <v>259</v>
      </c>
      <c r="EO27">
        <v>414</v>
      </c>
      <c r="EP27">
        <v>210</v>
      </c>
      <c r="EQ27">
        <v>0</v>
      </c>
      <c r="ER27">
        <v>0</v>
      </c>
      <c r="ES27">
        <v>105</v>
      </c>
      <c r="ET27">
        <v>16</v>
      </c>
      <c r="EU27">
        <v>165</v>
      </c>
      <c r="EV27">
        <v>105</v>
      </c>
      <c r="EW27">
        <v>16</v>
      </c>
      <c r="EX27">
        <v>165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 s="4">
        <f>BP27+CQ27</f>
        <v>449</v>
      </c>
      <c r="GG27">
        <f>BQ27+CR27</f>
        <v>864</v>
      </c>
      <c r="GH27" s="4">
        <f>BR27+CS27</f>
        <v>948</v>
      </c>
      <c r="GI27" s="4">
        <f>DR27+EY27</f>
        <v>554</v>
      </c>
      <c r="GJ27">
        <f>DS27+EZ27</f>
        <v>880</v>
      </c>
      <c r="GK27" s="4">
        <f>DT27+FA27</f>
        <v>1113</v>
      </c>
      <c r="GL27" s="4">
        <f>GI27-GF27</f>
        <v>105</v>
      </c>
      <c r="GM27">
        <f>GJ27-GG27</f>
        <v>16</v>
      </c>
      <c r="GN27" s="4">
        <f>GK27-GH27</f>
        <v>165</v>
      </c>
      <c r="GO27" s="4">
        <f>GC27+EV27</f>
        <v>105</v>
      </c>
      <c r="GP27">
        <f>GD27+EW27</f>
        <v>16</v>
      </c>
      <c r="GQ27" s="4">
        <f>GE27+EX27</f>
        <v>165</v>
      </c>
      <c r="GR27" t="s">
        <v>326</v>
      </c>
    </row>
    <row r="28" spans="1:200">
      <c r="A28" t="s">
        <v>136</v>
      </c>
      <c r="B28">
        <v>230</v>
      </c>
      <c r="C28">
        <v>15</v>
      </c>
      <c r="D28">
        <v>38</v>
      </c>
      <c r="E28">
        <v>23</v>
      </c>
      <c r="F28">
        <v>14</v>
      </c>
      <c r="G28">
        <v>10</v>
      </c>
      <c r="H28">
        <v>0</v>
      </c>
      <c r="I28" t="s">
        <v>37</v>
      </c>
      <c r="J28" t="s">
        <v>32</v>
      </c>
      <c r="K28">
        <v>4</v>
      </c>
      <c r="L28">
        <v>40</v>
      </c>
      <c r="M28">
        <v>40</v>
      </c>
      <c r="N28">
        <v>20</v>
      </c>
      <c r="O28">
        <v>0</v>
      </c>
      <c r="P28">
        <v>5</v>
      </c>
      <c r="Q28">
        <v>634</v>
      </c>
      <c r="R28">
        <v>475</v>
      </c>
      <c r="S28">
        <v>733</v>
      </c>
      <c r="T28">
        <v>251</v>
      </c>
      <c r="U28">
        <v>252</v>
      </c>
      <c r="V28">
        <v>252</v>
      </c>
      <c r="W28">
        <v>-194</v>
      </c>
      <c r="X28">
        <v>-252</v>
      </c>
      <c r="Y28">
        <v>-252</v>
      </c>
      <c r="Z28">
        <v>577</v>
      </c>
      <c r="AA28">
        <v>475</v>
      </c>
      <c r="AB28">
        <v>677</v>
      </c>
      <c r="AC28">
        <v>0</v>
      </c>
      <c r="AD28">
        <v>0</v>
      </c>
      <c r="AE28">
        <v>0</v>
      </c>
      <c r="AF28">
        <v>1</v>
      </c>
      <c r="AG28">
        <v>1</v>
      </c>
      <c r="AH28">
        <v>3</v>
      </c>
      <c r="AI28">
        <v>549</v>
      </c>
      <c r="AJ28">
        <v>451</v>
      </c>
      <c r="AK28">
        <v>649</v>
      </c>
      <c r="AL28">
        <v>27</v>
      </c>
      <c r="AM28">
        <v>23</v>
      </c>
      <c r="AN28">
        <v>25</v>
      </c>
      <c r="AO28">
        <v>634</v>
      </c>
      <c r="AP28">
        <v>475</v>
      </c>
      <c r="AQ28">
        <v>733</v>
      </c>
      <c r="AR28">
        <v>460</v>
      </c>
      <c r="AS28">
        <v>375</v>
      </c>
      <c r="AT28">
        <v>577</v>
      </c>
      <c r="AU28">
        <v>130</v>
      </c>
      <c r="AV28">
        <v>130</v>
      </c>
      <c r="AW28">
        <v>130</v>
      </c>
      <c r="AX28">
        <v>330</v>
      </c>
      <c r="AY28">
        <v>245</v>
      </c>
      <c r="AZ28">
        <v>447</v>
      </c>
      <c r="BA28">
        <v>174</v>
      </c>
      <c r="BB28">
        <v>100</v>
      </c>
      <c r="BC28">
        <v>156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154</v>
      </c>
      <c r="BK28">
        <v>86</v>
      </c>
      <c r="BL28">
        <v>138</v>
      </c>
      <c r="BM28">
        <v>20</v>
      </c>
      <c r="BN28">
        <v>14</v>
      </c>
      <c r="BO28">
        <v>18</v>
      </c>
      <c r="BP28">
        <v>1707</v>
      </c>
      <c r="BQ28">
        <v>1823</v>
      </c>
      <c r="BR28">
        <v>1841</v>
      </c>
      <c r="BS28">
        <v>258</v>
      </c>
      <c r="BT28">
        <v>1489</v>
      </c>
      <c r="BU28">
        <v>1198</v>
      </c>
      <c r="BV28">
        <v>1097</v>
      </c>
      <c r="BW28">
        <v>0</v>
      </c>
      <c r="BX28">
        <v>0</v>
      </c>
      <c r="BY28">
        <v>233</v>
      </c>
      <c r="BZ28">
        <v>232</v>
      </c>
      <c r="CA28">
        <v>521</v>
      </c>
      <c r="CB28">
        <v>55</v>
      </c>
      <c r="CC28">
        <v>71</v>
      </c>
      <c r="CD28">
        <v>114</v>
      </c>
      <c r="CE28">
        <v>17</v>
      </c>
      <c r="CF28">
        <v>5</v>
      </c>
      <c r="CG28">
        <v>3</v>
      </c>
      <c r="CH28">
        <v>47</v>
      </c>
      <c r="CI28">
        <v>26</v>
      </c>
      <c r="CJ28">
        <v>5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31</v>
      </c>
      <c r="CR28">
        <v>31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31</v>
      </c>
      <c r="DH28">
        <v>0</v>
      </c>
      <c r="DI28">
        <v>31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1389</v>
      </c>
      <c r="DS28">
        <v>1736</v>
      </c>
      <c r="DT28">
        <v>1853</v>
      </c>
      <c r="DU28">
        <v>8</v>
      </c>
      <c r="DV28">
        <v>6</v>
      </c>
      <c r="DW28">
        <v>59</v>
      </c>
      <c r="DX28">
        <v>0</v>
      </c>
      <c r="DY28">
        <v>0</v>
      </c>
      <c r="DZ28">
        <v>0</v>
      </c>
      <c r="EA28" s="183">
        <v>0</v>
      </c>
      <c r="EB28" s="83">
        <v>0</v>
      </c>
      <c r="EC28" s="184">
        <v>0</v>
      </c>
      <c r="ED28">
        <v>762</v>
      </c>
      <c r="EE28">
        <v>794</v>
      </c>
      <c r="EF28">
        <v>748</v>
      </c>
      <c r="EG28">
        <v>0</v>
      </c>
      <c r="EH28">
        <v>0</v>
      </c>
      <c r="EI28">
        <v>0</v>
      </c>
      <c r="EJ28">
        <v>152</v>
      </c>
      <c r="EK28">
        <v>159</v>
      </c>
      <c r="EL28">
        <v>150</v>
      </c>
      <c r="EM28">
        <v>610</v>
      </c>
      <c r="EN28">
        <v>635</v>
      </c>
      <c r="EO28">
        <v>598</v>
      </c>
      <c r="EP28">
        <v>619</v>
      </c>
      <c r="EQ28">
        <v>936</v>
      </c>
      <c r="ER28">
        <v>1046</v>
      </c>
      <c r="ES28">
        <v>-318</v>
      </c>
      <c r="ET28">
        <v>-87</v>
      </c>
      <c r="EU28">
        <v>12</v>
      </c>
      <c r="EV28">
        <v>-318</v>
      </c>
      <c r="EW28">
        <v>-87</v>
      </c>
      <c r="EX28">
        <v>12</v>
      </c>
      <c r="EY28">
        <v>93</v>
      </c>
      <c r="EZ28">
        <v>33</v>
      </c>
      <c r="FA28">
        <v>190</v>
      </c>
      <c r="FB28">
        <v>93</v>
      </c>
      <c r="FC28">
        <v>33</v>
      </c>
      <c r="FD28">
        <v>190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62</v>
      </c>
      <c r="GA28">
        <v>2</v>
      </c>
      <c r="GB28">
        <v>190</v>
      </c>
      <c r="GC28">
        <v>62</v>
      </c>
      <c r="GD28">
        <v>2</v>
      </c>
      <c r="GE28">
        <v>190</v>
      </c>
      <c r="GF28" s="4">
        <f>BP28+CQ28</f>
        <v>1738</v>
      </c>
      <c r="GG28">
        <f>BQ28+CR28</f>
        <v>1854</v>
      </c>
      <c r="GH28" s="4">
        <f>BR28+CS28</f>
        <v>1841</v>
      </c>
      <c r="GI28" s="4">
        <f>DR28+EY28</f>
        <v>1482</v>
      </c>
      <c r="GJ28">
        <f>DS28+EZ28</f>
        <v>1769</v>
      </c>
      <c r="GK28" s="4">
        <f>DT28+FA28</f>
        <v>2043</v>
      </c>
      <c r="GL28" s="4">
        <f>GI28-GF28</f>
        <v>-256</v>
      </c>
      <c r="GM28">
        <f>GJ28-GG28</f>
        <v>-85</v>
      </c>
      <c r="GN28" s="4">
        <f>GK28-GH28</f>
        <v>202</v>
      </c>
      <c r="GO28" s="4">
        <f>GC28+EV28</f>
        <v>-256</v>
      </c>
      <c r="GP28">
        <f>GD28+EW28</f>
        <v>-85</v>
      </c>
      <c r="GQ28" s="4">
        <f>GE28+EX28</f>
        <v>202</v>
      </c>
    </row>
    <row r="29" spans="1:200">
      <c r="A29" t="s">
        <v>59</v>
      </c>
      <c r="B29">
        <v>121</v>
      </c>
      <c r="C29">
        <v>0</v>
      </c>
      <c r="D29">
        <v>33</v>
      </c>
      <c r="E29">
        <v>12</v>
      </c>
      <c r="F29">
        <v>29</v>
      </c>
      <c r="G29">
        <v>19</v>
      </c>
      <c r="H29">
        <v>7</v>
      </c>
      <c r="I29" t="s">
        <v>38</v>
      </c>
      <c r="J29" t="s">
        <v>35</v>
      </c>
      <c r="K29">
        <v>3</v>
      </c>
      <c r="L29">
        <v>10</v>
      </c>
      <c r="M29">
        <v>87</v>
      </c>
      <c r="N29">
        <v>0</v>
      </c>
      <c r="O29">
        <v>3</v>
      </c>
      <c r="P29">
        <v>4</v>
      </c>
      <c r="Q29">
        <v>575</v>
      </c>
      <c r="R29">
        <v>498</v>
      </c>
      <c r="S29">
        <v>422</v>
      </c>
      <c r="T29">
        <v>2297</v>
      </c>
      <c r="U29">
        <v>2297</v>
      </c>
      <c r="V29">
        <v>2297</v>
      </c>
      <c r="W29">
        <v>-1787</v>
      </c>
      <c r="X29">
        <v>-1865</v>
      </c>
      <c r="Y29">
        <v>-1943</v>
      </c>
      <c r="Z29">
        <v>65</v>
      </c>
      <c r="AA29">
        <v>66</v>
      </c>
      <c r="AB29">
        <v>68</v>
      </c>
      <c r="AC29">
        <v>0</v>
      </c>
      <c r="AD29">
        <v>0</v>
      </c>
      <c r="AE29">
        <v>0</v>
      </c>
      <c r="AF29">
        <v>12</v>
      </c>
      <c r="AG29">
        <v>5</v>
      </c>
      <c r="AH29">
        <v>21</v>
      </c>
      <c r="AI29">
        <v>53</v>
      </c>
      <c r="AJ29">
        <v>61</v>
      </c>
      <c r="AK29">
        <v>47</v>
      </c>
      <c r="AL29">
        <v>0</v>
      </c>
      <c r="AM29">
        <v>0</v>
      </c>
      <c r="AN29">
        <v>0</v>
      </c>
      <c r="AO29">
        <v>575</v>
      </c>
      <c r="AP29">
        <v>498</v>
      </c>
      <c r="AQ29">
        <v>422</v>
      </c>
      <c r="AR29">
        <v>575</v>
      </c>
      <c r="AS29">
        <v>498</v>
      </c>
      <c r="AT29">
        <v>422</v>
      </c>
      <c r="AU29">
        <v>629</v>
      </c>
      <c r="AV29">
        <v>31</v>
      </c>
      <c r="AW29">
        <v>30</v>
      </c>
      <c r="AX29">
        <v>-54</v>
      </c>
      <c r="AY29">
        <v>467</v>
      </c>
      <c r="AZ29">
        <v>392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317</v>
      </c>
      <c r="BQ29">
        <v>399</v>
      </c>
      <c r="BR29">
        <v>349</v>
      </c>
      <c r="BS29">
        <v>74</v>
      </c>
      <c r="BT29">
        <v>222</v>
      </c>
      <c r="BU29">
        <v>175</v>
      </c>
      <c r="BV29">
        <v>105</v>
      </c>
      <c r="BX29">
        <v>0</v>
      </c>
      <c r="BY29">
        <v>0</v>
      </c>
      <c r="BZ29">
        <v>18</v>
      </c>
      <c r="CA29">
        <v>37</v>
      </c>
      <c r="CB29">
        <v>0</v>
      </c>
      <c r="CC29">
        <v>0</v>
      </c>
      <c r="CD29">
        <v>0</v>
      </c>
      <c r="CE29">
        <v>60</v>
      </c>
      <c r="CF29">
        <v>81</v>
      </c>
      <c r="CG29">
        <v>59</v>
      </c>
      <c r="CH29">
        <v>60</v>
      </c>
      <c r="CI29">
        <v>78</v>
      </c>
      <c r="CJ29">
        <v>78</v>
      </c>
      <c r="CK29">
        <v>78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231</v>
      </c>
      <c r="DS29">
        <v>242</v>
      </c>
      <c r="DT29">
        <v>199</v>
      </c>
      <c r="DU29">
        <v>0</v>
      </c>
      <c r="DV29">
        <v>0</v>
      </c>
      <c r="DW29">
        <v>0</v>
      </c>
      <c r="DX29">
        <v>7</v>
      </c>
      <c r="DY29">
        <v>0</v>
      </c>
      <c r="DZ29">
        <v>0</v>
      </c>
      <c r="EA29" s="183">
        <v>0</v>
      </c>
      <c r="EB29" s="83">
        <v>0</v>
      </c>
      <c r="EC29" s="184">
        <v>0</v>
      </c>
      <c r="ED29">
        <v>23</v>
      </c>
      <c r="EE29">
        <v>7</v>
      </c>
      <c r="EF29">
        <v>23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23</v>
      </c>
      <c r="EN29">
        <v>7</v>
      </c>
      <c r="EO29">
        <v>23</v>
      </c>
      <c r="EP29" s="83">
        <v>201</v>
      </c>
      <c r="EQ29" s="83">
        <v>235</v>
      </c>
      <c r="ER29" s="83">
        <v>176</v>
      </c>
      <c r="ES29">
        <v>-86</v>
      </c>
      <c r="ET29">
        <v>-157</v>
      </c>
      <c r="EU29">
        <v>-150</v>
      </c>
      <c r="EV29">
        <v>-86</v>
      </c>
      <c r="EW29">
        <v>-157</v>
      </c>
      <c r="EX29">
        <v>-150</v>
      </c>
      <c r="EY29">
        <v>32</v>
      </c>
      <c r="EZ29">
        <v>90</v>
      </c>
      <c r="FA29">
        <v>74</v>
      </c>
      <c r="FB29">
        <v>0</v>
      </c>
      <c r="FC29">
        <v>3</v>
      </c>
      <c r="FD29">
        <v>0</v>
      </c>
      <c r="FE29">
        <v>32</v>
      </c>
      <c r="FF29">
        <v>87</v>
      </c>
      <c r="FG29">
        <v>74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32</v>
      </c>
      <c r="GA29">
        <v>90</v>
      </c>
      <c r="GB29">
        <v>74</v>
      </c>
      <c r="GC29">
        <v>32</v>
      </c>
      <c r="GD29">
        <v>90</v>
      </c>
      <c r="GE29">
        <v>74</v>
      </c>
      <c r="GF29">
        <f>BP29+CQ29</f>
        <v>317</v>
      </c>
      <c r="GG29">
        <f>BQ29+CR29</f>
        <v>399</v>
      </c>
      <c r="GH29">
        <f>BR29+CS29</f>
        <v>349</v>
      </c>
      <c r="GI29">
        <f>DR29+EY29</f>
        <v>263</v>
      </c>
      <c r="GJ29">
        <f>DS29+EZ29</f>
        <v>332</v>
      </c>
      <c r="GK29">
        <f>DT29+FA29</f>
        <v>273</v>
      </c>
      <c r="GL29">
        <f>GI29-GF29</f>
        <v>-54</v>
      </c>
      <c r="GM29">
        <f>GJ29-GG29</f>
        <v>-67</v>
      </c>
      <c r="GN29">
        <f>GK29-GH29</f>
        <v>-76</v>
      </c>
      <c r="GO29">
        <f>GC29+EV29</f>
        <v>-54</v>
      </c>
      <c r="GP29">
        <f>GD29+EW29</f>
        <v>-67</v>
      </c>
      <c r="GQ29">
        <f>GE29+EX29</f>
        <v>-76</v>
      </c>
      <c r="GR29" t="s">
        <v>324</v>
      </c>
    </row>
    <row r="30" spans="1:200">
      <c r="A30" t="s">
        <v>60</v>
      </c>
      <c r="B30">
        <v>105</v>
      </c>
      <c r="C30">
        <v>0</v>
      </c>
      <c r="D30">
        <v>35</v>
      </c>
      <c r="E30">
        <v>10</v>
      </c>
      <c r="F30">
        <v>25</v>
      </c>
      <c r="G30">
        <v>25</v>
      </c>
      <c r="H30">
        <v>5</v>
      </c>
      <c r="I30" t="s">
        <v>38</v>
      </c>
      <c r="J30" t="s">
        <v>32</v>
      </c>
      <c r="K30">
        <v>1</v>
      </c>
      <c r="L30">
        <v>10</v>
      </c>
      <c r="M30">
        <v>30</v>
      </c>
      <c r="N30">
        <v>30</v>
      </c>
      <c r="O30">
        <v>30</v>
      </c>
      <c r="P30">
        <v>1</v>
      </c>
      <c r="Q30">
        <v>781</v>
      </c>
      <c r="R30">
        <v>706</v>
      </c>
      <c r="S30">
        <v>2174</v>
      </c>
      <c r="T30">
        <v>1587</v>
      </c>
      <c r="U30">
        <v>1587</v>
      </c>
      <c r="V30">
        <v>1421</v>
      </c>
      <c r="W30">
        <v>-1124</v>
      </c>
      <c r="X30">
        <v>-1152</v>
      </c>
      <c r="Y30">
        <v>-1009</v>
      </c>
      <c r="Z30">
        <v>318</v>
      </c>
      <c r="AA30">
        <v>271</v>
      </c>
      <c r="AB30">
        <v>1762</v>
      </c>
      <c r="AC30">
        <v>0</v>
      </c>
      <c r="AD30">
        <v>0</v>
      </c>
      <c r="AE30">
        <v>0</v>
      </c>
      <c r="AF30">
        <v>26</v>
      </c>
      <c r="AG30">
        <v>23</v>
      </c>
      <c r="AH30">
        <v>30</v>
      </c>
      <c r="AI30">
        <v>277</v>
      </c>
      <c r="AJ30">
        <v>234</v>
      </c>
      <c r="AK30">
        <v>1718</v>
      </c>
      <c r="AL30">
        <v>15</v>
      </c>
      <c r="AM30">
        <v>14</v>
      </c>
      <c r="AN30">
        <v>14</v>
      </c>
      <c r="AO30">
        <v>781</v>
      </c>
      <c r="AP30">
        <v>706</v>
      </c>
      <c r="AQ30">
        <v>2174</v>
      </c>
      <c r="AR30">
        <v>781</v>
      </c>
      <c r="AS30">
        <v>706</v>
      </c>
      <c r="AT30">
        <v>732</v>
      </c>
      <c r="AU30">
        <v>814</v>
      </c>
      <c r="AV30">
        <v>814</v>
      </c>
      <c r="AW30">
        <v>814</v>
      </c>
      <c r="AX30">
        <v>-33</v>
      </c>
      <c r="AY30">
        <v>-108</v>
      </c>
      <c r="AZ30">
        <v>-82</v>
      </c>
      <c r="BA30">
        <v>0</v>
      </c>
      <c r="BB30">
        <v>0</v>
      </c>
      <c r="BC30">
        <v>1442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1442</v>
      </c>
      <c r="BM30">
        <v>0</v>
      </c>
      <c r="BN30">
        <v>0</v>
      </c>
      <c r="BO30">
        <v>0</v>
      </c>
      <c r="BP30">
        <v>422</v>
      </c>
      <c r="BQ30">
        <v>905</v>
      </c>
      <c r="BR30">
        <v>1087</v>
      </c>
      <c r="BS30">
        <v>113</v>
      </c>
      <c r="BT30">
        <v>443</v>
      </c>
      <c r="BU30">
        <v>558</v>
      </c>
      <c r="BV30">
        <v>202</v>
      </c>
      <c r="BW30">
        <v>0</v>
      </c>
      <c r="BX30">
        <v>0</v>
      </c>
      <c r="BY30">
        <v>0</v>
      </c>
      <c r="BZ30">
        <v>126</v>
      </c>
      <c r="CA30">
        <v>352</v>
      </c>
      <c r="CB30">
        <v>0</v>
      </c>
      <c r="CC30">
        <v>2</v>
      </c>
      <c r="CD30">
        <v>9</v>
      </c>
      <c r="CE30">
        <v>60</v>
      </c>
      <c r="CF30">
        <v>305</v>
      </c>
      <c r="CG30">
        <v>129</v>
      </c>
      <c r="CH30">
        <v>47</v>
      </c>
      <c r="CI30">
        <v>29</v>
      </c>
      <c r="CJ30">
        <v>24</v>
      </c>
      <c r="CK30">
        <v>0</v>
      </c>
      <c r="CL30">
        <v>0</v>
      </c>
      <c r="CM30">
        <v>15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338</v>
      </c>
      <c r="DS30">
        <v>644</v>
      </c>
      <c r="DT30">
        <v>931</v>
      </c>
      <c r="DU30">
        <v>0</v>
      </c>
      <c r="DV30">
        <v>0</v>
      </c>
      <c r="DW30">
        <v>0</v>
      </c>
      <c r="DX30">
        <v>63</v>
      </c>
      <c r="DY30">
        <v>232</v>
      </c>
      <c r="DZ30">
        <v>179</v>
      </c>
      <c r="EA30" s="183">
        <v>0</v>
      </c>
      <c r="EB30" s="83">
        <v>0</v>
      </c>
      <c r="EC30" s="184">
        <v>0</v>
      </c>
      <c r="ED30">
        <v>236</v>
      </c>
      <c r="EE30">
        <v>264</v>
      </c>
      <c r="EF30">
        <v>444</v>
      </c>
      <c r="EG30">
        <v>31</v>
      </c>
      <c r="EH30">
        <v>0</v>
      </c>
      <c r="EI30">
        <v>0</v>
      </c>
      <c r="EJ30">
        <v>166</v>
      </c>
      <c r="EK30">
        <v>161</v>
      </c>
      <c r="EL30">
        <v>259</v>
      </c>
      <c r="EM30">
        <v>70</v>
      </c>
      <c r="EN30">
        <v>103</v>
      </c>
      <c r="EO30">
        <v>185</v>
      </c>
      <c r="EP30">
        <v>39</v>
      </c>
      <c r="EQ30">
        <v>148</v>
      </c>
      <c r="ER30">
        <v>308</v>
      </c>
      <c r="ES30">
        <v>-84</v>
      </c>
      <c r="ET30">
        <v>-261</v>
      </c>
      <c r="EU30">
        <v>-156</v>
      </c>
      <c r="EV30">
        <v>-84</v>
      </c>
      <c r="EW30">
        <v>-261</v>
      </c>
      <c r="EX30">
        <v>-156</v>
      </c>
      <c r="EY30">
        <v>176</v>
      </c>
      <c r="EZ30">
        <v>186</v>
      </c>
      <c r="FA30">
        <v>181</v>
      </c>
      <c r="FB30">
        <v>176</v>
      </c>
      <c r="FC30">
        <v>186</v>
      </c>
      <c r="FD30">
        <v>181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176</v>
      </c>
      <c r="GA30">
        <v>186</v>
      </c>
      <c r="GB30">
        <v>181</v>
      </c>
      <c r="GC30">
        <v>176</v>
      </c>
      <c r="GD30">
        <v>186</v>
      </c>
      <c r="GE30">
        <v>181</v>
      </c>
      <c r="GF30">
        <f>BP30+CQ30</f>
        <v>422</v>
      </c>
      <c r="GG30">
        <f>BQ30+CR30</f>
        <v>905</v>
      </c>
      <c r="GH30">
        <f>BR30+CS30</f>
        <v>1087</v>
      </c>
      <c r="GI30">
        <f>DR30+EY30</f>
        <v>514</v>
      </c>
      <c r="GJ30">
        <f>DS30+EZ30</f>
        <v>830</v>
      </c>
      <c r="GK30">
        <f>DT30+FA30</f>
        <v>1112</v>
      </c>
      <c r="GL30">
        <f>GI30-GF30</f>
        <v>92</v>
      </c>
      <c r="GM30">
        <f>GJ30-GG30</f>
        <v>-75</v>
      </c>
      <c r="GN30">
        <f>GK30-GH30</f>
        <v>25</v>
      </c>
      <c r="GO30">
        <f>GC30+EV30</f>
        <v>92</v>
      </c>
      <c r="GP30">
        <f>GD30+EW30</f>
        <v>-75</v>
      </c>
      <c r="GQ30">
        <f>GE30+EX30</f>
        <v>25</v>
      </c>
      <c r="GR30" t="s">
        <v>325</v>
      </c>
    </row>
    <row r="31" spans="1:200">
      <c r="A31" t="s">
        <v>61</v>
      </c>
      <c r="B31">
        <v>180</v>
      </c>
      <c r="C31">
        <v>0</v>
      </c>
      <c r="D31">
        <v>35</v>
      </c>
      <c r="E31">
        <v>10</v>
      </c>
      <c r="F31">
        <v>15</v>
      </c>
      <c r="G31">
        <v>20</v>
      </c>
      <c r="H31">
        <v>20</v>
      </c>
      <c r="I31" t="s">
        <v>38</v>
      </c>
      <c r="J31" t="s">
        <v>33</v>
      </c>
      <c r="K31">
        <v>4</v>
      </c>
      <c r="L31">
        <v>15</v>
      </c>
      <c r="M31">
        <v>30</v>
      </c>
      <c r="N31">
        <v>20</v>
      </c>
      <c r="O31">
        <v>35</v>
      </c>
      <c r="P31">
        <v>7</v>
      </c>
      <c r="Q31">
        <v>468</v>
      </c>
      <c r="R31">
        <v>612</v>
      </c>
      <c r="S31">
        <v>511</v>
      </c>
      <c r="T31">
        <v>350</v>
      </c>
      <c r="U31">
        <v>350</v>
      </c>
      <c r="V31">
        <v>350</v>
      </c>
      <c r="W31">
        <v>0</v>
      </c>
      <c r="X31">
        <v>0</v>
      </c>
      <c r="Y31">
        <v>0</v>
      </c>
      <c r="Z31">
        <v>118</v>
      </c>
      <c r="AA31">
        <v>262</v>
      </c>
      <c r="AB31">
        <v>161</v>
      </c>
      <c r="AC31">
        <v>0</v>
      </c>
      <c r="AD31">
        <v>0</v>
      </c>
      <c r="AE31">
        <v>0</v>
      </c>
      <c r="AF31">
        <v>5</v>
      </c>
      <c r="AG31">
        <v>8</v>
      </c>
      <c r="AH31">
        <v>0</v>
      </c>
      <c r="AI31">
        <v>113</v>
      </c>
      <c r="AJ31">
        <v>254</v>
      </c>
      <c r="AK31">
        <v>161</v>
      </c>
      <c r="AL31">
        <v>0</v>
      </c>
      <c r="AM31">
        <v>0</v>
      </c>
      <c r="AN31">
        <v>0</v>
      </c>
      <c r="AO31">
        <v>468</v>
      </c>
      <c r="AP31">
        <v>612</v>
      </c>
      <c r="AQ31">
        <v>511</v>
      </c>
      <c r="AR31">
        <v>204</v>
      </c>
      <c r="AS31">
        <v>205</v>
      </c>
      <c r="AT31">
        <v>352</v>
      </c>
      <c r="AU31">
        <v>190</v>
      </c>
      <c r="AV31">
        <v>204</v>
      </c>
      <c r="AW31">
        <v>205</v>
      </c>
      <c r="AX31">
        <v>14</v>
      </c>
      <c r="AY31">
        <v>1</v>
      </c>
      <c r="AZ31">
        <v>147</v>
      </c>
      <c r="BA31">
        <v>264</v>
      </c>
      <c r="BB31">
        <v>407</v>
      </c>
      <c r="BC31">
        <v>159</v>
      </c>
      <c r="BD31">
        <v>0</v>
      </c>
      <c r="BE31">
        <v>0</v>
      </c>
      <c r="BF31">
        <v>0</v>
      </c>
      <c r="BG31">
        <v>49</v>
      </c>
      <c r="BH31">
        <v>53</v>
      </c>
      <c r="BI31">
        <v>52</v>
      </c>
      <c r="BJ31">
        <v>215</v>
      </c>
      <c r="BK31">
        <v>224</v>
      </c>
      <c r="BL31">
        <v>107</v>
      </c>
      <c r="BM31">
        <v>0</v>
      </c>
      <c r="BN31">
        <v>130</v>
      </c>
      <c r="BO31">
        <v>0</v>
      </c>
      <c r="BP31">
        <v>610</v>
      </c>
      <c r="BQ31">
        <v>900</v>
      </c>
      <c r="BR31">
        <v>992</v>
      </c>
      <c r="BS31">
        <v>109</v>
      </c>
      <c r="BT31">
        <v>251</v>
      </c>
      <c r="BU31">
        <v>787</v>
      </c>
      <c r="BV31">
        <v>388</v>
      </c>
      <c r="BW31">
        <v>488</v>
      </c>
      <c r="BX31">
        <v>0</v>
      </c>
      <c r="BY31">
        <v>0</v>
      </c>
      <c r="BZ31">
        <v>133</v>
      </c>
      <c r="CA31">
        <v>0</v>
      </c>
      <c r="CB31">
        <v>0</v>
      </c>
      <c r="CC31">
        <v>0</v>
      </c>
      <c r="CD31">
        <v>0</v>
      </c>
      <c r="CE31">
        <v>87</v>
      </c>
      <c r="CF31">
        <v>0</v>
      </c>
      <c r="CG31">
        <v>178</v>
      </c>
      <c r="CH31">
        <v>0</v>
      </c>
      <c r="CI31">
        <v>0</v>
      </c>
      <c r="CJ31">
        <v>0</v>
      </c>
      <c r="CK31">
        <v>26</v>
      </c>
      <c r="CL31">
        <v>28</v>
      </c>
      <c r="CM31">
        <v>27</v>
      </c>
      <c r="CN31">
        <v>0</v>
      </c>
      <c r="CO31">
        <v>0</v>
      </c>
      <c r="CP31">
        <v>0</v>
      </c>
      <c r="CQ31">
        <v>21</v>
      </c>
      <c r="CR31">
        <v>77</v>
      </c>
      <c r="CS31">
        <v>65</v>
      </c>
      <c r="CT31">
        <v>21</v>
      </c>
      <c r="CU31">
        <v>77</v>
      </c>
      <c r="CV31">
        <v>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25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472</v>
      </c>
      <c r="DS31">
        <v>561</v>
      </c>
      <c r="DT31">
        <v>731</v>
      </c>
      <c r="DU31">
        <v>46</v>
      </c>
      <c r="DV31">
        <v>79</v>
      </c>
      <c r="DW31">
        <v>506</v>
      </c>
      <c r="DX31">
        <v>185</v>
      </c>
      <c r="DY31">
        <v>155</v>
      </c>
      <c r="DZ31">
        <v>17</v>
      </c>
      <c r="EA31" s="183">
        <v>0</v>
      </c>
      <c r="EB31" s="83">
        <v>0</v>
      </c>
      <c r="EC31" s="184">
        <v>0</v>
      </c>
      <c r="ED31">
        <v>57</v>
      </c>
      <c r="EE31">
        <v>52</v>
      </c>
      <c r="EF31">
        <v>25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57</v>
      </c>
      <c r="EN31">
        <v>52</v>
      </c>
      <c r="EO31">
        <v>25</v>
      </c>
      <c r="EP31">
        <v>184</v>
      </c>
      <c r="EQ31">
        <v>275</v>
      </c>
      <c r="ER31">
        <v>183</v>
      </c>
      <c r="ES31">
        <v>-138</v>
      </c>
      <c r="ET31">
        <v>-339</v>
      </c>
      <c r="EU31">
        <v>-261</v>
      </c>
      <c r="EV31">
        <v>-138</v>
      </c>
      <c r="EW31">
        <v>-339</v>
      </c>
      <c r="EX31">
        <v>-261</v>
      </c>
      <c r="EY31">
        <v>173</v>
      </c>
      <c r="EZ31">
        <v>426</v>
      </c>
      <c r="FA31">
        <v>473</v>
      </c>
      <c r="FB31">
        <v>173</v>
      </c>
      <c r="FC31">
        <v>426</v>
      </c>
      <c r="FD31">
        <v>473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152</v>
      </c>
      <c r="GA31">
        <v>349</v>
      </c>
      <c r="GB31">
        <v>433</v>
      </c>
      <c r="GC31">
        <v>152</v>
      </c>
      <c r="GD31">
        <v>340</v>
      </c>
      <c r="GE31">
        <v>408</v>
      </c>
      <c r="GF31">
        <f>BP31+CQ31</f>
        <v>631</v>
      </c>
      <c r="GG31">
        <f>BQ31+CR31</f>
        <v>977</v>
      </c>
      <c r="GH31">
        <f>BR31+CS31</f>
        <v>1057</v>
      </c>
      <c r="GI31">
        <f>DR31+EY31</f>
        <v>645</v>
      </c>
      <c r="GJ31">
        <f>DS31+EZ31</f>
        <v>987</v>
      </c>
      <c r="GK31">
        <f>DT31+FA31</f>
        <v>1204</v>
      </c>
      <c r="GL31">
        <f>GI31-GF31</f>
        <v>14</v>
      </c>
      <c r="GM31">
        <f>GJ31-GG31</f>
        <v>10</v>
      </c>
      <c r="GN31">
        <f>GK31-GH31</f>
        <v>147</v>
      </c>
      <c r="GO31">
        <f>GC31+EV31</f>
        <v>14</v>
      </c>
      <c r="GP31">
        <f>GD31+EW31</f>
        <v>1</v>
      </c>
      <c r="GQ31">
        <f>GE31+EX31</f>
        <v>147</v>
      </c>
    </row>
    <row r="32" spans="1:200">
      <c r="A32" t="s">
        <v>62</v>
      </c>
      <c r="B32">
        <v>296</v>
      </c>
      <c r="C32">
        <v>5</v>
      </c>
      <c r="D32">
        <v>70</v>
      </c>
      <c r="E32">
        <v>20</v>
      </c>
      <c r="F32">
        <v>3</v>
      </c>
      <c r="G32">
        <v>1</v>
      </c>
      <c r="H32">
        <v>1</v>
      </c>
      <c r="I32" t="s">
        <v>38</v>
      </c>
      <c r="J32" t="s">
        <v>32</v>
      </c>
      <c r="K32">
        <v>1</v>
      </c>
      <c r="L32">
        <v>25</v>
      </c>
      <c r="M32">
        <v>60</v>
      </c>
      <c r="N32">
        <v>5</v>
      </c>
      <c r="O32">
        <v>10</v>
      </c>
      <c r="P32">
        <v>2</v>
      </c>
      <c r="Q32">
        <v>5</v>
      </c>
      <c r="R32">
        <v>25</v>
      </c>
      <c r="S32">
        <v>31</v>
      </c>
      <c r="T32">
        <v>0</v>
      </c>
      <c r="U32">
        <v>0</v>
      </c>
      <c r="V32">
        <v>71</v>
      </c>
      <c r="W32">
        <v>0</v>
      </c>
      <c r="X32">
        <v>0</v>
      </c>
      <c r="Y32">
        <v>-71</v>
      </c>
      <c r="Z32">
        <v>5</v>
      </c>
      <c r="AA32">
        <v>25</v>
      </c>
      <c r="AB32">
        <v>31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5</v>
      </c>
      <c r="AJ32">
        <v>25</v>
      </c>
      <c r="AK32">
        <v>31</v>
      </c>
      <c r="AL32">
        <v>0</v>
      </c>
      <c r="AM32">
        <v>0</v>
      </c>
      <c r="AN32">
        <v>0</v>
      </c>
      <c r="AO32">
        <v>5</v>
      </c>
      <c r="AP32">
        <v>25</v>
      </c>
      <c r="AQ32">
        <v>31</v>
      </c>
      <c r="AR32">
        <v>-94</v>
      </c>
      <c r="AS32">
        <v>-63</v>
      </c>
      <c r="AT32">
        <v>6</v>
      </c>
      <c r="AU32">
        <v>0</v>
      </c>
      <c r="AV32">
        <v>0</v>
      </c>
      <c r="AW32">
        <v>-95</v>
      </c>
      <c r="AX32">
        <v>11</v>
      </c>
      <c r="AY32">
        <v>32</v>
      </c>
      <c r="AZ32">
        <v>101</v>
      </c>
      <c r="BA32">
        <v>99</v>
      </c>
      <c r="BB32">
        <v>88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99</v>
      </c>
      <c r="BK32">
        <v>88</v>
      </c>
      <c r="BL32">
        <v>25</v>
      </c>
      <c r="BM32">
        <v>0</v>
      </c>
      <c r="BN32">
        <v>0</v>
      </c>
      <c r="BO32">
        <v>0</v>
      </c>
      <c r="BP32">
        <v>656</v>
      </c>
      <c r="BQ32">
        <v>813</v>
      </c>
      <c r="BR32">
        <v>1154</v>
      </c>
      <c r="BS32">
        <v>99</v>
      </c>
      <c r="BT32">
        <v>574</v>
      </c>
      <c r="BU32">
        <v>522</v>
      </c>
      <c r="BV32">
        <v>331</v>
      </c>
      <c r="BW32">
        <v>0</v>
      </c>
      <c r="BX32">
        <v>0</v>
      </c>
      <c r="BY32">
        <v>186</v>
      </c>
      <c r="BZ32">
        <v>201</v>
      </c>
      <c r="CA32">
        <v>558</v>
      </c>
      <c r="CB32">
        <v>0</v>
      </c>
      <c r="CC32">
        <v>0</v>
      </c>
      <c r="CD32">
        <v>0</v>
      </c>
      <c r="CE32">
        <v>7</v>
      </c>
      <c r="CF32">
        <v>2</v>
      </c>
      <c r="CG32">
        <v>2</v>
      </c>
      <c r="CH32">
        <v>0</v>
      </c>
      <c r="CI32">
        <v>0</v>
      </c>
      <c r="CJ32">
        <v>72</v>
      </c>
      <c r="CK32">
        <v>32</v>
      </c>
      <c r="CL32">
        <v>36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652</v>
      </c>
      <c r="DS32">
        <v>824</v>
      </c>
      <c r="DT32">
        <v>1223</v>
      </c>
      <c r="DU32">
        <v>113</v>
      </c>
      <c r="DV32">
        <v>152</v>
      </c>
      <c r="DW32">
        <v>100</v>
      </c>
      <c r="DX32">
        <v>0</v>
      </c>
      <c r="DY32">
        <v>0</v>
      </c>
      <c r="DZ32">
        <v>5</v>
      </c>
      <c r="EA32" s="183">
        <v>0</v>
      </c>
      <c r="EB32" s="83">
        <v>0</v>
      </c>
      <c r="EC32" s="184">
        <v>0</v>
      </c>
      <c r="ED32">
        <v>209</v>
      </c>
      <c r="EE32">
        <v>241</v>
      </c>
      <c r="EF32">
        <v>315</v>
      </c>
      <c r="EG32">
        <v>44</v>
      </c>
      <c r="EH32">
        <v>0</v>
      </c>
      <c r="EI32">
        <v>0</v>
      </c>
      <c r="EJ32">
        <v>80</v>
      </c>
      <c r="EK32">
        <v>93</v>
      </c>
      <c r="EL32">
        <v>75</v>
      </c>
      <c r="EM32">
        <v>85</v>
      </c>
      <c r="EN32">
        <v>148</v>
      </c>
      <c r="EO32">
        <v>240</v>
      </c>
      <c r="EP32">
        <v>329</v>
      </c>
      <c r="EQ32">
        <v>431</v>
      </c>
      <c r="ER32">
        <v>803</v>
      </c>
      <c r="ES32">
        <v>-4</v>
      </c>
      <c r="ET32">
        <v>11</v>
      </c>
      <c r="EU32">
        <v>69</v>
      </c>
      <c r="EV32">
        <v>-4</v>
      </c>
      <c r="EW32">
        <v>11</v>
      </c>
      <c r="EX32">
        <v>69</v>
      </c>
      <c r="EY32">
        <v>15</v>
      </c>
      <c r="EZ32">
        <v>21</v>
      </c>
      <c r="FA32">
        <v>0</v>
      </c>
      <c r="FB32">
        <v>15</v>
      </c>
      <c r="FC32">
        <v>21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15</v>
      </c>
      <c r="GA32">
        <v>21</v>
      </c>
      <c r="GB32">
        <v>0</v>
      </c>
      <c r="GC32">
        <v>15</v>
      </c>
      <c r="GD32">
        <v>21</v>
      </c>
      <c r="GE32">
        <v>0</v>
      </c>
      <c r="GF32">
        <f>BP32+CQ32</f>
        <v>656</v>
      </c>
      <c r="GG32">
        <f>BQ32+CR32</f>
        <v>813</v>
      </c>
      <c r="GH32">
        <f>BR32+CS32</f>
        <v>1154</v>
      </c>
      <c r="GI32">
        <f>DR32+EY32</f>
        <v>667</v>
      </c>
      <c r="GJ32">
        <f>DS32+EZ32</f>
        <v>845</v>
      </c>
      <c r="GK32">
        <f>DT32+FA32</f>
        <v>1223</v>
      </c>
      <c r="GL32">
        <f>GI32-GF32</f>
        <v>11</v>
      </c>
      <c r="GM32">
        <f>GJ32-GG32</f>
        <v>32</v>
      </c>
      <c r="GN32">
        <f>GK32-GH32</f>
        <v>69</v>
      </c>
      <c r="GO32">
        <f>GC32+EV32</f>
        <v>11</v>
      </c>
      <c r="GP32">
        <f>GD32+EW32</f>
        <v>32</v>
      </c>
      <c r="GQ32">
        <f>GE32+EX32</f>
        <v>69</v>
      </c>
    </row>
    <row r="33" spans="1:231">
      <c r="A33" t="s">
        <v>63</v>
      </c>
      <c r="B33">
        <v>79</v>
      </c>
      <c r="C33">
        <v>4</v>
      </c>
      <c r="D33">
        <v>15</v>
      </c>
      <c r="E33">
        <v>15</v>
      </c>
      <c r="F33">
        <v>28</v>
      </c>
      <c r="G33">
        <v>22</v>
      </c>
      <c r="H33">
        <v>16</v>
      </c>
      <c r="I33" t="s">
        <v>38</v>
      </c>
      <c r="J33" t="s">
        <v>32</v>
      </c>
      <c r="K33">
        <v>5</v>
      </c>
      <c r="L33">
        <v>10</v>
      </c>
      <c r="M33">
        <v>80</v>
      </c>
      <c r="N33">
        <v>3</v>
      </c>
      <c r="O33">
        <v>7</v>
      </c>
      <c r="P33">
        <v>4</v>
      </c>
      <c r="Q33">
        <v>242</v>
      </c>
      <c r="R33">
        <v>339</v>
      </c>
      <c r="S33">
        <v>378</v>
      </c>
      <c r="T33">
        <v>42</v>
      </c>
      <c r="U33">
        <v>68</v>
      </c>
      <c r="V33">
        <v>68</v>
      </c>
      <c r="W33">
        <v>-42</v>
      </c>
      <c r="X33">
        <v>-68</v>
      </c>
      <c r="Y33">
        <v>-68</v>
      </c>
      <c r="Z33">
        <v>242</v>
      </c>
      <c r="AA33">
        <v>339</v>
      </c>
      <c r="AB33">
        <v>378</v>
      </c>
      <c r="AC33">
        <v>16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226</v>
      </c>
      <c r="AJ33">
        <v>339</v>
      </c>
      <c r="AK33">
        <v>378</v>
      </c>
      <c r="AL33">
        <v>0</v>
      </c>
      <c r="AM33">
        <v>0</v>
      </c>
      <c r="AN33">
        <v>0</v>
      </c>
      <c r="AO33">
        <v>242</v>
      </c>
      <c r="AP33">
        <v>339</v>
      </c>
      <c r="AQ33">
        <v>378</v>
      </c>
      <c r="AR33">
        <v>5</v>
      </c>
      <c r="AS33">
        <v>115</v>
      </c>
      <c r="AT33">
        <v>177</v>
      </c>
      <c r="AU33">
        <v>69</v>
      </c>
      <c r="AV33">
        <v>69</v>
      </c>
      <c r="AW33">
        <v>115</v>
      </c>
      <c r="AX33">
        <v>-64</v>
      </c>
      <c r="AY33">
        <v>46</v>
      </c>
      <c r="AZ33">
        <v>62</v>
      </c>
      <c r="BA33">
        <v>237</v>
      </c>
      <c r="BB33">
        <v>224</v>
      </c>
      <c r="BC33">
        <v>201</v>
      </c>
      <c r="BD33">
        <v>0</v>
      </c>
      <c r="BE33">
        <v>0</v>
      </c>
      <c r="BF33">
        <v>0</v>
      </c>
      <c r="BG33">
        <v>16</v>
      </c>
      <c r="BH33">
        <v>0</v>
      </c>
      <c r="BI33">
        <v>0</v>
      </c>
      <c r="BJ33">
        <v>221</v>
      </c>
      <c r="BK33">
        <v>224</v>
      </c>
      <c r="BL33">
        <v>221</v>
      </c>
      <c r="BM33">
        <v>0</v>
      </c>
      <c r="BN33">
        <v>0</v>
      </c>
      <c r="BO33">
        <v>-20</v>
      </c>
      <c r="BP33">
        <v>304</v>
      </c>
      <c r="BQ33">
        <v>327</v>
      </c>
      <c r="BR33">
        <v>292</v>
      </c>
      <c r="BS33">
        <v>83</v>
      </c>
      <c r="BT33">
        <v>228</v>
      </c>
      <c r="BU33">
        <v>186</v>
      </c>
      <c r="BV33">
        <v>211</v>
      </c>
      <c r="BW33">
        <v>0</v>
      </c>
      <c r="BX33">
        <v>0</v>
      </c>
      <c r="BY33">
        <v>0</v>
      </c>
      <c r="BZ33">
        <v>24</v>
      </c>
      <c r="CA33">
        <v>35</v>
      </c>
      <c r="CB33">
        <v>0</v>
      </c>
      <c r="CC33">
        <v>0</v>
      </c>
      <c r="CD33">
        <v>1</v>
      </c>
      <c r="CE33">
        <v>9</v>
      </c>
      <c r="CF33">
        <v>74</v>
      </c>
      <c r="CG33">
        <v>55</v>
      </c>
      <c r="CH33">
        <v>0</v>
      </c>
      <c r="CI33">
        <v>0</v>
      </c>
      <c r="CJ33">
        <v>0</v>
      </c>
      <c r="CK33">
        <v>1</v>
      </c>
      <c r="CL33">
        <v>1</v>
      </c>
      <c r="CM33">
        <v>15</v>
      </c>
      <c r="CN33">
        <v>0</v>
      </c>
      <c r="CO33">
        <v>0</v>
      </c>
      <c r="CP33">
        <v>0</v>
      </c>
      <c r="CQ33">
        <v>94</v>
      </c>
      <c r="CR33">
        <v>38</v>
      </c>
      <c r="CS33">
        <v>21</v>
      </c>
      <c r="CT33">
        <v>94</v>
      </c>
      <c r="CU33">
        <v>38</v>
      </c>
      <c r="CV33">
        <v>20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265</v>
      </c>
      <c r="DS33">
        <v>422</v>
      </c>
      <c r="DT33">
        <v>322</v>
      </c>
      <c r="DU33">
        <v>13</v>
      </c>
      <c r="DV33">
        <v>22</v>
      </c>
      <c r="DW33">
        <v>0</v>
      </c>
      <c r="DX33">
        <v>5</v>
      </c>
      <c r="DY33">
        <v>65</v>
      </c>
      <c r="DZ33">
        <v>0</v>
      </c>
      <c r="EA33" s="183">
        <v>0</v>
      </c>
      <c r="EB33" s="83">
        <v>0</v>
      </c>
      <c r="EC33" s="184">
        <v>0</v>
      </c>
      <c r="ED33">
        <v>33</v>
      </c>
      <c r="EE33">
        <v>35</v>
      </c>
      <c r="EF33">
        <v>42</v>
      </c>
      <c r="EG33">
        <v>33</v>
      </c>
      <c r="EH33">
        <v>35</v>
      </c>
      <c r="EI33">
        <v>0</v>
      </c>
      <c r="EJ33">
        <v>0</v>
      </c>
      <c r="EK33">
        <v>0</v>
      </c>
      <c r="EL33">
        <v>20</v>
      </c>
      <c r="EM33">
        <v>0</v>
      </c>
      <c r="EN33">
        <v>0</v>
      </c>
      <c r="EO33">
        <v>22</v>
      </c>
      <c r="EP33">
        <v>214</v>
      </c>
      <c r="EQ33">
        <v>300</v>
      </c>
      <c r="ER33">
        <v>280</v>
      </c>
      <c r="ES33">
        <v>-39</v>
      </c>
      <c r="ET33">
        <v>95</v>
      </c>
      <c r="EU33">
        <v>30</v>
      </c>
      <c r="EV33">
        <v>-39</v>
      </c>
      <c r="EW33">
        <v>95</v>
      </c>
      <c r="EX33">
        <v>30</v>
      </c>
      <c r="EY33">
        <v>228</v>
      </c>
      <c r="EZ33">
        <v>16</v>
      </c>
      <c r="FA33">
        <v>53</v>
      </c>
      <c r="FB33">
        <v>228</v>
      </c>
      <c r="FC33">
        <v>16</v>
      </c>
      <c r="FD33">
        <v>34</v>
      </c>
      <c r="FE33">
        <v>0</v>
      </c>
      <c r="FF33">
        <v>0</v>
      </c>
      <c r="FG33">
        <v>19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134</v>
      </c>
      <c r="GA33">
        <v>15</v>
      </c>
      <c r="GB33">
        <v>32</v>
      </c>
      <c r="GC33">
        <v>134</v>
      </c>
      <c r="GD33">
        <v>15</v>
      </c>
      <c r="GE33">
        <v>32</v>
      </c>
      <c r="GF33">
        <f>BP33+CQ33</f>
        <v>398</v>
      </c>
      <c r="GG33">
        <f>BQ33+CR33</f>
        <v>365</v>
      </c>
      <c r="GH33">
        <f>BR33+CS33</f>
        <v>313</v>
      </c>
      <c r="GI33">
        <f>DR33+EY33</f>
        <v>493</v>
      </c>
      <c r="GJ33">
        <f>DS33+EZ33</f>
        <v>438</v>
      </c>
      <c r="GK33">
        <f>DT33+FA33</f>
        <v>375</v>
      </c>
      <c r="GL33">
        <f>GI33-GF33</f>
        <v>95</v>
      </c>
      <c r="GM33">
        <f>GJ33-GG33</f>
        <v>73</v>
      </c>
      <c r="GN33">
        <f>GK33-GH33</f>
        <v>62</v>
      </c>
      <c r="GO33">
        <f>GC33+EV33</f>
        <v>95</v>
      </c>
      <c r="GP33">
        <f>GD33+EW33</f>
        <v>110</v>
      </c>
      <c r="GQ33">
        <f>GE33+EX33</f>
        <v>62</v>
      </c>
    </row>
    <row r="34" spans="1:231">
      <c r="A34" t="s">
        <v>64</v>
      </c>
      <c r="B34">
        <v>250</v>
      </c>
      <c r="C34">
        <v>5</v>
      </c>
      <c r="D34">
        <v>65</v>
      </c>
      <c r="E34">
        <v>12</v>
      </c>
      <c r="F34">
        <v>8</v>
      </c>
      <c r="G34">
        <v>8</v>
      </c>
      <c r="H34">
        <v>2</v>
      </c>
      <c r="I34" t="s">
        <v>38</v>
      </c>
      <c r="J34" t="s">
        <v>32</v>
      </c>
      <c r="K34">
        <v>3</v>
      </c>
      <c r="L34">
        <v>10</v>
      </c>
      <c r="M34">
        <v>60</v>
      </c>
      <c r="N34">
        <v>20</v>
      </c>
      <c r="O34">
        <v>10</v>
      </c>
      <c r="P34">
        <v>1</v>
      </c>
      <c r="Q34">
        <v>85</v>
      </c>
      <c r="R34">
        <v>121</v>
      </c>
      <c r="S34">
        <v>515</v>
      </c>
      <c r="T34">
        <v>45</v>
      </c>
      <c r="U34">
        <v>45</v>
      </c>
      <c r="V34">
        <v>45</v>
      </c>
      <c r="W34">
        <v>-18</v>
      </c>
      <c r="X34">
        <v>-27</v>
      </c>
      <c r="Y34">
        <v>-36</v>
      </c>
      <c r="Z34">
        <v>58</v>
      </c>
      <c r="AA34">
        <v>103</v>
      </c>
      <c r="AB34">
        <v>506</v>
      </c>
      <c r="AC34">
        <v>0</v>
      </c>
      <c r="AD34">
        <v>0</v>
      </c>
      <c r="AE34">
        <v>41</v>
      </c>
      <c r="AF34">
        <v>36</v>
      </c>
      <c r="AG34">
        <v>48</v>
      </c>
      <c r="AH34">
        <v>3</v>
      </c>
      <c r="AI34">
        <v>19</v>
      </c>
      <c r="AJ34">
        <v>29</v>
      </c>
      <c r="AK34">
        <v>454</v>
      </c>
      <c r="AL34">
        <v>3</v>
      </c>
      <c r="AM34">
        <v>0</v>
      </c>
      <c r="AN34">
        <v>8</v>
      </c>
      <c r="AO34">
        <v>85</v>
      </c>
      <c r="AP34">
        <v>121</v>
      </c>
      <c r="AQ34">
        <v>515</v>
      </c>
      <c r="AR34">
        <v>-191</v>
      </c>
      <c r="AS34">
        <v>-481</v>
      </c>
      <c r="AT34">
        <v>-416</v>
      </c>
      <c r="AU34">
        <v>0</v>
      </c>
      <c r="AV34">
        <v>0</v>
      </c>
      <c r="AW34">
        <v>0</v>
      </c>
      <c r="AX34">
        <v>-191</v>
      </c>
      <c r="AY34">
        <v>-481</v>
      </c>
      <c r="AZ34">
        <v>-416</v>
      </c>
      <c r="BA34">
        <v>276</v>
      </c>
      <c r="BB34">
        <v>603</v>
      </c>
      <c r="BC34">
        <v>931</v>
      </c>
      <c r="BD34">
        <v>0</v>
      </c>
      <c r="BE34">
        <v>0</v>
      </c>
      <c r="BF34">
        <v>0</v>
      </c>
      <c r="BG34">
        <v>28</v>
      </c>
      <c r="BH34">
        <v>0</v>
      </c>
      <c r="BI34">
        <v>0</v>
      </c>
      <c r="BJ34">
        <v>191</v>
      </c>
      <c r="BK34">
        <v>75</v>
      </c>
      <c r="BL34">
        <v>93</v>
      </c>
      <c r="BM34">
        <v>57</v>
      </c>
      <c r="BN34">
        <v>527</v>
      </c>
      <c r="BO34">
        <v>838</v>
      </c>
      <c r="BP34">
        <v>1695</v>
      </c>
      <c r="BQ34">
        <v>3233</v>
      </c>
      <c r="BR34">
        <v>3648</v>
      </c>
      <c r="BS34">
        <v>304</v>
      </c>
      <c r="BT34">
        <v>431</v>
      </c>
      <c r="BU34">
        <v>2873</v>
      </c>
      <c r="BV34">
        <v>1230</v>
      </c>
      <c r="BW34">
        <v>2170</v>
      </c>
      <c r="BX34">
        <v>0</v>
      </c>
      <c r="BY34">
        <v>141</v>
      </c>
      <c r="BZ34">
        <v>560</v>
      </c>
      <c r="CA34">
        <v>653</v>
      </c>
      <c r="CB34">
        <v>0</v>
      </c>
      <c r="CC34">
        <v>2</v>
      </c>
      <c r="CD34">
        <v>0</v>
      </c>
      <c r="CE34">
        <v>10</v>
      </c>
      <c r="CF34">
        <v>24</v>
      </c>
      <c r="CG34">
        <v>113</v>
      </c>
      <c r="CH34">
        <v>9</v>
      </c>
      <c r="CI34">
        <v>9</v>
      </c>
      <c r="CJ34">
        <v>9</v>
      </c>
      <c r="CK34">
        <v>0</v>
      </c>
      <c r="CL34">
        <v>36</v>
      </c>
      <c r="CM34">
        <v>0</v>
      </c>
      <c r="CN34">
        <v>0</v>
      </c>
      <c r="CO34">
        <v>0</v>
      </c>
      <c r="CP34">
        <v>0</v>
      </c>
      <c r="CQ34">
        <v>689</v>
      </c>
      <c r="CR34">
        <v>841</v>
      </c>
      <c r="CS34">
        <v>992</v>
      </c>
      <c r="CT34">
        <v>63</v>
      </c>
      <c r="CU34">
        <v>28</v>
      </c>
      <c r="CV34">
        <v>992</v>
      </c>
      <c r="CW34">
        <v>470</v>
      </c>
      <c r="CX34">
        <v>810</v>
      </c>
      <c r="CY34">
        <v>0</v>
      </c>
      <c r="CZ34">
        <v>0</v>
      </c>
      <c r="DA34">
        <v>0</v>
      </c>
      <c r="DB34">
        <v>0</v>
      </c>
      <c r="DC34">
        <v>9</v>
      </c>
      <c r="DD34">
        <v>3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1520</v>
      </c>
      <c r="DS34">
        <v>2994</v>
      </c>
      <c r="DT34">
        <v>4705</v>
      </c>
      <c r="DU34">
        <v>402</v>
      </c>
      <c r="DV34">
        <v>426</v>
      </c>
      <c r="DW34">
        <v>951</v>
      </c>
      <c r="DX34">
        <v>135</v>
      </c>
      <c r="DY34">
        <v>241</v>
      </c>
      <c r="DZ34">
        <v>98</v>
      </c>
      <c r="EA34" s="183">
        <v>0</v>
      </c>
      <c r="EB34" s="83">
        <v>0</v>
      </c>
      <c r="EC34" s="184">
        <v>0</v>
      </c>
      <c r="ED34">
        <v>301</v>
      </c>
      <c r="EE34">
        <v>401</v>
      </c>
      <c r="EF34">
        <v>470</v>
      </c>
      <c r="EG34">
        <v>0</v>
      </c>
      <c r="EH34">
        <v>0</v>
      </c>
      <c r="EI34">
        <v>0</v>
      </c>
      <c r="EJ34">
        <v>74</v>
      </c>
      <c r="EK34">
        <v>160</v>
      </c>
      <c r="EL34">
        <v>186</v>
      </c>
      <c r="EM34">
        <v>227</v>
      </c>
      <c r="EN34">
        <v>240</v>
      </c>
      <c r="EO34">
        <v>283</v>
      </c>
      <c r="EP34">
        <v>682</v>
      </c>
      <c r="EQ34">
        <v>1926</v>
      </c>
      <c r="ER34">
        <v>2335</v>
      </c>
      <c r="ES34">
        <v>-175</v>
      </c>
      <c r="ET34">
        <v>-240</v>
      </c>
      <c r="EU34">
        <v>65</v>
      </c>
      <c r="EV34">
        <v>-175</v>
      </c>
      <c r="EW34">
        <v>-240</v>
      </c>
      <c r="EX34">
        <v>65</v>
      </c>
      <c r="EY34">
        <v>689</v>
      </c>
      <c r="EZ34">
        <v>789</v>
      </c>
      <c r="FA34">
        <v>0</v>
      </c>
      <c r="FB34">
        <v>689</v>
      </c>
      <c r="FC34">
        <v>789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147</v>
      </c>
      <c r="GA34">
        <v>-51</v>
      </c>
      <c r="GB34">
        <v>0</v>
      </c>
      <c r="GC34">
        <v>147</v>
      </c>
      <c r="GD34">
        <v>-51</v>
      </c>
      <c r="GE34">
        <v>0</v>
      </c>
      <c r="GF34">
        <f>BP34+CQ34</f>
        <v>2384</v>
      </c>
      <c r="GG34">
        <f>BQ34+CR34</f>
        <v>4074</v>
      </c>
      <c r="GH34">
        <f>BR34+CS34</f>
        <v>4640</v>
      </c>
      <c r="GI34">
        <f>DR34+EY34</f>
        <v>2209</v>
      </c>
      <c r="GJ34">
        <f>DS34+EZ34</f>
        <v>3783</v>
      </c>
      <c r="GK34">
        <f>DT34+FA34</f>
        <v>4705</v>
      </c>
      <c r="GL34">
        <f>GI34-GF34</f>
        <v>-175</v>
      </c>
      <c r="GM34">
        <f>GJ34-GG34</f>
        <v>-291</v>
      </c>
      <c r="GN34">
        <f>GK34-GH34</f>
        <v>65</v>
      </c>
      <c r="GO34">
        <f>GC34+EV34</f>
        <v>-28</v>
      </c>
      <c r="GP34">
        <f>GD34+EW34</f>
        <v>-291</v>
      </c>
      <c r="GQ34">
        <f>GE34+EX34</f>
        <v>65</v>
      </c>
    </row>
    <row r="35" spans="1:231">
      <c r="A35" t="s">
        <v>65</v>
      </c>
      <c r="B35">
        <v>148</v>
      </c>
      <c r="C35">
        <v>1</v>
      </c>
      <c r="D35">
        <v>53</v>
      </c>
      <c r="E35">
        <v>4</v>
      </c>
      <c r="F35">
        <v>22</v>
      </c>
      <c r="G35">
        <v>19</v>
      </c>
      <c r="H35">
        <v>1</v>
      </c>
      <c r="I35" t="s">
        <v>38</v>
      </c>
      <c r="J35" t="s">
        <v>33</v>
      </c>
      <c r="K35">
        <v>1</v>
      </c>
      <c r="L35">
        <v>30</v>
      </c>
      <c r="M35">
        <v>40</v>
      </c>
      <c r="N35">
        <v>25</v>
      </c>
      <c r="O35">
        <v>5</v>
      </c>
      <c r="P35">
        <v>3</v>
      </c>
      <c r="Q35">
        <v>3399</v>
      </c>
      <c r="R35">
        <v>3525</v>
      </c>
      <c r="S35">
        <v>3569</v>
      </c>
      <c r="T35">
        <v>3176</v>
      </c>
      <c r="U35">
        <v>3176</v>
      </c>
      <c r="V35">
        <v>3296</v>
      </c>
      <c r="W35">
        <v>0</v>
      </c>
      <c r="X35">
        <v>0</v>
      </c>
      <c r="Y35">
        <v>-41</v>
      </c>
      <c r="Z35">
        <v>223</v>
      </c>
      <c r="AA35">
        <v>349</v>
      </c>
      <c r="AB35">
        <v>273</v>
      </c>
      <c r="AC35">
        <v>0</v>
      </c>
      <c r="AD35">
        <v>0</v>
      </c>
      <c r="AE35">
        <v>0</v>
      </c>
      <c r="AF35">
        <v>61</v>
      </c>
      <c r="AG35">
        <v>72</v>
      </c>
      <c r="AH35">
        <v>131</v>
      </c>
      <c r="AI35">
        <v>140</v>
      </c>
      <c r="AJ35">
        <v>262</v>
      </c>
      <c r="AK35">
        <v>139</v>
      </c>
      <c r="AL35">
        <v>22</v>
      </c>
      <c r="AM35">
        <v>15</v>
      </c>
      <c r="AN35">
        <v>3</v>
      </c>
      <c r="AO35">
        <v>3399</v>
      </c>
      <c r="AP35">
        <v>3525</v>
      </c>
      <c r="AQ35">
        <v>3569</v>
      </c>
      <c r="AR35">
        <v>3232</v>
      </c>
      <c r="AS35">
        <v>3394</v>
      </c>
      <c r="AT35">
        <v>3351</v>
      </c>
      <c r="AU35">
        <v>3315</v>
      </c>
      <c r="AV35">
        <v>3315</v>
      </c>
      <c r="AW35">
        <v>3315</v>
      </c>
      <c r="AX35">
        <v>-83</v>
      </c>
      <c r="AY35">
        <v>79</v>
      </c>
      <c r="AZ35">
        <v>36</v>
      </c>
      <c r="BA35">
        <v>167</v>
      </c>
      <c r="BB35">
        <v>131</v>
      </c>
      <c r="BC35">
        <v>218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167</v>
      </c>
      <c r="BK35">
        <v>131</v>
      </c>
      <c r="BL35">
        <v>210</v>
      </c>
      <c r="BM35">
        <v>0</v>
      </c>
      <c r="BN35">
        <v>78</v>
      </c>
      <c r="BO35">
        <v>8</v>
      </c>
      <c r="BP35">
        <v>1525</v>
      </c>
      <c r="BQ35">
        <v>1410</v>
      </c>
      <c r="BR35">
        <v>1977</v>
      </c>
      <c r="BS35">
        <v>477</v>
      </c>
      <c r="BT35">
        <v>1348</v>
      </c>
      <c r="BU35">
        <v>1616</v>
      </c>
      <c r="BV35">
        <v>1029</v>
      </c>
      <c r="BW35">
        <v>0</v>
      </c>
      <c r="BX35">
        <v>0</v>
      </c>
      <c r="BY35">
        <v>0</v>
      </c>
      <c r="BZ35">
        <v>0</v>
      </c>
      <c r="CA35">
        <v>185</v>
      </c>
      <c r="CB35">
        <v>2</v>
      </c>
      <c r="CC35">
        <v>1</v>
      </c>
      <c r="CD35">
        <v>0</v>
      </c>
      <c r="CE35">
        <v>17</v>
      </c>
      <c r="CF35">
        <v>25</v>
      </c>
      <c r="CG35">
        <v>123</v>
      </c>
      <c r="CH35">
        <v>0</v>
      </c>
      <c r="CI35">
        <v>0</v>
      </c>
      <c r="CJ35">
        <v>41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12</v>
      </c>
      <c r="CQ35">
        <v>351</v>
      </c>
      <c r="CR35">
        <v>300</v>
      </c>
      <c r="CS35">
        <v>237</v>
      </c>
      <c r="CT35">
        <v>231</v>
      </c>
      <c r="CU35">
        <v>300</v>
      </c>
      <c r="CV35">
        <v>237</v>
      </c>
      <c r="CW35">
        <v>119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1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1322</v>
      </c>
      <c r="DS35">
        <v>1324</v>
      </c>
      <c r="DT35">
        <v>1571</v>
      </c>
      <c r="DU35">
        <v>281</v>
      </c>
      <c r="DV35">
        <v>268</v>
      </c>
      <c r="DW35">
        <v>235</v>
      </c>
      <c r="DX35">
        <v>0</v>
      </c>
      <c r="DY35">
        <v>0</v>
      </c>
      <c r="DZ35">
        <v>0</v>
      </c>
      <c r="EA35" s="183">
        <v>0</v>
      </c>
      <c r="EB35" s="83">
        <v>0</v>
      </c>
      <c r="EC35" s="184">
        <v>0</v>
      </c>
      <c r="ED35">
        <v>551</v>
      </c>
      <c r="EE35">
        <v>391</v>
      </c>
      <c r="EF35">
        <v>593</v>
      </c>
      <c r="EG35">
        <v>0</v>
      </c>
      <c r="EH35">
        <v>0</v>
      </c>
      <c r="EI35">
        <v>0</v>
      </c>
      <c r="EJ35">
        <v>134</v>
      </c>
      <c r="EK35">
        <v>50</v>
      </c>
      <c r="EL35">
        <v>95</v>
      </c>
      <c r="EM35">
        <v>417</v>
      </c>
      <c r="EN35">
        <v>341</v>
      </c>
      <c r="EO35">
        <v>498</v>
      </c>
      <c r="EP35">
        <v>490</v>
      </c>
      <c r="EQ35">
        <v>665</v>
      </c>
      <c r="ER35">
        <v>743</v>
      </c>
      <c r="ES35">
        <v>-203</v>
      </c>
      <c r="ET35">
        <v>-86</v>
      </c>
      <c r="EU35">
        <v>-394</v>
      </c>
      <c r="EV35">
        <v>-203</v>
      </c>
      <c r="EW35">
        <v>-86</v>
      </c>
      <c r="EX35">
        <v>-406</v>
      </c>
      <c r="EY35">
        <v>631</v>
      </c>
      <c r="EZ35">
        <v>547</v>
      </c>
      <c r="FA35">
        <v>600</v>
      </c>
      <c r="FB35">
        <v>631</v>
      </c>
      <c r="FC35">
        <v>547</v>
      </c>
      <c r="FD35">
        <v>600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280</v>
      </c>
      <c r="GA35">
        <v>247</v>
      </c>
      <c r="GB35">
        <v>363</v>
      </c>
      <c r="GC35">
        <v>280</v>
      </c>
      <c r="GD35">
        <v>247</v>
      </c>
      <c r="GE35">
        <v>363</v>
      </c>
      <c r="GF35">
        <f>BP35+CQ35</f>
        <v>1876</v>
      </c>
      <c r="GG35">
        <f>BQ35+CR35</f>
        <v>1710</v>
      </c>
      <c r="GH35">
        <f>BR35+CS35</f>
        <v>2214</v>
      </c>
      <c r="GI35">
        <f>DR35+EY35</f>
        <v>1953</v>
      </c>
      <c r="GJ35">
        <f>DS35+EZ35</f>
        <v>1871</v>
      </c>
      <c r="GK35">
        <f>DT35+FA35</f>
        <v>2171</v>
      </c>
      <c r="GL35">
        <f>GI35-GF35</f>
        <v>77</v>
      </c>
      <c r="GM35">
        <f>GJ35-GG35</f>
        <v>161</v>
      </c>
      <c r="GN35">
        <f>GB35+EU35</f>
        <v>-31</v>
      </c>
      <c r="GO35">
        <f>GC35+EV35</f>
        <v>77</v>
      </c>
      <c r="GP35">
        <f>GD35+EW35</f>
        <v>161</v>
      </c>
      <c r="GQ35">
        <f>GE35+EX35</f>
        <v>-43</v>
      </c>
      <c r="GS35" s="4"/>
      <c r="GT35" s="4"/>
      <c r="GV35" s="4"/>
      <c r="GW35" s="4"/>
      <c r="GX35" s="4"/>
      <c r="GZ35" s="4"/>
      <c r="HA35" s="4"/>
      <c r="HB35" s="4"/>
    </row>
    <row r="36" spans="1:231">
      <c r="A36" t="s">
        <v>66</v>
      </c>
      <c r="B36">
        <v>47</v>
      </c>
      <c r="C36">
        <v>0</v>
      </c>
      <c r="D36">
        <v>0</v>
      </c>
      <c r="E36">
        <v>0</v>
      </c>
      <c r="F36">
        <v>10</v>
      </c>
      <c r="G36">
        <v>80</v>
      </c>
      <c r="H36">
        <v>10</v>
      </c>
      <c r="I36" t="s">
        <v>38</v>
      </c>
      <c r="J36" t="s">
        <v>35</v>
      </c>
      <c r="K36">
        <v>4</v>
      </c>
      <c r="L36">
        <v>10</v>
      </c>
      <c r="M36">
        <v>70</v>
      </c>
      <c r="N36">
        <v>15</v>
      </c>
      <c r="O36">
        <v>5</v>
      </c>
      <c r="P36">
        <v>5</v>
      </c>
      <c r="Q36">
        <v>2441</v>
      </c>
      <c r="R36">
        <v>2450</v>
      </c>
      <c r="S36">
        <v>2466</v>
      </c>
      <c r="T36">
        <v>2380</v>
      </c>
      <c r="U36">
        <v>2435</v>
      </c>
      <c r="V36">
        <v>2435</v>
      </c>
      <c r="W36">
        <v>0</v>
      </c>
      <c r="X36">
        <v>0</v>
      </c>
      <c r="Y36">
        <v>0</v>
      </c>
      <c r="Z36">
        <v>61</v>
      </c>
      <c r="AA36">
        <v>15</v>
      </c>
      <c r="AB36">
        <v>31</v>
      </c>
      <c r="AC36">
        <v>0</v>
      </c>
      <c r="AD36">
        <v>0</v>
      </c>
      <c r="AE36">
        <v>0</v>
      </c>
      <c r="AF36">
        <v>8</v>
      </c>
      <c r="AG36">
        <v>1</v>
      </c>
      <c r="AH36">
        <v>14</v>
      </c>
      <c r="AI36">
        <v>45</v>
      </c>
      <c r="AJ36">
        <v>7</v>
      </c>
      <c r="AK36">
        <v>10</v>
      </c>
      <c r="AL36">
        <v>8</v>
      </c>
      <c r="AM36">
        <v>7</v>
      </c>
      <c r="AN36">
        <v>7</v>
      </c>
      <c r="AO36">
        <v>2441</v>
      </c>
      <c r="AP36">
        <v>2450</v>
      </c>
      <c r="AQ36">
        <v>2466</v>
      </c>
      <c r="AR36">
        <v>2444</v>
      </c>
      <c r="AS36">
        <v>2445</v>
      </c>
      <c r="AT36">
        <v>2449</v>
      </c>
      <c r="AU36">
        <v>2408</v>
      </c>
      <c r="AV36">
        <v>2408</v>
      </c>
      <c r="AW36">
        <v>2408</v>
      </c>
      <c r="AX36">
        <v>36</v>
      </c>
      <c r="AY36">
        <v>37</v>
      </c>
      <c r="AZ36">
        <v>41</v>
      </c>
      <c r="BA36">
        <v>-3</v>
      </c>
      <c r="BB36">
        <v>5</v>
      </c>
      <c r="BC36">
        <v>17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-3</v>
      </c>
      <c r="BK36">
        <v>5</v>
      </c>
      <c r="BL36">
        <v>17</v>
      </c>
      <c r="BM36">
        <v>0</v>
      </c>
      <c r="BN36">
        <v>0</v>
      </c>
      <c r="BO36">
        <v>0</v>
      </c>
      <c r="BP36">
        <v>177</v>
      </c>
      <c r="BQ36">
        <v>196</v>
      </c>
      <c r="BR36">
        <v>145</v>
      </c>
      <c r="BS36">
        <v>71</v>
      </c>
      <c r="BT36">
        <v>141</v>
      </c>
      <c r="BU36">
        <v>97</v>
      </c>
      <c r="BV36">
        <v>70</v>
      </c>
      <c r="BW36">
        <v>0</v>
      </c>
      <c r="BX36">
        <v>0</v>
      </c>
      <c r="BY36">
        <v>11</v>
      </c>
      <c r="BZ36">
        <v>11</v>
      </c>
      <c r="CA36">
        <v>11</v>
      </c>
      <c r="CB36">
        <v>0</v>
      </c>
      <c r="CC36">
        <v>0</v>
      </c>
      <c r="CD36">
        <v>0</v>
      </c>
      <c r="CE36">
        <v>19</v>
      </c>
      <c r="CF36">
        <v>36</v>
      </c>
      <c r="CG36">
        <v>28</v>
      </c>
      <c r="CH36">
        <v>0</v>
      </c>
      <c r="CI36">
        <v>0</v>
      </c>
      <c r="CJ36">
        <v>0</v>
      </c>
      <c r="CK36">
        <v>6</v>
      </c>
      <c r="CL36">
        <v>8</v>
      </c>
      <c r="CM36">
        <v>9</v>
      </c>
      <c r="CN36">
        <v>0</v>
      </c>
      <c r="CO36">
        <v>0</v>
      </c>
      <c r="CP36">
        <v>0</v>
      </c>
      <c r="CQ36">
        <v>32</v>
      </c>
      <c r="CR36">
        <v>17</v>
      </c>
      <c r="CS36">
        <v>6</v>
      </c>
      <c r="CT36">
        <v>3</v>
      </c>
      <c r="CU36">
        <v>17</v>
      </c>
      <c r="CV36">
        <v>6</v>
      </c>
      <c r="CW36">
        <v>23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6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147</v>
      </c>
      <c r="DS36">
        <v>179</v>
      </c>
      <c r="DT36">
        <v>149</v>
      </c>
      <c r="DU36">
        <v>0</v>
      </c>
      <c r="DV36">
        <v>17</v>
      </c>
      <c r="DW36">
        <v>0</v>
      </c>
      <c r="DX36">
        <v>14</v>
      </c>
      <c r="DY36">
        <v>0</v>
      </c>
      <c r="DZ36">
        <v>2</v>
      </c>
      <c r="EA36" s="183">
        <v>0</v>
      </c>
      <c r="EB36" s="83">
        <v>0</v>
      </c>
      <c r="EC36" s="184">
        <v>0</v>
      </c>
      <c r="ED36">
        <v>133</v>
      </c>
      <c r="EE36">
        <v>16</v>
      </c>
      <c r="EF36">
        <v>0</v>
      </c>
      <c r="EG36">
        <v>0</v>
      </c>
      <c r="EH36">
        <v>0</v>
      </c>
      <c r="EI36">
        <v>0</v>
      </c>
      <c r="EJ36">
        <v>114</v>
      </c>
      <c r="EK36">
        <v>0</v>
      </c>
      <c r="EL36">
        <v>0</v>
      </c>
      <c r="EM36">
        <v>19</v>
      </c>
      <c r="EN36">
        <v>16</v>
      </c>
      <c r="EO36">
        <v>29</v>
      </c>
      <c r="EP36" s="83">
        <v>0</v>
      </c>
      <c r="EQ36" s="83">
        <v>146</v>
      </c>
      <c r="ER36" s="83">
        <v>118</v>
      </c>
      <c r="ES36">
        <v>-30</v>
      </c>
      <c r="ET36">
        <v>-17</v>
      </c>
      <c r="EU36">
        <v>4</v>
      </c>
      <c r="EV36">
        <v>-30</v>
      </c>
      <c r="EW36">
        <v>-17</v>
      </c>
      <c r="EX36">
        <v>4</v>
      </c>
      <c r="EY36">
        <v>81</v>
      </c>
      <c r="EZ36">
        <v>35</v>
      </c>
      <c r="FA36">
        <v>6</v>
      </c>
      <c r="FB36">
        <v>44</v>
      </c>
      <c r="FC36">
        <v>35</v>
      </c>
      <c r="FD36">
        <v>6</v>
      </c>
      <c r="FE36">
        <v>37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49</v>
      </c>
      <c r="GA36">
        <v>18</v>
      </c>
      <c r="GB36">
        <v>0</v>
      </c>
      <c r="GC36">
        <v>49</v>
      </c>
      <c r="GD36">
        <v>18</v>
      </c>
      <c r="GE36">
        <v>0</v>
      </c>
      <c r="GF36">
        <f>BP36+CQ36</f>
        <v>209</v>
      </c>
      <c r="GG36">
        <f>BQ36+CR36</f>
        <v>213</v>
      </c>
      <c r="GH36">
        <f>BR36+CS36</f>
        <v>151</v>
      </c>
      <c r="GI36">
        <f>DR36+EY36</f>
        <v>228</v>
      </c>
      <c r="GJ36">
        <f>DS36+EZ36</f>
        <v>214</v>
      </c>
      <c r="GK36">
        <f>DT36+FA36</f>
        <v>155</v>
      </c>
      <c r="GL36">
        <f>GI36-GF36</f>
        <v>19</v>
      </c>
      <c r="GM36">
        <f>GJ36-GG36</f>
        <v>1</v>
      </c>
      <c r="GN36">
        <f>GK36-GH36</f>
        <v>4</v>
      </c>
      <c r="GO36">
        <f>GC36+EV36</f>
        <v>19</v>
      </c>
      <c r="GP36">
        <f>GD36+EW36</f>
        <v>1</v>
      </c>
      <c r="GQ36">
        <f>GE36+EX36</f>
        <v>4</v>
      </c>
      <c r="GS36" s="4"/>
      <c r="GT36" s="4"/>
      <c r="GV36" s="4"/>
      <c r="GW36" s="4"/>
      <c r="GX36" s="4"/>
      <c r="GZ36" s="4"/>
      <c r="HA36" s="4"/>
      <c r="HB36" s="4"/>
      <c r="HW36" s="4"/>
    </row>
    <row r="37" spans="1:231">
      <c r="A37" t="s">
        <v>67</v>
      </c>
      <c r="B37">
        <v>351</v>
      </c>
      <c r="C37">
        <v>20</v>
      </c>
      <c r="D37">
        <v>18</v>
      </c>
      <c r="E37">
        <v>12</v>
      </c>
      <c r="F37">
        <v>25</v>
      </c>
      <c r="G37">
        <v>15</v>
      </c>
      <c r="H37">
        <v>10</v>
      </c>
      <c r="I37" t="s">
        <v>38</v>
      </c>
      <c r="J37" t="s">
        <v>35</v>
      </c>
      <c r="K37">
        <v>2</v>
      </c>
      <c r="L37">
        <v>5</v>
      </c>
      <c r="M37">
        <v>20</v>
      </c>
      <c r="N37">
        <v>60</v>
      </c>
      <c r="O37">
        <v>15</v>
      </c>
      <c r="P37">
        <v>5</v>
      </c>
      <c r="Q37">
        <f>T37+W37+Z37</f>
        <v>1878</v>
      </c>
      <c r="R37">
        <v>687</v>
      </c>
      <c r="S37">
        <v>1729</v>
      </c>
      <c r="T37">
        <v>1795</v>
      </c>
      <c r="U37">
        <v>1173</v>
      </c>
      <c r="V37">
        <v>1795</v>
      </c>
      <c r="W37">
        <v>-990</v>
      </c>
      <c r="X37">
        <v>-1047</v>
      </c>
      <c r="Y37">
        <v>-1047</v>
      </c>
      <c r="Z37">
        <v>1073</v>
      </c>
      <c r="AA37">
        <v>561</v>
      </c>
      <c r="AB37">
        <v>981</v>
      </c>
      <c r="AC37">
        <v>0</v>
      </c>
      <c r="AD37">
        <v>0</v>
      </c>
      <c r="AE37">
        <v>0</v>
      </c>
      <c r="AF37">
        <v>11</v>
      </c>
      <c r="AG37">
        <v>96</v>
      </c>
      <c r="AH37">
        <v>96</v>
      </c>
      <c r="AI37">
        <v>1062</v>
      </c>
      <c r="AJ37">
        <v>465</v>
      </c>
      <c r="AK37">
        <v>885</v>
      </c>
      <c r="AL37">
        <v>0</v>
      </c>
      <c r="AM37">
        <v>0</v>
      </c>
      <c r="AN37">
        <v>0</v>
      </c>
      <c r="AO37">
        <v>1878</v>
      </c>
      <c r="AP37">
        <v>687</v>
      </c>
      <c r="AQ37">
        <v>1729</v>
      </c>
      <c r="AR37">
        <v>1799</v>
      </c>
      <c r="AS37">
        <v>562</v>
      </c>
      <c r="AT37">
        <v>1605</v>
      </c>
      <c r="AU37">
        <v>1936</v>
      </c>
      <c r="AV37">
        <v>602</v>
      </c>
      <c r="AW37">
        <v>1799</v>
      </c>
      <c r="AX37">
        <v>-137</v>
      </c>
      <c r="AY37">
        <v>-40</v>
      </c>
      <c r="AZ37">
        <v>-194</v>
      </c>
      <c r="BA37">
        <v>79</v>
      </c>
      <c r="BB37">
        <v>125</v>
      </c>
      <c r="BC37">
        <v>124</v>
      </c>
      <c r="BD37">
        <v>30</v>
      </c>
      <c r="BE37">
        <v>30</v>
      </c>
      <c r="BF37">
        <v>30</v>
      </c>
      <c r="BG37">
        <v>0</v>
      </c>
      <c r="BH37">
        <v>0</v>
      </c>
      <c r="BI37">
        <v>0</v>
      </c>
      <c r="BJ37">
        <v>32</v>
      </c>
      <c r="BK37">
        <v>6</v>
      </c>
      <c r="BL37">
        <v>6</v>
      </c>
      <c r="BM37">
        <v>18</v>
      </c>
      <c r="BN37">
        <v>89</v>
      </c>
      <c r="BO37">
        <v>88</v>
      </c>
      <c r="BP37">
        <v>1734</v>
      </c>
      <c r="BQ37">
        <v>1618</v>
      </c>
      <c r="BR37">
        <v>2058</v>
      </c>
      <c r="BS37">
        <v>406</v>
      </c>
      <c r="BT37">
        <v>996</v>
      </c>
      <c r="BU37">
        <v>1418</v>
      </c>
      <c r="BV37">
        <v>784</v>
      </c>
      <c r="BW37">
        <v>0</v>
      </c>
      <c r="BX37">
        <v>0</v>
      </c>
      <c r="BY37">
        <v>458</v>
      </c>
      <c r="BZ37">
        <v>549</v>
      </c>
      <c r="CA37">
        <v>549</v>
      </c>
      <c r="CB37">
        <v>4</v>
      </c>
      <c r="CC37">
        <v>2</v>
      </c>
      <c r="CD37">
        <v>9</v>
      </c>
      <c r="CE37">
        <v>25</v>
      </c>
      <c r="CF37">
        <v>14</v>
      </c>
      <c r="CG37">
        <v>25</v>
      </c>
      <c r="CH37">
        <v>57</v>
      </c>
      <c r="CI37">
        <v>57</v>
      </c>
      <c r="CJ37">
        <v>57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580</v>
      </c>
      <c r="CR37">
        <v>887</v>
      </c>
      <c r="CS37">
        <v>1073</v>
      </c>
      <c r="CT37">
        <v>229</v>
      </c>
      <c r="CU37">
        <v>587</v>
      </c>
      <c r="CV37">
        <v>749</v>
      </c>
      <c r="CW37">
        <v>56</v>
      </c>
      <c r="CX37">
        <v>0</v>
      </c>
      <c r="CY37">
        <v>0</v>
      </c>
      <c r="CZ37">
        <v>295</v>
      </c>
      <c r="DA37">
        <v>300</v>
      </c>
      <c r="DB37">
        <v>324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1516</v>
      </c>
      <c r="DS37">
        <v>1368</v>
      </c>
      <c r="DT37">
        <v>1833</v>
      </c>
      <c r="DU37">
        <v>170</v>
      </c>
      <c r="DV37">
        <v>122</v>
      </c>
      <c r="DW37">
        <v>168</v>
      </c>
      <c r="DX37">
        <v>0</v>
      </c>
      <c r="DY37">
        <v>0</v>
      </c>
      <c r="DZ37">
        <v>0</v>
      </c>
      <c r="EA37" s="183">
        <v>0</v>
      </c>
      <c r="EB37" s="83">
        <v>0</v>
      </c>
      <c r="EC37" s="184">
        <v>0</v>
      </c>
      <c r="ED37">
        <v>567</v>
      </c>
      <c r="EE37">
        <v>372</v>
      </c>
      <c r="EF37">
        <v>651</v>
      </c>
      <c r="EG37">
        <v>0</v>
      </c>
      <c r="EH37">
        <v>0</v>
      </c>
      <c r="EI37">
        <v>0</v>
      </c>
      <c r="EJ37">
        <v>455</v>
      </c>
      <c r="EK37">
        <v>292</v>
      </c>
      <c r="EL37">
        <v>504</v>
      </c>
      <c r="EM37">
        <v>112</v>
      </c>
      <c r="EN37">
        <v>79</v>
      </c>
      <c r="EO37">
        <v>148</v>
      </c>
      <c r="EP37" s="83">
        <v>779</v>
      </c>
      <c r="EQ37" s="83">
        <v>874</v>
      </c>
      <c r="ER37" s="83">
        <v>1014</v>
      </c>
      <c r="ES37">
        <v>-218</v>
      </c>
      <c r="ET37">
        <v>-250</v>
      </c>
      <c r="EU37">
        <v>-225</v>
      </c>
      <c r="EV37">
        <v>-218</v>
      </c>
      <c r="EW37">
        <v>-250</v>
      </c>
      <c r="EX37">
        <v>-225</v>
      </c>
      <c r="EY37">
        <v>423</v>
      </c>
      <c r="EZ37">
        <v>1097</v>
      </c>
      <c r="FA37">
        <v>1103</v>
      </c>
      <c r="FB37">
        <v>0</v>
      </c>
      <c r="FC37">
        <v>888</v>
      </c>
      <c r="FD37">
        <v>894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423</v>
      </c>
      <c r="FX37">
        <v>209</v>
      </c>
      <c r="FY37">
        <v>1103</v>
      </c>
      <c r="FZ37">
        <v>82</v>
      </c>
      <c r="GA37">
        <v>210</v>
      </c>
      <c r="GB37">
        <v>30</v>
      </c>
      <c r="GC37">
        <v>82</v>
      </c>
      <c r="GD37">
        <v>210</v>
      </c>
      <c r="GE37">
        <v>30</v>
      </c>
      <c r="GF37">
        <f>BP37+CQ37</f>
        <v>2314</v>
      </c>
      <c r="GG37">
        <f>BQ37+CR37</f>
        <v>2505</v>
      </c>
      <c r="GH37">
        <f>BR37+CS37</f>
        <v>3131</v>
      </c>
      <c r="GI37">
        <f>DR37+EY37</f>
        <v>1939</v>
      </c>
      <c r="GJ37">
        <f>DS37+EZ37</f>
        <v>2465</v>
      </c>
      <c r="GK37">
        <f>DT37+FA37</f>
        <v>2936</v>
      </c>
      <c r="GL37">
        <f>GI37-GF37</f>
        <v>-375</v>
      </c>
      <c r="GM37">
        <f>GJ37-GG37</f>
        <v>-40</v>
      </c>
      <c r="GN37">
        <f>GK37-GH37</f>
        <v>-195</v>
      </c>
      <c r="GO37">
        <f>GC37+EV37</f>
        <v>-136</v>
      </c>
      <c r="GP37">
        <f>GD37+EW37</f>
        <v>-40</v>
      </c>
      <c r="GQ37">
        <f>GE37+EX37</f>
        <v>-195</v>
      </c>
      <c r="GS37" s="4"/>
      <c r="GT37" s="4"/>
      <c r="GV37" s="4"/>
      <c r="GW37" s="4"/>
      <c r="GX37" s="4"/>
      <c r="GZ37" s="4"/>
      <c r="HA37" s="4"/>
      <c r="HB37" s="4"/>
    </row>
    <row r="38" spans="1:231">
      <c r="A38" t="s">
        <v>68</v>
      </c>
      <c r="B38">
        <v>175</v>
      </c>
      <c r="C38">
        <v>5</v>
      </c>
      <c r="D38">
        <v>25</v>
      </c>
      <c r="E38">
        <v>25</v>
      </c>
      <c r="F38">
        <v>30</v>
      </c>
      <c r="G38">
        <v>10</v>
      </c>
      <c r="H38">
        <v>5</v>
      </c>
      <c r="I38" t="s">
        <v>38</v>
      </c>
      <c r="J38" t="s">
        <v>32</v>
      </c>
      <c r="K38">
        <v>5</v>
      </c>
      <c r="L38">
        <v>10</v>
      </c>
      <c r="M38">
        <v>70</v>
      </c>
      <c r="N38">
        <v>15</v>
      </c>
      <c r="O38">
        <v>5</v>
      </c>
      <c r="P38">
        <v>2</v>
      </c>
      <c r="Q38">
        <v>251</v>
      </c>
      <c r="R38">
        <v>323</v>
      </c>
      <c r="S38">
        <v>490</v>
      </c>
      <c r="T38">
        <v>227</v>
      </c>
      <c r="U38">
        <v>1102</v>
      </c>
      <c r="V38">
        <v>1197</v>
      </c>
      <c r="W38">
        <v>-227</v>
      </c>
      <c r="X38">
        <v>1102</v>
      </c>
      <c r="Y38">
        <v>-1144</v>
      </c>
      <c r="Z38">
        <v>251</v>
      </c>
      <c r="AA38">
        <v>323</v>
      </c>
      <c r="AB38">
        <v>438</v>
      </c>
      <c r="AC38">
        <v>0</v>
      </c>
      <c r="AD38">
        <v>0</v>
      </c>
      <c r="AE38">
        <v>0</v>
      </c>
      <c r="AF38">
        <v>0</v>
      </c>
      <c r="AG38">
        <v>5</v>
      </c>
      <c r="AH38">
        <v>8</v>
      </c>
      <c r="AI38">
        <v>251</v>
      </c>
      <c r="AJ38">
        <v>318</v>
      </c>
      <c r="AK38">
        <v>430</v>
      </c>
      <c r="AL38">
        <v>0</v>
      </c>
      <c r="AM38">
        <v>0</v>
      </c>
      <c r="AO38">
        <v>251</v>
      </c>
      <c r="AP38">
        <v>323</v>
      </c>
      <c r="AQ38">
        <v>490</v>
      </c>
      <c r="AR38">
        <v>247</v>
      </c>
      <c r="AS38">
        <v>286</v>
      </c>
      <c r="AT38">
        <v>490</v>
      </c>
      <c r="AU38">
        <v>152</v>
      </c>
      <c r="AV38">
        <v>152</v>
      </c>
      <c r="AW38">
        <v>152</v>
      </c>
      <c r="AX38">
        <v>95</v>
      </c>
      <c r="AY38">
        <v>132</v>
      </c>
      <c r="AZ38">
        <v>338</v>
      </c>
      <c r="BA38">
        <v>4</v>
      </c>
      <c r="BB38">
        <v>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4</v>
      </c>
      <c r="BK38">
        <v>0</v>
      </c>
      <c r="BL38">
        <v>0</v>
      </c>
      <c r="BM38">
        <v>0</v>
      </c>
      <c r="BN38">
        <v>36</v>
      </c>
      <c r="BO38">
        <v>0</v>
      </c>
      <c r="BP38">
        <v>532</v>
      </c>
      <c r="BQ38">
        <v>651</v>
      </c>
      <c r="BR38">
        <v>822</v>
      </c>
      <c r="BS38">
        <v>136</v>
      </c>
      <c r="BT38">
        <v>266</v>
      </c>
      <c r="BU38">
        <v>257</v>
      </c>
      <c r="BV38">
        <v>209</v>
      </c>
      <c r="BW38">
        <v>168</v>
      </c>
      <c r="BX38">
        <v>233</v>
      </c>
      <c r="BY38">
        <v>140</v>
      </c>
      <c r="BZ38">
        <v>189</v>
      </c>
      <c r="CA38">
        <v>268</v>
      </c>
      <c r="CB38">
        <v>0</v>
      </c>
      <c r="CC38">
        <v>0</v>
      </c>
      <c r="CD38">
        <v>0</v>
      </c>
      <c r="CE38">
        <v>26</v>
      </c>
      <c r="CF38">
        <v>8</v>
      </c>
      <c r="CG38">
        <v>2</v>
      </c>
      <c r="CH38">
        <v>0</v>
      </c>
      <c r="CI38">
        <v>0</v>
      </c>
      <c r="CJ38">
        <v>42</v>
      </c>
      <c r="CK38">
        <v>0</v>
      </c>
      <c r="CL38">
        <v>21</v>
      </c>
      <c r="CM38">
        <v>19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627</v>
      </c>
      <c r="DS38">
        <v>691</v>
      </c>
      <c r="DT38">
        <v>1026</v>
      </c>
      <c r="DU38">
        <v>114</v>
      </c>
      <c r="DV38">
        <v>107</v>
      </c>
      <c r="DW38">
        <v>198</v>
      </c>
      <c r="DX38">
        <v>31</v>
      </c>
      <c r="DY38">
        <v>0</v>
      </c>
      <c r="DZ38">
        <v>0</v>
      </c>
      <c r="EA38" s="183">
        <v>0</v>
      </c>
      <c r="EB38" s="83">
        <v>0</v>
      </c>
      <c r="EC38" s="184">
        <v>0</v>
      </c>
      <c r="ED38">
        <v>482</v>
      </c>
      <c r="EE38">
        <v>498</v>
      </c>
      <c r="EF38">
        <v>478</v>
      </c>
      <c r="EG38">
        <v>23</v>
      </c>
      <c r="EH38">
        <v>0</v>
      </c>
      <c r="EI38">
        <v>1</v>
      </c>
      <c r="EJ38">
        <v>429</v>
      </c>
      <c r="EK38">
        <v>448</v>
      </c>
      <c r="EL38">
        <v>431</v>
      </c>
      <c r="EM38">
        <v>30</v>
      </c>
      <c r="EN38">
        <v>50</v>
      </c>
      <c r="EO38">
        <v>46</v>
      </c>
      <c r="EP38">
        <v>0</v>
      </c>
      <c r="EQ38">
        <v>85</v>
      </c>
      <c r="ER38">
        <v>350</v>
      </c>
      <c r="ES38">
        <v>95</v>
      </c>
      <c r="ET38">
        <v>39</v>
      </c>
      <c r="EU38">
        <v>204</v>
      </c>
      <c r="EV38">
        <v>95</v>
      </c>
      <c r="EW38">
        <v>39</v>
      </c>
      <c r="EX38">
        <v>204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f>BP38+CQ38</f>
        <v>532</v>
      </c>
      <c r="GG38">
        <f>BQ38+CR38</f>
        <v>651</v>
      </c>
      <c r="GH38">
        <f>BR38+CS38</f>
        <v>822</v>
      </c>
      <c r="GI38">
        <f>DR38+EY38</f>
        <v>627</v>
      </c>
      <c r="GJ38">
        <f>DS38+EZ38</f>
        <v>691</v>
      </c>
      <c r="GK38">
        <f>DT38+FA38</f>
        <v>1026</v>
      </c>
      <c r="GL38">
        <f>GI38-GF38</f>
        <v>95</v>
      </c>
      <c r="GM38">
        <f>GJ38-GG38</f>
        <v>40</v>
      </c>
      <c r="GN38">
        <f>GK38-GH38</f>
        <v>204</v>
      </c>
      <c r="GO38">
        <f>GC38+EV38</f>
        <v>95</v>
      </c>
      <c r="GP38">
        <f>GD38+EW38</f>
        <v>39</v>
      </c>
      <c r="GQ38">
        <f>GE38+EX38</f>
        <v>204</v>
      </c>
      <c r="GR38" t="s">
        <v>326</v>
      </c>
      <c r="GS38" s="4"/>
      <c r="GT38" s="4"/>
      <c r="GV38" s="4"/>
      <c r="GW38" s="4"/>
      <c r="GX38" s="4"/>
      <c r="GZ38" s="4"/>
      <c r="HA38" s="4"/>
      <c r="HB38" s="4"/>
    </row>
    <row r="39" spans="1:231">
      <c r="A39" t="s">
        <v>69</v>
      </c>
      <c r="B39">
        <v>190</v>
      </c>
      <c r="C39">
        <v>0</v>
      </c>
      <c r="D39">
        <v>40</v>
      </c>
      <c r="E39">
        <v>10</v>
      </c>
      <c r="F39">
        <v>25</v>
      </c>
      <c r="G39">
        <v>20</v>
      </c>
      <c r="H39">
        <v>5</v>
      </c>
      <c r="I39" t="s">
        <v>38</v>
      </c>
      <c r="J39" t="s">
        <v>35</v>
      </c>
      <c r="K39">
        <v>1</v>
      </c>
      <c r="L39">
        <v>20</v>
      </c>
      <c r="M39">
        <v>25</v>
      </c>
      <c r="N39">
        <v>5</v>
      </c>
      <c r="O39">
        <v>50</v>
      </c>
      <c r="P39">
        <v>2</v>
      </c>
      <c r="Q39">
        <v>2168</v>
      </c>
      <c r="R39">
        <v>1594</v>
      </c>
      <c r="S39">
        <v>1582</v>
      </c>
      <c r="T39">
        <v>4139</v>
      </c>
      <c r="U39">
        <v>4254</v>
      </c>
      <c r="V39">
        <v>4255</v>
      </c>
      <c r="W39">
        <v>-2464</v>
      </c>
      <c r="X39">
        <v>-2772</v>
      </c>
      <c r="Y39">
        <v>-2920</v>
      </c>
      <c r="Z39">
        <v>492</v>
      </c>
      <c r="AA39">
        <v>112</v>
      </c>
      <c r="AB39">
        <v>247</v>
      </c>
      <c r="AC39">
        <v>34</v>
      </c>
      <c r="AD39">
        <v>34</v>
      </c>
      <c r="AE39">
        <v>37</v>
      </c>
      <c r="AF39">
        <v>30</v>
      </c>
      <c r="AG39">
        <v>34</v>
      </c>
      <c r="AH39">
        <v>25</v>
      </c>
      <c r="AI39">
        <v>417</v>
      </c>
      <c r="AJ39">
        <v>44</v>
      </c>
      <c r="AK39">
        <v>185</v>
      </c>
      <c r="AL39">
        <v>11</v>
      </c>
      <c r="AM39">
        <v>0</v>
      </c>
      <c r="AN39">
        <v>0</v>
      </c>
      <c r="AO39">
        <v>2168</v>
      </c>
      <c r="AP39">
        <v>1594</v>
      </c>
      <c r="AQ39">
        <v>1582</v>
      </c>
      <c r="AR39">
        <v>1527</v>
      </c>
      <c r="AS39">
        <v>1060</v>
      </c>
      <c r="AT39">
        <v>1115</v>
      </c>
      <c r="AU39">
        <v>2711</v>
      </c>
      <c r="AV39">
        <v>2711</v>
      </c>
      <c r="AW39">
        <v>2712</v>
      </c>
      <c r="AX39">
        <v>-1185</v>
      </c>
      <c r="AY39">
        <v>-1661</v>
      </c>
      <c r="AZ39">
        <v>-1597</v>
      </c>
      <c r="BA39">
        <v>641</v>
      </c>
      <c r="BB39">
        <v>534</v>
      </c>
      <c r="BC39">
        <v>467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641</v>
      </c>
      <c r="BK39">
        <v>534</v>
      </c>
      <c r="BL39">
        <v>467</v>
      </c>
      <c r="BM39">
        <v>0</v>
      </c>
      <c r="BN39">
        <v>0</v>
      </c>
      <c r="BO39">
        <v>0</v>
      </c>
      <c r="BP39">
        <v>1949</v>
      </c>
      <c r="BQ39">
        <v>762</v>
      </c>
      <c r="BR39">
        <v>559</v>
      </c>
      <c r="BS39">
        <v>359</v>
      </c>
      <c r="BT39">
        <v>188</v>
      </c>
      <c r="BU39">
        <v>306</v>
      </c>
      <c r="BV39">
        <v>1536</v>
      </c>
      <c r="BW39">
        <f>549-BT39</f>
        <v>361</v>
      </c>
      <c r="BX39">
        <v>0</v>
      </c>
      <c r="BY39">
        <v>26</v>
      </c>
      <c r="BZ39">
        <v>29</v>
      </c>
      <c r="CA39">
        <v>45</v>
      </c>
      <c r="CB39">
        <v>1</v>
      </c>
      <c r="CC39">
        <v>4</v>
      </c>
      <c r="CD39">
        <v>4</v>
      </c>
      <c r="CE39">
        <v>12</v>
      </c>
      <c r="CF39">
        <v>8</v>
      </c>
      <c r="CG39">
        <v>24</v>
      </c>
      <c r="CH39">
        <v>0</v>
      </c>
      <c r="CI39">
        <v>157</v>
      </c>
      <c r="CJ39">
        <v>147</v>
      </c>
      <c r="CK39">
        <v>15</v>
      </c>
      <c r="CL39">
        <v>15</v>
      </c>
      <c r="CM39">
        <v>33</v>
      </c>
      <c r="CN39">
        <v>0</v>
      </c>
      <c r="CO39">
        <v>0</v>
      </c>
      <c r="CP39">
        <v>0</v>
      </c>
      <c r="CQ39">
        <v>343</v>
      </c>
      <c r="CR39">
        <v>667</v>
      </c>
      <c r="CS39">
        <v>621</v>
      </c>
      <c r="CT39">
        <v>343</v>
      </c>
      <c r="CU39">
        <v>652</v>
      </c>
      <c r="CV39">
        <v>603</v>
      </c>
      <c r="CW39">
        <v>0</v>
      </c>
      <c r="CX39">
        <v>0</v>
      </c>
      <c r="CY39">
        <v>0</v>
      </c>
      <c r="CZ39">
        <v>0</v>
      </c>
      <c r="DA39">
        <v>15</v>
      </c>
      <c r="DB39">
        <v>18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869</v>
      </c>
      <c r="DS39">
        <v>305</v>
      </c>
      <c r="DT39">
        <v>376</v>
      </c>
      <c r="DU39">
        <v>168</v>
      </c>
      <c r="DV39">
        <v>73</v>
      </c>
      <c r="DW39">
        <v>82</v>
      </c>
      <c r="DX39">
        <v>0</v>
      </c>
      <c r="DY39">
        <v>0</v>
      </c>
      <c r="DZ39">
        <v>0</v>
      </c>
      <c r="EA39" s="183">
        <v>0</v>
      </c>
      <c r="EB39" s="83">
        <v>0</v>
      </c>
      <c r="EC39" s="184">
        <v>1</v>
      </c>
      <c r="ED39">
        <v>234</v>
      </c>
      <c r="EE39">
        <v>136</v>
      </c>
      <c r="EF39">
        <v>113</v>
      </c>
      <c r="EG39">
        <v>0</v>
      </c>
      <c r="EH39">
        <v>0</v>
      </c>
      <c r="EI39">
        <v>0</v>
      </c>
      <c r="EJ39">
        <v>176</v>
      </c>
      <c r="EK39">
        <v>78</v>
      </c>
      <c r="EL39">
        <f>EF39-EO39</f>
        <v>65</v>
      </c>
      <c r="EM39">
        <v>48</v>
      </c>
      <c r="EN39">
        <v>58</v>
      </c>
      <c r="EO39">
        <v>48</v>
      </c>
      <c r="EP39" s="83">
        <v>476</v>
      </c>
      <c r="EQ39" s="83">
        <v>96</v>
      </c>
      <c r="ER39" s="83">
        <v>180</v>
      </c>
      <c r="ES39">
        <v>-1080</v>
      </c>
      <c r="ET39">
        <v>-457</v>
      </c>
      <c r="EU39">
        <v>-183</v>
      </c>
      <c r="EV39">
        <v>-1080</v>
      </c>
      <c r="EW39">
        <v>-457</v>
      </c>
      <c r="EX39">
        <v>-183</v>
      </c>
      <c r="EY39">
        <v>639</v>
      </c>
      <c r="EZ39">
        <v>809</v>
      </c>
      <c r="FA39">
        <v>859</v>
      </c>
      <c r="FB39">
        <v>639</v>
      </c>
      <c r="FC39">
        <v>809</v>
      </c>
      <c r="FD39">
        <v>859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296</v>
      </c>
      <c r="GA39">
        <v>142</v>
      </c>
      <c r="GB39">
        <v>238</v>
      </c>
      <c r="GC39">
        <v>296</v>
      </c>
      <c r="GD39">
        <v>142</v>
      </c>
      <c r="GE39">
        <v>238</v>
      </c>
      <c r="GF39">
        <f>BP39+CQ39</f>
        <v>2292</v>
      </c>
      <c r="GG39">
        <f>BQ39+CR39</f>
        <v>1429</v>
      </c>
      <c r="GH39">
        <f>BR39+CS39</f>
        <v>1180</v>
      </c>
      <c r="GI39">
        <f>DR39+EY39</f>
        <v>1508</v>
      </c>
      <c r="GJ39">
        <f>DS39+EZ39</f>
        <v>1114</v>
      </c>
      <c r="GK39">
        <f>DT39+FA39</f>
        <v>1235</v>
      </c>
      <c r="GL39">
        <f>GI39-GF39</f>
        <v>-784</v>
      </c>
      <c r="GM39">
        <f>GJ39-GG39</f>
        <v>-315</v>
      </c>
      <c r="GN39">
        <f>GK39-GH39</f>
        <v>55</v>
      </c>
      <c r="GO39">
        <f>GC39+EV39</f>
        <v>-784</v>
      </c>
      <c r="GP39">
        <f>GD39+EW39</f>
        <v>-315</v>
      </c>
      <c r="GQ39">
        <f>GE39+EX39</f>
        <v>55</v>
      </c>
      <c r="GS39" s="4"/>
      <c r="GT39" s="4"/>
      <c r="GV39" s="4"/>
      <c r="GW39" s="4"/>
      <c r="GX39" s="4"/>
      <c r="GZ39" s="4"/>
      <c r="HA39" s="4"/>
      <c r="HB39" s="4"/>
    </row>
    <row r="40" spans="1:231">
      <c r="A40" t="s">
        <v>70</v>
      </c>
      <c r="B40">
        <v>169</v>
      </c>
      <c r="C40">
        <v>5</v>
      </c>
      <c r="D40">
        <v>10</v>
      </c>
      <c r="E40">
        <v>10</v>
      </c>
      <c r="F40">
        <v>15</v>
      </c>
      <c r="G40">
        <v>45</v>
      </c>
      <c r="H40">
        <v>15</v>
      </c>
      <c r="I40" t="s">
        <v>38</v>
      </c>
      <c r="J40" t="s">
        <v>32</v>
      </c>
      <c r="K40">
        <v>1</v>
      </c>
      <c r="L40">
        <v>70</v>
      </c>
      <c r="M40">
        <v>25</v>
      </c>
      <c r="N40">
        <v>5</v>
      </c>
      <c r="O40">
        <v>0</v>
      </c>
      <c r="P40">
        <v>1</v>
      </c>
      <c r="Q40">
        <v>2108</v>
      </c>
      <c r="R40">
        <v>2110</v>
      </c>
      <c r="S40">
        <v>2073</v>
      </c>
      <c r="T40">
        <v>2036</v>
      </c>
      <c r="U40">
        <v>2036</v>
      </c>
      <c r="V40" s="3">
        <v>2036</v>
      </c>
      <c r="W40">
        <v>-11</v>
      </c>
      <c r="X40">
        <v>-34</v>
      </c>
      <c r="Y40">
        <v>-58</v>
      </c>
      <c r="Z40">
        <v>83</v>
      </c>
      <c r="AA40">
        <v>108</v>
      </c>
      <c r="AB40">
        <v>95</v>
      </c>
      <c r="AC40">
        <v>0</v>
      </c>
      <c r="AD40">
        <v>0</v>
      </c>
      <c r="AE40">
        <v>0</v>
      </c>
      <c r="AF40">
        <v>0</v>
      </c>
      <c r="AG40">
        <v>-3</v>
      </c>
      <c r="AH40">
        <v>-5</v>
      </c>
      <c r="AI40">
        <v>75</v>
      </c>
      <c r="AJ40">
        <v>111</v>
      </c>
      <c r="AK40">
        <v>100</v>
      </c>
      <c r="AL40">
        <v>0</v>
      </c>
      <c r="AM40">
        <v>0</v>
      </c>
      <c r="AN40">
        <v>0</v>
      </c>
      <c r="AO40">
        <v>2108</v>
      </c>
      <c r="AP40">
        <v>2110</v>
      </c>
      <c r="AQ40">
        <v>2073</v>
      </c>
      <c r="AR40">
        <v>2028</v>
      </c>
      <c r="AS40">
        <v>2070</v>
      </c>
      <c r="AT40">
        <v>2073</v>
      </c>
      <c r="AU40">
        <v>2054</v>
      </c>
      <c r="AV40">
        <v>2028</v>
      </c>
      <c r="AW40">
        <v>2069</v>
      </c>
      <c r="AX40">
        <v>-26</v>
      </c>
      <c r="AY40">
        <v>42</v>
      </c>
      <c r="AZ40">
        <v>4</v>
      </c>
      <c r="BA40">
        <v>80</v>
      </c>
      <c r="BB40">
        <v>40</v>
      </c>
      <c r="BC40">
        <v>0</v>
      </c>
      <c r="BD40">
        <v>0</v>
      </c>
      <c r="BE40">
        <v>0</v>
      </c>
      <c r="BF40">
        <v>0</v>
      </c>
      <c r="BG40">
        <v>40</v>
      </c>
      <c r="BH40">
        <v>0</v>
      </c>
      <c r="BI40">
        <v>0</v>
      </c>
      <c r="BJ40">
        <v>40</v>
      </c>
      <c r="BK40">
        <v>40</v>
      </c>
      <c r="BL40">
        <v>0</v>
      </c>
      <c r="BM40">
        <v>0</v>
      </c>
      <c r="BN40">
        <v>0</v>
      </c>
      <c r="BO40">
        <v>0</v>
      </c>
      <c r="BP40">
        <v>265</v>
      </c>
      <c r="BQ40">
        <v>246</v>
      </c>
      <c r="BR40">
        <v>207</v>
      </c>
      <c r="BS40">
        <v>113</v>
      </c>
      <c r="BT40">
        <v>190</v>
      </c>
      <c r="BU40">
        <v>161</v>
      </c>
      <c r="BV40">
        <v>104</v>
      </c>
      <c r="BW40">
        <v>0</v>
      </c>
      <c r="BX40">
        <v>0</v>
      </c>
      <c r="BY40">
        <v>15</v>
      </c>
      <c r="BZ40">
        <v>10</v>
      </c>
      <c r="CA40">
        <v>0</v>
      </c>
      <c r="CB40">
        <v>0</v>
      </c>
      <c r="CC40">
        <v>1</v>
      </c>
      <c r="CD40">
        <v>2</v>
      </c>
      <c r="CE40">
        <v>3</v>
      </c>
      <c r="CF40">
        <v>2</v>
      </c>
      <c r="CG40">
        <v>0</v>
      </c>
      <c r="CH40">
        <v>11</v>
      </c>
      <c r="CI40">
        <v>23</v>
      </c>
      <c r="CJ40">
        <v>23</v>
      </c>
      <c r="CK40">
        <v>19</v>
      </c>
      <c r="CL40">
        <v>20</v>
      </c>
      <c r="CM40">
        <v>21</v>
      </c>
      <c r="CN40">
        <v>0</v>
      </c>
      <c r="CO40">
        <v>0</v>
      </c>
      <c r="CP40">
        <v>0</v>
      </c>
      <c r="CQ40">
        <v>8</v>
      </c>
      <c r="CR40">
        <v>8</v>
      </c>
      <c r="CS40">
        <v>6</v>
      </c>
      <c r="CT40">
        <v>8</v>
      </c>
      <c r="CU40">
        <v>8</v>
      </c>
      <c r="CV40">
        <v>6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227</v>
      </c>
      <c r="DS40">
        <v>245</v>
      </c>
      <c r="DT40">
        <v>189</v>
      </c>
      <c r="DU40">
        <v>17</v>
      </c>
      <c r="DV40">
        <v>46</v>
      </c>
      <c r="DW40">
        <v>18</v>
      </c>
      <c r="DX40">
        <v>0</v>
      </c>
      <c r="DY40">
        <v>2</v>
      </c>
      <c r="DZ40">
        <v>0</v>
      </c>
      <c r="EA40" s="183">
        <v>0</v>
      </c>
      <c r="EB40" s="83">
        <v>0</v>
      </c>
      <c r="EC40" s="184">
        <v>0</v>
      </c>
      <c r="ED40">
        <v>100</v>
      </c>
      <c r="EE40">
        <v>97</v>
      </c>
      <c r="EF40">
        <v>71</v>
      </c>
      <c r="EG40">
        <v>0</v>
      </c>
      <c r="EH40">
        <v>0</v>
      </c>
      <c r="EI40">
        <v>0</v>
      </c>
      <c r="EJ40">
        <v>78</v>
      </c>
      <c r="EK40">
        <v>60</v>
      </c>
      <c r="EL40">
        <v>48</v>
      </c>
      <c r="EM40">
        <v>22</v>
      </c>
      <c r="EN40">
        <v>37</v>
      </c>
      <c r="EO40">
        <v>23</v>
      </c>
      <c r="EP40">
        <v>110</v>
      </c>
      <c r="EQ40">
        <v>100</v>
      </c>
      <c r="ER40">
        <v>100</v>
      </c>
      <c r="ES40">
        <v>-38</v>
      </c>
      <c r="ET40">
        <v>-1</v>
      </c>
      <c r="EU40">
        <v>-18</v>
      </c>
      <c r="EV40">
        <v>-38</v>
      </c>
      <c r="EW40">
        <v>-1</v>
      </c>
      <c r="EX40">
        <v>-18</v>
      </c>
      <c r="EY40">
        <v>20</v>
      </c>
      <c r="EZ40">
        <v>51</v>
      </c>
      <c r="FA40">
        <v>28</v>
      </c>
      <c r="FB40">
        <v>20</v>
      </c>
      <c r="FC40">
        <v>51</v>
      </c>
      <c r="FD40">
        <v>28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12</v>
      </c>
      <c r="GA40">
        <v>43</v>
      </c>
      <c r="GB40">
        <v>22</v>
      </c>
      <c r="GC40">
        <v>12</v>
      </c>
      <c r="GD40">
        <v>43</v>
      </c>
      <c r="GE40">
        <v>22</v>
      </c>
      <c r="GF40">
        <f>BP40+CQ40</f>
        <v>273</v>
      </c>
      <c r="GG40">
        <f>BQ40+CR40</f>
        <v>254</v>
      </c>
      <c r="GH40">
        <f>BR40+CS40</f>
        <v>213</v>
      </c>
      <c r="GI40">
        <f>DR40+EY40</f>
        <v>247</v>
      </c>
      <c r="GJ40">
        <f>DS40+EZ40</f>
        <v>296</v>
      </c>
      <c r="GK40">
        <f>DT40+FA40</f>
        <v>217</v>
      </c>
      <c r="GL40">
        <f>GI40-GF40</f>
        <v>-26</v>
      </c>
      <c r="GM40">
        <f>GJ40-GG40</f>
        <v>42</v>
      </c>
      <c r="GN40">
        <f>GK40-GH40</f>
        <v>4</v>
      </c>
      <c r="GO40">
        <f>GC40+EV40</f>
        <v>-26</v>
      </c>
      <c r="GP40">
        <f>GD40+EW40</f>
        <v>42</v>
      </c>
      <c r="GQ40">
        <f>GE40+EX40</f>
        <v>4</v>
      </c>
      <c r="GS40" s="4"/>
      <c r="GT40" s="4"/>
      <c r="GV40" s="4"/>
      <c r="GW40" s="4"/>
      <c r="GX40" s="4"/>
      <c r="GZ40" s="4"/>
      <c r="HA40" s="4"/>
      <c r="HB40" s="4"/>
    </row>
    <row r="41" spans="1:231">
      <c r="A41" t="s">
        <v>71</v>
      </c>
      <c r="B41">
        <v>180</v>
      </c>
      <c r="C41">
        <v>20</v>
      </c>
      <c r="D41">
        <v>20</v>
      </c>
      <c r="E41">
        <v>20</v>
      </c>
      <c r="F41">
        <v>30</v>
      </c>
      <c r="G41">
        <v>9</v>
      </c>
      <c r="H41">
        <v>1</v>
      </c>
      <c r="I41" t="s">
        <v>38</v>
      </c>
      <c r="J41" t="s">
        <v>32</v>
      </c>
      <c r="K41">
        <v>5</v>
      </c>
      <c r="L41">
        <v>10</v>
      </c>
      <c r="M41">
        <v>50</v>
      </c>
      <c r="N41">
        <v>10</v>
      </c>
      <c r="O41">
        <v>30</v>
      </c>
      <c r="P41">
        <v>4</v>
      </c>
      <c r="Q41">
        <v>279</v>
      </c>
      <c r="R41">
        <v>217</v>
      </c>
      <c r="S41">
        <v>255</v>
      </c>
      <c r="T41">
        <v>811</v>
      </c>
      <c r="U41">
        <v>811</v>
      </c>
      <c r="V41">
        <v>811</v>
      </c>
      <c r="W41">
        <v>-811</v>
      </c>
      <c r="X41">
        <v>-811</v>
      </c>
      <c r="Y41">
        <v>-811</v>
      </c>
      <c r="Z41">
        <v>279</v>
      </c>
      <c r="AA41">
        <v>217</v>
      </c>
      <c r="AB41">
        <v>255</v>
      </c>
      <c r="AC41">
        <v>0</v>
      </c>
      <c r="AD41">
        <v>0</v>
      </c>
      <c r="AE41">
        <v>0</v>
      </c>
      <c r="AF41">
        <v>151</v>
      </c>
      <c r="AG41">
        <v>131</v>
      </c>
      <c r="AH41">
        <v>180</v>
      </c>
      <c r="AI41">
        <v>128</v>
      </c>
      <c r="AJ41">
        <v>52</v>
      </c>
      <c r="AK41">
        <v>64</v>
      </c>
      <c r="AL41">
        <v>0</v>
      </c>
      <c r="AM41">
        <v>0</v>
      </c>
      <c r="AN41">
        <v>11</v>
      </c>
      <c r="AO41">
        <v>279</v>
      </c>
      <c r="AP41">
        <v>217</v>
      </c>
      <c r="AQ41">
        <v>255</v>
      </c>
      <c r="AR41">
        <v>158</v>
      </c>
      <c r="AS41">
        <v>113</v>
      </c>
      <c r="AT41">
        <v>136</v>
      </c>
      <c r="AU41">
        <v>0</v>
      </c>
      <c r="AV41">
        <v>0</v>
      </c>
      <c r="AW41">
        <v>0</v>
      </c>
      <c r="AX41">
        <v>158</v>
      </c>
      <c r="AY41">
        <v>113</v>
      </c>
      <c r="AZ41">
        <v>136</v>
      </c>
      <c r="BA41">
        <v>121</v>
      </c>
      <c r="BB41">
        <v>104</v>
      </c>
      <c r="BC41">
        <v>119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69</v>
      </c>
      <c r="BK41">
        <v>104</v>
      </c>
      <c r="BL41">
        <v>119</v>
      </c>
      <c r="BM41">
        <v>52</v>
      </c>
      <c r="BN41">
        <v>0</v>
      </c>
      <c r="BO41">
        <v>0</v>
      </c>
      <c r="BP41">
        <v>1858</v>
      </c>
      <c r="BQ41">
        <v>1475</v>
      </c>
      <c r="BR41">
        <v>1221</v>
      </c>
      <c r="BS41">
        <v>950</v>
      </c>
      <c r="BT41">
        <v>1346</v>
      </c>
      <c r="BU41">
        <v>1084</v>
      </c>
      <c r="BV41">
        <v>785</v>
      </c>
      <c r="BW41">
        <v>0</v>
      </c>
      <c r="BX41">
        <v>0</v>
      </c>
      <c r="BY41">
        <v>0</v>
      </c>
      <c r="BZ41">
        <v>36</v>
      </c>
      <c r="CA41">
        <v>52</v>
      </c>
      <c r="CB41">
        <v>56</v>
      </c>
      <c r="CC41">
        <v>90</v>
      </c>
      <c r="CD41">
        <v>83</v>
      </c>
      <c r="CE41">
        <v>66</v>
      </c>
      <c r="CF41">
        <v>1</v>
      </c>
      <c r="CG41">
        <v>1</v>
      </c>
      <c r="CH41">
        <v>0</v>
      </c>
      <c r="CI41">
        <v>0</v>
      </c>
      <c r="CJ41">
        <v>0</v>
      </c>
      <c r="CK41">
        <v>1</v>
      </c>
      <c r="CL41">
        <v>0</v>
      </c>
      <c r="CM41">
        <v>1</v>
      </c>
      <c r="CN41">
        <v>0</v>
      </c>
      <c r="CO41">
        <v>2</v>
      </c>
      <c r="CP41">
        <v>0</v>
      </c>
      <c r="CQ41">
        <v>63</v>
      </c>
      <c r="CR41">
        <v>58</v>
      </c>
      <c r="CS41">
        <v>68</v>
      </c>
      <c r="CT41">
        <v>1</v>
      </c>
      <c r="CU41">
        <v>58</v>
      </c>
      <c r="CV41">
        <v>68</v>
      </c>
      <c r="CW41">
        <v>62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1258</v>
      </c>
      <c r="DS41">
        <v>1121</v>
      </c>
      <c r="DT41">
        <v>952</v>
      </c>
      <c r="DU41">
        <v>720</v>
      </c>
      <c r="DV41">
        <v>207</v>
      </c>
      <c r="DW41">
        <v>211</v>
      </c>
      <c r="DX41">
        <v>-42</v>
      </c>
      <c r="DY41">
        <v>0</v>
      </c>
      <c r="DZ41">
        <v>0</v>
      </c>
      <c r="EA41" s="183">
        <v>0</v>
      </c>
      <c r="EB41" s="83">
        <v>0</v>
      </c>
      <c r="EC41" s="184">
        <v>0</v>
      </c>
      <c r="ED41">
        <v>580</v>
      </c>
      <c r="EE41">
        <v>914</v>
      </c>
      <c r="EF41">
        <v>741</v>
      </c>
      <c r="EG41">
        <v>0</v>
      </c>
      <c r="EH41">
        <v>0</v>
      </c>
      <c r="EI41">
        <v>184</v>
      </c>
      <c r="EJ41">
        <v>580</v>
      </c>
      <c r="EK41">
        <v>792</v>
      </c>
      <c r="EL41">
        <v>442</v>
      </c>
      <c r="EM41">
        <v>0</v>
      </c>
      <c r="EN41">
        <v>122</v>
      </c>
      <c r="EO41">
        <v>115</v>
      </c>
      <c r="EP41">
        <v>0</v>
      </c>
      <c r="EQ41">
        <v>0</v>
      </c>
      <c r="ER41">
        <v>0</v>
      </c>
      <c r="ES41">
        <v>-600</v>
      </c>
      <c r="ET41">
        <v>-352</v>
      </c>
      <c r="EU41">
        <v>-269</v>
      </c>
      <c r="EV41">
        <v>-600</v>
      </c>
      <c r="EW41">
        <v>-352</v>
      </c>
      <c r="EX41">
        <v>-269</v>
      </c>
      <c r="EY41">
        <v>361</v>
      </c>
      <c r="EZ41">
        <v>367</v>
      </c>
      <c r="FA41">
        <v>359</v>
      </c>
      <c r="FB41">
        <v>361</v>
      </c>
      <c r="FC41">
        <v>367</v>
      </c>
      <c r="FD41">
        <v>359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298</v>
      </c>
      <c r="GA41">
        <v>309</v>
      </c>
      <c r="GB41">
        <v>291</v>
      </c>
      <c r="GC41">
        <v>298</v>
      </c>
      <c r="GD41">
        <v>309</v>
      </c>
      <c r="GE41">
        <v>291</v>
      </c>
      <c r="GF41">
        <f>BP41+CQ41</f>
        <v>1921</v>
      </c>
      <c r="GG41">
        <f>BQ41+CR41</f>
        <v>1533</v>
      </c>
      <c r="GH41">
        <f>BR41+CS41</f>
        <v>1289</v>
      </c>
      <c r="GI41">
        <f>DR41+EY41</f>
        <v>1619</v>
      </c>
      <c r="GJ41">
        <f>DS41+EZ41</f>
        <v>1488</v>
      </c>
      <c r="GK41">
        <f>DT41+FA41</f>
        <v>1311</v>
      </c>
      <c r="GL41">
        <f>GI41-GF41</f>
        <v>-302</v>
      </c>
      <c r="GM41">
        <f>GJ41-GG41</f>
        <v>-45</v>
      </c>
      <c r="GN41">
        <f>GK41-GH41</f>
        <v>22</v>
      </c>
      <c r="GO41">
        <f>GC41+EV41</f>
        <v>-302</v>
      </c>
      <c r="GP41">
        <f>GD41+EW41</f>
        <v>-43</v>
      </c>
      <c r="GQ41">
        <f>GE41+EX41</f>
        <v>22</v>
      </c>
      <c r="GS41" s="4"/>
      <c r="GT41" s="4"/>
      <c r="GV41" s="4"/>
      <c r="GW41" s="4"/>
      <c r="GX41" s="4"/>
      <c r="GZ41" s="4"/>
      <c r="HA41" s="4"/>
      <c r="HB41" s="4"/>
    </row>
    <row r="42" spans="1:231">
      <c r="A42" t="s">
        <v>72</v>
      </c>
      <c r="B42">
        <v>225</v>
      </c>
      <c r="C42">
        <v>10</v>
      </c>
      <c r="D42">
        <v>55</v>
      </c>
      <c r="E42">
        <v>15</v>
      </c>
      <c r="F42">
        <v>15</v>
      </c>
      <c r="G42">
        <v>5</v>
      </c>
      <c r="H42">
        <v>0</v>
      </c>
      <c r="I42" t="s">
        <v>38</v>
      </c>
      <c r="J42" t="s">
        <v>32</v>
      </c>
      <c r="K42">
        <v>2</v>
      </c>
      <c r="L42">
        <v>30</v>
      </c>
      <c r="M42">
        <v>60</v>
      </c>
      <c r="N42">
        <v>0</v>
      </c>
      <c r="O42">
        <v>10</v>
      </c>
      <c r="P42">
        <v>5</v>
      </c>
      <c r="Q42">
        <v>76</v>
      </c>
      <c r="R42">
        <v>52</v>
      </c>
      <c r="S42">
        <v>65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76</v>
      </c>
      <c r="AA42">
        <v>52</v>
      </c>
      <c r="AB42">
        <v>65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76</v>
      </c>
      <c r="AJ42">
        <v>51</v>
      </c>
      <c r="AK42">
        <v>64</v>
      </c>
      <c r="AL42">
        <v>0</v>
      </c>
      <c r="AM42">
        <v>1</v>
      </c>
      <c r="AN42">
        <v>1</v>
      </c>
      <c r="AO42">
        <v>76</v>
      </c>
      <c r="AP42">
        <v>51</v>
      </c>
      <c r="AQ42">
        <v>65</v>
      </c>
      <c r="AR42">
        <v>32</v>
      </c>
      <c r="AS42">
        <v>5</v>
      </c>
      <c r="AT42">
        <v>-31</v>
      </c>
      <c r="AU42">
        <v>32</v>
      </c>
      <c r="AV42">
        <v>15</v>
      </c>
      <c r="AW42">
        <v>15</v>
      </c>
      <c r="AX42">
        <v>44</v>
      </c>
      <c r="AY42">
        <v>-10</v>
      </c>
      <c r="AZ42">
        <v>-46</v>
      </c>
      <c r="BA42">
        <v>0</v>
      </c>
      <c r="BB42">
        <v>47</v>
      </c>
      <c r="BC42">
        <v>96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47</v>
      </c>
      <c r="BL42">
        <v>49</v>
      </c>
      <c r="BM42">
        <v>0</v>
      </c>
      <c r="BN42">
        <v>0</v>
      </c>
      <c r="BO42">
        <v>47</v>
      </c>
      <c r="BP42">
        <v>460</v>
      </c>
      <c r="BQ42">
        <v>642</v>
      </c>
      <c r="BR42">
        <v>703</v>
      </c>
      <c r="BS42">
        <v>43</v>
      </c>
      <c r="BT42">
        <v>467</v>
      </c>
      <c r="BU42">
        <v>489</v>
      </c>
      <c r="BV42">
        <v>138</v>
      </c>
      <c r="BW42">
        <v>0</v>
      </c>
      <c r="BX42">
        <v>0</v>
      </c>
      <c r="BY42">
        <v>70</v>
      </c>
      <c r="BZ42">
        <v>137</v>
      </c>
      <c r="CA42">
        <v>174</v>
      </c>
      <c r="CB42">
        <v>0</v>
      </c>
      <c r="CC42">
        <v>1</v>
      </c>
      <c r="CD42">
        <v>0</v>
      </c>
      <c r="CE42">
        <v>206</v>
      </c>
      <c r="CF42">
        <v>1</v>
      </c>
      <c r="CG42">
        <v>0</v>
      </c>
      <c r="CH42">
        <v>0</v>
      </c>
      <c r="CI42">
        <v>0</v>
      </c>
      <c r="CJ42">
        <v>0</v>
      </c>
      <c r="CK42">
        <v>3</v>
      </c>
      <c r="CL42">
        <v>36</v>
      </c>
      <c r="CM42">
        <v>40</v>
      </c>
      <c r="CN42">
        <v>0</v>
      </c>
      <c r="CO42">
        <v>0</v>
      </c>
      <c r="CP42">
        <v>0</v>
      </c>
      <c r="CQ42">
        <v>0</v>
      </c>
      <c r="CR42">
        <v>22</v>
      </c>
      <c r="CS42">
        <v>7</v>
      </c>
      <c r="CT42">
        <v>0</v>
      </c>
      <c r="CU42">
        <v>22</v>
      </c>
      <c r="CV42">
        <v>7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504</v>
      </c>
      <c r="DS42">
        <v>601</v>
      </c>
      <c r="DT42">
        <v>659</v>
      </c>
      <c r="DU42">
        <v>0</v>
      </c>
      <c r="DV42">
        <v>129</v>
      </c>
      <c r="DW42">
        <v>61</v>
      </c>
      <c r="DX42">
        <v>134</v>
      </c>
      <c r="DY42">
        <v>0</v>
      </c>
      <c r="DZ42">
        <v>0</v>
      </c>
      <c r="EA42" s="183">
        <v>0</v>
      </c>
      <c r="EB42" s="83">
        <v>0</v>
      </c>
      <c r="EC42" s="184">
        <v>0</v>
      </c>
      <c r="ED42">
        <v>230</v>
      </c>
      <c r="EE42">
        <v>162</v>
      </c>
      <c r="EF42">
        <v>254</v>
      </c>
      <c r="EG42">
        <v>40</v>
      </c>
      <c r="EH42">
        <v>22</v>
      </c>
      <c r="EI42">
        <v>0</v>
      </c>
      <c r="EJ42">
        <v>50</v>
      </c>
      <c r="EK42">
        <v>0</v>
      </c>
      <c r="EL42">
        <v>0</v>
      </c>
      <c r="EM42">
        <v>140</v>
      </c>
      <c r="EN42">
        <v>140</v>
      </c>
      <c r="EO42">
        <v>254</v>
      </c>
      <c r="EP42">
        <v>140</v>
      </c>
      <c r="EQ42">
        <v>310</v>
      </c>
      <c r="ER42">
        <v>344</v>
      </c>
      <c r="ES42">
        <v>44</v>
      </c>
      <c r="ET42">
        <v>-41</v>
      </c>
      <c r="EU42">
        <v>-44</v>
      </c>
      <c r="EV42">
        <v>44</v>
      </c>
      <c r="EW42">
        <v>-41</v>
      </c>
      <c r="EX42">
        <v>-44</v>
      </c>
      <c r="EY42">
        <v>0</v>
      </c>
      <c r="EZ42">
        <v>28</v>
      </c>
      <c r="FA42">
        <v>15</v>
      </c>
      <c r="FB42">
        <v>0</v>
      </c>
      <c r="FC42">
        <v>28</v>
      </c>
      <c r="FD42">
        <v>14</v>
      </c>
      <c r="FE42">
        <v>0</v>
      </c>
      <c r="FF42">
        <v>0</v>
      </c>
      <c r="FG42">
        <v>1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6</v>
      </c>
      <c r="GB42">
        <v>8</v>
      </c>
      <c r="GC42">
        <v>0</v>
      </c>
      <c r="GD42">
        <v>6</v>
      </c>
      <c r="GE42">
        <v>8</v>
      </c>
      <c r="GF42">
        <f>BP42+CQ42</f>
        <v>460</v>
      </c>
      <c r="GG42">
        <f>BQ42+CR42</f>
        <v>664</v>
      </c>
      <c r="GH42">
        <f>BR42+CS42</f>
        <v>710</v>
      </c>
      <c r="GI42">
        <f>DR42+EY42</f>
        <v>504</v>
      </c>
      <c r="GJ42">
        <f>DS42+EZ42</f>
        <v>629</v>
      </c>
      <c r="GK42">
        <f>DT42+FA42</f>
        <v>674</v>
      </c>
      <c r="GL42">
        <f>GI42-GF42</f>
        <v>44</v>
      </c>
      <c r="GM42">
        <f>GJ42-GG42</f>
        <v>-35</v>
      </c>
      <c r="GN42">
        <f>GK42-GH42</f>
        <v>-36</v>
      </c>
      <c r="GO42">
        <f>GC42+EV42</f>
        <v>44</v>
      </c>
      <c r="GP42">
        <f>GD42+EW42</f>
        <v>-35</v>
      </c>
      <c r="GQ42">
        <f>GE42+EX42</f>
        <v>-36</v>
      </c>
      <c r="GS42" s="4"/>
      <c r="GT42" s="4"/>
      <c r="GV42" s="4"/>
      <c r="GW42" s="4"/>
      <c r="GX42" s="4"/>
      <c r="GZ42" s="4"/>
      <c r="HA42" s="4"/>
      <c r="HB42" s="4"/>
    </row>
    <row r="43" spans="1:231">
      <c r="A43" t="s">
        <v>73</v>
      </c>
      <c r="B43">
        <v>285</v>
      </c>
      <c r="C43">
        <v>11</v>
      </c>
      <c r="D43">
        <v>41</v>
      </c>
      <c r="E43">
        <v>16</v>
      </c>
      <c r="F43">
        <v>10</v>
      </c>
      <c r="G43">
        <v>18</v>
      </c>
      <c r="H43">
        <v>4</v>
      </c>
      <c r="I43" t="s">
        <v>38</v>
      </c>
      <c r="J43" t="s">
        <v>32</v>
      </c>
      <c r="K43">
        <v>3</v>
      </c>
      <c r="L43">
        <v>10</v>
      </c>
      <c r="M43">
        <v>75</v>
      </c>
      <c r="N43">
        <v>15</v>
      </c>
      <c r="O43">
        <v>0</v>
      </c>
      <c r="P43">
        <v>2</v>
      </c>
      <c r="Q43">
        <v>29418</v>
      </c>
      <c r="R43">
        <v>29491</v>
      </c>
      <c r="S43">
        <v>29318</v>
      </c>
      <c r="T43">
        <v>29358</v>
      </c>
      <c r="U43">
        <v>29358</v>
      </c>
      <c r="V43">
        <v>29358</v>
      </c>
      <c r="W43">
        <v>-6092</v>
      </c>
      <c r="X43">
        <v>-7129</v>
      </c>
      <c r="Y43">
        <v>-8049</v>
      </c>
      <c r="Z43">
        <v>6152</v>
      </c>
      <c r="AA43">
        <v>7262</v>
      </c>
      <c r="AB43">
        <v>8009</v>
      </c>
      <c r="AC43">
        <v>134</v>
      </c>
      <c r="AD43">
        <v>134</v>
      </c>
      <c r="AE43">
        <v>52</v>
      </c>
      <c r="AF43">
        <v>2162</v>
      </c>
      <c r="AG43">
        <v>2081</v>
      </c>
      <c r="AH43">
        <v>2001</v>
      </c>
      <c r="AI43">
        <v>4050</v>
      </c>
      <c r="AJ43">
        <v>5241</v>
      </c>
      <c r="AK43">
        <v>6150</v>
      </c>
      <c r="AL43">
        <v>-194</v>
      </c>
      <c r="AM43">
        <v>-194</v>
      </c>
      <c r="AN43">
        <v>-194</v>
      </c>
      <c r="AO43">
        <v>29418</v>
      </c>
      <c r="AP43">
        <v>29491</v>
      </c>
      <c r="AQ43">
        <v>29318</v>
      </c>
      <c r="AR43">
        <v>28124</v>
      </c>
      <c r="AS43">
        <v>28717</v>
      </c>
      <c r="AT43">
        <v>27424</v>
      </c>
      <c r="AU43">
        <v>10069</v>
      </c>
      <c r="AV43">
        <v>9092</v>
      </c>
      <c r="AW43">
        <v>8151</v>
      </c>
      <c r="AX43">
        <v>18055</v>
      </c>
      <c r="AY43">
        <v>19625</v>
      </c>
      <c r="AZ43">
        <v>19273</v>
      </c>
      <c r="BA43">
        <v>1294</v>
      </c>
      <c r="BB43">
        <v>774</v>
      </c>
      <c r="BC43">
        <v>1894</v>
      </c>
      <c r="BD43">
        <v>0</v>
      </c>
      <c r="BE43">
        <v>0</v>
      </c>
      <c r="BF43">
        <v>0</v>
      </c>
      <c r="BG43">
        <v>1107</v>
      </c>
      <c r="BH43">
        <v>1108</v>
      </c>
      <c r="BI43">
        <v>1108</v>
      </c>
      <c r="BJ43">
        <v>187</v>
      </c>
      <c r="BK43">
        <v>-334</v>
      </c>
      <c r="BL43">
        <v>686</v>
      </c>
      <c r="BM43">
        <v>0</v>
      </c>
      <c r="BN43">
        <v>0</v>
      </c>
      <c r="BO43">
        <v>100</v>
      </c>
      <c r="BP43">
        <v>11792</v>
      </c>
      <c r="BQ43">
        <v>11878</v>
      </c>
      <c r="BR43">
        <v>13836</v>
      </c>
      <c r="BS43">
        <v>402</v>
      </c>
      <c r="BT43">
        <v>7717</v>
      </c>
      <c r="BU43">
        <v>9067</v>
      </c>
      <c r="BV43">
        <v>5658</v>
      </c>
      <c r="BW43">
        <v>0</v>
      </c>
      <c r="BX43">
        <v>0</v>
      </c>
      <c r="BY43">
        <v>293</v>
      </c>
      <c r="BZ43">
        <v>443</v>
      </c>
      <c r="CA43">
        <v>1373</v>
      </c>
      <c r="CB43">
        <v>2</v>
      </c>
      <c r="CC43">
        <v>25</v>
      </c>
      <c r="CD43">
        <v>6</v>
      </c>
      <c r="CE43">
        <v>2150</v>
      </c>
      <c r="CF43">
        <v>2387</v>
      </c>
      <c r="CG43">
        <v>1955</v>
      </c>
      <c r="CH43">
        <v>3136</v>
      </c>
      <c r="CI43">
        <v>1037</v>
      </c>
      <c r="CJ43">
        <v>920</v>
      </c>
      <c r="CK43">
        <v>151</v>
      </c>
      <c r="CL43">
        <v>127</v>
      </c>
      <c r="CM43">
        <v>331</v>
      </c>
      <c r="CN43">
        <v>0</v>
      </c>
      <c r="CO43">
        <v>142</v>
      </c>
      <c r="CP43">
        <v>184</v>
      </c>
      <c r="CQ43">
        <v>105</v>
      </c>
      <c r="CR43">
        <v>28</v>
      </c>
      <c r="CS43">
        <v>37</v>
      </c>
      <c r="CT43">
        <v>0</v>
      </c>
      <c r="CU43">
        <v>28</v>
      </c>
      <c r="CV43">
        <v>37</v>
      </c>
      <c r="CW43">
        <v>70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35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10900</v>
      </c>
      <c r="DS43">
        <v>12998</v>
      </c>
      <c r="DT43">
        <v>12711</v>
      </c>
      <c r="DU43">
        <v>1144</v>
      </c>
      <c r="DV43">
        <v>2127</v>
      </c>
      <c r="DW43">
        <v>1728</v>
      </c>
      <c r="DX43">
        <v>1166</v>
      </c>
      <c r="DY43">
        <v>1125</v>
      </c>
      <c r="DZ43">
        <v>-25</v>
      </c>
      <c r="EA43" s="183">
        <v>0</v>
      </c>
      <c r="EB43" s="83">
        <v>0</v>
      </c>
      <c r="EC43" s="184">
        <v>0</v>
      </c>
      <c r="ED43">
        <v>2868</v>
      </c>
      <c r="EE43">
        <v>2817</v>
      </c>
      <c r="EF43">
        <v>3243</v>
      </c>
      <c r="EG43">
        <v>371</v>
      </c>
      <c r="EH43">
        <v>319</v>
      </c>
      <c r="EI43">
        <v>463</v>
      </c>
      <c r="EJ43">
        <v>1254</v>
      </c>
      <c r="EK43">
        <v>960</v>
      </c>
      <c r="EL43">
        <v>783</v>
      </c>
      <c r="EM43">
        <v>1243</v>
      </c>
      <c r="EN43">
        <v>1538</v>
      </c>
      <c r="EO43">
        <f>EF43-EI43-EL43</f>
        <v>1997</v>
      </c>
      <c r="EP43">
        <v>5722</v>
      </c>
      <c r="EQ43">
        <v>6929</v>
      </c>
      <c r="ER43">
        <f>5960+150+1655</f>
        <v>7765</v>
      </c>
      <c r="ES43">
        <v>-892</v>
      </c>
      <c r="ET43">
        <v>1262</v>
      </c>
      <c r="EU43">
        <v>-940</v>
      </c>
      <c r="EV43">
        <v>-1087</v>
      </c>
      <c r="EW43">
        <v>1120</v>
      </c>
      <c r="EX43">
        <v>-1125</v>
      </c>
      <c r="EY43">
        <v>900</v>
      </c>
      <c r="EZ43">
        <v>478</v>
      </c>
      <c r="FA43">
        <v>810</v>
      </c>
      <c r="FB43">
        <v>400</v>
      </c>
      <c r="FC43">
        <v>478</v>
      </c>
      <c r="FD43">
        <v>810</v>
      </c>
      <c r="FE43">
        <v>0</v>
      </c>
      <c r="FF43">
        <v>0</v>
      </c>
      <c r="FG43">
        <v>0</v>
      </c>
      <c r="FH43">
        <v>500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795</v>
      </c>
      <c r="GA43">
        <v>450</v>
      </c>
      <c r="GB43">
        <v>773</v>
      </c>
      <c r="GC43">
        <v>795</v>
      </c>
      <c r="GD43">
        <v>450</v>
      </c>
      <c r="GE43">
        <v>773</v>
      </c>
      <c r="GF43">
        <f>BP43+CQ43</f>
        <v>11897</v>
      </c>
      <c r="GG43">
        <f>BQ43+CR43</f>
        <v>11906</v>
      </c>
      <c r="GH43">
        <f>BR43+CS43</f>
        <v>13873</v>
      </c>
      <c r="GI43">
        <f>DR43+EY43</f>
        <v>11800</v>
      </c>
      <c r="GJ43">
        <f>DS43+EZ43</f>
        <v>13476</v>
      </c>
      <c r="GK43">
        <f>DT43+FA43</f>
        <v>13521</v>
      </c>
      <c r="GL43">
        <f>GI43-GF43</f>
        <v>-97</v>
      </c>
      <c r="GM43">
        <f>GJ43-GG43</f>
        <v>1570</v>
      </c>
      <c r="GN43">
        <f>GK43-GH43</f>
        <v>-352</v>
      </c>
      <c r="GO43">
        <f>GC43+EV43</f>
        <v>-292</v>
      </c>
      <c r="GP43">
        <f>GD43+EW43</f>
        <v>1570</v>
      </c>
      <c r="GQ43">
        <f>GE43+EX43</f>
        <v>-352</v>
      </c>
      <c r="GR43" t="s">
        <v>326</v>
      </c>
      <c r="GS43" s="4"/>
      <c r="GT43" s="4"/>
      <c r="GV43" s="4"/>
      <c r="GW43" s="4"/>
      <c r="GX43" s="4"/>
      <c r="GZ43" s="4"/>
      <c r="HA43" s="4"/>
      <c r="HB43" s="4"/>
    </row>
    <row r="44" spans="1:231">
      <c r="A44" t="s">
        <v>74</v>
      </c>
      <c r="B44">
        <v>100</v>
      </c>
      <c r="C44">
        <v>5</v>
      </c>
      <c r="D44">
        <v>6</v>
      </c>
      <c r="E44">
        <v>9</v>
      </c>
      <c r="F44">
        <v>15</v>
      </c>
      <c r="G44">
        <v>30</v>
      </c>
      <c r="H44">
        <v>35</v>
      </c>
      <c r="I44" t="s">
        <v>38</v>
      </c>
      <c r="J44" t="s">
        <v>35</v>
      </c>
      <c r="K44">
        <v>4</v>
      </c>
      <c r="L44">
        <v>5</v>
      </c>
      <c r="M44">
        <v>70</v>
      </c>
      <c r="N44">
        <v>20</v>
      </c>
      <c r="O44">
        <v>5</v>
      </c>
      <c r="P44">
        <v>6</v>
      </c>
      <c r="Q44">
        <v>1700</v>
      </c>
      <c r="R44">
        <v>1701</v>
      </c>
      <c r="S44">
        <v>1707</v>
      </c>
      <c r="T44">
        <v>1630</v>
      </c>
      <c r="U44">
        <v>1630</v>
      </c>
      <c r="V44">
        <v>1630</v>
      </c>
      <c r="W44">
        <v>0</v>
      </c>
      <c r="X44">
        <v>0</v>
      </c>
      <c r="Y44">
        <v>0</v>
      </c>
      <c r="Z44">
        <v>70</v>
      </c>
      <c r="AA44">
        <v>71</v>
      </c>
      <c r="AB44">
        <v>77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70</v>
      </c>
      <c r="AJ44">
        <v>71</v>
      </c>
      <c r="AK44">
        <v>77</v>
      </c>
      <c r="AL44">
        <v>70</v>
      </c>
      <c r="AM44">
        <v>0</v>
      </c>
      <c r="AN44">
        <v>0</v>
      </c>
      <c r="AO44">
        <v>1700</v>
      </c>
      <c r="AP44">
        <v>1701</v>
      </c>
      <c r="AQ44">
        <v>1707</v>
      </c>
      <c r="AR44">
        <v>1700</v>
      </c>
      <c r="AS44">
        <v>1701</v>
      </c>
      <c r="AT44">
        <v>1707</v>
      </c>
      <c r="AU44">
        <v>1700</v>
      </c>
      <c r="AV44">
        <v>1699</v>
      </c>
      <c r="AW44">
        <v>1705</v>
      </c>
      <c r="AX44">
        <v>0</v>
      </c>
      <c r="AY44">
        <v>2</v>
      </c>
      <c r="AZ44">
        <v>2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102</v>
      </c>
      <c r="BQ44">
        <v>145</v>
      </c>
      <c r="BR44">
        <v>130</v>
      </c>
      <c r="BS44">
        <v>48</v>
      </c>
      <c r="BT44">
        <v>131</v>
      </c>
      <c r="BU44">
        <v>108</v>
      </c>
      <c r="BV44">
        <v>33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12</v>
      </c>
      <c r="CF44">
        <v>7</v>
      </c>
      <c r="CG44">
        <v>16</v>
      </c>
      <c r="CH44">
        <v>0</v>
      </c>
      <c r="CI44">
        <v>0</v>
      </c>
      <c r="CJ44">
        <v>0</v>
      </c>
      <c r="CK44">
        <v>9</v>
      </c>
      <c r="CL44">
        <v>7</v>
      </c>
      <c r="CM44">
        <v>6</v>
      </c>
      <c r="CN44">
        <v>0</v>
      </c>
      <c r="CO44">
        <v>0</v>
      </c>
      <c r="CP44">
        <v>0</v>
      </c>
      <c r="CQ44">
        <v>38</v>
      </c>
      <c r="CR44">
        <v>35</v>
      </c>
      <c r="CS44">
        <v>30</v>
      </c>
      <c r="CT44">
        <v>0</v>
      </c>
      <c r="CU44">
        <v>35</v>
      </c>
      <c r="CV44">
        <v>30</v>
      </c>
      <c r="CW44">
        <v>38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128</v>
      </c>
      <c r="DS44">
        <v>131</v>
      </c>
      <c r="DT44">
        <v>110</v>
      </c>
      <c r="DU44">
        <v>9</v>
      </c>
      <c r="DV44">
        <v>8</v>
      </c>
      <c r="DW44">
        <v>11</v>
      </c>
      <c r="DX44">
        <v>0</v>
      </c>
      <c r="DY44">
        <v>0</v>
      </c>
      <c r="DZ44">
        <v>0</v>
      </c>
      <c r="EA44" s="183">
        <v>0</v>
      </c>
      <c r="EB44" s="83">
        <v>0</v>
      </c>
      <c r="EC44" s="184">
        <v>0</v>
      </c>
      <c r="ED44">
        <v>59</v>
      </c>
      <c r="EE44">
        <v>123</v>
      </c>
      <c r="EF44">
        <v>99</v>
      </c>
      <c r="EG44">
        <v>0</v>
      </c>
      <c r="EH44">
        <v>0</v>
      </c>
      <c r="EI44">
        <v>0</v>
      </c>
      <c r="EJ44">
        <v>57</v>
      </c>
      <c r="EK44">
        <v>121</v>
      </c>
      <c r="EL44">
        <v>89</v>
      </c>
      <c r="EM44">
        <v>2</v>
      </c>
      <c r="EN44">
        <v>2</v>
      </c>
      <c r="EO44">
        <v>10</v>
      </c>
      <c r="EP44" s="83">
        <v>60</v>
      </c>
      <c r="EQ44" s="83">
        <v>0</v>
      </c>
      <c r="ER44" s="83">
        <v>0</v>
      </c>
      <c r="ES44">
        <v>26</v>
      </c>
      <c r="ET44">
        <v>-14</v>
      </c>
      <c r="EU44">
        <v>-20</v>
      </c>
      <c r="EV44">
        <v>26</v>
      </c>
      <c r="EW44">
        <v>-14</v>
      </c>
      <c r="EX44">
        <v>-20</v>
      </c>
      <c r="EY44">
        <v>45</v>
      </c>
      <c r="EZ44">
        <v>51</v>
      </c>
      <c r="FA44">
        <v>42</v>
      </c>
      <c r="FB44">
        <v>45</v>
      </c>
      <c r="FC44">
        <v>51</v>
      </c>
      <c r="FD44">
        <v>42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7</v>
      </c>
      <c r="GA44">
        <v>16</v>
      </c>
      <c r="GB44">
        <v>12</v>
      </c>
      <c r="GC44">
        <v>7</v>
      </c>
      <c r="GD44">
        <v>16</v>
      </c>
      <c r="GE44">
        <v>12</v>
      </c>
      <c r="GF44">
        <f>BP44+CQ44</f>
        <v>140</v>
      </c>
      <c r="GG44">
        <f>BQ44+CR44</f>
        <v>180</v>
      </c>
      <c r="GH44">
        <f>BR44+CS44</f>
        <v>160</v>
      </c>
      <c r="GI44">
        <f>DR44+EY44</f>
        <v>173</v>
      </c>
      <c r="GJ44">
        <f>DS44+EZ44</f>
        <v>182</v>
      </c>
      <c r="GK44">
        <f>DT44+FA44</f>
        <v>152</v>
      </c>
      <c r="GL44">
        <f>GI44-GF44</f>
        <v>33</v>
      </c>
      <c r="GM44">
        <f>GJ44-GG44</f>
        <v>2</v>
      </c>
      <c r="GN44">
        <f>GK44-GH44</f>
        <v>-8</v>
      </c>
      <c r="GO44">
        <f>GC44+EV44</f>
        <v>33</v>
      </c>
      <c r="GP44">
        <f>GD44+EW44</f>
        <v>2</v>
      </c>
      <c r="GQ44">
        <f>GE44+EX44</f>
        <v>-8</v>
      </c>
      <c r="GS44" s="4"/>
      <c r="GT44" s="4"/>
      <c r="GV44" s="4"/>
      <c r="GW44" s="4"/>
      <c r="GX44" s="4"/>
      <c r="GZ44" s="4"/>
      <c r="HA44" s="4"/>
      <c r="HB44" s="4"/>
    </row>
    <row r="45" spans="1:231" s="4" customFormat="1">
      <c r="A45" t="s">
        <v>83</v>
      </c>
      <c r="B45">
        <v>180</v>
      </c>
      <c r="C45">
        <v>10</v>
      </c>
      <c r="D45">
        <v>25</v>
      </c>
      <c r="E45">
        <v>10</v>
      </c>
      <c r="F45">
        <v>30</v>
      </c>
      <c r="G45">
        <v>15</v>
      </c>
      <c r="H45">
        <v>10</v>
      </c>
      <c r="I45" t="s">
        <v>38</v>
      </c>
      <c r="J45" t="s">
        <v>32</v>
      </c>
      <c r="K45">
        <v>5</v>
      </c>
      <c r="L45">
        <v>15</v>
      </c>
      <c r="M45">
        <v>50</v>
      </c>
      <c r="N45">
        <v>5</v>
      </c>
      <c r="O45">
        <v>30</v>
      </c>
      <c r="P45">
        <v>7</v>
      </c>
      <c r="Q45">
        <v>675</v>
      </c>
      <c r="R45">
        <v>939</v>
      </c>
      <c r="S45">
        <v>884</v>
      </c>
      <c r="T45">
        <v>964</v>
      </c>
      <c r="U45">
        <v>1175</v>
      </c>
      <c r="V45">
        <v>1363</v>
      </c>
      <c r="W45">
        <v>-409</v>
      </c>
      <c r="X45">
        <v>-511</v>
      </c>
      <c r="Y45">
        <v>-619</v>
      </c>
      <c r="Z45">
        <v>121</v>
      </c>
      <c r="AA45">
        <v>274</v>
      </c>
      <c r="AB45">
        <v>140</v>
      </c>
      <c r="AC45">
        <v>0</v>
      </c>
      <c r="AD45">
        <v>0</v>
      </c>
      <c r="AE45">
        <v>0</v>
      </c>
      <c r="AF45">
        <v>-7</v>
      </c>
      <c r="AG45">
        <v>-8</v>
      </c>
      <c r="AH45">
        <v>0</v>
      </c>
      <c r="AI45">
        <v>122</v>
      </c>
      <c r="AJ45">
        <v>282</v>
      </c>
      <c r="AK45">
        <v>136</v>
      </c>
      <c r="AL45">
        <v>6</v>
      </c>
      <c r="AM45">
        <v>0</v>
      </c>
      <c r="AN45">
        <v>4</v>
      </c>
      <c r="AO45">
        <v>675</v>
      </c>
      <c r="AP45">
        <v>939</v>
      </c>
      <c r="AQ45">
        <v>884</v>
      </c>
      <c r="AR45">
        <v>630</v>
      </c>
      <c r="AS45">
        <v>913</v>
      </c>
      <c r="AT45">
        <v>850</v>
      </c>
      <c r="AU45">
        <v>507</v>
      </c>
      <c r="AV45">
        <v>507</v>
      </c>
      <c r="AW45">
        <v>507</v>
      </c>
      <c r="AX45">
        <v>123</v>
      </c>
      <c r="AY45">
        <v>406</v>
      </c>
      <c r="AZ45">
        <v>343</v>
      </c>
      <c r="BA45">
        <v>45</v>
      </c>
      <c r="BB45">
        <v>26</v>
      </c>
      <c r="BC45">
        <v>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45</v>
      </c>
      <c r="BK45">
        <v>26</v>
      </c>
      <c r="BL45">
        <v>34</v>
      </c>
      <c r="BM45">
        <v>0</v>
      </c>
      <c r="BN45">
        <v>0</v>
      </c>
      <c r="BO45">
        <v>0</v>
      </c>
      <c r="BP45">
        <v>1384</v>
      </c>
      <c r="BQ45">
        <v>1041</v>
      </c>
      <c r="BR45">
        <v>1219</v>
      </c>
      <c r="BS45">
        <v>403</v>
      </c>
      <c r="BT45">
        <v>613</v>
      </c>
      <c r="BU45">
        <v>754</v>
      </c>
      <c r="BV45">
        <v>644</v>
      </c>
      <c r="BW45">
        <v>0</v>
      </c>
      <c r="BX45">
        <v>0</v>
      </c>
      <c r="BY45">
        <v>238</v>
      </c>
      <c r="BZ45">
        <v>278</v>
      </c>
      <c r="CA45">
        <v>295</v>
      </c>
      <c r="CB45">
        <v>8</v>
      </c>
      <c r="CC45">
        <v>7</v>
      </c>
      <c r="CD45">
        <v>14</v>
      </c>
      <c r="CE45">
        <v>7</v>
      </c>
      <c r="CF45">
        <v>8</v>
      </c>
      <c r="CG45">
        <v>8</v>
      </c>
      <c r="CH45">
        <v>59</v>
      </c>
      <c r="CI45">
        <v>102</v>
      </c>
      <c r="CJ45">
        <v>108</v>
      </c>
      <c r="CK45">
        <v>26</v>
      </c>
      <c r="CL45">
        <v>28</v>
      </c>
      <c r="CM45">
        <v>26</v>
      </c>
      <c r="CN45">
        <v>0</v>
      </c>
      <c r="CO45">
        <v>4</v>
      </c>
      <c r="CP45">
        <v>14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910</v>
      </c>
      <c r="DS45">
        <v>1000</v>
      </c>
      <c r="DT45">
        <v>782</v>
      </c>
      <c r="DU45">
        <v>28</v>
      </c>
      <c r="DV45">
        <v>0</v>
      </c>
      <c r="DW45">
        <v>0</v>
      </c>
      <c r="DX45">
        <v>12</v>
      </c>
      <c r="DY45">
        <v>4</v>
      </c>
      <c r="DZ45">
        <v>0</v>
      </c>
      <c r="EA45" s="183">
        <v>0</v>
      </c>
      <c r="EB45" s="83">
        <v>0</v>
      </c>
      <c r="EC45" s="184">
        <v>0</v>
      </c>
      <c r="ED45">
        <v>151</v>
      </c>
      <c r="EE45">
        <v>168</v>
      </c>
      <c r="EF45">
        <v>120</v>
      </c>
      <c r="EG45">
        <v>0</v>
      </c>
      <c r="EH45">
        <v>0</v>
      </c>
      <c r="EI45">
        <v>0</v>
      </c>
      <c r="EJ45">
        <v>20</v>
      </c>
      <c r="EK45">
        <v>21</v>
      </c>
      <c r="EL45">
        <v>0</v>
      </c>
      <c r="EM45">
        <v>131</v>
      </c>
      <c r="EN45">
        <v>147</v>
      </c>
      <c r="EO45">
        <v>120</v>
      </c>
      <c r="EP45">
        <v>719</v>
      </c>
      <c r="EQ45">
        <v>828</v>
      </c>
      <c r="ER45">
        <v>662</v>
      </c>
      <c r="ES45">
        <v>-473</v>
      </c>
      <c r="ET45">
        <v>-37</v>
      </c>
      <c r="EU45">
        <v>-423</v>
      </c>
      <c r="EV45">
        <v>-481</v>
      </c>
      <c r="EW45">
        <v>-41</v>
      </c>
      <c r="EX45">
        <v>-437</v>
      </c>
      <c r="EY45">
        <v>341</v>
      </c>
      <c r="EZ45">
        <v>323</v>
      </c>
      <c r="FA45">
        <v>375</v>
      </c>
      <c r="FB45">
        <v>313</v>
      </c>
      <c r="FC45">
        <v>299</v>
      </c>
      <c r="FD45">
        <v>358</v>
      </c>
      <c r="FE45">
        <v>28</v>
      </c>
      <c r="FF45">
        <v>24</v>
      </c>
      <c r="FG45">
        <v>17</v>
      </c>
      <c r="FH45">
        <v>0</v>
      </c>
      <c r="FI45">
        <v>1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341</v>
      </c>
      <c r="GA45">
        <v>323</v>
      </c>
      <c r="GB45">
        <v>375</v>
      </c>
      <c r="GC45">
        <v>341</v>
      </c>
      <c r="GD45">
        <v>323</v>
      </c>
      <c r="GE45">
        <v>375</v>
      </c>
      <c r="GF45" s="4">
        <f>BP45+CQ45</f>
        <v>1384</v>
      </c>
      <c r="GG45">
        <f>BQ45+CR45</f>
        <v>1041</v>
      </c>
      <c r="GH45" s="4">
        <f>BR45+CS45</f>
        <v>1219</v>
      </c>
      <c r="GI45" s="4">
        <f>DR45+EY45</f>
        <v>1251</v>
      </c>
      <c r="GJ45">
        <f>DS45+EZ45</f>
        <v>1323</v>
      </c>
      <c r="GK45" s="4">
        <f>DT45+FA45</f>
        <v>1157</v>
      </c>
      <c r="GL45" s="4">
        <f>GI45-GF45</f>
        <v>-133</v>
      </c>
      <c r="GM45">
        <f>GJ45-GG45</f>
        <v>282</v>
      </c>
      <c r="GN45" s="4">
        <f>GK45-GH45</f>
        <v>-62</v>
      </c>
      <c r="GO45" s="4">
        <f>GC45+EV45</f>
        <v>-140</v>
      </c>
      <c r="GP45">
        <f>GD45+EW45</f>
        <v>282</v>
      </c>
      <c r="GQ45" s="4">
        <f>GE45+EX45</f>
        <v>-62</v>
      </c>
      <c r="GR45"/>
    </row>
    <row r="46" spans="1:231">
      <c r="A46" t="s">
        <v>84</v>
      </c>
      <c r="B46">
        <v>90</v>
      </c>
      <c r="C46">
        <v>0</v>
      </c>
      <c r="D46">
        <v>30</v>
      </c>
      <c r="E46">
        <v>10</v>
      </c>
      <c r="F46">
        <v>30</v>
      </c>
      <c r="G46">
        <v>25</v>
      </c>
      <c r="H46">
        <v>5</v>
      </c>
      <c r="I46" t="s">
        <v>38</v>
      </c>
      <c r="J46" t="s">
        <v>33</v>
      </c>
      <c r="K46">
        <v>2</v>
      </c>
      <c r="L46">
        <v>5</v>
      </c>
      <c r="M46">
        <v>50</v>
      </c>
      <c r="N46">
        <v>40</v>
      </c>
      <c r="O46">
        <v>5</v>
      </c>
      <c r="P46">
        <v>2</v>
      </c>
      <c r="Q46">
        <v>1559</v>
      </c>
      <c r="R46">
        <v>1475</v>
      </c>
      <c r="S46">
        <v>1626</v>
      </c>
      <c r="T46">
        <v>1450</v>
      </c>
      <c r="U46">
        <v>1462</v>
      </c>
      <c r="V46">
        <v>1462</v>
      </c>
      <c r="W46">
        <v>-96</v>
      </c>
      <c r="X46">
        <v>-145</v>
      </c>
      <c r="Y46">
        <v>-194</v>
      </c>
      <c r="Z46">
        <v>205</v>
      </c>
      <c r="AA46">
        <v>158</v>
      </c>
      <c r="AB46">
        <v>358</v>
      </c>
      <c r="AC46">
        <v>0</v>
      </c>
      <c r="AD46">
        <v>0</v>
      </c>
      <c r="AE46">
        <v>0</v>
      </c>
      <c r="AF46">
        <v>18</v>
      </c>
      <c r="AG46">
        <v>15</v>
      </c>
      <c r="AH46">
        <v>11</v>
      </c>
      <c r="AI46">
        <v>187</v>
      </c>
      <c r="AJ46">
        <v>143</v>
      </c>
      <c r="AK46">
        <v>347</v>
      </c>
      <c r="AL46">
        <v>0</v>
      </c>
      <c r="AM46">
        <v>0</v>
      </c>
      <c r="AN46">
        <v>0</v>
      </c>
      <c r="AO46">
        <v>1559</v>
      </c>
      <c r="AP46">
        <v>1475</v>
      </c>
      <c r="AQ46">
        <v>1626</v>
      </c>
      <c r="AR46">
        <v>1439</v>
      </c>
      <c r="AS46">
        <v>1345</v>
      </c>
      <c r="AT46">
        <v>1404</v>
      </c>
      <c r="AU46">
        <v>1454</v>
      </c>
      <c r="AV46">
        <v>1454</v>
      </c>
      <c r="AW46">
        <v>1454</v>
      </c>
      <c r="AX46">
        <v>-15</v>
      </c>
      <c r="AY46">
        <v>-109</v>
      </c>
      <c r="AZ46">
        <v>-50</v>
      </c>
      <c r="BA46">
        <v>120</v>
      </c>
      <c r="BB46">
        <v>130</v>
      </c>
      <c r="BC46">
        <v>222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120</v>
      </c>
      <c r="BK46">
        <v>130</v>
      </c>
      <c r="BL46">
        <v>222</v>
      </c>
      <c r="BM46">
        <v>0</v>
      </c>
      <c r="BN46">
        <v>0</v>
      </c>
      <c r="BO46">
        <v>0</v>
      </c>
      <c r="BP46">
        <v>579</v>
      </c>
      <c r="BQ46">
        <v>643</v>
      </c>
      <c r="BR46">
        <v>499</v>
      </c>
      <c r="BS46">
        <v>65</v>
      </c>
      <c r="BT46">
        <v>558</v>
      </c>
      <c r="BU46">
        <v>421</v>
      </c>
      <c r="BV46">
        <v>421</v>
      </c>
      <c r="BW46">
        <v>0</v>
      </c>
      <c r="BX46">
        <v>0</v>
      </c>
      <c r="BY46">
        <v>0</v>
      </c>
      <c r="BZ46">
        <v>12</v>
      </c>
      <c r="CA46">
        <v>0</v>
      </c>
      <c r="CB46">
        <v>0</v>
      </c>
      <c r="CC46">
        <v>9</v>
      </c>
      <c r="CD46">
        <v>4</v>
      </c>
      <c r="CE46">
        <v>28</v>
      </c>
      <c r="CF46">
        <v>4</v>
      </c>
      <c r="CG46">
        <v>10</v>
      </c>
      <c r="CH46">
        <v>48</v>
      </c>
      <c r="CI46">
        <v>49</v>
      </c>
      <c r="CJ46">
        <v>49</v>
      </c>
      <c r="CK46">
        <v>13</v>
      </c>
      <c r="CL46">
        <v>11</v>
      </c>
      <c r="CM46">
        <v>15</v>
      </c>
      <c r="CN46">
        <v>0</v>
      </c>
      <c r="CO46">
        <v>0</v>
      </c>
      <c r="CP46">
        <v>0</v>
      </c>
      <c r="CQ46">
        <v>38</v>
      </c>
      <c r="CR46">
        <v>7</v>
      </c>
      <c r="CS46">
        <v>26</v>
      </c>
      <c r="CT46">
        <v>38</v>
      </c>
      <c r="CU46">
        <v>7</v>
      </c>
      <c r="CV46">
        <v>26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550</v>
      </c>
      <c r="DS46">
        <v>544</v>
      </c>
      <c r="DT46">
        <v>537</v>
      </c>
      <c r="DU46">
        <v>264</v>
      </c>
      <c r="DV46">
        <v>286</v>
      </c>
      <c r="DW46">
        <v>355</v>
      </c>
      <c r="DX46">
        <v>286</v>
      </c>
      <c r="DY46">
        <v>0</v>
      </c>
      <c r="DZ46">
        <v>0</v>
      </c>
      <c r="EA46" s="183">
        <v>0</v>
      </c>
      <c r="EB46" s="83">
        <v>0</v>
      </c>
      <c r="EC46" s="184">
        <v>0</v>
      </c>
      <c r="ED46">
        <v>0</v>
      </c>
      <c r="EE46">
        <v>0</v>
      </c>
      <c r="EF46">
        <v>76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76</v>
      </c>
      <c r="EM46">
        <v>0</v>
      </c>
      <c r="EN46">
        <v>0</v>
      </c>
      <c r="EO46">
        <v>0</v>
      </c>
      <c r="EP46">
        <v>0</v>
      </c>
      <c r="EQ46">
        <v>258</v>
      </c>
      <c r="ER46">
        <v>106</v>
      </c>
      <c r="ES46">
        <v>-29</v>
      </c>
      <c r="ET46">
        <v>-99</v>
      </c>
      <c r="EU46">
        <v>38</v>
      </c>
      <c r="EV46">
        <v>-29</v>
      </c>
      <c r="EW46">
        <v>-99</v>
      </c>
      <c r="EX46">
        <v>38</v>
      </c>
      <c r="EY46">
        <v>68</v>
      </c>
      <c r="EZ46">
        <v>14</v>
      </c>
      <c r="FA46">
        <v>47</v>
      </c>
      <c r="FB46">
        <v>68</v>
      </c>
      <c r="FC46">
        <v>14</v>
      </c>
      <c r="FD46">
        <v>47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30</v>
      </c>
      <c r="GA46">
        <v>7</v>
      </c>
      <c r="GB46">
        <v>21</v>
      </c>
      <c r="GC46">
        <v>30</v>
      </c>
      <c r="GD46">
        <v>7</v>
      </c>
      <c r="GE46">
        <v>21</v>
      </c>
      <c r="GF46" s="4">
        <f>BP46+CQ46</f>
        <v>617</v>
      </c>
      <c r="GG46">
        <f>BQ46+CR46</f>
        <v>650</v>
      </c>
      <c r="GH46" s="4">
        <f>BR46+CS46</f>
        <v>525</v>
      </c>
      <c r="GI46" s="4">
        <f>DR46+EY46</f>
        <v>618</v>
      </c>
      <c r="GJ46">
        <f>DS46+EZ46</f>
        <v>558</v>
      </c>
      <c r="GK46" s="4">
        <f>DT46+FA46</f>
        <v>584</v>
      </c>
      <c r="GL46" s="4">
        <f>GI46-GF46</f>
        <v>1</v>
      </c>
      <c r="GM46">
        <f>GJ46-GG46</f>
        <v>-92</v>
      </c>
      <c r="GN46" s="4">
        <f>GK46-GH46</f>
        <v>59</v>
      </c>
      <c r="GO46" s="4">
        <f>GC46+EV46</f>
        <v>1</v>
      </c>
      <c r="GP46">
        <f>GD46+EW46</f>
        <v>-92</v>
      </c>
      <c r="GQ46" s="4">
        <f>GE46+EX46</f>
        <v>59</v>
      </c>
      <c r="GS46" s="4"/>
      <c r="GT46" s="4"/>
      <c r="GV46" s="4"/>
      <c r="GW46" s="4"/>
      <c r="GX46" s="4"/>
      <c r="GZ46" s="4"/>
      <c r="HA46" s="4"/>
      <c r="HB46" s="4"/>
    </row>
    <row r="47" spans="1:231">
      <c r="A47" t="s">
        <v>85</v>
      </c>
      <c r="B47">
        <v>80</v>
      </c>
      <c r="C47">
        <v>9</v>
      </c>
      <c r="D47">
        <v>21</v>
      </c>
      <c r="E47">
        <v>20</v>
      </c>
      <c r="F47">
        <v>15</v>
      </c>
      <c r="G47">
        <v>25</v>
      </c>
      <c r="H47">
        <v>10</v>
      </c>
      <c r="I47" t="s">
        <v>38</v>
      </c>
      <c r="J47" t="s">
        <v>35</v>
      </c>
      <c r="K47">
        <v>3</v>
      </c>
      <c r="L47">
        <v>30</v>
      </c>
      <c r="M47">
        <v>60</v>
      </c>
      <c r="N47">
        <v>10</v>
      </c>
      <c r="O47">
        <v>0</v>
      </c>
      <c r="P47">
        <v>6</v>
      </c>
      <c r="Q47">
        <v>224</v>
      </c>
      <c r="R47">
        <v>203</v>
      </c>
      <c r="S47">
        <v>185</v>
      </c>
      <c r="T47">
        <v>372</v>
      </c>
      <c r="U47">
        <v>372</v>
      </c>
      <c r="V47">
        <v>221</v>
      </c>
      <c r="W47">
        <v>-372</v>
      </c>
      <c r="X47">
        <v>-372</v>
      </c>
      <c r="Y47">
        <v>-221</v>
      </c>
      <c r="Z47">
        <v>224</v>
      </c>
      <c r="AA47">
        <v>203</v>
      </c>
      <c r="AB47">
        <v>185</v>
      </c>
      <c r="AC47">
        <v>0</v>
      </c>
      <c r="AD47">
        <v>0</v>
      </c>
      <c r="AE47">
        <v>0</v>
      </c>
      <c r="AF47">
        <v>3</v>
      </c>
      <c r="AG47">
        <v>0</v>
      </c>
      <c r="AH47">
        <v>0</v>
      </c>
      <c r="AI47">
        <v>221</v>
      </c>
      <c r="AJ47">
        <v>203</v>
      </c>
      <c r="AK47">
        <v>185</v>
      </c>
      <c r="AL47">
        <v>0</v>
      </c>
      <c r="AM47">
        <v>0</v>
      </c>
      <c r="AN47">
        <v>0</v>
      </c>
      <c r="AO47">
        <v>224</v>
      </c>
      <c r="AP47">
        <v>203</v>
      </c>
      <c r="AQ47">
        <v>185</v>
      </c>
      <c r="AR47">
        <v>204</v>
      </c>
      <c r="AS47">
        <v>203</v>
      </c>
      <c r="AT47">
        <v>185</v>
      </c>
      <c r="AU47">
        <v>401</v>
      </c>
      <c r="AV47">
        <v>402</v>
      </c>
      <c r="AW47">
        <v>402</v>
      </c>
      <c r="AX47">
        <v>-197</v>
      </c>
      <c r="AY47">
        <v>-198</v>
      </c>
      <c r="AZ47">
        <v>-217</v>
      </c>
      <c r="BA47">
        <v>20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20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408</v>
      </c>
      <c r="BQ47">
        <v>449</v>
      </c>
      <c r="BR47">
        <v>557</v>
      </c>
      <c r="BS47">
        <v>164</v>
      </c>
      <c r="BT47">
        <v>140</v>
      </c>
      <c r="BU47">
        <v>172</v>
      </c>
      <c r="BV47">
        <v>169</v>
      </c>
      <c r="BW47">
        <v>170</v>
      </c>
      <c r="BX47">
        <v>248</v>
      </c>
      <c r="BY47">
        <v>14</v>
      </c>
      <c r="BZ47">
        <v>53</v>
      </c>
      <c r="CA47">
        <v>66</v>
      </c>
      <c r="CB47">
        <v>0</v>
      </c>
      <c r="CC47">
        <v>0</v>
      </c>
      <c r="CD47">
        <v>0</v>
      </c>
      <c r="CE47">
        <v>46</v>
      </c>
      <c r="CF47">
        <v>68</v>
      </c>
      <c r="CG47">
        <v>60</v>
      </c>
      <c r="CH47">
        <v>0</v>
      </c>
      <c r="CI47">
        <v>0</v>
      </c>
      <c r="CJ47">
        <v>0</v>
      </c>
      <c r="CK47">
        <v>15</v>
      </c>
      <c r="CL47">
        <v>16</v>
      </c>
      <c r="CM47">
        <v>12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386</v>
      </c>
      <c r="DS47">
        <v>448</v>
      </c>
      <c r="DT47">
        <v>540</v>
      </c>
      <c r="DU47">
        <v>87</v>
      </c>
      <c r="DV47">
        <v>129</v>
      </c>
      <c r="DW47">
        <v>108</v>
      </c>
      <c r="DX47">
        <v>0</v>
      </c>
      <c r="DY47">
        <v>0</v>
      </c>
      <c r="DZ47">
        <v>4</v>
      </c>
      <c r="EA47" s="183">
        <v>1</v>
      </c>
      <c r="EB47" s="83">
        <v>0</v>
      </c>
      <c r="EC47" s="184">
        <v>0</v>
      </c>
      <c r="ED47">
        <v>152</v>
      </c>
      <c r="EE47">
        <v>103</v>
      </c>
      <c r="EF47">
        <v>131</v>
      </c>
      <c r="EG47">
        <v>21</v>
      </c>
      <c r="EH47">
        <v>1</v>
      </c>
      <c r="EI47">
        <v>0</v>
      </c>
      <c r="EJ47">
        <v>102</v>
      </c>
      <c r="EK47">
        <v>78</v>
      </c>
      <c r="EL47">
        <v>106</v>
      </c>
      <c r="EM47">
        <v>29</v>
      </c>
      <c r="EN47">
        <v>24</v>
      </c>
      <c r="EO47">
        <v>25</v>
      </c>
      <c r="EP47" s="83">
        <v>145</v>
      </c>
      <c r="EQ47" s="83">
        <v>216</v>
      </c>
      <c r="ER47" s="83">
        <v>296</v>
      </c>
      <c r="ES47">
        <v>-23</v>
      </c>
      <c r="ET47">
        <v>-1</v>
      </c>
      <c r="EU47">
        <v>-18</v>
      </c>
      <c r="EV47">
        <v>-23</v>
      </c>
      <c r="EW47">
        <v>-1</v>
      </c>
      <c r="EX47">
        <v>-18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 s="4">
        <f>BP47+CQ47</f>
        <v>408</v>
      </c>
      <c r="GG47">
        <f>BQ47+CR47</f>
        <v>449</v>
      </c>
      <c r="GH47" s="4">
        <f>BR47+CS47</f>
        <v>557</v>
      </c>
      <c r="GI47" s="4">
        <f>DR47+EY47</f>
        <v>386</v>
      </c>
      <c r="GJ47">
        <f>DS47+EZ47</f>
        <v>448</v>
      </c>
      <c r="GK47" s="4">
        <f>DT47+FA47</f>
        <v>540</v>
      </c>
      <c r="GL47" s="4">
        <f>GI47-GF47</f>
        <v>-22</v>
      </c>
      <c r="GM47">
        <f>GJ47-GG47</f>
        <v>-1</v>
      </c>
      <c r="GN47" s="4">
        <f>GK47-GH47</f>
        <v>-17</v>
      </c>
      <c r="GO47" s="4">
        <f>GC47+EV47</f>
        <v>-23</v>
      </c>
      <c r="GP47">
        <f>GD47+EW47</f>
        <v>-1</v>
      </c>
      <c r="GQ47" s="4">
        <f>GE47+EX47</f>
        <v>-18</v>
      </c>
      <c r="GS47" s="4"/>
      <c r="GT47" s="4"/>
      <c r="GV47" s="4"/>
      <c r="GW47" s="4"/>
      <c r="GX47" s="4"/>
      <c r="GZ47" s="4"/>
      <c r="HA47" s="4"/>
      <c r="HB47" s="4"/>
    </row>
    <row r="48" spans="1:231">
      <c r="A48" t="s">
        <v>86</v>
      </c>
      <c r="B48">
        <v>50</v>
      </c>
      <c r="C48">
        <v>0</v>
      </c>
      <c r="D48">
        <v>23</v>
      </c>
      <c r="E48">
        <v>2</v>
      </c>
      <c r="F48">
        <v>34</v>
      </c>
      <c r="G48">
        <v>28</v>
      </c>
      <c r="H48">
        <v>13</v>
      </c>
      <c r="I48" t="s">
        <v>38</v>
      </c>
      <c r="J48" t="s">
        <v>33</v>
      </c>
      <c r="K48">
        <v>4</v>
      </c>
      <c r="L48">
        <v>3</v>
      </c>
      <c r="M48">
        <v>5</v>
      </c>
      <c r="N48">
        <v>7</v>
      </c>
      <c r="O48">
        <v>85</v>
      </c>
      <c r="P48">
        <v>4</v>
      </c>
      <c r="Q48">
        <v>1103</v>
      </c>
      <c r="R48">
        <v>1211</v>
      </c>
      <c r="S48">
        <v>1115</v>
      </c>
      <c r="T48">
        <v>1000</v>
      </c>
      <c r="U48">
        <v>1085</v>
      </c>
      <c r="V48">
        <v>1085</v>
      </c>
      <c r="W48">
        <v>0</v>
      </c>
      <c r="X48">
        <v>0</v>
      </c>
      <c r="Y48">
        <v>0</v>
      </c>
      <c r="Z48">
        <v>103</v>
      </c>
      <c r="AA48">
        <v>126</v>
      </c>
      <c r="AB48">
        <v>30</v>
      </c>
      <c r="AC48">
        <v>0</v>
      </c>
      <c r="AD48">
        <v>0</v>
      </c>
      <c r="AE48">
        <v>0</v>
      </c>
      <c r="AF48">
        <v>0</v>
      </c>
      <c r="AG48">
        <v>21</v>
      </c>
      <c r="AH48">
        <v>6</v>
      </c>
      <c r="AI48">
        <v>103</v>
      </c>
      <c r="AJ48">
        <v>105</v>
      </c>
      <c r="AK48">
        <v>24</v>
      </c>
      <c r="AL48">
        <v>0</v>
      </c>
      <c r="AM48">
        <v>0</v>
      </c>
      <c r="AN48">
        <v>0</v>
      </c>
      <c r="AO48">
        <v>1103</v>
      </c>
      <c r="AP48">
        <v>1211</v>
      </c>
      <c r="AQ48">
        <v>1115</v>
      </c>
      <c r="AR48">
        <v>1103</v>
      </c>
      <c r="AS48">
        <v>1171</v>
      </c>
      <c r="AT48">
        <v>1109</v>
      </c>
      <c r="AU48">
        <v>1103</v>
      </c>
      <c r="AV48">
        <v>1103</v>
      </c>
      <c r="AW48">
        <v>1103</v>
      </c>
      <c r="AX48">
        <v>0</v>
      </c>
      <c r="AY48">
        <v>68</v>
      </c>
      <c r="AZ48">
        <v>6</v>
      </c>
      <c r="BA48">
        <v>0</v>
      </c>
      <c r="BB48">
        <v>40</v>
      </c>
      <c r="BC48">
        <v>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40</v>
      </c>
      <c r="BL48">
        <v>6</v>
      </c>
      <c r="BM48">
        <v>0</v>
      </c>
      <c r="BN48">
        <v>0</v>
      </c>
      <c r="BO48">
        <v>0</v>
      </c>
      <c r="BP48">
        <v>234</v>
      </c>
      <c r="BQ48">
        <v>206</v>
      </c>
      <c r="BR48">
        <v>341</v>
      </c>
      <c r="BS48">
        <v>103</v>
      </c>
      <c r="BT48">
        <v>195</v>
      </c>
      <c r="BU48">
        <v>331</v>
      </c>
      <c r="BV48">
        <v>127</v>
      </c>
      <c r="BW48">
        <v>0</v>
      </c>
      <c r="BX48">
        <v>0</v>
      </c>
      <c r="BY48">
        <v>4</v>
      </c>
      <c r="BZ48">
        <v>4</v>
      </c>
      <c r="CA48">
        <v>10</v>
      </c>
      <c r="CB48">
        <v>0</v>
      </c>
      <c r="CC48">
        <v>0</v>
      </c>
      <c r="CD48">
        <v>0</v>
      </c>
      <c r="CE48">
        <v>0</v>
      </c>
      <c r="CF48">
        <v>7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138</v>
      </c>
      <c r="DS48">
        <v>143</v>
      </c>
      <c r="DT48">
        <v>152</v>
      </c>
      <c r="DU48">
        <v>0</v>
      </c>
      <c r="DV48">
        <v>30</v>
      </c>
      <c r="DW48">
        <v>13</v>
      </c>
      <c r="DX48">
        <v>69</v>
      </c>
      <c r="DY48">
        <v>0</v>
      </c>
      <c r="DZ48">
        <v>9</v>
      </c>
      <c r="EA48" s="183">
        <v>0</v>
      </c>
      <c r="EB48" s="83">
        <v>0</v>
      </c>
      <c r="ED48">
        <v>24</v>
      </c>
      <c r="EE48">
        <v>13</v>
      </c>
      <c r="EF48">
        <v>30</v>
      </c>
      <c r="EG48">
        <v>0</v>
      </c>
      <c r="EH48">
        <v>0</v>
      </c>
      <c r="EI48">
        <v>0</v>
      </c>
      <c r="EJ48">
        <v>21</v>
      </c>
      <c r="EK48">
        <v>10</v>
      </c>
      <c r="EL48">
        <v>27</v>
      </c>
      <c r="EM48">
        <v>3</v>
      </c>
      <c r="EN48">
        <v>3</v>
      </c>
      <c r="EO48">
        <v>3</v>
      </c>
      <c r="EP48">
        <v>45</v>
      </c>
      <c r="EQ48">
        <v>100</v>
      </c>
      <c r="ER48">
        <v>100</v>
      </c>
      <c r="ES48">
        <v>-96</v>
      </c>
      <c r="ET48">
        <f>DS48-BQ48</f>
        <v>-63</v>
      </c>
      <c r="EU48">
        <v>-189</v>
      </c>
      <c r="EV48">
        <v>-96</v>
      </c>
      <c r="EW48">
        <v>-63</v>
      </c>
      <c r="EX48">
        <v>-189</v>
      </c>
      <c r="EY48">
        <v>96</v>
      </c>
      <c r="EZ48">
        <v>131</v>
      </c>
      <c r="FA48">
        <v>127</v>
      </c>
      <c r="FB48">
        <v>96</v>
      </c>
      <c r="FC48">
        <v>131</v>
      </c>
      <c r="FD48">
        <v>127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96</v>
      </c>
      <c r="GA48">
        <v>131</v>
      </c>
      <c r="GB48">
        <v>127</v>
      </c>
      <c r="GC48">
        <v>96</v>
      </c>
      <c r="GD48">
        <v>131</v>
      </c>
      <c r="GE48">
        <v>127</v>
      </c>
      <c r="GF48" s="4">
        <f>BP48+CQ48</f>
        <v>234</v>
      </c>
      <c r="GG48">
        <f>BQ48+CR48</f>
        <v>206</v>
      </c>
      <c r="GH48" s="4">
        <f>BR48+CS48</f>
        <v>341</v>
      </c>
      <c r="GI48" s="4">
        <f>DR48+EY48</f>
        <v>234</v>
      </c>
      <c r="GJ48">
        <f>DS48+EZ48</f>
        <v>274</v>
      </c>
      <c r="GK48" s="4">
        <f>DT48+FA48</f>
        <v>279</v>
      </c>
      <c r="GL48" s="4">
        <f>GI48-GF48</f>
        <v>0</v>
      </c>
      <c r="GM48">
        <f>GJ48-GG48</f>
        <v>68</v>
      </c>
      <c r="GN48" s="4">
        <f>GK48-GH48</f>
        <v>-62</v>
      </c>
      <c r="GO48" s="4">
        <f>GC48+EV48</f>
        <v>0</v>
      </c>
      <c r="GP48">
        <f>GD48+EW48</f>
        <v>68</v>
      </c>
      <c r="GQ48" s="4">
        <f>GE48+EX48</f>
        <v>-62</v>
      </c>
      <c r="GS48" s="4"/>
      <c r="GT48" s="4"/>
      <c r="GV48" s="4"/>
      <c r="GW48" s="4"/>
      <c r="GX48" s="4"/>
      <c r="GZ48" s="4"/>
      <c r="HA48" s="4"/>
      <c r="HB48" s="4"/>
    </row>
    <row r="49" spans="1:210">
      <c r="A49" t="s">
        <v>91</v>
      </c>
      <c r="B49">
        <v>70</v>
      </c>
      <c r="C49">
        <v>0</v>
      </c>
      <c r="D49">
        <v>15</v>
      </c>
      <c r="E49">
        <v>10</v>
      </c>
      <c r="F49">
        <v>30</v>
      </c>
      <c r="G49">
        <v>35</v>
      </c>
      <c r="H49">
        <v>10</v>
      </c>
      <c r="I49" t="s">
        <v>38</v>
      </c>
      <c r="J49" t="s">
        <v>35</v>
      </c>
      <c r="K49">
        <v>4</v>
      </c>
      <c r="L49">
        <v>10</v>
      </c>
      <c r="M49">
        <v>50</v>
      </c>
      <c r="N49">
        <v>20</v>
      </c>
      <c r="O49">
        <v>20</v>
      </c>
      <c r="P49">
        <v>5</v>
      </c>
      <c r="Q49">
        <v>360</v>
      </c>
      <c r="R49">
        <v>319</v>
      </c>
      <c r="S49">
        <v>239</v>
      </c>
      <c r="T49">
        <v>374</v>
      </c>
      <c r="U49">
        <v>374</v>
      </c>
      <c r="V49">
        <v>400</v>
      </c>
      <c r="W49">
        <v>-258</v>
      </c>
      <c r="X49">
        <v>-267</v>
      </c>
      <c r="Y49">
        <v>-295</v>
      </c>
      <c r="Z49">
        <v>244</v>
      </c>
      <c r="AA49">
        <v>212</v>
      </c>
      <c r="AB49">
        <v>134</v>
      </c>
      <c r="AC49">
        <v>0</v>
      </c>
      <c r="AD49">
        <v>0</v>
      </c>
      <c r="AE49">
        <v>0</v>
      </c>
      <c r="AF49">
        <v>95</v>
      </c>
      <c r="AG49">
        <v>122</v>
      </c>
      <c r="AH49">
        <v>23</v>
      </c>
      <c r="AI49">
        <v>149</v>
      </c>
      <c r="AJ49">
        <v>90</v>
      </c>
      <c r="AK49">
        <v>111</v>
      </c>
      <c r="AL49">
        <v>0</v>
      </c>
      <c r="AM49">
        <v>0</v>
      </c>
      <c r="AN49">
        <v>0</v>
      </c>
      <c r="AO49">
        <v>360</v>
      </c>
      <c r="AP49">
        <v>319</v>
      </c>
      <c r="AQ49">
        <v>239</v>
      </c>
      <c r="AR49">
        <f>AO49-BA49</f>
        <v>99</v>
      </c>
      <c r="AS49">
        <v>1</v>
      </c>
      <c r="AT49">
        <v>217</v>
      </c>
      <c r="AU49">
        <f>AR49-AX49</f>
        <v>83</v>
      </c>
      <c r="AV49">
        <v>82</v>
      </c>
      <c r="AW49">
        <v>82</v>
      </c>
      <c r="AX49">
        <v>16</v>
      </c>
      <c r="AY49">
        <v>-81</v>
      </c>
      <c r="AZ49">
        <v>135</v>
      </c>
      <c r="BA49">
        <v>261</v>
      </c>
      <c r="BB49">
        <v>318</v>
      </c>
      <c r="BC49">
        <v>21</v>
      </c>
      <c r="BD49">
        <v>0</v>
      </c>
      <c r="BE49">
        <v>0</v>
      </c>
      <c r="BF49">
        <v>0</v>
      </c>
      <c r="BG49">
        <v>0</v>
      </c>
      <c r="BH49">
        <v>238</v>
      </c>
      <c r="BI49">
        <v>20</v>
      </c>
      <c r="BJ49">
        <v>261</v>
      </c>
      <c r="BK49">
        <v>80</v>
      </c>
      <c r="BL49">
        <v>1</v>
      </c>
      <c r="BM49">
        <v>0</v>
      </c>
      <c r="BN49">
        <v>0</v>
      </c>
      <c r="BO49">
        <v>0</v>
      </c>
      <c r="BP49">
        <v>201</v>
      </c>
      <c r="BQ49">
        <v>257</v>
      </c>
      <c r="BR49">
        <v>211</v>
      </c>
      <c r="BS49">
        <v>170</v>
      </c>
      <c r="BT49">
        <v>159</v>
      </c>
      <c r="BU49">
        <v>101</v>
      </c>
      <c r="BV49">
        <v>-22</v>
      </c>
      <c r="BW49">
        <v>48</v>
      </c>
      <c r="BX49">
        <v>53</v>
      </c>
      <c r="BY49">
        <v>0</v>
      </c>
      <c r="BZ49">
        <v>0</v>
      </c>
      <c r="CA49">
        <v>0</v>
      </c>
      <c r="CB49">
        <v>290</v>
      </c>
      <c r="CC49">
        <v>0</v>
      </c>
      <c r="CD49">
        <v>0</v>
      </c>
      <c r="CE49">
        <v>1</v>
      </c>
      <c r="CF49">
        <v>0</v>
      </c>
      <c r="CG49">
        <v>9</v>
      </c>
      <c r="CH49">
        <v>4</v>
      </c>
      <c r="CI49">
        <v>8</v>
      </c>
      <c r="CJ49">
        <v>29</v>
      </c>
      <c r="CK49">
        <v>50</v>
      </c>
      <c r="CL49">
        <v>41</v>
      </c>
      <c r="CM49">
        <v>19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310</v>
      </c>
      <c r="DS49">
        <v>160</v>
      </c>
      <c r="DT49">
        <v>427</v>
      </c>
      <c r="DU49">
        <v>0</v>
      </c>
      <c r="DV49">
        <v>0</v>
      </c>
      <c r="DW49">
        <v>0</v>
      </c>
      <c r="DX49">
        <v>23</v>
      </c>
      <c r="DY49">
        <v>33</v>
      </c>
      <c r="DZ49">
        <v>243</v>
      </c>
      <c r="EA49" s="183">
        <v>0</v>
      </c>
      <c r="EB49" s="83">
        <v>0</v>
      </c>
      <c r="EC49" s="184">
        <v>0</v>
      </c>
      <c r="ED49">
        <v>87</v>
      </c>
      <c r="EE49">
        <v>50</v>
      </c>
      <c r="EF49">
        <v>43</v>
      </c>
      <c r="EG49">
        <v>21</v>
      </c>
      <c r="EH49">
        <v>0</v>
      </c>
      <c r="EI49">
        <v>0</v>
      </c>
      <c r="EJ49">
        <v>52</v>
      </c>
      <c r="EK49">
        <v>29</v>
      </c>
      <c r="EL49">
        <v>33</v>
      </c>
      <c r="EM49">
        <v>14</v>
      </c>
      <c r="EN49">
        <v>21</v>
      </c>
      <c r="EO49">
        <v>10</v>
      </c>
      <c r="EP49" s="83">
        <v>200</v>
      </c>
      <c r="EQ49" s="83">
        <v>77</v>
      </c>
      <c r="ER49" s="83">
        <v>141</v>
      </c>
      <c r="ES49">
        <v>109</v>
      </c>
      <c r="ET49">
        <v>-97</v>
      </c>
      <c r="EU49">
        <v>216</v>
      </c>
      <c r="EV49">
        <v>109</v>
      </c>
      <c r="EW49">
        <v>-97</v>
      </c>
      <c r="EX49">
        <v>216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 s="4">
        <f>BP49+CQ49</f>
        <v>201</v>
      </c>
      <c r="GG49">
        <f>BQ49+CR49</f>
        <v>257</v>
      </c>
      <c r="GH49" s="4">
        <f>BR49+CS49</f>
        <v>211</v>
      </c>
      <c r="GI49" s="4">
        <f>DR49+EY49</f>
        <v>310</v>
      </c>
      <c r="GJ49">
        <f>DS49+EZ49</f>
        <v>160</v>
      </c>
      <c r="GK49" s="4">
        <f>DT49+FA49</f>
        <v>427</v>
      </c>
      <c r="GL49" s="4">
        <f>GI49-GF49</f>
        <v>109</v>
      </c>
      <c r="GM49">
        <f>GJ49-GG49</f>
        <v>-97</v>
      </c>
      <c r="GN49" s="4">
        <f>GK49-GH49</f>
        <v>216</v>
      </c>
      <c r="GO49" s="4">
        <f>GC49+EV49</f>
        <v>109</v>
      </c>
      <c r="GP49">
        <f>GD49+EW49</f>
        <v>-97</v>
      </c>
      <c r="GQ49" s="4">
        <f>GE49+EX49</f>
        <v>216</v>
      </c>
      <c r="GS49" s="4"/>
      <c r="GT49" s="4"/>
      <c r="GV49" s="4"/>
      <c r="GW49" s="4"/>
      <c r="GX49" s="4"/>
      <c r="GZ49" s="4"/>
      <c r="HA49" s="4"/>
      <c r="HB49" s="4"/>
    </row>
    <row r="50" spans="1:210">
      <c r="A50" t="s">
        <v>95</v>
      </c>
      <c r="B50">
        <v>255</v>
      </c>
      <c r="C50">
        <v>10</v>
      </c>
      <c r="D50">
        <v>50</v>
      </c>
      <c r="E50">
        <v>0</v>
      </c>
      <c r="F50">
        <v>20</v>
      </c>
      <c r="G50">
        <v>15</v>
      </c>
      <c r="H50">
        <v>5</v>
      </c>
      <c r="I50" t="s">
        <v>38</v>
      </c>
      <c r="J50" t="s">
        <v>35</v>
      </c>
      <c r="K50">
        <v>3</v>
      </c>
      <c r="L50">
        <v>10</v>
      </c>
      <c r="M50">
        <v>10</v>
      </c>
      <c r="N50">
        <v>5</v>
      </c>
      <c r="O50">
        <v>75</v>
      </c>
      <c r="P50">
        <v>3</v>
      </c>
      <c r="Q50">
        <v>42968</v>
      </c>
      <c r="R50">
        <v>43707</v>
      </c>
      <c r="S50">
        <v>44429</v>
      </c>
      <c r="T50">
        <v>50908</v>
      </c>
      <c r="U50">
        <v>50809</v>
      </c>
      <c r="V50">
        <v>51513</v>
      </c>
      <c r="W50">
        <v>-10594</v>
      </c>
      <c r="X50">
        <v>-10428</v>
      </c>
      <c r="Y50">
        <v>-11026</v>
      </c>
      <c r="Z50">
        <v>2654</v>
      </c>
      <c r="AA50">
        <v>3326</v>
      </c>
      <c r="AB50">
        <v>3942</v>
      </c>
      <c r="AC50">
        <v>0</v>
      </c>
      <c r="AD50">
        <v>0</v>
      </c>
      <c r="AE50">
        <v>0</v>
      </c>
      <c r="AF50">
        <v>446</v>
      </c>
      <c r="AG50">
        <v>367</v>
      </c>
      <c r="AH50">
        <v>325</v>
      </c>
      <c r="AI50">
        <v>2182</v>
      </c>
      <c r="AJ50">
        <v>2926</v>
      </c>
      <c r="AK50">
        <v>3534</v>
      </c>
      <c r="AL50">
        <v>26</v>
      </c>
      <c r="AM50">
        <v>33</v>
      </c>
      <c r="AN50">
        <v>83</v>
      </c>
      <c r="AO50">
        <v>42968</v>
      </c>
      <c r="AP50">
        <v>43707</v>
      </c>
      <c r="AQ50">
        <v>44429</v>
      </c>
      <c r="AR50">
        <v>42168</v>
      </c>
      <c r="AS50">
        <v>42914</v>
      </c>
      <c r="AT50">
        <v>42854</v>
      </c>
      <c r="AU50">
        <v>41773</v>
      </c>
      <c r="AV50">
        <v>42200</v>
      </c>
      <c r="AW50">
        <v>42567</v>
      </c>
      <c r="AX50">
        <v>395</v>
      </c>
      <c r="AY50">
        <v>714</v>
      </c>
      <c r="AZ50">
        <v>287</v>
      </c>
      <c r="BA50">
        <v>800</v>
      </c>
      <c r="BB50">
        <v>793</v>
      </c>
      <c r="BC50">
        <v>1575</v>
      </c>
      <c r="BD50">
        <v>0</v>
      </c>
      <c r="BE50">
        <v>0</v>
      </c>
      <c r="BF50">
        <v>0</v>
      </c>
      <c r="BG50">
        <v>0</v>
      </c>
      <c r="BH50">
        <v>300</v>
      </c>
      <c r="BI50">
        <v>200</v>
      </c>
      <c r="BJ50">
        <v>436</v>
      </c>
      <c r="BK50">
        <v>300</v>
      </c>
      <c r="BL50">
        <v>64</v>
      </c>
      <c r="BM50">
        <v>364</v>
      </c>
      <c r="BN50">
        <v>193</v>
      </c>
      <c r="BO50">
        <f>AQ50-AT50-BC50</f>
        <v>0</v>
      </c>
      <c r="BP50">
        <v>2218</v>
      </c>
      <c r="BQ50">
        <v>2895</v>
      </c>
      <c r="BR50">
        <v>3491</v>
      </c>
      <c r="BS50">
        <f>BP50-BY50-CK50</f>
        <v>1899</v>
      </c>
      <c r="BT50">
        <v>1588</v>
      </c>
      <c r="BU50">
        <v>1840</v>
      </c>
      <c r="BV50">
        <v>0</v>
      </c>
      <c r="BW50">
        <v>0</v>
      </c>
      <c r="BX50">
        <v>0</v>
      </c>
      <c r="BY50">
        <v>295</v>
      </c>
      <c r="BZ50">
        <v>442</v>
      </c>
      <c r="CA50">
        <v>607</v>
      </c>
      <c r="CB50">
        <v>0</v>
      </c>
      <c r="CC50">
        <v>0</v>
      </c>
      <c r="CD50">
        <v>0</v>
      </c>
      <c r="CE50">
        <v>0</v>
      </c>
      <c r="CF50">
        <v>322</v>
      </c>
      <c r="CG50">
        <v>405</v>
      </c>
      <c r="CH50">
        <v>0</v>
      </c>
      <c r="CI50">
        <v>536</v>
      </c>
      <c r="CJ50">
        <v>593</v>
      </c>
      <c r="CK50">
        <v>24</v>
      </c>
      <c r="CL50">
        <v>7</v>
      </c>
      <c r="CM50">
        <v>46</v>
      </c>
      <c r="CN50">
        <v>0</v>
      </c>
      <c r="CO50">
        <v>0</v>
      </c>
      <c r="CP50">
        <v>0</v>
      </c>
      <c r="CQ50">
        <v>890</v>
      </c>
      <c r="CR50">
        <v>1061</v>
      </c>
      <c r="CS50">
        <v>1246</v>
      </c>
      <c r="CT50">
        <v>890</v>
      </c>
      <c r="CU50">
        <v>674</v>
      </c>
      <c r="CV50">
        <v>808</v>
      </c>
      <c r="CW50">
        <v>0</v>
      </c>
      <c r="CX50">
        <v>0</v>
      </c>
      <c r="CY50">
        <v>0</v>
      </c>
      <c r="CZ50">
        <v>0</v>
      </c>
      <c r="DA50">
        <v>30</v>
      </c>
      <c r="DB50">
        <v>61</v>
      </c>
      <c r="DC50">
        <v>0</v>
      </c>
      <c r="DD50">
        <v>43</v>
      </c>
      <c r="DE50">
        <v>90</v>
      </c>
      <c r="DF50">
        <v>0</v>
      </c>
      <c r="DG50">
        <v>57</v>
      </c>
      <c r="DH50">
        <v>58</v>
      </c>
      <c r="DI50">
        <v>0</v>
      </c>
      <c r="DJ50">
        <v>111</v>
      </c>
      <c r="DK50">
        <v>112</v>
      </c>
      <c r="DL50">
        <v>0</v>
      </c>
      <c r="DM50">
        <v>0</v>
      </c>
      <c r="DN50">
        <v>0</v>
      </c>
      <c r="DO50">
        <v>0</v>
      </c>
      <c r="DP50">
        <v>146</v>
      </c>
      <c r="DQ50">
        <v>117</v>
      </c>
      <c r="DR50">
        <v>1462</v>
      </c>
      <c r="DS50">
        <v>2658</v>
      </c>
      <c r="DT50">
        <v>2980</v>
      </c>
      <c r="DU50">
        <f>DR50-ED50-EP50</f>
        <v>942</v>
      </c>
      <c r="DV50">
        <v>9</v>
      </c>
      <c r="DW50">
        <v>17</v>
      </c>
      <c r="DX50">
        <v>0</v>
      </c>
      <c r="DY50">
        <v>348</v>
      </c>
      <c r="DZ50">
        <v>494</v>
      </c>
      <c r="EA50" s="183">
        <v>0</v>
      </c>
      <c r="EB50" s="83">
        <v>0</v>
      </c>
      <c r="EC50" s="184">
        <v>0</v>
      </c>
      <c r="ED50">
        <v>104</v>
      </c>
      <c r="EE50">
        <v>1828</v>
      </c>
      <c r="EF50">
        <v>1522</v>
      </c>
      <c r="EG50">
        <v>0</v>
      </c>
      <c r="EH50">
        <v>637</v>
      </c>
      <c r="EI50">
        <v>428</v>
      </c>
      <c r="EJ50">
        <f>25+30+25+24</f>
        <v>104</v>
      </c>
      <c r="EK50">
        <v>247</v>
      </c>
      <c r="EL50">
        <v>77</v>
      </c>
      <c r="EM50">
        <v>0</v>
      </c>
      <c r="EN50">
        <v>944</v>
      </c>
      <c r="EO50">
        <v>1017</v>
      </c>
      <c r="EP50" s="83">
        <v>416</v>
      </c>
      <c r="EQ50" s="83">
        <v>473</v>
      </c>
      <c r="ER50" s="83">
        <v>947</v>
      </c>
      <c r="ES50">
        <v>-756</v>
      </c>
      <c r="ET50">
        <v>-237</v>
      </c>
      <c r="EU50">
        <v>-511</v>
      </c>
      <c r="EV50">
        <v>-756</v>
      </c>
      <c r="EW50">
        <v>-237</v>
      </c>
      <c r="EX50">
        <v>-511</v>
      </c>
      <c r="EY50">
        <v>2218</v>
      </c>
      <c r="EZ50">
        <v>2012</v>
      </c>
      <c r="FA50">
        <v>2044</v>
      </c>
      <c r="FB50">
        <v>2218</v>
      </c>
      <c r="FC50">
        <v>2012</v>
      </c>
      <c r="FD50">
        <v>2003</v>
      </c>
      <c r="FE50">
        <v>0</v>
      </c>
      <c r="FF50">
        <v>0</v>
      </c>
      <c r="FG50">
        <v>36</v>
      </c>
      <c r="FH50">
        <v>0</v>
      </c>
      <c r="FI50">
        <v>0</v>
      </c>
      <c r="FJ50">
        <v>5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1328</v>
      </c>
      <c r="GA50">
        <v>1097</v>
      </c>
      <c r="GB50">
        <v>915</v>
      </c>
      <c r="GC50">
        <v>1151</v>
      </c>
      <c r="GD50">
        <v>951</v>
      </c>
      <c r="GE50">
        <v>798</v>
      </c>
      <c r="GF50" s="4">
        <f>BP50+CQ50</f>
        <v>3108</v>
      </c>
      <c r="GG50">
        <f>BQ50+CR50</f>
        <v>3956</v>
      </c>
      <c r="GH50" s="4">
        <f>BR50+CS50</f>
        <v>4737</v>
      </c>
      <c r="GI50" s="4">
        <f>DR50+EY50</f>
        <v>3680</v>
      </c>
      <c r="GJ50">
        <f>DS50+EZ50</f>
        <v>4670</v>
      </c>
      <c r="GK50" s="4">
        <f>DT50+FA50</f>
        <v>5024</v>
      </c>
      <c r="GL50" s="4">
        <f>GI50-GF50</f>
        <v>572</v>
      </c>
      <c r="GM50">
        <f>GJ50-GG50</f>
        <v>714</v>
      </c>
      <c r="GN50" s="4">
        <f>GK50-GH50</f>
        <v>287</v>
      </c>
      <c r="GO50" s="4">
        <f>GC50+EV50</f>
        <v>395</v>
      </c>
      <c r="GP50">
        <f>GD50+EW50</f>
        <v>714</v>
      </c>
      <c r="GQ50" s="4">
        <f>GE50+EX50</f>
        <v>287</v>
      </c>
      <c r="GR50" t="s">
        <v>326</v>
      </c>
      <c r="GS50" s="4"/>
      <c r="GT50" s="4"/>
      <c r="GV50" s="4"/>
      <c r="GW50" s="4"/>
      <c r="GX50" s="4"/>
      <c r="GZ50" s="4"/>
      <c r="HA50" s="4"/>
      <c r="HB50" s="4"/>
    </row>
    <row r="51" spans="1:210">
      <c r="A51" t="s">
        <v>110</v>
      </c>
      <c r="B51">
        <v>230</v>
      </c>
      <c r="C51">
        <v>5</v>
      </c>
      <c r="D51">
        <v>35</v>
      </c>
      <c r="E51">
        <v>10</v>
      </c>
      <c r="F51">
        <v>15</v>
      </c>
      <c r="G51">
        <v>25</v>
      </c>
      <c r="H51">
        <v>10</v>
      </c>
      <c r="I51" t="s">
        <v>38</v>
      </c>
      <c r="J51" t="s">
        <v>32</v>
      </c>
      <c r="K51">
        <v>5</v>
      </c>
      <c r="L51">
        <v>10</v>
      </c>
      <c r="M51">
        <v>40</v>
      </c>
      <c r="N51">
        <v>45</v>
      </c>
      <c r="O51">
        <v>5</v>
      </c>
      <c r="P51">
        <v>3</v>
      </c>
      <c r="Q51">
        <v>406</v>
      </c>
      <c r="R51">
        <v>675</v>
      </c>
      <c r="S51">
        <v>422</v>
      </c>
      <c r="T51">
        <v>370</v>
      </c>
      <c r="U51">
        <v>640</v>
      </c>
      <c r="V51">
        <v>0</v>
      </c>
      <c r="W51">
        <v>0</v>
      </c>
      <c r="X51">
        <v>0</v>
      </c>
      <c r="Y51">
        <v>280</v>
      </c>
      <c r="Z51">
        <v>36</v>
      </c>
      <c r="AA51">
        <v>34</v>
      </c>
      <c r="AB51">
        <v>142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36</v>
      </c>
      <c r="AJ51">
        <v>34</v>
      </c>
      <c r="AK51">
        <v>17</v>
      </c>
      <c r="AL51">
        <v>0</v>
      </c>
      <c r="AM51">
        <v>0</v>
      </c>
      <c r="AN51">
        <v>125</v>
      </c>
      <c r="AO51">
        <v>406</v>
      </c>
      <c r="AP51">
        <v>675</v>
      </c>
      <c r="AQ51">
        <v>422</v>
      </c>
      <c r="AR51">
        <v>406</v>
      </c>
      <c r="AS51">
        <v>675</v>
      </c>
      <c r="AT51">
        <v>422</v>
      </c>
      <c r="AU51">
        <v>406</v>
      </c>
      <c r="AV51">
        <v>675</v>
      </c>
      <c r="AW51">
        <f>AT51+AZ51</f>
        <v>169</v>
      </c>
      <c r="AX51">
        <v>0</v>
      </c>
      <c r="AY51">
        <v>0</v>
      </c>
      <c r="AZ51">
        <v>-253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426</v>
      </c>
      <c r="BQ51">
        <v>588</v>
      </c>
      <c r="BR51">
        <v>1018</v>
      </c>
      <c r="BS51">
        <v>351</v>
      </c>
      <c r="BT51">
        <v>346</v>
      </c>
      <c r="BU51">
        <v>337</v>
      </c>
      <c r="BV51">
        <v>75</v>
      </c>
      <c r="BW51">
        <v>129</v>
      </c>
      <c r="BX51">
        <v>348</v>
      </c>
      <c r="BY51">
        <v>0</v>
      </c>
      <c r="BZ51">
        <v>38</v>
      </c>
      <c r="CA51">
        <v>68</v>
      </c>
      <c r="CB51">
        <v>0</v>
      </c>
      <c r="CC51">
        <v>0</v>
      </c>
      <c r="CD51">
        <v>0</v>
      </c>
      <c r="CE51">
        <v>0</v>
      </c>
      <c r="CF51">
        <v>75</v>
      </c>
      <c r="CG51">
        <v>265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426</v>
      </c>
      <c r="DS51">
        <v>588</v>
      </c>
      <c r="DT51">
        <v>765</v>
      </c>
      <c r="DU51">
        <v>67</v>
      </c>
      <c r="DV51">
        <v>293</v>
      </c>
      <c r="DW51">
        <v>293</v>
      </c>
      <c r="DX51">
        <v>0</v>
      </c>
      <c r="DY51">
        <v>24</v>
      </c>
      <c r="DZ51">
        <v>44</v>
      </c>
      <c r="EA51" s="183">
        <v>0</v>
      </c>
      <c r="EB51" s="83">
        <v>0</v>
      </c>
      <c r="EC51" s="184">
        <v>0</v>
      </c>
      <c r="ED51">
        <v>190</v>
      </c>
      <c r="EE51">
        <v>81</v>
      </c>
      <c r="EF51">
        <v>93</v>
      </c>
      <c r="EG51">
        <v>0</v>
      </c>
      <c r="EH51">
        <v>0</v>
      </c>
      <c r="EI51">
        <v>0</v>
      </c>
      <c r="EJ51">
        <v>158</v>
      </c>
      <c r="EK51">
        <v>41</v>
      </c>
      <c r="EL51">
        <v>48</v>
      </c>
      <c r="EM51">
        <v>32</v>
      </c>
      <c r="EN51">
        <v>40</v>
      </c>
      <c r="EO51">
        <v>45</v>
      </c>
      <c r="EP51">
        <v>169</v>
      </c>
      <c r="EQ51">
        <v>190</v>
      </c>
      <c r="ER51">
        <v>335</v>
      </c>
      <c r="ES51">
        <v>0</v>
      </c>
      <c r="ET51">
        <v>0</v>
      </c>
      <c r="EU51">
        <v>-253</v>
      </c>
      <c r="EV51">
        <v>0</v>
      </c>
      <c r="EW51">
        <v>0</v>
      </c>
      <c r="EX51">
        <v>-253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 s="4">
        <f>BP51+CQ51</f>
        <v>426</v>
      </c>
      <c r="GG51">
        <f>BQ51+CR51</f>
        <v>588</v>
      </c>
      <c r="GH51" s="4">
        <f>BR51+CS51</f>
        <v>1018</v>
      </c>
      <c r="GI51" s="4">
        <f>DR51+EY51</f>
        <v>426</v>
      </c>
      <c r="GJ51">
        <f>DS51+EZ51</f>
        <v>588</v>
      </c>
      <c r="GK51" s="4">
        <f>DT51+FA51</f>
        <v>765</v>
      </c>
      <c r="GL51" s="4">
        <f>GI51-GF51</f>
        <v>0</v>
      </c>
      <c r="GM51">
        <f>GJ51-GG51</f>
        <v>0</v>
      </c>
      <c r="GN51" s="4">
        <f>GK51-GH51</f>
        <v>-253</v>
      </c>
      <c r="GO51" s="4">
        <f>GC51+EV51</f>
        <v>0</v>
      </c>
      <c r="GP51">
        <f>GD51+EW51</f>
        <v>0</v>
      </c>
      <c r="GQ51" s="4">
        <f>GE51+EX51</f>
        <v>-253</v>
      </c>
      <c r="GS51" s="4"/>
      <c r="GT51" s="4"/>
      <c r="GV51" s="4"/>
      <c r="GW51" s="4"/>
      <c r="GX51" s="4"/>
      <c r="GZ51" s="4"/>
      <c r="HA51" s="4"/>
      <c r="HB51" s="4"/>
    </row>
    <row r="52" spans="1:210">
      <c r="A52" t="s">
        <v>111</v>
      </c>
      <c r="B52">
        <v>420</v>
      </c>
      <c r="C52">
        <v>0</v>
      </c>
      <c r="D52">
        <v>15</v>
      </c>
      <c r="E52">
        <v>20</v>
      </c>
      <c r="F52">
        <v>25</v>
      </c>
      <c r="G52">
        <v>30</v>
      </c>
      <c r="H52">
        <v>10</v>
      </c>
      <c r="I52" t="s">
        <v>38</v>
      </c>
      <c r="J52" t="s">
        <v>35</v>
      </c>
      <c r="K52">
        <v>5</v>
      </c>
      <c r="L52">
        <v>50</v>
      </c>
      <c r="M52">
        <v>10</v>
      </c>
      <c r="N52">
        <v>20</v>
      </c>
      <c r="O52">
        <v>20</v>
      </c>
      <c r="P52">
        <v>2</v>
      </c>
      <c r="Q52">
        <v>106</v>
      </c>
      <c r="R52">
        <v>154</v>
      </c>
      <c r="S52">
        <v>201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106</v>
      </c>
      <c r="AA52">
        <v>154</v>
      </c>
      <c r="AB52">
        <v>201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106</v>
      </c>
      <c r="AJ52">
        <v>154</v>
      </c>
      <c r="AK52">
        <v>201</v>
      </c>
      <c r="AL52">
        <v>0</v>
      </c>
      <c r="AM52">
        <v>0</v>
      </c>
      <c r="AN52">
        <v>0</v>
      </c>
      <c r="AO52">
        <v>106</v>
      </c>
      <c r="AP52">
        <v>154</v>
      </c>
      <c r="AQ52">
        <v>201</v>
      </c>
      <c r="AR52">
        <v>106</v>
      </c>
      <c r="AS52">
        <v>154</v>
      </c>
      <c r="AT52">
        <v>201</v>
      </c>
      <c r="AU52">
        <v>74</v>
      </c>
      <c r="AV52">
        <v>106</v>
      </c>
      <c r="AW52">
        <v>154</v>
      </c>
      <c r="AX52">
        <v>32</v>
      </c>
      <c r="AY52">
        <v>48</v>
      </c>
      <c r="AZ52">
        <v>47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58</v>
      </c>
      <c r="BQ52">
        <v>111</v>
      </c>
      <c r="BR52">
        <v>97</v>
      </c>
      <c r="BS52">
        <v>26</v>
      </c>
      <c r="BT52">
        <v>38</v>
      </c>
      <c r="BU52">
        <v>85</v>
      </c>
      <c r="BV52">
        <v>23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8</v>
      </c>
      <c r="CF52">
        <v>55</v>
      </c>
      <c r="CG52">
        <v>6</v>
      </c>
      <c r="CH52">
        <v>0</v>
      </c>
      <c r="CI52">
        <v>0</v>
      </c>
      <c r="CJ52">
        <v>0</v>
      </c>
      <c r="CK52">
        <v>1</v>
      </c>
      <c r="CL52">
        <v>18</v>
      </c>
      <c r="CM52">
        <v>6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72</v>
      </c>
      <c r="DS52">
        <v>120</v>
      </c>
      <c r="DT52">
        <v>106</v>
      </c>
      <c r="DU52">
        <v>30</v>
      </c>
      <c r="DV52">
        <v>14</v>
      </c>
      <c r="DW52">
        <v>14</v>
      </c>
      <c r="DX52">
        <v>0</v>
      </c>
      <c r="DY52">
        <v>0</v>
      </c>
      <c r="DZ52">
        <v>0</v>
      </c>
      <c r="EA52" s="183">
        <v>0</v>
      </c>
      <c r="EB52" s="83">
        <v>0</v>
      </c>
      <c r="EC52" s="184">
        <v>0</v>
      </c>
      <c r="ED52">
        <v>42</v>
      </c>
      <c r="EE52">
        <v>106</v>
      </c>
      <c r="EF52">
        <v>36</v>
      </c>
      <c r="EG52">
        <v>0</v>
      </c>
      <c r="EH52">
        <v>0</v>
      </c>
      <c r="EI52">
        <v>0</v>
      </c>
      <c r="EJ52">
        <v>17</v>
      </c>
      <c r="EK52">
        <v>83</v>
      </c>
      <c r="EL52">
        <v>13</v>
      </c>
      <c r="EM52">
        <v>25</v>
      </c>
      <c r="EN52">
        <v>21</v>
      </c>
      <c r="EO52">
        <v>23</v>
      </c>
      <c r="EP52" s="83">
        <v>0</v>
      </c>
      <c r="EQ52" s="83">
        <v>0</v>
      </c>
      <c r="ER52" s="83">
        <v>56</v>
      </c>
      <c r="ES52">
        <v>14</v>
      </c>
      <c r="ET52">
        <v>9</v>
      </c>
      <c r="EU52">
        <v>9</v>
      </c>
      <c r="EV52">
        <v>14</v>
      </c>
      <c r="EW52">
        <v>9</v>
      </c>
      <c r="EX52">
        <v>9</v>
      </c>
      <c r="EY52">
        <v>18</v>
      </c>
      <c r="EZ52">
        <v>39</v>
      </c>
      <c r="FA52">
        <v>39</v>
      </c>
      <c r="FB52">
        <v>16</v>
      </c>
      <c r="FC52">
        <v>0</v>
      </c>
      <c r="FD52">
        <v>39</v>
      </c>
      <c r="FE52">
        <v>0</v>
      </c>
      <c r="FF52">
        <v>14</v>
      </c>
      <c r="FG52">
        <v>0</v>
      </c>
      <c r="FH52">
        <v>0</v>
      </c>
      <c r="FI52">
        <v>0</v>
      </c>
      <c r="FJ52">
        <v>0</v>
      </c>
      <c r="FK52">
        <v>2</v>
      </c>
      <c r="FL52">
        <v>25</v>
      </c>
      <c r="FM52">
        <v>0</v>
      </c>
      <c r="FN52">
        <v>0</v>
      </c>
      <c r="FO52">
        <v>0</v>
      </c>
      <c r="FP52">
        <v>0</v>
      </c>
      <c r="FQ52">
        <v>2</v>
      </c>
      <c r="FR52">
        <v>25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18</v>
      </c>
      <c r="GA52">
        <v>39</v>
      </c>
      <c r="GB52">
        <v>39</v>
      </c>
      <c r="GC52">
        <v>18</v>
      </c>
      <c r="GD52">
        <v>39</v>
      </c>
      <c r="GE52">
        <v>39</v>
      </c>
      <c r="GF52" s="4">
        <f>BP52+CQ52</f>
        <v>58</v>
      </c>
      <c r="GG52">
        <f>BQ52+CR52</f>
        <v>111</v>
      </c>
      <c r="GH52" s="4">
        <f>BR52+CS52</f>
        <v>97</v>
      </c>
      <c r="GI52" s="4">
        <f>DR52+EY52</f>
        <v>90</v>
      </c>
      <c r="GJ52">
        <f>DS52+EZ52</f>
        <v>159</v>
      </c>
      <c r="GK52" s="4">
        <f>DT52+FA52</f>
        <v>145</v>
      </c>
      <c r="GL52" s="4">
        <f>GI52-GF52</f>
        <v>32</v>
      </c>
      <c r="GM52">
        <f>GJ52-GG52</f>
        <v>48</v>
      </c>
      <c r="GN52" s="4">
        <f>GK52-GH52</f>
        <v>48</v>
      </c>
      <c r="GO52" s="4">
        <f>GC52+EV52</f>
        <v>32</v>
      </c>
      <c r="GP52">
        <f>GD52+EW52</f>
        <v>48</v>
      </c>
      <c r="GQ52" s="4">
        <f>GE52+EX52</f>
        <v>48</v>
      </c>
      <c r="GS52" s="4"/>
      <c r="GT52" s="4"/>
      <c r="GV52" s="4"/>
      <c r="GW52" s="4"/>
      <c r="GX52" s="4"/>
      <c r="GZ52" s="4"/>
      <c r="HA52" s="4"/>
      <c r="HB52" s="4"/>
    </row>
    <row r="53" spans="1:210">
      <c r="A53" t="s">
        <v>112</v>
      </c>
      <c r="B53">
        <v>125</v>
      </c>
      <c r="C53">
        <v>0</v>
      </c>
      <c r="D53">
        <v>29</v>
      </c>
      <c r="E53">
        <v>1</v>
      </c>
      <c r="F53">
        <v>20</v>
      </c>
      <c r="G53">
        <v>30</v>
      </c>
      <c r="H53">
        <v>20</v>
      </c>
      <c r="I53" t="s">
        <v>38</v>
      </c>
      <c r="J53" t="s">
        <v>35</v>
      </c>
      <c r="K53">
        <v>1</v>
      </c>
      <c r="L53">
        <v>20</v>
      </c>
      <c r="M53">
        <v>30</v>
      </c>
      <c r="N53">
        <v>10</v>
      </c>
      <c r="O53">
        <v>40</v>
      </c>
      <c r="P53">
        <v>2</v>
      </c>
      <c r="Q53">
        <v>99113</v>
      </c>
      <c r="R53">
        <v>100110</v>
      </c>
      <c r="S53">
        <v>13336</v>
      </c>
      <c r="T53">
        <v>105784</v>
      </c>
      <c r="U53">
        <v>111548</v>
      </c>
      <c r="V53">
        <v>8766</v>
      </c>
      <c r="W53">
        <v>-22595</v>
      </c>
      <c r="X53">
        <v>-24904</v>
      </c>
      <c r="Y53">
        <v>-3216</v>
      </c>
      <c r="Z53">
        <v>15924</v>
      </c>
      <c r="AA53">
        <v>13466</v>
      </c>
      <c r="AB53">
        <v>7766</v>
      </c>
      <c r="AC53">
        <v>0</v>
      </c>
      <c r="AD53">
        <v>0</v>
      </c>
      <c r="AE53">
        <v>0</v>
      </c>
      <c r="AF53">
        <v>4590</v>
      </c>
      <c r="AG53">
        <v>3247</v>
      </c>
      <c r="AH53">
        <v>3113</v>
      </c>
      <c r="AI53">
        <v>11334</v>
      </c>
      <c r="AJ53">
        <v>10213</v>
      </c>
      <c r="AK53">
        <v>4590</v>
      </c>
      <c r="AL53">
        <v>0</v>
      </c>
      <c r="AM53">
        <v>6</v>
      </c>
      <c r="AN53">
        <v>63</v>
      </c>
      <c r="AO53">
        <v>99113</v>
      </c>
      <c r="AP53">
        <v>100110</v>
      </c>
      <c r="AQ53">
        <v>13336</v>
      </c>
      <c r="AR53">
        <v>92342</v>
      </c>
      <c r="AS53">
        <v>97717</v>
      </c>
      <c r="AT53">
        <v>5840</v>
      </c>
      <c r="AU53">
        <v>97020</v>
      </c>
      <c r="AV53">
        <v>94786</v>
      </c>
      <c r="AW53">
        <v>6052</v>
      </c>
      <c r="AX53">
        <v>-4681</v>
      </c>
      <c r="AY53">
        <v>2931</v>
      </c>
      <c r="AZ53">
        <v>-212</v>
      </c>
      <c r="BA53">
        <v>6771</v>
      </c>
      <c r="BB53">
        <v>2393</v>
      </c>
      <c r="BC53">
        <v>7496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6771</v>
      </c>
      <c r="BK53">
        <v>1555</v>
      </c>
      <c r="BL53">
        <v>7108</v>
      </c>
      <c r="BM53">
        <v>0</v>
      </c>
      <c r="BN53">
        <v>838</v>
      </c>
      <c r="BO53">
        <v>388</v>
      </c>
      <c r="BP53">
        <v>13613</v>
      </c>
      <c r="BQ53">
        <v>12835</v>
      </c>
      <c r="BR53">
        <v>2778</v>
      </c>
      <c r="BS53">
        <v>2533</v>
      </c>
      <c r="BT53">
        <v>7396</v>
      </c>
      <c r="BU53">
        <v>1473</v>
      </c>
      <c r="BV53">
        <v>6006</v>
      </c>
      <c r="BW53">
        <v>0</v>
      </c>
      <c r="BX53">
        <v>0</v>
      </c>
      <c r="BY53">
        <v>2374</v>
      </c>
      <c r="BZ53">
        <v>2513</v>
      </c>
      <c r="CA53">
        <v>1008</v>
      </c>
      <c r="CB53">
        <v>107</v>
      </c>
      <c r="CC53">
        <v>66</v>
      </c>
      <c r="CD53">
        <v>5</v>
      </c>
      <c r="CE53">
        <v>931</v>
      </c>
      <c r="CF53">
        <v>906</v>
      </c>
      <c r="CG53">
        <v>58</v>
      </c>
      <c r="CH53">
        <v>1542</v>
      </c>
      <c r="CI53">
        <v>1846</v>
      </c>
      <c r="CJ53">
        <v>229</v>
      </c>
      <c r="CK53">
        <v>120</v>
      </c>
      <c r="CL53">
        <v>105</v>
      </c>
      <c r="CM53">
        <v>5</v>
      </c>
      <c r="CN53">
        <v>0</v>
      </c>
      <c r="CO53">
        <v>3</v>
      </c>
      <c r="CP53">
        <v>0</v>
      </c>
      <c r="CQ53">
        <v>3967</v>
      </c>
      <c r="CR53">
        <v>4537</v>
      </c>
      <c r="CS53">
        <v>349</v>
      </c>
      <c r="CT53">
        <v>1523</v>
      </c>
      <c r="CU53">
        <v>2187</v>
      </c>
      <c r="CV53">
        <v>73</v>
      </c>
      <c r="CW53">
        <v>363</v>
      </c>
      <c r="CX53">
        <v>0</v>
      </c>
      <c r="CY53">
        <v>0</v>
      </c>
      <c r="CZ53">
        <v>1418</v>
      </c>
      <c r="DA53">
        <v>1433</v>
      </c>
      <c r="DB53">
        <v>200</v>
      </c>
      <c r="DC53">
        <v>48</v>
      </c>
      <c r="DD53">
        <v>39</v>
      </c>
      <c r="DE53">
        <v>29</v>
      </c>
      <c r="DF53">
        <v>221</v>
      </c>
      <c r="DG53">
        <v>223</v>
      </c>
      <c r="DH53">
        <v>27</v>
      </c>
      <c r="DI53">
        <v>379</v>
      </c>
      <c r="DJ53">
        <v>440</v>
      </c>
      <c r="DK53">
        <v>20</v>
      </c>
      <c r="DL53">
        <v>15</v>
      </c>
      <c r="DM53">
        <v>15</v>
      </c>
      <c r="DN53">
        <v>0</v>
      </c>
      <c r="DO53">
        <v>0</v>
      </c>
      <c r="DP53">
        <v>200</v>
      </c>
      <c r="DR53">
        <v>13110</v>
      </c>
      <c r="DS53">
        <v>13401</v>
      </c>
      <c r="DT53">
        <v>2486</v>
      </c>
      <c r="DU53">
        <v>3029</v>
      </c>
      <c r="DV53">
        <v>3078</v>
      </c>
      <c r="DW53">
        <v>46</v>
      </c>
      <c r="DX53">
        <v>874</v>
      </c>
      <c r="DY53">
        <v>550</v>
      </c>
      <c r="DZ53">
        <v>47</v>
      </c>
      <c r="EA53" s="183">
        <v>0</v>
      </c>
      <c r="EB53" s="83">
        <v>0</v>
      </c>
      <c r="EC53" s="184">
        <v>0</v>
      </c>
      <c r="ED53">
        <v>9207</v>
      </c>
      <c r="EE53">
        <v>7141</v>
      </c>
      <c r="EF53">
        <v>2012</v>
      </c>
      <c r="EG53">
        <v>0</v>
      </c>
      <c r="EH53">
        <v>0</v>
      </c>
      <c r="EI53">
        <v>0</v>
      </c>
      <c r="EJ53">
        <v>6153</v>
      </c>
      <c r="EK53">
        <v>3812</v>
      </c>
      <c r="EL53">
        <v>796</v>
      </c>
      <c r="EM53">
        <v>3054</v>
      </c>
      <c r="EN53">
        <v>3329</v>
      </c>
      <c r="EO53">
        <v>1216</v>
      </c>
      <c r="EP53" s="83">
        <v>0</v>
      </c>
      <c r="EQ53" s="83">
        <v>2512</v>
      </c>
      <c r="ER53" s="83">
        <v>381</v>
      </c>
      <c r="ES53">
        <v>-503</v>
      </c>
      <c r="ET53">
        <v>569</v>
      </c>
      <c r="EU53">
        <v>-292</v>
      </c>
      <c r="EV53">
        <v>-503</v>
      </c>
      <c r="EW53">
        <v>569</v>
      </c>
      <c r="EX53">
        <v>-292</v>
      </c>
      <c r="EY53">
        <v>5768</v>
      </c>
      <c r="EZ53">
        <v>5843</v>
      </c>
      <c r="FA53">
        <v>429</v>
      </c>
      <c r="FB53">
        <v>5768</v>
      </c>
      <c r="FC53">
        <v>5843</v>
      </c>
      <c r="FD53">
        <v>426</v>
      </c>
      <c r="FE53">
        <v>0</v>
      </c>
      <c r="FF53">
        <v>0</v>
      </c>
      <c r="FG53">
        <v>3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1801</v>
      </c>
      <c r="GA53">
        <v>1506</v>
      </c>
      <c r="GB53">
        <v>80</v>
      </c>
      <c r="GC53">
        <v>1562</v>
      </c>
      <c r="GD53">
        <v>1306</v>
      </c>
      <c r="GE53">
        <v>80</v>
      </c>
      <c r="GF53" s="4">
        <f>BP53+CQ53</f>
        <v>17580</v>
      </c>
      <c r="GG53">
        <f>BQ53+CR53</f>
        <v>17372</v>
      </c>
      <c r="GH53" s="4">
        <f>BR53+CS53</f>
        <v>3127</v>
      </c>
      <c r="GI53" s="4">
        <f>DR53+EY53</f>
        <v>18878</v>
      </c>
      <c r="GJ53">
        <f>DS53+EZ53</f>
        <v>19244</v>
      </c>
      <c r="GK53" s="4">
        <f>DT53+FA53</f>
        <v>2915</v>
      </c>
      <c r="GL53" s="4">
        <f>GI53-GF53</f>
        <v>1298</v>
      </c>
      <c r="GM53">
        <f>GJ53-GG53</f>
        <v>1872</v>
      </c>
      <c r="GN53" s="4">
        <f>GK53-GH53</f>
        <v>-212</v>
      </c>
      <c r="GO53" s="4">
        <f>GC53+EV53</f>
        <v>1059</v>
      </c>
      <c r="GP53">
        <f>GD53+EW53</f>
        <v>1875</v>
      </c>
      <c r="GQ53" s="4">
        <f>GE53+EX53</f>
        <v>-212</v>
      </c>
      <c r="GS53" s="4"/>
      <c r="GT53" s="4"/>
      <c r="GV53" s="4"/>
      <c r="GW53" s="4"/>
      <c r="GX53" s="4"/>
      <c r="GZ53" s="4"/>
      <c r="HA53" s="4"/>
      <c r="HB53" s="4"/>
    </row>
    <row r="54" spans="1:210">
      <c r="A54" t="s">
        <v>113</v>
      </c>
      <c r="B54">
        <v>100</v>
      </c>
      <c r="C54">
        <v>0</v>
      </c>
      <c r="D54">
        <v>36</v>
      </c>
      <c r="E54">
        <v>11</v>
      </c>
      <c r="F54">
        <v>21</v>
      </c>
      <c r="G54">
        <v>25</v>
      </c>
      <c r="H54">
        <v>7</v>
      </c>
      <c r="I54" t="s">
        <v>38</v>
      </c>
      <c r="J54" t="s">
        <v>35</v>
      </c>
      <c r="K54">
        <v>4</v>
      </c>
      <c r="L54">
        <v>10</v>
      </c>
      <c r="M54">
        <v>40</v>
      </c>
      <c r="N54">
        <v>20</v>
      </c>
      <c r="O54">
        <v>30</v>
      </c>
      <c r="P54">
        <v>6</v>
      </c>
      <c r="Q54">
        <v>596</v>
      </c>
      <c r="R54">
        <f>U54+X54+AA54</f>
        <v>503</v>
      </c>
      <c r="S54">
        <v>625</v>
      </c>
      <c r="T54">
        <v>289</v>
      </c>
      <c r="U54">
        <v>289</v>
      </c>
      <c r="V54">
        <v>289</v>
      </c>
      <c r="W54">
        <v>-48</v>
      </c>
      <c r="X54">
        <v>-77</v>
      </c>
      <c r="Y54">
        <v>-106</v>
      </c>
      <c r="Z54">
        <v>355</v>
      </c>
      <c r="AA54">
        <v>291</v>
      </c>
      <c r="AB54">
        <v>442</v>
      </c>
      <c r="AC54">
        <v>0</v>
      </c>
      <c r="AD54">
        <v>0</v>
      </c>
      <c r="AE54">
        <v>0</v>
      </c>
      <c r="AF54">
        <v>18</v>
      </c>
      <c r="AG54">
        <v>18</v>
      </c>
      <c r="AH54">
        <v>20</v>
      </c>
      <c r="AI54">
        <v>337</v>
      </c>
      <c r="AJ54">
        <v>273</v>
      </c>
      <c r="AK54">
        <v>422</v>
      </c>
      <c r="AL54">
        <v>0</v>
      </c>
      <c r="AM54">
        <v>0</v>
      </c>
      <c r="AN54">
        <v>0</v>
      </c>
      <c r="AO54">
        <v>696</v>
      </c>
      <c r="AP54">
        <v>603</v>
      </c>
      <c r="AQ54">
        <v>625</v>
      </c>
      <c r="AR54">
        <v>559</v>
      </c>
      <c r="AS54">
        <f>AV54+AY54</f>
        <v>535</v>
      </c>
      <c r="AT54">
        <v>602</v>
      </c>
      <c r="AU54">
        <v>179</v>
      </c>
      <c r="AV54">
        <v>350</v>
      </c>
      <c r="AW54">
        <v>341</v>
      </c>
      <c r="AX54">
        <v>380</v>
      </c>
      <c r="AY54">
        <v>185</v>
      </c>
      <c r="AZ54">
        <v>261</v>
      </c>
      <c r="BA54">
        <v>37</v>
      </c>
      <c r="BB54">
        <v>68</v>
      </c>
      <c r="BC54">
        <v>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37</v>
      </c>
      <c r="BK54">
        <v>68</v>
      </c>
      <c r="BL54">
        <v>23</v>
      </c>
      <c r="BM54">
        <v>0</v>
      </c>
      <c r="BN54">
        <v>0</v>
      </c>
      <c r="BO54">
        <v>0</v>
      </c>
      <c r="BP54">
        <v>286</v>
      </c>
      <c r="BQ54">
        <v>301</v>
      </c>
      <c r="BR54">
        <v>277</v>
      </c>
      <c r="BS54">
        <v>135</v>
      </c>
      <c r="BT54">
        <v>84</v>
      </c>
      <c r="BU54">
        <v>87</v>
      </c>
      <c r="BV54">
        <v>115</v>
      </c>
      <c r="BW54">
        <v>172</v>
      </c>
      <c r="BX54">
        <v>145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16</v>
      </c>
      <c r="CF54">
        <v>16</v>
      </c>
      <c r="CG54">
        <v>16</v>
      </c>
      <c r="CH54">
        <v>20</v>
      </c>
      <c r="CI54">
        <v>29</v>
      </c>
      <c r="CJ54">
        <v>29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97</v>
      </c>
      <c r="CR54">
        <v>12</v>
      </c>
      <c r="CS54">
        <v>20</v>
      </c>
      <c r="CT54">
        <v>6</v>
      </c>
      <c r="CU54">
        <v>7</v>
      </c>
      <c r="CV54">
        <v>16</v>
      </c>
      <c r="CW54">
        <v>91</v>
      </c>
      <c r="CX54">
        <v>5</v>
      </c>
      <c r="CY54">
        <v>4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R54">
        <v>335</v>
      </c>
      <c r="DS54">
        <v>221</v>
      </c>
      <c r="DT54">
        <v>283</v>
      </c>
      <c r="DU54">
        <v>116</v>
      </c>
      <c r="DV54">
        <v>108</v>
      </c>
      <c r="DW54">
        <v>91</v>
      </c>
      <c r="DX54">
        <v>29</v>
      </c>
      <c r="DY54">
        <v>11</v>
      </c>
      <c r="DZ54">
        <v>9</v>
      </c>
      <c r="EA54" s="183">
        <v>0</v>
      </c>
      <c r="EB54" s="83">
        <v>0</v>
      </c>
      <c r="EC54" s="184">
        <v>0</v>
      </c>
      <c r="ED54">
        <v>118</v>
      </c>
      <c r="EE54">
        <v>52</v>
      </c>
      <c r="EF54">
        <v>59</v>
      </c>
      <c r="EG54">
        <v>0</v>
      </c>
      <c r="EH54">
        <v>0</v>
      </c>
      <c r="EI54">
        <v>0</v>
      </c>
      <c r="EJ54">
        <v>13</v>
      </c>
      <c r="EK54">
        <v>12</v>
      </c>
      <c r="EL54">
        <v>6</v>
      </c>
      <c r="EM54">
        <v>105</v>
      </c>
      <c r="EN54">
        <v>40</v>
      </c>
      <c r="EO54">
        <v>53</v>
      </c>
      <c r="EP54" s="83">
        <v>72</v>
      </c>
      <c r="EQ54" s="83">
        <v>50</v>
      </c>
      <c r="ER54" s="83">
        <v>124</v>
      </c>
      <c r="ES54">
        <v>49</v>
      </c>
      <c r="ET54">
        <v>-80</v>
      </c>
      <c r="EU54">
        <v>6</v>
      </c>
      <c r="EV54">
        <v>49</v>
      </c>
      <c r="EW54">
        <v>-80</v>
      </c>
      <c r="EX54">
        <v>6</v>
      </c>
      <c r="EY54">
        <v>148</v>
      </c>
      <c r="EZ54">
        <v>77</v>
      </c>
      <c r="FA54">
        <v>90</v>
      </c>
      <c r="FB54">
        <v>148</v>
      </c>
      <c r="FC54">
        <v>77</v>
      </c>
      <c r="FD54">
        <v>90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51</v>
      </c>
      <c r="GA54">
        <v>65</v>
      </c>
      <c r="GB54">
        <v>70</v>
      </c>
      <c r="GC54">
        <v>51</v>
      </c>
      <c r="GD54">
        <v>65</v>
      </c>
      <c r="GE54">
        <v>70</v>
      </c>
      <c r="GF54" s="4">
        <f>BP54+CQ54</f>
        <v>383</v>
      </c>
      <c r="GG54">
        <f>BQ54+CR54</f>
        <v>313</v>
      </c>
      <c r="GH54" s="4">
        <f>BR54+CS54</f>
        <v>297</v>
      </c>
      <c r="GI54" s="4">
        <f>DR54+EY54</f>
        <v>483</v>
      </c>
      <c r="GJ54">
        <f>DS54+EZ54</f>
        <v>298</v>
      </c>
      <c r="GK54" s="4">
        <f>DT54+FA54</f>
        <v>373</v>
      </c>
      <c r="GL54" s="4">
        <f>GI54-GF54</f>
        <v>100</v>
      </c>
      <c r="GM54">
        <f>GJ54-GG54</f>
        <v>-15</v>
      </c>
      <c r="GN54" s="4">
        <f>GK54-GH54</f>
        <v>76</v>
      </c>
      <c r="GO54" s="4">
        <f>GC54+EV54</f>
        <v>100</v>
      </c>
      <c r="GP54">
        <f>GD54+EW54</f>
        <v>-15</v>
      </c>
      <c r="GQ54" s="4">
        <f>GE54+EX54</f>
        <v>76</v>
      </c>
      <c r="GR54" t="s">
        <v>326</v>
      </c>
      <c r="GS54" s="4"/>
      <c r="GT54" s="4"/>
      <c r="GV54" s="4"/>
      <c r="GW54" s="4"/>
      <c r="GX54" s="4"/>
      <c r="GZ54" s="4"/>
      <c r="HA54" s="4"/>
      <c r="HB54" s="4"/>
    </row>
    <row r="55" spans="1:210">
      <c r="A55" t="s">
        <v>114</v>
      </c>
      <c r="B55">
        <v>195</v>
      </c>
      <c r="C55">
        <v>0</v>
      </c>
      <c r="D55">
        <v>25</v>
      </c>
      <c r="E55">
        <v>2</v>
      </c>
      <c r="F55">
        <v>25</v>
      </c>
      <c r="G55">
        <v>25</v>
      </c>
      <c r="H55">
        <v>23</v>
      </c>
      <c r="I55" t="s">
        <v>38</v>
      </c>
      <c r="J55" t="s">
        <v>33</v>
      </c>
      <c r="K55">
        <v>4</v>
      </c>
      <c r="L55">
        <v>20</v>
      </c>
      <c r="M55">
        <v>25</v>
      </c>
      <c r="N55">
        <v>50</v>
      </c>
      <c r="O55">
        <v>5</v>
      </c>
      <c r="P55">
        <v>5</v>
      </c>
      <c r="Q55">
        <v>18941</v>
      </c>
      <c r="R55">
        <v>18693</v>
      </c>
      <c r="S55">
        <v>19055</v>
      </c>
      <c r="T55">
        <v>18453</v>
      </c>
      <c r="U55">
        <v>18723</v>
      </c>
      <c r="V55">
        <v>18723</v>
      </c>
      <c r="W55">
        <v>0</v>
      </c>
      <c r="X55">
        <v>-30</v>
      </c>
      <c r="Y55">
        <v>-90</v>
      </c>
      <c r="Z55">
        <v>488</v>
      </c>
      <c r="AA55">
        <v>271</v>
      </c>
      <c r="AB55">
        <v>422</v>
      </c>
      <c r="AC55">
        <v>0</v>
      </c>
      <c r="AD55">
        <v>0</v>
      </c>
      <c r="AE55">
        <v>0</v>
      </c>
      <c r="AF55">
        <v>124</v>
      </c>
      <c r="AG55">
        <v>135</v>
      </c>
      <c r="AH55">
        <v>197</v>
      </c>
      <c r="AI55">
        <v>246</v>
      </c>
      <c r="AJ55">
        <v>136</v>
      </c>
      <c r="AK55">
        <v>220</v>
      </c>
      <c r="AL55">
        <v>0</v>
      </c>
      <c r="AM55">
        <v>0</v>
      </c>
      <c r="AN55">
        <v>5</v>
      </c>
      <c r="AO55">
        <v>18941</v>
      </c>
      <c r="AP55">
        <v>18964</v>
      </c>
      <c r="AQ55">
        <v>19055</v>
      </c>
      <c r="AR55">
        <v>17615</v>
      </c>
      <c r="AS55">
        <v>17605</v>
      </c>
      <c r="AT55">
        <v>17600</v>
      </c>
      <c r="AU55">
        <v>17560</v>
      </c>
      <c r="AV55">
        <v>17615</v>
      </c>
      <c r="AW55">
        <v>17605</v>
      </c>
      <c r="AX55">
        <v>55</v>
      </c>
      <c r="AY55">
        <v>-10</v>
      </c>
      <c r="AZ55">
        <v>-5</v>
      </c>
      <c r="BA55">
        <v>1326</v>
      </c>
      <c r="BB55">
        <v>1359</v>
      </c>
      <c r="BC55">
        <v>1455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1326</v>
      </c>
      <c r="BK55">
        <v>1359</v>
      </c>
      <c r="BL55">
        <v>1351</v>
      </c>
      <c r="BM55">
        <v>0</v>
      </c>
      <c r="BN55">
        <v>0</v>
      </c>
      <c r="BO55">
        <v>0</v>
      </c>
      <c r="BP55">
        <v>868</v>
      </c>
      <c r="BQ55">
        <v>1750</v>
      </c>
      <c r="BR55">
        <v>1041</v>
      </c>
      <c r="BS55">
        <v>385</v>
      </c>
      <c r="BT55">
        <v>1540</v>
      </c>
      <c r="BU55">
        <v>624</v>
      </c>
      <c r="BV55">
        <v>483</v>
      </c>
      <c r="BW55">
        <v>0</v>
      </c>
      <c r="BX55">
        <v>0</v>
      </c>
      <c r="BY55">
        <v>304</v>
      </c>
      <c r="BZ55">
        <v>0</v>
      </c>
      <c r="CA55">
        <v>95</v>
      </c>
      <c r="CB55">
        <v>0</v>
      </c>
      <c r="CC55">
        <v>0</v>
      </c>
      <c r="CD55">
        <v>2</v>
      </c>
      <c r="CE55">
        <v>0</v>
      </c>
      <c r="CF55">
        <v>180</v>
      </c>
      <c r="CG55">
        <v>260</v>
      </c>
      <c r="CH55">
        <v>0</v>
      </c>
      <c r="CI55">
        <v>30</v>
      </c>
      <c r="CJ55">
        <v>60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49</v>
      </c>
      <c r="CR55">
        <v>291</v>
      </c>
      <c r="CS55">
        <v>207</v>
      </c>
      <c r="CT55">
        <v>30</v>
      </c>
      <c r="CU55">
        <v>291</v>
      </c>
      <c r="CV55">
        <v>207</v>
      </c>
      <c r="CW55">
        <v>19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867</v>
      </c>
      <c r="DS55">
        <v>1740</v>
      </c>
      <c r="DT55">
        <v>1040</v>
      </c>
      <c r="DU55">
        <v>392</v>
      </c>
      <c r="DV55">
        <v>278</v>
      </c>
      <c r="DW55">
        <v>183</v>
      </c>
      <c r="DX55">
        <v>1</v>
      </c>
      <c r="DY55">
        <v>0</v>
      </c>
      <c r="DZ55">
        <v>0</v>
      </c>
      <c r="EA55" s="183">
        <v>0</v>
      </c>
      <c r="EB55" s="83">
        <v>0</v>
      </c>
      <c r="EC55" s="184">
        <v>0</v>
      </c>
      <c r="ED55">
        <v>474</v>
      </c>
      <c r="EE55">
        <v>1462</v>
      </c>
      <c r="EF55">
        <v>393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393</v>
      </c>
      <c r="EM55">
        <v>474</v>
      </c>
      <c r="EN55">
        <v>1462</v>
      </c>
      <c r="EO55">
        <v>0</v>
      </c>
      <c r="EP55">
        <v>0</v>
      </c>
      <c r="EQ55">
        <v>0</v>
      </c>
      <c r="ER55">
        <v>464</v>
      </c>
      <c r="ES55">
        <v>-1</v>
      </c>
      <c r="ET55">
        <v>-10</v>
      </c>
      <c r="EU55">
        <v>-1</v>
      </c>
      <c r="EV55">
        <v>-1</v>
      </c>
      <c r="EW55">
        <v>-10</v>
      </c>
      <c r="EX55">
        <v>-1</v>
      </c>
      <c r="EY55">
        <v>105</v>
      </c>
      <c r="EZ55">
        <v>291</v>
      </c>
      <c r="FA55">
        <v>203</v>
      </c>
      <c r="FB55">
        <v>57</v>
      </c>
      <c r="FC55">
        <v>233</v>
      </c>
      <c r="FD55">
        <v>203</v>
      </c>
      <c r="FE55">
        <v>48</v>
      </c>
      <c r="FF55">
        <v>58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56</v>
      </c>
      <c r="GA55">
        <v>0</v>
      </c>
      <c r="GB55">
        <v>-4</v>
      </c>
      <c r="GC55">
        <v>56</v>
      </c>
      <c r="GD55">
        <v>0</v>
      </c>
      <c r="GE55">
        <v>-4</v>
      </c>
      <c r="GF55" s="4">
        <f>BP55+CQ55</f>
        <v>917</v>
      </c>
      <c r="GG55">
        <f>BQ55+CR55</f>
        <v>2041</v>
      </c>
      <c r="GH55" s="4">
        <f>BR55+CS55</f>
        <v>1248</v>
      </c>
      <c r="GI55" s="4">
        <f>DR55+EY55</f>
        <v>972</v>
      </c>
      <c r="GJ55">
        <f>DS55+EZ55</f>
        <v>2031</v>
      </c>
      <c r="GK55" s="4">
        <f>DT55+FA55</f>
        <v>1243</v>
      </c>
      <c r="GL55" s="4">
        <f>GI55-GF55</f>
        <v>55</v>
      </c>
      <c r="GM55">
        <f>GJ55-GG55</f>
        <v>-10</v>
      </c>
      <c r="GN55" s="4">
        <f>GK55-GH55</f>
        <v>-5</v>
      </c>
      <c r="GO55" s="4">
        <f>GC55+EV55</f>
        <v>55</v>
      </c>
      <c r="GP55">
        <f>GD55+EW55</f>
        <v>-10</v>
      </c>
      <c r="GQ55" s="4">
        <f>GE55+EX55</f>
        <v>-5</v>
      </c>
      <c r="GS55" s="4"/>
      <c r="GT55" s="4"/>
      <c r="GV55" s="4"/>
      <c r="GW55" s="4"/>
      <c r="GX55" s="4"/>
      <c r="GZ55" s="4"/>
      <c r="HA55" s="4"/>
      <c r="HB55" s="4"/>
    </row>
    <row r="56" spans="1:210">
      <c r="A56" t="s">
        <v>115</v>
      </c>
      <c r="B56">
        <v>112</v>
      </c>
      <c r="C56">
        <v>0</v>
      </c>
      <c r="D56">
        <v>3</v>
      </c>
      <c r="E56">
        <v>3</v>
      </c>
      <c r="F56">
        <v>10</v>
      </c>
      <c r="G56">
        <v>50</v>
      </c>
      <c r="H56">
        <v>34</v>
      </c>
      <c r="I56" t="s">
        <v>38</v>
      </c>
      <c r="J56" t="s">
        <v>35</v>
      </c>
      <c r="K56">
        <v>1</v>
      </c>
      <c r="L56">
        <v>15</v>
      </c>
      <c r="M56">
        <v>50</v>
      </c>
      <c r="N56">
        <v>30</v>
      </c>
      <c r="O56">
        <v>5</v>
      </c>
      <c r="P56">
        <v>2</v>
      </c>
      <c r="Q56">
        <v>20</v>
      </c>
      <c r="R56">
        <v>20</v>
      </c>
      <c r="S56">
        <v>20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20</v>
      </c>
      <c r="AA56">
        <v>20</v>
      </c>
      <c r="AB56">
        <v>20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20</v>
      </c>
      <c r="AJ56">
        <v>20</v>
      </c>
      <c r="AK56">
        <v>20</v>
      </c>
      <c r="AL56">
        <v>0</v>
      </c>
      <c r="AM56">
        <v>0</v>
      </c>
      <c r="AN56">
        <v>0</v>
      </c>
      <c r="AO56">
        <v>20</v>
      </c>
      <c r="AP56">
        <v>20</v>
      </c>
      <c r="AQ56">
        <v>20</v>
      </c>
      <c r="AR56">
        <v>20</v>
      </c>
      <c r="AS56">
        <v>20</v>
      </c>
      <c r="AT56">
        <v>20</v>
      </c>
      <c r="AU56">
        <v>14</v>
      </c>
      <c r="AV56">
        <v>20</v>
      </c>
      <c r="AW56">
        <v>20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74</v>
      </c>
      <c r="BQ56">
        <v>76</v>
      </c>
      <c r="BR56">
        <v>69</v>
      </c>
      <c r="BS56">
        <v>11</v>
      </c>
      <c r="BT56">
        <v>15</v>
      </c>
      <c r="BU56">
        <v>32</v>
      </c>
      <c r="BV56">
        <v>43</v>
      </c>
      <c r="BW56">
        <v>39</v>
      </c>
      <c r="BX56">
        <v>34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8</v>
      </c>
      <c r="CF56">
        <v>22</v>
      </c>
      <c r="CG56">
        <v>3</v>
      </c>
      <c r="CH56">
        <v>0</v>
      </c>
      <c r="CI56">
        <v>0</v>
      </c>
      <c r="CJ56">
        <v>0</v>
      </c>
      <c r="CK56">
        <v>12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77</v>
      </c>
      <c r="DS56">
        <v>73</v>
      </c>
      <c r="DT56">
        <v>69</v>
      </c>
      <c r="DU56">
        <v>0</v>
      </c>
      <c r="DV56">
        <v>0</v>
      </c>
      <c r="DW56">
        <v>0</v>
      </c>
      <c r="DX56">
        <v>0</v>
      </c>
      <c r="DY56">
        <v>5</v>
      </c>
      <c r="DZ56">
        <v>2</v>
      </c>
      <c r="EA56" s="183">
        <v>0</v>
      </c>
      <c r="EB56" s="83">
        <v>0</v>
      </c>
      <c r="EC56" s="184">
        <v>0</v>
      </c>
      <c r="ED56">
        <v>77</v>
      </c>
      <c r="EE56">
        <v>68</v>
      </c>
      <c r="EF56">
        <v>67</v>
      </c>
      <c r="EG56">
        <v>0</v>
      </c>
      <c r="EH56">
        <v>0</v>
      </c>
      <c r="EI56">
        <v>0</v>
      </c>
      <c r="EJ56">
        <v>55</v>
      </c>
      <c r="EK56">
        <v>33</v>
      </c>
      <c r="EL56">
        <v>50</v>
      </c>
      <c r="EM56">
        <v>22</v>
      </c>
      <c r="EN56">
        <v>35</v>
      </c>
      <c r="EO56">
        <v>17</v>
      </c>
      <c r="EP56" s="83">
        <v>0</v>
      </c>
      <c r="EQ56" s="83">
        <v>0</v>
      </c>
      <c r="ER56" s="83">
        <v>0</v>
      </c>
      <c r="ES56">
        <v>3</v>
      </c>
      <c r="ET56">
        <v>-3</v>
      </c>
      <c r="EU56">
        <v>0</v>
      </c>
      <c r="EV56">
        <v>3</v>
      </c>
      <c r="EW56">
        <v>-3</v>
      </c>
      <c r="EX56">
        <v>0</v>
      </c>
      <c r="EY56">
        <v>3</v>
      </c>
      <c r="EZ56">
        <v>3</v>
      </c>
      <c r="FA56">
        <v>0</v>
      </c>
      <c r="FB56">
        <v>3</v>
      </c>
      <c r="FC56">
        <v>3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3</v>
      </c>
      <c r="GA56">
        <v>3</v>
      </c>
      <c r="GB56">
        <v>0</v>
      </c>
      <c r="GC56">
        <v>3</v>
      </c>
      <c r="GD56">
        <v>3</v>
      </c>
      <c r="GE56">
        <v>0</v>
      </c>
      <c r="GF56" s="4">
        <f>BP56+CQ56</f>
        <v>74</v>
      </c>
      <c r="GG56">
        <f>BQ56+CR56</f>
        <v>76</v>
      </c>
      <c r="GH56" s="4">
        <f>BR56+CS56</f>
        <v>69</v>
      </c>
      <c r="GI56" s="4">
        <f>DR56+EY56</f>
        <v>80</v>
      </c>
      <c r="GJ56">
        <f>DS56+EZ56</f>
        <v>76</v>
      </c>
      <c r="GK56" s="4">
        <f>DT56+FA56</f>
        <v>69</v>
      </c>
      <c r="GL56" s="4">
        <f>GI56-GF56</f>
        <v>6</v>
      </c>
      <c r="GM56">
        <f>GJ56-GG56</f>
        <v>0</v>
      </c>
      <c r="GN56" s="4">
        <f>GK56-GH56</f>
        <v>0</v>
      </c>
      <c r="GO56" s="4">
        <f>GC56+EV56</f>
        <v>6</v>
      </c>
      <c r="GP56">
        <f>GD56+EW56</f>
        <v>0</v>
      </c>
      <c r="GQ56" s="4">
        <f>GE56+EX56</f>
        <v>0</v>
      </c>
      <c r="GS56" s="4"/>
      <c r="GT56" s="4"/>
      <c r="GV56" s="4"/>
      <c r="GW56" s="4"/>
      <c r="GX56" s="4"/>
      <c r="GZ56" s="4"/>
      <c r="HA56" s="4"/>
      <c r="HB56" s="4"/>
    </row>
    <row r="57" spans="1:210">
      <c r="A57" t="s">
        <v>116</v>
      </c>
      <c r="B57">
        <v>130</v>
      </c>
      <c r="C57">
        <v>15</v>
      </c>
      <c r="D57">
        <v>30</v>
      </c>
      <c r="E57">
        <v>10</v>
      </c>
      <c r="F57">
        <v>15</v>
      </c>
      <c r="G57">
        <v>25</v>
      </c>
      <c r="H57">
        <v>5</v>
      </c>
      <c r="I57" t="s">
        <v>38</v>
      </c>
      <c r="J57" t="s">
        <v>33</v>
      </c>
      <c r="K57">
        <v>1</v>
      </c>
      <c r="L57">
        <v>10</v>
      </c>
      <c r="M57">
        <v>50</v>
      </c>
      <c r="N57">
        <v>10</v>
      </c>
      <c r="O57">
        <v>30</v>
      </c>
      <c r="P57">
        <v>1</v>
      </c>
      <c r="Q57">
        <v>2705</v>
      </c>
      <c r="R57">
        <v>2724</v>
      </c>
      <c r="S57">
        <v>2810</v>
      </c>
      <c r="T57">
        <v>2604</v>
      </c>
      <c r="U57">
        <v>2570</v>
      </c>
      <c r="V57">
        <v>2663</v>
      </c>
      <c r="W57">
        <v>0</v>
      </c>
      <c r="X57">
        <v>0</v>
      </c>
      <c r="Y57">
        <v>-5</v>
      </c>
      <c r="Z57">
        <v>101</v>
      </c>
      <c r="AA57">
        <v>154</v>
      </c>
      <c r="AB57">
        <v>153</v>
      </c>
      <c r="AC57">
        <v>0</v>
      </c>
      <c r="AD57">
        <v>0</v>
      </c>
      <c r="AE57">
        <v>0</v>
      </c>
      <c r="AF57">
        <v>33</v>
      </c>
      <c r="AG57">
        <v>30</v>
      </c>
      <c r="AH57">
        <v>14</v>
      </c>
      <c r="AI57">
        <v>68</v>
      </c>
      <c r="AJ57">
        <v>124</v>
      </c>
      <c r="AK57">
        <v>139</v>
      </c>
      <c r="AL57">
        <v>0</v>
      </c>
      <c r="AM57">
        <v>0</v>
      </c>
      <c r="AN57">
        <v>0</v>
      </c>
      <c r="AO57">
        <v>2706</v>
      </c>
      <c r="AP57">
        <v>2724</v>
      </c>
      <c r="AQ57">
        <v>2810</v>
      </c>
      <c r="AR57">
        <v>2661</v>
      </c>
      <c r="AS57">
        <v>2700</v>
      </c>
      <c r="AT57">
        <v>2786</v>
      </c>
      <c r="AU57">
        <v>2627</v>
      </c>
      <c r="AV57">
        <v>2660</v>
      </c>
      <c r="AW57">
        <v>2700</v>
      </c>
      <c r="AX57">
        <v>34</v>
      </c>
      <c r="AY57">
        <v>40</v>
      </c>
      <c r="AZ57">
        <v>86</v>
      </c>
      <c r="BA57">
        <v>45</v>
      </c>
      <c r="BB57">
        <v>24</v>
      </c>
      <c r="BC57">
        <v>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45</v>
      </c>
      <c r="BK57">
        <v>24</v>
      </c>
      <c r="BL57">
        <v>25</v>
      </c>
      <c r="BM57">
        <v>0</v>
      </c>
      <c r="BN57">
        <v>0</v>
      </c>
      <c r="BO57">
        <v>0</v>
      </c>
      <c r="BP57">
        <v>330</v>
      </c>
      <c r="BQ57">
        <v>442</v>
      </c>
      <c r="BR57">
        <v>404</v>
      </c>
      <c r="BS57">
        <v>158</v>
      </c>
      <c r="BT57">
        <v>266</v>
      </c>
      <c r="BU57">
        <v>279</v>
      </c>
      <c r="BV57">
        <v>91</v>
      </c>
      <c r="BW57">
        <v>0</v>
      </c>
      <c r="BX57">
        <v>0</v>
      </c>
      <c r="BY57">
        <v>60</v>
      </c>
      <c r="BZ57">
        <v>120</v>
      </c>
      <c r="CA57">
        <v>95</v>
      </c>
      <c r="CB57">
        <v>0</v>
      </c>
      <c r="CC57">
        <v>0</v>
      </c>
      <c r="CD57">
        <v>1</v>
      </c>
      <c r="CE57">
        <v>21</v>
      </c>
      <c r="CF57">
        <v>1</v>
      </c>
      <c r="CG57">
        <v>1</v>
      </c>
      <c r="CH57">
        <v>0</v>
      </c>
      <c r="CI57">
        <v>34</v>
      </c>
      <c r="CJ57">
        <v>6</v>
      </c>
      <c r="CK57">
        <v>0</v>
      </c>
      <c r="CL57">
        <v>21</v>
      </c>
      <c r="CM57">
        <v>22</v>
      </c>
      <c r="CN57">
        <v>0</v>
      </c>
      <c r="CO57">
        <v>0</v>
      </c>
      <c r="CP57">
        <v>0</v>
      </c>
      <c r="CQ57">
        <v>311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311</v>
      </c>
      <c r="DS57">
        <v>457</v>
      </c>
      <c r="DT57">
        <v>442</v>
      </c>
      <c r="DU57">
        <v>53</v>
      </c>
      <c r="DV57">
        <v>78</v>
      </c>
      <c r="DW57">
        <v>43</v>
      </c>
      <c r="DX57">
        <v>0</v>
      </c>
      <c r="DY57">
        <v>0</v>
      </c>
      <c r="DZ57">
        <v>0</v>
      </c>
      <c r="EA57" s="183">
        <v>0</v>
      </c>
      <c r="EB57" s="83">
        <v>0</v>
      </c>
      <c r="EC57" s="184">
        <v>0</v>
      </c>
      <c r="ED57">
        <v>108</v>
      </c>
      <c r="EE57">
        <v>127</v>
      </c>
      <c r="EF57">
        <v>249</v>
      </c>
      <c r="EG57">
        <v>0</v>
      </c>
      <c r="EH57">
        <v>0</v>
      </c>
      <c r="EI57">
        <v>0</v>
      </c>
      <c r="EJ57">
        <v>72</v>
      </c>
      <c r="EK57">
        <v>73</v>
      </c>
      <c r="EL57">
        <v>207</v>
      </c>
      <c r="EM57">
        <v>36</v>
      </c>
      <c r="EN57">
        <v>54</v>
      </c>
      <c r="EO57">
        <v>42</v>
      </c>
      <c r="EP57">
        <v>150</v>
      </c>
      <c r="EQ57">
        <v>252</v>
      </c>
      <c r="ER57">
        <v>150</v>
      </c>
      <c r="ES57">
        <v>-19</v>
      </c>
      <c r="ET57">
        <v>15</v>
      </c>
      <c r="EU57">
        <v>38</v>
      </c>
      <c r="EV57">
        <v>-19</v>
      </c>
      <c r="EW57">
        <v>15</v>
      </c>
      <c r="EX57">
        <v>38</v>
      </c>
      <c r="EY57">
        <v>53</v>
      </c>
      <c r="EZ57">
        <v>24</v>
      </c>
      <c r="FA57">
        <v>47</v>
      </c>
      <c r="FB57">
        <v>53</v>
      </c>
      <c r="FC57">
        <v>24</v>
      </c>
      <c r="FD57">
        <v>47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53</v>
      </c>
      <c r="GA57">
        <v>24</v>
      </c>
      <c r="GB57">
        <v>47</v>
      </c>
      <c r="GC57">
        <v>53</v>
      </c>
      <c r="GD57">
        <v>24</v>
      </c>
      <c r="GE57">
        <v>47</v>
      </c>
      <c r="GF57" s="4">
        <f>BP57+CQ57</f>
        <v>641</v>
      </c>
      <c r="GG57">
        <f>BQ57+CR57</f>
        <v>442</v>
      </c>
      <c r="GH57" s="4">
        <f>BR57+CS57</f>
        <v>404</v>
      </c>
      <c r="GI57" s="4">
        <f>DR57+EY57</f>
        <v>364</v>
      </c>
      <c r="GJ57">
        <f>DS57+EZ57</f>
        <v>481</v>
      </c>
      <c r="GK57" s="4">
        <f>DT57+FA57</f>
        <v>489</v>
      </c>
      <c r="GL57" s="4">
        <f>GI57-GF57</f>
        <v>-277</v>
      </c>
      <c r="GM57">
        <f>GJ57-GG57</f>
        <v>39</v>
      </c>
      <c r="GN57" s="4">
        <f>GK57-GH57</f>
        <v>85</v>
      </c>
      <c r="GO57" s="4">
        <f>GC57+EV57</f>
        <v>34</v>
      </c>
      <c r="GP57">
        <f>GD57+EW57</f>
        <v>39</v>
      </c>
      <c r="GQ57" s="4">
        <f>GE57+EX57</f>
        <v>85</v>
      </c>
      <c r="GS57" s="4"/>
      <c r="GT57" s="4"/>
      <c r="GV57" s="4"/>
      <c r="GW57" s="4"/>
      <c r="GX57" s="4"/>
      <c r="GZ57" s="4"/>
      <c r="HA57" s="4"/>
      <c r="HB57" s="4"/>
    </row>
    <row r="58" spans="1:210">
      <c r="A58" t="s">
        <v>117</v>
      </c>
      <c r="B58">
        <v>187</v>
      </c>
      <c r="C58">
        <v>2</v>
      </c>
      <c r="D58">
        <v>30</v>
      </c>
      <c r="E58">
        <v>15</v>
      </c>
      <c r="F58">
        <v>15</v>
      </c>
      <c r="G58">
        <v>26</v>
      </c>
      <c r="H58">
        <v>12</v>
      </c>
      <c r="I58" t="s">
        <v>38</v>
      </c>
      <c r="J58" t="s">
        <v>32</v>
      </c>
      <c r="K58">
        <v>3</v>
      </c>
      <c r="L58">
        <v>8</v>
      </c>
      <c r="M58">
        <v>60</v>
      </c>
      <c r="N58">
        <v>12</v>
      </c>
      <c r="O58">
        <v>20</v>
      </c>
      <c r="P58">
        <v>5</v>
      </c>
      <c r="Q58">
        <v>194</v>
      </c>
      <c r="R58">
        <v>250</v>
      </c>
      <c r="S58">
        <v>377</v>
      </c>
      <c r="T58">
        <v>57</v>
      </c>
      <c r="U58">
        <v>57</v>
      </c>
      <c r="V58">
        <v>172</v>
      </c>
      <c r="W58">
        <v>0</v>
      </c>
      <c r="X58">
        <v>0</v>
      </c>
      <c r="Y58">
        <v>-13</v>
      </c>
      <c r="Z58">
        <v>137</v>
      </c>
      <c r="AA58">
        <v>193</v>
      </c>
      <c r="AB58">
        <v>218</v>
      </c>
      <c r="AC58">
        <v>0</v>
      </c>
      <c r="AD58">
        <v>0</v>
      </c>
      <c r="AE58">
        <v>0</v>
      </c>
      <c r="AF58">
        <v>2</v>
      </c>
      <c r="AG58">
        <v>3</v>
      </c>
      <c r="AH58">
        <v>13</v>
      </c>
      <c r="AI58">
        <v>135</v>
      </c>
      <c r="AJ58">
        <v>190</v>
      </c>
      <c r="AK58">
        <v>205</v>
      </c>
      <c r="AL58">
        <v>0</v>
      </c>
      <c r="AM58">
        <v>0</v>
      </c>
      <c r="AN58">
        <v>0</v>
      </c>
      <c r="AO58">
        <v>194</v>
      </c>
      <c r="AP58">
        <v>250</v>
      </c>
      <c r="AQ58">
        <v>377</v>
      </c>
      <c r="AR58">
        <v>166</v>
      </c>
      <c r="AS58">
        <v>221</v>
      </c>
      <c r="AT58">
        <v>280</v>
      </c>
      <c r="AU58">
        <v>102</v>
      </c>
      <c r="AV58">
        <v>167</v>
      </c>
      <c r="AW58">
        <v>220</v>
      </c>
      <c r="AX58">
        <v>64</v>
      </c>
      <c r="AY58">
        <v>54</v>
      </c>
      <c r="AZ58">
        <v>60</v>
      </c>
      <c r="BA58">
        <v>28</v>
      </c>
      <c r="BB58">
        <v>29</v>
      </c>
      <c r="BC58">
        <v>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28</v>
      </c>
      <c r="BK58">
        <v>29</v>
      </c>
      <c r="BL58">
        <v>97</v>
      </c>
      <c r="BM58">
        <v>0</v>
      </c>
      <c r="BN58">
        <v>0</v>
      </c>
      <c r="BO58">
        <v>0</v>
      </c>
      <c r="BP58">
        <v>500</v>
      </c>
      <c r="BQ58">
        <v>590</v>
      </c>
      <c r="BR58">
        <v>629</v>
      </c>
      <c r="BS58">
        <v>168</v>
      </c>
      <c r="BT58">
        <v>474</v>
      </c>
      <c r="BU58">
        <v>494</v>
      </c>
      <c r="BV58">
        <v>294</v>
      </c>
      <c r="BW58">
        <v>0</v>
      </c>
      <c r="BX58">
        <v>0</v>
      </c>
      <c r="BY58">
        <v>0</v>
      </c>
      <c r="BZ58">
        <v>75</v>
      </c>
      <c r="CA58">
        <v>75</v>
      </c>
      <c r="CB58">
        <v>1</v>
      </c>
      <c r="CC58">
        <v>1</v>
      </c>
      <c r="CD58">
        <v>2</v>
      </c>
      <c r="CE58">
        <v>7</v>
      </c>
      <c r="CF58">
        <v>8</v>
      </c>
      <c r="CG58">
        <v>9</v>
      </c>
      <c r="CH58">
        <v>0</v>
      </c>
      <c r="CI58">
        <v>0</v>
      </c>
      <c r="CJ58">
        <v>13</v>
      </c>
      <c r="CK58">
        <v>30</v>
      </c>
      <c r="CL58">
        <v>32</v>
      </c>
      <c r="CM58">
        <v>36</v>
      </c>
      <c r="CN58">
        <v>0</v>
      </c>
      <c r="CO58">
        <v>0</v>
      </c>
      <c r="CP58">
        <v>0</v>
      </c>
      <c r="CQ58">
        <v>12</v>
      </c>
      <c r="CR58">
        <v>33</v>
      </c>
      <c r="CS58">
        <v>15</v>
      </c>
      <c r="CT58">
        <v>12</v>
      </c>
      <c r="CU58">
        <v>15</v>
      </c>
      <c r="CV58">
        <v>15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18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388</v>
      </c>
      <c r="DS58">
        <v>552</v>
      </c>
      <c r="DT58">
        <v>568</v>
      </c>
      <c r="DU58">
        <v>35</v>
      </c>
      <c r="DV58">
        <v>56</v>
      </c>
      <c r="DW58">
        <v>59</v>
      </c>
      <c r="DX58">
        <v>8</v>
      </c>
      <c r="DY58">
        <v>2</v>
      </c>
      <c r="DZ58">
        <v>1</v>
      </c>
      <c r="EA58" s="183">
        <v>0</v>
      </c>
      <c r="EB58" s="83">
        <v>0</v>
      </c>
      <c r="EC58" s="184">
        <v>0</v>
      </c>
      <c r="ED58">
        <v>145</v>
      </c>
      <c r="EE58">
        <v>193</v>
      </c>
      <c r="EF58">
        <v>83</v>
      </c>
      <c r="EG58">
        <v>0</v>
      </c>
      <c r="EH58">
        <v>0</v>
      </c>
      <c r="EI58">
        <v>0</v>
      </c>
      <c r="EJ58">
        <v>112</v>
      </c>
      <c r="EK58">
        <v>140</v>
      </c>
      <c r="EL58">
        <v>41</v>
      </c>
      <c r="EM58">
        <v>33</v>
      </c>
      <c r="EN58">
        <v>53</v>
      </c>
      <c r="EO58">
        <v>42</v>
      </c>
      <c r="EP58">
        <v>200</v>
      </c>
      <c r="EQ58">
        <v>301</v>
      </c>
      <c r="ER58">
        <v>425</v>
      </c>
      <c r="ES58">
        <v>-112</v>
      </c>
      <c r="ET58">
        <v>-38</v>
      </c>
      <c r="EU58">
        <v>-61</v>
      </c>
      <c r="EV58">
        <v>-112</v>
      </c>
      <c r="EW58">
        <v>-38</v>
      </c>
      <c r="EX58">
        <v>-61</v>
      </c>
      <c r="EY58">
        <v>188</v>
      </c>
      <c r="EZ58">
        <v>125</v>
      </c>
      <c r="FA58">
        <v>136</v>
      </c>
      <c r="FB58">
        <v>173</v>
      </c>
      <c r="FC58">
        <v>112</v>
      </c>
      <c r="FD58">
        <v>111</v>
      </c>
      <c r="FE58">
        <v>15</v>
      </c>
      <c r="FF58">
        <v>13</v>
      </c>
      <c r="FG58">
        <v>25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176</v>
      </c>
      <c r="GA58">
        <v>92</v>
      </c>
      <c r="GB58">
        <v>121</v>
      </c>
      <c r="GC58">
        <v>176</v>
      </c>
      <c r="GD58">
        <v>92</v>
      </c>
      <c r="GE58">
        <v>121</v>
      </c>
      <c r="GF58" s="4">
        <f>BP58+CQ58</f>
        <v>512</v>
      </c>
      <c r="GG58">
        <f>BQ58+CR58</f>
        <v>623</v>
      </c>
      <c r="GH58" s="4">
        <f>BR58+CS58</f>
        <v>644</v>
      </c>
      <c r="GI58" s="4">
        <f>DR58+EY58</f>
        <v>576</v>
      </c>
      <c r="GJ58">
        <f>DS58+EZ58</f>
        <v>677</v>
      </c>
      <c r="GK58" s="4">
        <f>DT58+FA58</f>
        <v>704</v>
      </c>
      <c r="GL58" s="4">
        <f>GI58-GF58</f>
        <v>64</v>
      </c>
      <c r="GM58">
        <f>GJ58-GG58</f>
        <v>54</v>
      </c>
      <c r="GN58" s="4">
        <f>GK58-GH58</f>
        <v>60</v>
      </c>
      <c r="GO58" s="4">
        <f>GC58+EV58</f>
        <v>64</v>
      </c>
      <c r="GP58">
        <f>GD58+EW58</f>
        <v>54</v>
      </c>
      <c r="GQ58" s="4">
        <f>GE58+EX58</f>
        <v>60</v>
      </c>
      <c r="GS58" s="4"/>
      <c r="GT58" s="4"/>
      <c r="GV58" s="4"/>
      <c r="GW58" s="4"/>
      <c r="GX58" s="4"/>
      <c r="GZ58" s="4"/>
      <c r="HA58" s="4"/>
      <c r="HB58" s="4"/>
    </row>
    <row r="59" spans="1:210">
      <c r="A59" t="s">
        <v>118</v>
      </c>
      <c r="B59">
        <v>55</v>
      </c>
      <c r="C59">
        <v>0</v>
      </c>
      <c r="D59">
        <v>40</v>
      </c>
      <c r="E59">
        <v>5</v>
      </c>
      <c r="F59">
        <v>35</v>
      </c>
      <c r="G59">
        <v>15</v>
      </c>
      <c r="H59">
        <v>5</v>
      </c>
      <c r="I59" t="s">
        <v>38</v>
      </c>
      <c r="J59" t="s">
        <v>35</v>
      </c>
      <c r="K59">
        <v>4</v>
      </c>
      <c r="L59">
        <v>20</v>
      </c>
      <c r="M59">
        <v>70</v>
      </c>
      <c r="N59">
        <v>7</v>
      </c>
      <c r="O59">
        <v>3</v>
      </c>
      <c r="P59">
        <v>6</v>
      </c>
      <c r="Q59">
        <v>0</v>
      </c>
      <c r="R59">
        <v>0</v>
      </c>
      <c r="S59">
        <v>18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18</v>
      </c>
      <c r="AR59">
        <v>0</v>
      </c>
      <c r="AS59">
        <v>0</v>
      </c>
      <c r="AT59">
        <v>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18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229</v>
      </c>
      <c r="BQ59">
        <v>240</v>
      </c>
      <c r="BR59">
        <v>334</v>
      </c>
      <c r="BS59">
        <v>172</v>
      </c>
      <c r="BT59">
        <v>160</v>
      </c>
      <c r="BU59">
        <v>317</v>
      </c>
      <c r="BV59">
        <v>57</v>
      </c>
      <c r="BW59">
        <v>78</v>
      </c>
      <c r="BX59">
        <v>0</v>
      </c>
      <c r="BY59">
        <v>0</v>
      </c>
      <c r="BZ59">
        <v>0</v>
      </c>
      <c r="CA59">
        <v>17</v>
      </c>
      <c r="CB59">
        <v>0</v>
      </c>
      <c r="CC59">
        <v>2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229</v>
      </c>
      <c r="DS59">
        <v>240</v>
      </c>
      <c r="DT59">
        <v>352</v>
      </c>
      <c r="DU59">
        <v>229</v>
      </c>
      <c r="DV59">
        <v>0</v>
      </c>
      <c r="DW59">
        <v>121</v>
      </c>
      <c r="DX59">
        <v>0</v>
      </c>
      <c r="DY59">
        <v>0</v>
      </c>
      <c r="DZ59">
        <v>0</v>
      </c>
      <c r="EA59" s="183">
        <v>0</v>
      </c>
      <c r="EB59" s="83">
        <v>0</v>
      </c>
      <c r="EC59" s="184">
        <v>0</v>
      </c>
      <c r="ED59">
        <v>0</v>
      </c>
      <c r="EE59">
        <v>51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37</v>
      </c>
      <c r="EL59">
        <v>0</v>
      </c>
      <c r="EM59">
        <v>0</v>
      </c>
      <c r="EN59">
        <v>14</v>
      </c>
      <c r="EO59">
        <v>0</v>
      </c>
      <c r="EP59" s="83">
        <v>0</v>
      </c>
      <c r="EQ59" s="83">
        <v>189</v>
      </c>
      <c r="ER59" s="83">
        <v>231</v>
      </c>
      <c r="ES59">
        <v>0</v>
      </c>
      <c r="ET59">
        <v>0</v>
      </c>
      <c r="EU59">
        <v>18</v>
      </c>
      <c r="EV59">
        <v>0</v>
      </c>
      <c r="EW59">
        <v>0</v>
      </c>
      <c r="EX59">
        <v>18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 s="4">
        <f>BP59+CQ59</f>
        <v>229</v>
      </c>
      <c r="GG59">
        <f>BQ59+CR59</f>
        <v>240</v>
      </c>
      <c r="GH59" s="4">
        <f>BR59+CS59</f>
        <v>334</v>
      </c>
      <c r="GI59" s="4">
        <f>DR59+EY59</f>
        <v>229</v>
      </c>
      <c r="GJ59">
        <f>DS59+EZ59</f>
        <v>240</v>
      </c>
      <c r="GK59" s="4">
        <f>DT59+FA59</f>
        <v>352</v>
      </c>
      <c r="GL59" s="4">
        <f>GI59-GF59</f>
        <v>0</v>
      </c>
      <c r="GM59">
        <f>GJ59-GG59</f>
        <v>0</v>
      </c>
      <c r="GN59" s="4">
        <f>GK59-GH59</f>
        <v>18</v>
      </c>
      <c r="GO59" s="4">
        <f>GC59+EV59</f>
        <v>0</v>
      </c>
      <c r="GP59">
        <f>GD59+EW59</f>
        <v>0</v>
      </c>
      <c r="GQ59" s="4">
        <f>GE59+EX59</f>
        <v>18</v>
      </c>
      <c r="GS59" s="4"/>
      <c r="GT59" s="4"/>
      <c r="GV59" s="4"/>
      <c r="GW59" s="4"/>
      <c r="GX59" s="4"/>
      <c r="GZ59" s="4"/>
      <c r="HA59" s="4"/>
      <c r="HB59" s="4"/>
    </row>
    <row r="60" spans="1:210">
      <c r="A60" t="s">
        <v>119</v>
      </c>
      <c r="B60">
        <v>336</v>
      </c>
      <c r="C60">
        <v>0.5</v>
      </c>
      <c r="D60">
        <v>35</v>
      </c>
      <c r="E60">
        <v>12</v>
      </c>
      <c r="F60">
        <v>19</v>
      </c>
      <c r="G60">
        <v>21</v>
      </c>
      <c r="H60">
        <v>12.5</v>
      </c>
      <c r="I60" t="s">
        <v>38</v>
      </c>
      <c r="J60" t="s">
        <v>32</v>
      </c>
      <c r="K60">
        <v>1</v>
      </c>
      <c r="L60">
        <v>23</v>
      </c>
      <c r="M60">
        <v>55</v>
      </c>
      <c r="N60">
        <v>15</v>
      </c>
      <c r="O60">
        <v>7</v>
      </c>
      <c r="P60">
        <v>2</v>
      </c>
      <c r="Q60">
        <v>5784</v>
      </c>
      <c r="R60">
        <v>5628</v>
      </c>
      <c r="S60">
        <v>5634</v>
      </c>
      <c r="T60">
        <v>4913</v>
      </c>
      <c r="U60">
        <v>4977</v>
      </c>
      <c r="V60">
        <v>4977</v>
      </c>
      <c r="W60">
        <v>0</v>
      </c>
      <c r="X60">
        <v>-64</v>
      </c>
      <c r="Y60">
        <v>-64</v>
      </c>
      <c r="Z60">
        <v>871</v>
      </c>
      <c r="AA60">
        <v>715</v>
      </c>
      <c r="AB60">
        <v>721</v>
      </c>
      <c r="AC60">
        <v>0</v>
      </c>
      <c r="AD60">
        <v>0</v>
      </c>
      <c r="AE60">
        <v>0</v>
      </c>
      <c r="AF60">
        <v>63</v>
      </c>
      <c r="AG60">
        <v>79</v>
      </c>
      <c r="AH60">
        <v>61</v>
      </c>
      <c r="AI60">
        <v>806</v>
      </c>
      <c r="AJ60">
        <v>634</v>
      </c>
      <c r="AK60">
        <v>658</v>
      </c>
      <c r="AL60">
        <v>2</v>
      </c>
      <c r="AM60">
        <v>2</v>
      </c>
      <c r="AN60">
        <v>2</v>
      </c>
      <c r="AO60">
        <v>5784</v>
      </c>
      <c r="AP60">
        <v>5628</v>
      </c>
      <c r="AQ60">
        <v>5634</v>
      </c>
      <c r="AR60">
        <v>5689</v>
      </c>
      <c r="AS60">
        <v>5374</v>
      </c>
      <c r="AT60">
        <v>5378</v>
      </c>
      <c r="AU60">
        <v>5019</v>
      </c>
      <c r="AV60">
        <v>5019</v>
      </c>
      <c r="AW60">
        <v>5019</v>
      </c>
      <c r="AX60">
        <v>670</v>
      </c>
      <c r="AY60">
        <v>355</v>
      </c>
      <c r="AZ60">
        <v>359</v>
      </c>
      <c r="BA60">
        <v>95</v>
      </c>
      <c r="BB60">
        <v>254</v>
      </c>
      <c r="BC60">
        <v>256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2</v>
      </c>
      <c r="BJ60">
        <v>95</v>
      </c>
      <c r="BK60">
        <v>252</v>
      </c>
      <c r="BL60">
        <v>254</v>
      </c>
      <c r="BM60">
        <v>0</v>
      </c>
      <c r="BN60">
        <v>0</v>
      </c>
      <c r="BO60">
        <v>0</v>
      </c>
      <c r="BP60">
        <v>2736</v>
      </c>
      <c r="BQ60">
        <v>3257</v>
      </c>
      <c r="BR60">
        <v>3081</v>
      </c>
      <c r="BS60">
        <v>164</v>
      </c>
      <c r="BT60">
        <v>2937</v>
      </c>
      <c r="BU60">
        <v>2738</v>
      </c>
      <c r="BV60">
        <v>2455</v>
      </c>
      <c r="BW60">
        <v>0</v>
      </c>
      <c r="BX60">
        <v>0</v>
      </c>
      <c r="BY60">
        <v>67</v>
      </c>
      <c r="BZ60">
        <v>261</v>
      </c>
      <c r="CA60">
        <v>266</v>
      </c>
      <c r="CB60">
        <v>0</v>
      </c>
      <c r="CC60">
        <v>0</v>
      </c>
      <c r="CD60">
        <v>0</v>
      </c>
      <c r="CE60">
        <v>0</v>
      </c>
      <c r="CF60">
        <v>1</v>
      </c>
      <c r="CG60">
        <v>18</v>
      </c>
      <c r="CH60">
        <v>0</v>
      </c>
      <c r="CI60">
        <v>0</v>
      </c>
      <c r="CJ60">
        <v>0</v>
      </c>
      <c r="CK60">
        <v>50</v>
      </c>
      <c r="CL60">
        <v>58</v>
      </c>
      <c r="CM60">
        <v>59</v>
      </c>
      <c r="CN60">
        <v>0</v>
      </c>
      <c r="CO60">
        <v>0</v>
      </c>
      <c r="CP60">
        <v>0</v>
      </c>
      <c r="CQ60">
        <v>176</v>
      </c>
      <c r="CR60">
        <v>121</v>
      </c>
      <c r="CS60">
        <v>69</v>
      </c>
      <c r="CT60">
        <v>166</v>
      </c>
      <c r="CU60">
        <v>121</v>
      </c>
      <c r="CV60">
        <v>69</v>
      </c>
      <c r="CW60">
        <v>10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2730</v>
      </c>
      <c r="DS60">
        <v>3258</v>
      </c>
      <c r="DT60">
        <v>3083</v>
      </c>
      <c r="DU60">
        <v>128</v>
      </c>
      <c r="DV60">
        <v>208</v>
      </c>
      <c r="DW60">
        <v>245</v>
      </c>
      <c r="DX60">
        <v>20</v>
      </c>
      <c r="DY60">
        <v>146</v>
      </c>
      <c r="DZ60">
        <v>70</v>
      </c>
      <c r="EA60" s="183">
        <v>0</v>
      </c>
      <c r="EB60" s="83">
        <v>0</v>
      </c>
      <c r="EC60" s="184">
        <v>0</v>
      </c>
      <c r="ED60">
        <v>650</v>
      </c>
      <c r="EE60">
        <v>728</v>
      </c>
      <c r="EF60">
        <v>350</v>
      </c>
      <c r="EG60">
        <v>77</v>
      </c>
      <c r="EH60">
        <v>0</v>
      </c>
      <c r="EI60">
        <v>0</v>
      </c>
      <c r="EJ60">
        <v>110</v>
      </c>
      <c r="EK60">
        <v>131</v>
      </c>
      <c r="EL60">
        <v>25</v>
      </c>
      <c r="EM60">
        <v>463</v>
      </c>
      <c r="EN60">
        <v>597</v>
      </c>
      <c r="EO60">
        <v>325</v>
      </c>
      <c r="EP60">
        <v>1932</v>
      </c>
      <c r="EQ60">
        <v>2176</v>
      </c>
      <c r="ER60">
        <v>2418</v>
      </c>
      <c r="ES60">
        <v>-6</v>
      </c>
      <c r="ET60">
        <v>1</v>
      </c>
      <c r="EU60">
        <v>2</v>
      </c>
      <c r="EV60">
        <v>-6</v>
      </c>
      <c r="EW60">
        <v>1</v>
      </c>
      <c r="EX60">
        <v>2</v>
      </c>
      <c r="EY60">
        <v>205</v>
      </c>
      <c r="EZ60">
        <v>125</v>
      </c>
      <c r="FA60">
        <v>71</v>
      </c>
      <c r="FB60">
        <v>175</v>
      </c>
      <c r="FC60">
        <v>125</v>
      </c>
      <c r="FD60">
        <v>71</v>
      </c>
      <c r="FE60">
        <v>30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29</v>
      </c>
      <c r="GA60">
        <v>4</v>
      </c>
      <c r="GB60">
        <v>2</v>
      </c>
      <c r="GC60">
        <v>29</v>
      </c>
      <c r="GD60">
        <v>4</v>
      </c>
      <c r="GE60">
        <v>2</v>
      </c>
      <c r="GF60" s="4">
        <f>BP60+CQ60</f>
        <v>2912</v>
      </c>
      <c r="GG60">
        <f>BQ60+CR60</f>
        <v>3378</v>
      </c>
      <c r="GH60" s="4">
        <f>BR60+CS60</f>
        <v>3150</v>
      </c>
      <c r="GI60" s="4">
        <f>DR60+EY60</f>
        <v>2935</v>
      </c>
      <c r="GJ60">
        <f>DS60+EZ60</f>
        <v>3383</v>
      </c>
      <c r="GK60" s="4">
        <f>DT60+FA60</f>
        <v>3154</v>
      </c>
      <c r="GL60" s="4">
        <f>GI60-GF60</f>
        <v>23</v>
      </c>
      <c r="GM60">
        <f>GJ60-GG60</f>
        <v>5</v>
      </c>
      <c r="GN60" s="4">
        <f>GK60-GH60</f>
        <v>4</v>
      </c>
      <c r="GO60" s="4">
        <f>GC60+EV60</f>
        <v>23</v>
      </c>
      <c r="GP60">
        <f>GD60+EW60</f>
        <v>5</v>
      </c>
      <c r="GQ60" s="4">
        <f>GE60+EX60</f>
        <v>4</v>
      </c>
      <c r="GS60" s="4"/>
      <c r="GT60" s="4"/>
      <c r="GV60" s="4"/>
      <c r="GW60" s="4"/>
      <c r="GX60" s="4"/>
      <c r="GZ60" s="4"/>
      <c r="HA60" s="4"/>
      <c r="HB60" s="4"/>
    </row>
    <row r="61" spans="1:210">
      <c r="A61" t="s">
        <v>120</v>
      </c>
      <c r="B61">
        <v>104</v>
      </c>
      <c r="C61">
        <v>5</v>
      </c>
      <c r="D61">
        <v>35</v>
      </c>
      <c r="E61">
        <v>15</v>
      </c>
      <c r="F61">
        <v>20</v>
      </c>
      <c r="G61">
        <v>20</v>
      </c>
      <c r="H61">
        <v>5</v>
      </c>
      <c r="I61" t="s">
        <v>38</v>
      </c>
      <c r="J61" t="s">
        <v>32</v>
      </c>
      <c r="K61">
        <v>2</v>
      </c>
      <c r="L61">
        <v>10</v>
      </c>
      <c r="M61">
        <v>40</v>
      </c>
      <c r="N61">
        <v>35</v>
      </c>
      <c r="O61">
        <v>15</v>
      </c>
      <c r="P61">
        <v>3</v>
      </c>
      <c r="Q61">
        <v>1000</v>
      </c>
      <c r="R61">
        <v>1101</v>
      </c>
      <c r="S61">
        <v>1292</v>
      </c>
      <c r="T61">
        <v>1294</v>
      </c>
      <c r="U61">
        <v>1405</v>
      </c>
      <c r="V61">
        <v>1762</v>
      </c>
      <c r="W61">
        <v>-413</v>
      </c>
      <c r="X61">
        <v>-523</v>
      </c>
      <c r="Y61">
        <v>-658</v>
      </c>
      <c r="Z61">
        <v>119</v>
      </c>
      <c r="AA61">
        <v>219</v>
      </c>
      <c r="AB61">
        <v>179</v>
      </c>
      <c r="AC61">
        <v>12</v>
      </c>
      <c r="AD61">
        <v>15</v>
      </c>
      <c r="AE61">
        <v>13</v>
      </c>
      <c r="AF61">
        <v>0</v>
      </c>
      <c r="AG61">
        <v>0</v>
      </c>
      <c r="AH61">
        <v>0</v>
      </c>
      <c r="AI61">
        <v>107</v>
      </c>
      <c r="AJ61">
        <v>198</v>
      </c>
      <c r="AK61">
        <v>166</v>
      </c>
      <c r="AL61">
        <v>1</v>
      </c>
      <c r="AM61">
        <v>6</v>
      </c>
      <c r="AN61">
        <v>0</v>
      </c>
      <c r="AO61">
        <v>1000</v>
      </c>
      <c r="AP61">
        <v>1101</v>
      </c>
      <c r="AQ61">
        <v>1292</v>
      </c>
      <c r="AR61">
        <v>987</v>
      </c>
      <c r="AS61">
        <v>1072</v>
      </c>
      <c r="AT61">
        <v>1267</v>
      </c>
      <c r="AU61">
        <v>934</v>
      </c>
      <c r="AV61">
        <v>953</v>
      </c>
      <c r="AW61">
        <v>1090</v>
      </c>
      <c r="AX61">
        <v>53</v>
      </c>
      <c r="AY61">
        <v>119</v>
      </c>
      <c r="AZ61">
        <v>177</v>
      </c>
      <c r="BA61">
        <v>13</v>
      </c>
      <c r="BB61">
        <v>29</v>
      </c>
      <c r="BC61">
        <v>25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13</v>
      </c>
      <c r="BK61">
        <v>15</v>
      </c>
      <c r="BL61">
        <v>13</v>
      </c>
      <c r="BM61">
        <v>0</v>
      </c>
      <c r="BN61">
        <v>14</v>
      </c>
      <c r="BO61">
        <v>12</v>
      </c>
      <c r="BP61">
        <v>331</v>
      </c>
      <c r="BQ61">
        <v>500</v>
      </c>
      <c r="BR61">
        <v>601</v>
      </c>
      <c r="BS61">
        <v>163</v>
      </c>
      <c r="BT61">
        <v>366</v>
      </c>
      <c r="BU61">
        <v>432</v>
      </c>
      <c r="BV61">
        <v>157</v>
      </c>
      <c r="BW61">
        <v>0</v>
      </c>
      <c r="BX61">
        <v>0</v>
      </c>
      <c r="BY61">
        <v>0</v>
      </c>
      <c r="BZ61">
        <v>54</v>
      </c>
      <c r="CA61">
        <v>54</v>
      </c>
      <c r="CB61">
        <v>1</v>
      </c>
      <c r="CC61">
        <v>1</v>
      </c>
      <c r="CD61">
        <v>1</v>
      </c>
      <c r="CE61">
        <v>10</v>
      </c>
      <c r="CF61">
        <v>9</v>
      </c>
      <c r="CG61">
        <v>31</v>
      </c>
      <c r="CH61">
        <v>0</v>
      </c>
      <c r="CI61">
        <v>69</v>
      </c>
      <c r="CJ61">
        <v>82</v>
      </c>
      <c r="CK61">
        <v>0</v>
      </c>
      <c r="CL61">
        <v>1</v>
      </c>
      <c r="CM61">
        <v>1</v>
      </c>
      <c r="CN61">
        <v>0</v>
      </c>
      <c r="CO61">
        <v>0</v>
      </c>
      <c r="CP61">
        <v>0</v>
      </c>
      <c r="CQ61">
        <v>95</v>
      </c>
      <c r="CR61">
        <v>146</v>
      </c>
      <c r="CS61">
        <v>156</v>
      </c>
      <c r="CT61">
        <v>60</v>
      </c>
      <c r="CU61">
        <v>138</v>
      </c>
      <c r="CV61">
        <v>153</v>
      </c>
      <c r="CW61">
        <v>33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2</v>
      </c>
      <c r="DD61">
        <v>2</v>
      </c>
      <c r="DE61">
        <v>3</v>
      </c>
      <c r="DF61">
        <v>0</v>
      </c>
      <c r="DG61">
        <v>6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268</v>
      </c>
      <c r="DS61">
        <v>400</v>
      </c>
      <c r="DT61">
        <v>650</v>
      </c>
      <c r="DU61">
        <v>10</v>
      </c>
      <c r="DV61">
        <v>12</v>
      </c>
      <c r="DW61">
        <v>14</v>
      </c>
      <c r="DX61">
        <v>0</v>
      </c>
      <c r="DY61">
        <v>0</v>
      </c>
      <c r="DZ61">
        <v>1</v>
      </c>
      <c r="EA61" s="183">
        <v>0</v>
      </c>
      <c r="EB61" s="83">
        <v>0</v>
      </c>
      <c r="EC61" s="184">
        <v>0</v>
      </c>
      <c r="ED61">
        <v>122</v>
      </c>
      <c r="EE61">
        <v>388</v>
      </c>
      <c r="EF61">
        <v>211</v>
      </c>
      <c r="EG61">
        <v>0</v>
      </c>
      <c r="EH61">
        <v>0</v>
      </c>
      <c r="EI61">
        <v>0</v>
      </c>
      <c r="EJ61">
        <v>95</v>
      </c>
      <c r="EK61">
        <v>330</v>
      </c>
      <c r="EL61">
        <v>112</v>
      </c>
      <c r="EM61">
        <v>24</v>
      </c>
      <c r="EN61">
        <v>58</v>
      </c>
      <c r="EO61">
        <v>99</v>
      </c>
      <c r="EP61">
        <v>136</v>
      </c>
      <c r="EQ61">
        <v>0</v>
      </c>
      <c r="ER61">
        <v>424</v>
      </c>
      <c r="ES61">
        <v>-63</v>
      </c>
      <c r="ET61">
        <v>-100</v>
      </c>
      <c r="EU61">
        <v>49</v>
      </c>
      <c r="EV61">
        <v>-63</v>
      </c>
      <c r="EW61">
        <v>-100</v>
      </c>
      <c r="EX61">
        <v>49</v>
      </c>
      <c r="EY61">
        <v>211</v>
      </c>
      <c r="EZ61">
        <v>364</v>
      </c>
      <c r="FA61">
        <v>284</v>
      </c>
      <c r="FB61">
        <v>191</v>
      </c>
      <c r="FC61">
        <v>360</v>
      </c>
      <c r="FD61">
        <v>284</v>
      </c>
      <c r="FE61">
        <v>0</v>
      </c>
      <c r="FF61">
        <v>4</v>
      </c>
      <c r="FG61">
        <v>0</v>
      </c>
      <c r="FH61">
        <v>0</v>
      </c>
      <c r="FI61">
        <v>0</v>
      </c>
      <c r="FJ61">
        <v>0</v>
      </c>
      <c r="FK61">
        <v>20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20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116</v>
      </c>
      <c r="GA61">
        <v>218</v>
      </c>
      <c r="GB61">
        <v>128</v>
      </c>
      <c r="GC61">
        <v>116</v>
      </c>
      <c r="GD61">
        <v>218</v>
      </c>
      <c r="GE61">
        <v>128</v>
      </c>
      <c r="GF61" s="4">
        <f>BP61+CQ61</f>
        <v>426</v>
      </c>
      <c r="GG61">
        <f>BQ61+CR61</f>
        <v>646</v>
      </c>
      <c r="GH61" s="4">
        <f>BR61+CS61</f>
        <v>757</v>
      </c>
      <c r="GI61" s="4">
        <f>DR61+EY61</f>
        <v>479</v>
      </c>
      <c r="GJ61">
        <f>DS61+EZ61</f>
        <v>764</v>
      </c>
      <c r="GK61" s="4">
        <f>DT61+FA61</f>
        <v>934</v>
      </c>
      <c r="GL61" s="4">
        <f>GI61-GF61</f>
        <v>53</v>
      </c>
      <c r="GM61">
        <f>GJ61-GG61</f>
        <v>118</v>
      </c>
      <c r="GN61" s="4">
        <f>GK61-GH61</f>
        <v>177</v>
      </c>
      <c r="GO61" s="4">
        <f>GC61+EV61</f>
        <v>53</v>
      </c>
      <c r="GP61">
        <f>GD61+EW61</f>
        <v>118</v>
      </c>
      <c r="GQ61" s="4">
        <f>GE61+EX61</f>
        <v>177</v>
      </c>
      <c r="GR61" t="s">
        <v>326</v>
      </c>
      <c r="GS61" s="4"/>
      <c r="GT61" s="4"/>
      <c r="GV61" s="4"/>
      <c r="GW61" s="4"/>
      <c r="GX61" s="4"/>
      <c r="GZ61" s="4"/>
      <c r="HA61" s="4"/>
      <c r="HB61" s="4"/>
    </row>
    <row r="62" spans="1:210">
      <c r="A62" t="s">
        <v>121</v>
      </c>
      <c r="B62">
        <v>127</v>
      </c>
      <c r="C62">
        <v>5</v>
      </c>
      <c r="D62">
        <v>10</v>
      </c>
      <c r="E62">
        <v>10</v>
      </c>
      <c r="F62">
        <v>20</v>
      </c>
      <c r="G62">
        <v>30</v>
      </c>
      <c r="H62">
        <v>25</v>
      </c>
      <c r="I62" t="s">
        <v>38</v>
      </c>
      <c r="J62" t="s">
        <v>35</v>
      </c>
      <c r="K62">
        <v>2</v>
      </c>
      <c r="L62">
        <v>5</v>
      </c>
      <c r="M62">
        <v>10</v>
      </c>
      <c r="N62">
        <v>30</v>
      </c>
      <c r="O62">
        <v>55</v>
      </c>
      <c r="P62">
        <v>5</v>
      </c>
      <c r="Q62">
        <v>877</v>
      </c>
      <c r="R62">
        <v>969</v>
      </c>
      <c r="S62">
        <v>1137</v>
      </c>
      <c r="T62">
        <v>1442</v>
      </c>
      <c r="U62">
        <v>1471</v>
      </c>
      <c r="V62">
        <v>1496</v>
      </c>
      <c r="W62">
        <v>-920</v>
      </c>
      <c r="X62">
        <v>-961</v>
      </c>
      <c r="Y62">
        <v>-999</v>
      </c>
      <c r="Z62">
        <v>355</v>
      </c>
      <c r="AA62">
        <v>459</v>
      </c>
      <c r="AB62">
        <v>640</v>
      </c>
      <c r="AC62">
        <v>0</v>
      </c>
      <c r="AD62">
        <v>0</v>
      </c>
      <c r="AE62">
        <v>0</v>
      </c>
      <c r="AF62">
        <v>7</v>
      </c>
      <c r="AG62">
        <v>6</v>
      </c>
      <c r="AH62">
        <v>4</v>
      </c>
      <c r="AI62">
        <v>342</v>
      </c>
      <c r="AJ62">
        <v>447</v>
      </c>
      <c r="AK62">
        <v>630</v>
      </c>
      <c r="AL62">
        <v>6</v>
      </c>
      <c r="AM62">
        <v>6</v>
      </c>
      <c r="AN62">
        <v>6</v>
      </c>
      <c r="AO62">
        <v>877</v>
      </c>
      <c r="AP62">
        <v>969</v>
      </c>
      <c r="AQ62">
        <v>1137</v>
      </c>
      <c r="AR62">
        <v>877</v>
      </c>
      <c r="AS62">
        <v>969</v>
      </c>
      <c r="AT62">
        <v>1132</v>
      </c>
      <c r="AU62">
        <v>773</v>
      </c>
      <c r="AV62">
        <v>771</v>
      </c>
      <c r="AW62">
        <v>770</v>
      </c>
      <c r="AX62">
        <v>104</v>
      </c>
      <c r="AY62">
        <v>198</v>
      </c>
      <c r="AZ62">
        <v>362</v>
      </c>
      <c r="BA62">
        <v>0</v>
      </c>
      <c r="BB62">
        <v>0</v>
      </c>
      <c r="BC62">
        <v>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</v>
      </c>
      <c r="BM62">
        <v>0</v>
      </c>
      <c r="BN62">
        <v>0</v>
      </c>
      <c r="BO62">
        <v>0</v>
      </c>
      <c r="BP62">
        <v>337</v>
      </c>
      <c r="BQ62">
        <v>279</v>
      </c>
      <c r="BR62">
        <v>329</v>
      </c>
      <c r="BS62">
        <v>68</v>
      </c>
      <c r="BT62">
        <v>233</v>
      </c>
      <c r="BU62">
        <v>258</v>
      </c>
      <c r="BV62">
        <v>212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1</v>
      </c>
      <c r="CC62">
        <v>1</v>
      </c>
      <c r="CD62">
        <v>2</v>
      </c>
      <c r="CE62">
        <v>27</v>
      </c>
      <c r="CF62">
        <v>19</v>
      </c>
      <c r="CG62">
        <v>43</v>
      </c>
      <c r="CH62">
        <v>13</v>
      </c>
      <c r="CI62">
        <v>13</v>
      </c>
      <c r="CJ62">
        <v>13</v>
      </c>
      <c r="CK62">
        <v>16</v>
      </c>
      <c r="CL62">
        <v>13</v>
      </c>
      <c r="CM62">
        <v>13</v>
      </c>
      <c r="CN62">
        <v>0</v>
      </c>
      <c r="CO62">
        <v>0</v>
      </c>
      <c r="CP62">
        <v>0</v>
      </c>
      <c r="CQ62">
        <v>149</v>
      </c>
      <c r="CR62">
        <v>240</v>
      </c>
      <c r="CS62">
        <v>269</v>
      </c>
      <c r="CT62">
        <v>141</v>
      </c>
      <c r="CU62">
        <v>240</v>
      </c>
      <c r="CV62">
        <v>269</v>
      </c>
      <c r="CW62">
        <v>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188</v>
      </c>
      <c r="DS62">
        <v>222</v>
      </c>
      <c r="DT62">
        <v>254</v>
      </c>
      <c r="DU62">
        <v>33</v>
      </c>
      <c r="DV62">
        <v>45</v>
      </c>
      <c r="DW62">
        <v>45</v>
      </c>
      <c r="DX62">
        <v>17</v>
      </c>
      <c r="DY62">
        <v>10</v>
      </c>
      <c r="DZ62">
        <v>56</v>
      </c>
      <c r="EA62" s="183">
        <v>0</v>
      </c>
      <c r="EB62" s="83">
        <v>0</v>
      </c>
      <c r="EC62" s="184">
        <v>0</v>
      </c>
      <c r="ED62">
        <v>68</v>
      </c>
      <c r="EE62">
        <v>52</v>
      </c>
      <c r="EF62">
        <v>63</v>
      </c>
      <c r="EG62">
        <v>0</v>
      </c>
      <c r="EH62">
        <v>0</v>
      </c>
      <c r="EI62">
        <v>0</v>
      </c>
      <c r="EJ62">
        <v>47</v>
      </c>
      <c r="EK62">
        <v>30</v>
      </c>
      <c r="EL62">
        <v>63</v>
      </c>
      <c r="EM62">
        <v>21</v>
      </c>
      <c r="EN62">
        <v>22</v>
      </c>
      <c r="EO62">
        <v>0</v>
      </c>
      <c r="EP62" s="83">
        <v>70</v>
      </c>
      <c r="EQ62" s="83">
        <v>115</v>
      </c>
      <c r="ER62" s="83">
        <v>90</v>
      </c>
      <c r="ES62">
        <v>-149</v>
      </c>
      <c r="ET62">
        <v>-57</v>
      </c>
      <c r="EU62">
        <v>-75</v>
      </c>
      <c r="EV62">
        <v>-149</v>
      </c>
      <c r="EW62">
        <v>-57</v>
      </c>
      <c r="EX62">
        <v>-75</v>
      </c>
      <c r="EY62">
        <v>293</v>
      </c>
      <c r="EZ62">
        <v>388</v>
      </c>
      <c r="FA62">
        <v>507</v>
      </c>
      <c r="FB62">
        <v>293</v>
      </c>
      <c r="FC62">
        <v>388</v>
      </c>
      <c r="FD62">
        <v>507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144</v>
      </c>
      <c r="GA62">
        <v>148</v>
      </c>
      <c r="GB62">
        <v>238</v>
      </c>
      <c r="GC62">
        <v>144</v>
      </c>
      <c r="GD62">
        <v>148</v>
      </c>
      <c r="GE62">
        <v>238</v>
      </c>
      <c r="GF62" s="4">
        <f>BP62+CQ62</f>
        <v>486</v>
      </c>
      <c r="GG62">
        <f>BQ62+CR62</f>
        <v>519</v>
      </c>
      <c r="GH62" s="4">
        <f>BR62+CS62</f>
        <v>598</v>
      </c>
      <c r="GI62" s="4">
        <f>DR62+EY62</f>
        <v>481</v>
      </c>
      <c r="GJ62">
        <f>DS62+EZ62</f>
        <v>610</v>
      </c>
      <c r="GK62" s="4">
        <f>DT62+FA62</f>
        <v>761</v>
      </c>
      <c r="GL62" s="4">
        <f>GI62-GF62</f>
        <v>-5</v>
      </c>
      <c r="GM62">
        <f>GJ62-GG62</f>
        <v>91</v>
      </c>
      <c r="GN62" s="4">
        <f>GK62-GH62</f>
        <v>163</v>
      </c>
      <c r="GO62" s="4">
        <f>GC62+EV62</f>
        <v>-5</v>
      </c>
      <c r="GP62">
        <f>GD62+EW62</f>
        <v>91</v>
      </c>
      <c r="GQ62" s="4">
        <f>GE62+EX62</f>
        <v>163</v>
      </c>
      <c r="GS62" s="4"/>
      <c r="GT62" s="4"/>
      <c r="GV62" s="4"/>
      <c r="GW62" s="4"/>
      <c r="GX62" s="4"/>
      <c r="GZ62" s="4"/>
      <c r="HA62" s="4"/>
      <c r="HB62" s="4"/>
    </row>
    <row r="63" spans="1:210">
      <c r="A63" t="s">
        <v>122</v>
      </c>
      <c r="B63">
        <v>147</v>
      </c>
      <c r="C63">
        <v>2</v>
      </c>
      <c r="D63">
        <v>34</v>
      </c>
      <c r="E63">
        <v>10</v>
      </c>
      <c r="F63">
        <v>26</v>
      </c>
      <c r="G63">
        <v>26</v>
      </c>
      <c r="H63">
        <v>2</v>
      </c>
      <c r="I63" t="s">
        <v>38</v>
      </c>
      <c r="J63" t="s">
        <v>35</v>
      </c>
      <c r="K63">
        <v>2</v>
      </c>
      <c r="L63">
        <v>10</v>
      </c>
      <c r="M63">
        <v>30</v>
      </c>
      <c r="N63">
        <v>20</v>
      </c>
      <c r="O63">
        <v>40</v>
      </c>
      <c r="P63">
        <v>5</v>
      </c>
      <c r="Q63">
        <v>2650</v>
      </c>
      <c r="R63">
        <v>2793</v>
      </c>
      <c r="S63">
        <v>2882</v>
      </c>
      <c r="T63">
        <v>2547</v>
      </c>
      <c r="U63">
        <v>2629</v>
      </c>
      <c r="V63">
        <v>2645</v>
      </c>
      <c r="W63">
        <v>-98</v>
      </c>
      <c r="X63">
        <v>-154</v>
      </c>
      <c r="Y63">
        <v>-170</v>
      </c>
      <c r="Z63">
        <v>201</v>
      </c>
      <c r="AA63">
        <v>318</v>
      </c>
      <c r="AB63">
        <v>407</v>
      </c>
      <c r="AC63">
        <v>0</v>
      </c>
      <c r="AD63">
        <v>0</v>
      </c>
      <c r="AE63">
        <v>0</v>
      </c>
      <c r="AF63">
        <v>16</v>
      </c>
      <c r="AG63">
        <v>13</v>
      </c>
      <c r="AH63">
        <v>12</v>
      </c>
      <c r="AI63">
        <v>176</v>
      </c>
      <c r="AJ63">
        <v>295</v>
      </c>
      <c r="AK63">
        <v>386</v>
      </c>
      <c r="AL63">
        <v>1</v>
      </c>
      <c r="AM63">
        <v>1</v>
      </c>
      <c r="AN63">
        <v>1</v>
      </c>
      <c r="AO63">
        <v>2650</v>
      </c>
      <c r="AP63">
        <v>2793</v>
      </c>
      <c r="AQ63">
        <v>2882</v>
      </c>
      <c r="AR63">
        <v>2634</v>
      </c>
      <c r="AS63">
        <v>2781</v>
      </c>
      <c r="AT63">
        <v>2868</v>
      </c>
      <c r="AU63">
        <v>2575</v>
      </c>
      <c r="AV63">
        <v>2634</v>
      </c>
      <c r="AW63">
        <v>2781</v>
      </c>
      <c r="AX63">
        <v>59</v>
      </c>
      <c r="AY63">
        <v>147</v>
      </c>
      <c r="AZ63">
        <v>87</v>
      </c>
      <c r="BA63">
        <v>16</v>
      </c>
      <c r="BB63">
        <v>12</v>
      </c>
      <c r="BC63">
        <v>14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16</v>
      </c>
      <c r="BK63">
        <v>12</v>
      </c>
      <c r="BL63">
        <v>14</v>
      </c>
      <c r="BM63">
        <v>0</v>
      </c>
      <c r="BN63">
        <v>0</v>
      </c>
      <c r="BO63">
        <v>0</v>
      </c>
      <c r="BP63">
        <v>160</v>
      </c>
      <c r="BQ63">
        <v>294</v>
      </c>
      <c r="BR63">
        <v>331</v>
      </c>
      <c r="BS63">
        <v>56</v>
      </c>
      <c r="BT63">
        <v>262</v>
      </c>
      <c r="BU63">
        <v>227</v>
      </c>
      <c r="BV63">
        <v>72</v>
      </c>
      <c r="BW63">
        <v>0</v>
      </c>
      <c r="BX63">
        <v>0</v>
      </c>
      <c r="BY63">
        <v>0</v>
      </c>
      <c r="BZ63">
        <v>25</v>
      </c>
      <c r="CA63">
        <v>75</v>
      </c>
      <c r="CB63">
        <v>0</v>
      </c>
      <c r="CC63">
        <v>0</v>
      </c>
      <c r="CD63">
        <v>7</v>
      </c>
      <c r="CE63">
        <v>31</v>
      </c>
      <c r="CF63">
        <v>6</v>
      </c>
      <c r="CG63">
        <v>21</v>
      </c>
      <c r="CH63">
        <v>0</v>
      </c>
      <c r="CI63">
        <v>0</v>
      </c>
      <c r="CJ63">
        <v>0</v>
      </c>
      <c r="CK63">
        <v>1</v>
      </c>
      <c r="CL63">
        <v>1</v>
      </c>
      <c r="CM63">
        <v>1</v>
      </c>
      <c r="CN63">
        <v>0</v>
      </c>
      <c r="CO63">
        <v>0</v>
      </c>
      <c r="CP63">
        <v>0</v>
      </c>
      <c r="CQ63">
        <v>221</v>
      </c>
      <c r="CR63">
        <v>194</v>
      </c>
      <c r="CS63">
        <v>210</v>
      </c>
      <c r="CT63">
        <v>209</v>
      </c>
      <c r="CU63">
        <v>194</v>
      </c>
      <c r="CV63">
        <v>210</v>
      </c>
      <c r="CW63">
        <v>12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121</v>
      </c>
      <c r="DS63">
        <v>240</v>
      </c>
      <c r="DT63">
        <v>346</v>
      </c>
      <c r="DU63">
        <v>10</v>
      </c>
      <c r="DV63">
        <v>9</v>
      </c>
      <c r="DW63">
        <v>19</v>
      </c>
      <c r="DX63">
        <v>0</v>
      </c>
      <c r="DY63">
        <v>0</v>
      </c>
      <c r="DZ63">
        <v>0</v>
      </c>
      <c r="EA63" s="183">
        <v>0</v>
      </c>
      <c r="EB63" s="83">
        <v>0</v>
      </c>
      <c r="EC63" s="184">
        <v>0</v>
      </c>
      <c r="ED63">
        <v>58</v>
      </c>
      <c r="EE63">
        <v>46</v>
      </c>
      <c r="EF63">
        <v>96</v>
      </c>
      <c r="EG63">
        <v>0</v>
      </c>
      <c r="EH63">
        <v>0</v>
      </c>
      <c r="EI63">
        <v>0</v>
      </c>
      <c r="EJ63">
        <v>43</v>
      </c>
      <c r="EK63">
        <v>26</v>
      </c>
      <c r="EL63">
        <v>42</v>
      </c>
      <c r="EM63">
        <v>15</v>
      </c>
      <c r="EN63">
        <v>20</v>
      </c>
      <c r="EO63">
        <v>54</v>
      </c>
      <c r="EP63" s="83">
        <v>53</v>
      </c>
      <c r="EQ63" s="83">
        <v>185</v>
      </c>
      <c r="ER63" s="83">
        <v>231</v>
      </c>
      <c r="ES63">
        <v>-39</v>
      </c>
      <c r="ET63">
        <v>-54</v>
      </c>
      <c r="EU63">
        <v>15</v>
      </c>
      <c r="EV63">
        <v>-39</v>
      </c>
      <c r="EW63">
        <v>-54</v>
      </c>
      <c r="EX63">
        <v>15</v>
      </c>
      <c r="EY63">
        <v>319</v>
      </c>
      <c r="EZ63">
        <v>395</v>
      </c>
      <c r="FA63">
        <v>282</v>
      </c>
      <c r="FB63">
        <v>319</v>
      </c>
      <c r="FC63">
        <v>395</v>
      </c>
      <c r="FD63">
        <v>276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6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6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98</v>
      </c>
      <c r="GA63">
        <v>201</v>
      </c>
      <c r="GB63">
        <v>72</v>
      </c>
      <c r="GC63">
        <v>98</v>
      </c>
      <c r="GD63">
        <v>201</v>
      </c>
      <c r="GE63">
        <v>72</v>
      </c>
      <c r="GF63" s="4">
        <f>BP63+CQ63</f>
        <v>381</v>
      </c>
      <c r="GG63">
        <f>BQ63+CR63</f>
        <v>488</v>
      </c>
      <c r="GH63" s="4">
        <f>BR63+CS63</f>
        <v>541</v>
      </c>
      <c r="GI63" s="4">
        <f>DR63+EY63</f>
        <v>440</v>
      </c>
      <c r="GJ63">
        <f>DS63+EZ63</f>
        <v>635</v>
      </c>
      <c r="GK63" s="4">
        <f>DT63+FA63</f>
        <v>628</v>
      </c>
      <c r="GL63" s="4">
        <f>GI63-GF63</f>
        <v>59</v>
      </c>
      <c r="GM63">
        <f>GJ63-GG63</f>
        <v>147</v>
      </c>
      <c r="GN63" s="4">
        <f>GK63-GH63</f>
        <v>87</v>
      </c>
      <c r="GO63" s="4">
        <f>GC63+EV63</f>
        <v>59</v>
      </c>
      <c r="GP63">
        <f>GD63+EW63</f>
        <v>147</v>
      </c>
      <c r="GQ63" s="4">
        <f>GE63+EX63</f>
        <v>87</v>
      </c>
      <c r="GS63" s="4"/>
      <c r="GT63" s="4"/>
      <c r="GV63" s="4"/>
      <c r="GW63" s="4"/>
      <c r="GX63" s="4"/>
      <c r="GZ63" s="4"/>
      <c r="HA63" s="4"/>
      <c r="HB63" s="4"/>
    </row>
    <row r="64" spans="1:210">
      <c r="A64" t="s">
        <v>123</v>
      </c>
      <c r="B64">
        <v>45</v>
      </c>
      <c r="C64">
        <v>0</v>
      </c>
      <c r="D64">
        <v>37.78</v>
      </c>
      <c r="E64">
        <v>0</v>
      </c>
      <c r="F64">
        <v>13.33</v>
      </c>
      <c r="G64">
        <v>42.22</v>
      </c>
      <c r="H64">
        <v>6.67</v>
      </c>
      <c r="I64" t="s">
        <v>38</v>
      </c>
      <c r="J64" t="s">
        <v>35</v>
      </c>
      <c r="K64">
        <v>2</v>
      </c>
      <c r="L64">
        <v>20</v>
      </c>
      <c r="M64">
        <v>70</v>
      </c>
      <c r="N64">
        <v>5</v>
      </c>
      <c r="O64">
        <v>5</v>
      </c>
      <c r="P64">
        <v>3</v>
      </c>
      <c r="Q64">
        <v>36</v>
      </c>
      <c r="R64">
        <v>262</v>
      </c>
      <c r="S64">
        <v>223</v>
      </c>
      <c r="T64">
        <v>0</v>
      </c>
      <c r="U64">
        <v>69</v>
      </c>
      <c r="V64">
        <v>78</v>
      </c>
      <c r="W64">
        <v>0</v>
      </c>
      <c r="X64">
        <v>0</v>
      </c>
      <c r="Y64">
        <v>-26</v>
      </c>
      <c r="Z64">
        <v>36</v>
      </c>
      <c r="AA64">
        <v>193</v>
      </c>
      <c r="AB64">
        <v>171</v>
      </c>
      <c r="AC64">
        <v>2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34</v>
      </c>
      <c r="AJ64">
        <v>193</v>
      </c>
      <c r="AK64">
        <v>171</v>
      </c>
      <c r="AL64">
        <v>0</v>
      </c>
      <c r="AM64">
        <v>0</v>
      </c>
      <c r="AN64">
        <v>0</v>
      </c>
      <c r="AO64">
        <v>36</v>
      </c>
      <c r="AP64">
        <v>262</v>
      </c>
      <c r="AQ64">
        <v>223</v>
      </c>
      <c r="AR64">
        <v>33</v>
      </c>
      <c r="AS64">
        <v>154</v>
      </c>
      <c r="AT64">
        <v>139</v>
      </c>
      <c r="AU64">
        <v>53</v>
      </c>
      <c r="AV64">
        <v>33</v>
      </c>
      <c r="AW64">
        <v>154</v>
      </c>
      <c r="AX64">
        <v>-20</v>
      </c>
      <c r="AY64">
        <v>121</v>
      </c>
      <c r="AZ64">
        <v>-15</v>
      </c>
      <c r="BA64">
        <v>3</v>
      </c>
      <c r="BB64">
        <v>108</v>
      </c>
      <c r="BC64">
        <v>84</v>
      </c>
      <c r="BD64">
        <v>0</v>
      </c>
      <c r="BE64">
        <v>0</v>
      </c>
      <c r="BF64">
        <v>0</v>
      </c>
      <c r="BG64">
        <v>0</v>
      </c>
      <c r="BH64">
        <v>49</v>
      </c>
      <c r="BI64">
        <v>32</v>
      </c>
      <c r="BJ64">
        <v>3</v>
      </c>
      <c r="BK64">
        <v>59</v>
      </c>
      <c r="BL64">
        <v>52</v>
      </c>
      <c r="BM64">
        <v>0</v>
      </c>
      <c r="BN64">
        <v>0</v>
      </c>
      <c r="BO64">
        <v>0</v>
      </c>
      <c r="BP64">
        <v>115</v>
      </c>
      <c r="BQ64">
        <v>309</v>
      </c>
      <c r="BR64">
        <v>274</v>
      </c>
      <c r="BS64">
        <v>45</v>
      </c>
      <c r="BT64">
        <v>137</v>
      </c>
      <c r="BU64">
        <v>159</v>
      </c>
      <c r="BV64">
        <v>39</v>
      </c>
      <c r="BW64">
        <v>0</v>
      </c>
      <c r="BX64">
        <v>0</v>
      </c>
      <c r="BY64">
        <v>0</v>
      </c>
      <c r="BZ64">
        <v>50</v>
      </c>
      <c r="CA64">
        <v>76</v>
      </c>
      <c r="CB64">
        <v>0</v>
      </c>
      <c r="CC64">
        <v>0</v>
      </c>
      <c r="CD64">
        <v>0</v>
      </c>
      <c r="CE64">
        <v>21</v>
      </c>
      <c r="CF64">
        <v>102</v>
      </c>
      <c r="CG64">
        <v>10</v>
      </c>
      <c r="CH64">
        <v>0</v>
      </c>
      <c r="CI64">
        <v>9</v>
      </c>
      <c r="CJ64">
        <v>17</v>
      </c>
      <c r="CK64">
        <v>10</v>
      </c>
      <c r="CL64">
        <v>11</v>
      </c>
      <c r="CM64">
        <v>12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95</v>
      </c>
      <c r="DS64">
        <v>253</v>
      </c>
      <c r="DT64">
        <v>249</v>
      </c>
      <c r="DU64">
        <v>3</v>
      </c>
      <c r="DV64">
        <v>0</v>
      </c>
      <c r="DW64">
        <v>0</v>
      </c>
      <c r="DX64">
        <v>33</v>
      </c>
      <c r="DY64">
        <v>133</v>
      </c>
      <c r="DZ64">
        <v>18</v>
      </c>
      <c r="EA64" s="183">
        <v>0</v>
      </c>
      <c r="EB64" s="83">
        <v>11</v>
      </c>
      <c r="EC64" s="184">
        <v>0</v>
      </c>
      <c r="ED64">
        <v>35</v>
      </c>
      <c r="EE64">
        <v>63</v>
      </c>
      <c r="EF64">
        <v>89</v>
      </c>
      <c r="EG64">
        <v>0</v>
      </c>
      <c r="EH64">
        <v>0</v>
      </c>
      <c r="EI64">
        <v>16</v>
      </c>
      <c r="EJ64">
        <v>14</v>
      </c>
      <c r="EK64">
        <v>14</v>
      </c>
      <c r="EL64">
        <v>23</v>
      </c>
      <c r="EM64">
        <v>21</v>
      </c>
      <c r="EN64">
        <f>EE64-EK64</f>
        <v>49</v>
      </c>
      <c r="EO64">
        <f>EF64-EI64-EL64</f>
        <v>50</v>
      </c>
      <c r="EP64" s="83">
        <v>24</v>
      </c>
      <c r="EQ64" s="83">
        <v>146</v>
      </c>
      <c r="ER64" s="83">
        <v>142</v>
      </c>
      <c r="ES64">
        <v>-20</v>
      </c>
      <c r="ET64">
        <v>-56</v>
      </c>
      <c r="EU64">
        <v>-25</v>
      </c>
      <c r="EV64">
        <v>-20</v>
      </c>
      <c r="EW64">
        <v>-56</v>
      </c>
      <c r="EX64">
        <v>-25</v>
      </c>
      <c r="EY64">
        <v>0</v>
      </c>
      <c r="EZ64">
        <v>177</v>
      </c>
      <c r="FA64">
        <v>10</v>
      </c>
      <c r="FB64">
        <v>0</v>
      </c>
      <c r="FC64">
        <v>20</v>
      </c>
      <c r="FD64">
        <v>10</v>
      </c>
      <c r="FE64">
        <v>0</v>
      </c>
      <c r="FF64">
        <v>0</v>
      </c>
      <c r="FG64">
        <v>0</v>
      </c>
      <c r="FH64">
        <v>0</v>
      </c>
      <c r="FI64">
        <v>157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177</v>
      </c>
      <c r="GB64">
        <v>10</v>
      </c>
      <c r="GC64">
        <v>0</v>
      </c>
      <c r="GD64">
        <v>177</v>
      </c>
      <c r="GE64">
        <v>10</v>
      </c>
      <c r="GF64" s="4">
        <f>BP64+CQ64</f>
        <v>115</v>
      </c>
      <c r="GG64">
        <f>BQ64+CR64</f>
        <v>309</v>
      </c>
      <c r="GH64" s="4">
        <f>BR64+CS64</f>
        <v>274</v>
      </c>
      <c r="GI64" s="4">
        <f>DR64+EY64</f>
        <v>95</v>
      </c>
      <c r="GJ64">
        <f>DS64+EZ64</f>
        <v>430</v>
      </c>
      <c r="GK64" s="4">
        <f>DT64+FA64</f>
        <v>259</v>
      </c>
      <c r="GL64" s="4">
        <f>GI64-GF64</f>
        <v>-20</v>
      </c>
      <c r="GM64">
        <f>GJ64-GG64</f>
        <v>121</v>
      </c>
      <c r="GN64" s="4">
        <f>GK64-GH64</f>
        <v>-15</v>
      </c>
      <c r="GO64" s="4">
        <f>GC64+EV64</f>
        <v>-20</v>
      </c>
      <c r="GP64">
        <f>GD64+EW64</f>
        <v>121</v>
      </c>
      <c r="GQ64" s="4">
        <f>GE64+EX64</f>
        <v>-15</v>
      </c>
      <c r="GR64" t="s">
        <v>326</v>
      </c>
      <c r="GS64" s="4"/>
      <c r="GT64" s="4"/>
      <c r="GV64" s="4"/>
      <c r="GW64" s="4"/>
      <c r="GX64" s="4"/>
      <c r="GZ64" s="4"/>
      <c r="HA64" s="4"/>
      <c r="HB64" s="4"/>
    </row>
    <row r="65" spans="1:210">
      <c r="A65" t="s">
        <v>124</v>
      </c>
      <c r="B65">
        <v>120</v>
      </c>
      <c r="C65">
        <v>10</v>
      </c>
      <c r="D65">
        <v>20</v>
      </c>
      <c r="E65">
        <v>20</v>
      </c>
      <c r="F65">
        <v>30</v>
      </c>
      <c r="G65">
        <v>15</v>
      </c>
      <c r="H65">
        <v>5</v>
      </c>
      <c r="I65" t="s">
        <v>38</v>
      </c>
      <c r="J65" t="s">
        <v>35</v>
      </c>
      <c r="K65">
        <v>4</v>
      </c>
      <c r="L65">
        <v>10</v>
      </c>
      <c r="M65">
        <v>40</v>
      </c>
      <c r="N65">
        <v>25</v>
      </c>
      <c r="O65">
        <v>25</v>
      </c>
      <c r="P65">
        <v>7</v>
      </c>
      <c r="Q65">
        <v>345</v>
      </c>
      <c r="R65">
        <v>324</v>
      </c>
      <c r="S65">
        <v>259</v>
      </c>
      <c r="T65">
        <v>130</v>
      </c>
      <c r="U65">
        <v>130</v>
      </c>
      <c r="V65">
        <v>130</v>
      </c>
      <c r="W65">
        <v>-75</v>
      </c>
      <c r="Y65">
        <v>130</v>
      </c>
      <c r="Z65">
        <v>287</v>
      </c>
      <c r="AA65">
        <v>194</v>
      </c>
      <c r="AB65">
        <v>259</v>
      </c>
      <c r="AC65">
        <v>16</v>
      </c>
      <c r="AD65">
        <v>0</v>
      </c>
      <c r="AE65">
        <v>0</v>
      </c>
      <c r="AF65">
        <v>72</v>
      </c>
      <c r="AG65">
        <v>17</v>
      </c>
      <c r="AH65">
        <v>8</v>
      </c>
      <c r="AI65">
        <v>199</v>
      </c>
      <c r="AJ65">
        <v>174</v>
      </c>
      <c r="AK65">
        <v>251</v>
      </c>
      <c r="AL65">
        <v>0</v>
      </c>
      <c r="AM65">
        <v>3</v>
      </c>
      <c r="AN65">
        <v>0</v>
      </c>
      <c r="AO65">
        <v>345</v>
      </c>
      <c r="AP65">
        <v>324</v>
      </c>
      <c r="AQ65">
        <v>259</v>
      </c>
      <c r="AR65">
        <v>289</v>
      </c>
      <c r="AS65">
        <v>287</v>
      </c>
      <c r="AT65">
        <v>259</v>
      </c>
      <c r="AU65">
        <v>100</v>
      </c>
      <c r="AV65">
        <f>AS65-AY65</f>
        <v>390</v>
      </c>
      <c r="AW65">
        <v>100</v>
      </c>
      <c r="AX65">
        <v>189</v>
      </c>
      <c r="AY65">
        <v>-103</v>
      </c>
      <c r="AZ65">
        <v>159</v>
      </c>
      <c r="BA65">
        <v>56</v>
      </c>
      <c r="BB65">
        <v>37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56</v>
      </c>
      <c r="BK65">
        <v>37</v>
      </c>
      <c r="BL65">
        <v>0</v>
      </c>
      <c r="BM65">
        <v>0</v>
      </c>
      <c r="BN65">
        <v>0</v>
      </c>
      <c r="BO65">
        <v>0</v>
      </c>
      <c r="BP65">
        <f>BS65+BY65</f>
        <v>1203</v>
      </c>
      <c r="BQ65">
        <v>457</v>
      </c>
      <c r="BR65">
        <v>362</v>
      </c>
      <c r="BS65">
        <v>1177</v>
      </c>
      <c r="BT65">
        <v>257</v>
      </c>
      <c r="BU65">
        <v>301</v>
      </c>
      <c r="BV65">
        <v>0</v>
      </c>
      <c r="BW65">
        <v>0</v>
      </c>
      <c r="BX65">
        <v>0</v>
      </c>
      <c r="BY65">
        <v>26</v>
      </c>
      <c r="BZ65">
        <v>163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22</v>
      </c>
      <c r="CH65">
        <v>0</v>
      </c>
      <c r="CI65">
        <v>37</v>
      </c>
      <c r="CJ65">
        <v>27</v>
      </c>
      <c r="CK65">
        <v>0</v>
      </c>
      <c r="CL65">
        <v>0</v>
      </c>
      <c r="CM65">
        <v>12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f>835+98</f>
        <v>933</v>
      </c>
      <c r="DS65">
        <v>537</v>
      </c>
      <c r="DT65">
        <v>365</v>
      </c>
      <c r="DU65">
        <v>933</v>
      </c>
      <c r="DV65">
        <v>10</v>
      </c>
      <c r="DW65">
        <v>18</v>
      </c>
      <c r="DX65">
        <v>0</v>
      </c>
      <c r="DY65">
        <v>20</v>
      </c>
      <c r="DZ65">
        <v>0</v>
      </c>
      <c r="EA65" s="183">
        <v>0</v>
      </c>
      <c r="EB65" s="83">
        <v>0</v>
      </c>
      <c r="EC65" s="184">
        <v>0</v>
      </c>
      <c r="ED65">
        <v>0</v>
      </c>
      <c r="EE65">
        <v>97</v>
      </c>
      <c r="EF65">
        <v>47</v>
      </c>
      <c r="EG65">
        <v>0</v>
      </c>
      <c r="EH65">
        <f>EE65-EK65</f>
        <v>61</v>
      </c>
      <c r="EI65">
        <v>0</v>
      </c>
      <c r="EJ65">
        <v>0</v>
      </c>
      <c r="EK65">
        <v>36</v>
      </c>
      <c r="EL65">
        <v>11</v>
      </c>
      <c r="EM65">
        <v>0</v>
      </c>
      <c r="EN65">
        <v>0</v>
      </c>
      <c r="EO65">
        <v>36</v>
      </c>
      <c r="EP65" s="83">
        <v>0</v>
      </c>
      <c r="EQ65" s="83">
        <v>410</v>
      </c>
      <c r="ER65" s="83">
        <v>300</v>
      </c>
      <c r="ES65">
        <f>-244-26</f>
        <v>-270</v>
      </c>
      <c r="ET65">
        <v>80</v>
      </c>
      <c r="EU65">
        <v>3</v>
      </c>
      <c r="EV65">
        <v>-270</v>
      </c>
      <c r="EW65">
        <v>80</v>
      </c>
      <c r="EX65">
        <v>3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 s="4">
        <f>BP65+CQ65</f>
        <v>1203</v>
      </c>
      <c r="GG65">
        <f>BQ65+CR65</f>
        <v>457</v>
      </c>
      <c r="GH65" s="4">
        <f>BR65+CS65</f>
        <v>362</v>
      </c>
      <c r="GI65" s="4">
        <f>DR65+EY65</f>
        <v>933</v>
      </c>
      <c r="GJ65">
        <f>DS65+EZ65</f>
        <v>537</v>
      </c>
      <c r="GK65" s="4">
        <f>DT65+FA65</f>
        <v>365</v>
      </c>
      <c r="GL65" s="4">
        <f>GI65-GF65</f>
        <v>-270</v>
      </c>
      <c r="GM65">
        <f>GJ65-GG65</f>
        <v>80</v>
      </c>
      <c r="GN65" s="4">
        <f>GK65-GH65</f>
        <v>3</v>
      </c>
      <c r="GO65" s="4">
        <f>GC65+EV65</f>
        <v>-270</v>
      </c>
      <c r="GP65">
        <f>GD65+EW65</f>
        <v>80</v>
      </c>
      <c r="GQ65" s="4">
        <f>GE65+EX65</f>
        <v>3</v>
      </c>
      <c r="GS65" s="4"/>
      <c r="GT65" s="4"/>
      <c r="GV65" s="4"/>
      <c r="GW65" s="4"/>
      <c r="GX65" s="4"/>
      <c r="GZ65" s="4"/>
      <c r="HA65" s="4"/>
      <c r="HB65" s="4"/>
    </row>
    <row r="66" spans="1:210">
      <c r="A66" t="s">
        <v>125</v>
      </c>
      <c r="B66">
        <v>110</v>
      </c>
      <c r="C66">
        <v>3</v>
      </c>
      <c r="D66">
        <v>10</v>
      </c>
      <c r="E66">
        <v>10</v>
      </c>
      <c r="F66">
        <v>35</v>
      </c>
      <c r="G66">
        <v>22</v>
      </c>
      <c r="H66">
        <v>20</v>
      </c>
      <c r="I66" t="s">
        <v>38</v>
      </c>
      <c r="J66" t="s">
        <v>35</v>
      </c>
      <c r="K66">
        <v>1</v>
      </c>
      <c r="L66">
        <v>5</v>
      </c>
      <c r="M66">
        <v>60</v>
      </c>
      <c r="N66">
        <v>30</v>
      </c>
      <c r="O66">
        <v>5</v>
      </c>
      <c r="P66">
        <v>5</v>
      </c>
      <c r="Q66">
        <v>4722</v>
      </c>
      <c r="R66">
        <v>4668</v>
      </c>
      <c r="S66">
        <v>4794</v>
      </c>
      <c r="T66">
        <v>4759</v>
      </c>
      <c r="U66">
        <v>4788</v>
      </c>
      <c r="V66">
        <v>4891</v>
      </c>
      <c r="W66">
        <v>-304</v>
      </c>
      <c r="X66">
        <v>-365</v>
      </c>
      <c r="Y66">
        <v>-487</v>
      </c>
      <c r="Z66">
        <v>267</v>
      </c>
      <c r="AA66">
        <v>245</v>
      </c>
      <c r="AB66">
        <v>390</v>
      </c>
      <c r="AC66">
        <v>1</v>
      </c>
      <c r="AD66">
        <v>1</v>
      </c>
      <c r="AE66">
        <v>1</v>
      </c>
      <c r="AF66">
        <v>4</v>
      </c>
      <c r="AG66">
        <v>2</v>
      </c>
      <c r="AH66">
        <v>13</v>
      </c>
      <c r="AI66">
        <v>262</v>
      </c>
      <c r="AJ66">
        <v>242</v>
      </c>
      <c r="AK66">
        <v>374</v>
      </c>
      <c r="AL66">
        <v>0</v>
      </c>
      <c r="AM66">
        <v>0</v>
      </c>
      <c r="AN66">
        <v>2</v>
      </c>
      <c r="AO66">
        <v>4722</v>
      </c>
      <c r="AP66">
        <v>4668</v>
      </c>
      <c r="AQ66">
        <v>4794</v>
      </c>
      <c r="AR66">
        <v>4653</v>
      </c>
      <c r="AS66">
        <v>4632</v>
      </c>
      <c r="AT66">
        <v>4772</v>
      </c>
      <c r="AU66">
        <v>4400</v>
      </c>
      <c r="AV66">
        <v>4362</v>
      </c>
      <c r="AW66">
        <v>4377</v>
      </c>
      <c r="AX66">
        <v>253</v>
      </c>
      <c r="AY66">
        <v>270</v>
      </c>
      <c r="AZ66">
        <v>395</v>
      </c>
      <c r="BA66">
        <v>69</v>
      </c>
      <c r="BB66">
        <v>36</v>
      </c>
      <c r="BC66">
        <v>22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6</v>
      </c>
      <c r="BK66">
        <v>4</v>
      </c>
      <c r="BL66">
        <v>9</v>
      </c>
      <c r="BM66">
        <v>63</v>
      </c>
      <c r="BN66">
        <v>32</v>
      </c>
      <c r="BO66">
        <v>13</v>
      </c>
      <c r="BP66">
        <v>240</v>
      </c>
      <c r="BQ66">
        <v>354</v>
      </c>
      <c r="BR66">
        <v>285</v>
      </c>
      <c r="BS66">
        <v>100</v>
      </c>
      <c r="BT66">
        <v>138</v>
      </c>
      <c r="BU66">
        <v>170</v>
      </c>
      <c r="BV66">
        <v>54</v>
      </c>
      <c r="BW66">
        <v>0</v>
      </c>
      <c r="BX66">
        <v>0</v>
      </c>
      <c r="BY66">
        <v>0</v>
      </c>
      <c r="BZ66">
        <v>0</v>
      </c>
      <c r="CA66">
        <v>18</v>
      </c>
      <c r="CB66">
        <v>2</v>
      </c>
      <c r="CC66">
        <v>13</v>
      </c>
      <c r="CD66">
        <v>1</v>
      </c>
      <c r="CE66">
        <v>23</v>
      </c>
      <c r="CF66">
        <v>42</v>
      </c>
      <c r="CG66">
        <v>35</v>
      </c>
      <c r="CH66">
        <v>61</v>
      </c>
      <c r="CI66">
        <v>61</v>
      </c>
      <c r="CJ66">
        <v>61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42</v>
      </c>
      <c r="CR66">
        <v>52</v>
      </c>
      <c r="CS66">
        <v>40</v>
      </c>
      <c r="CT66">
        <v>42</v>
      </c>
      <c r="CU66">
        <v>52</v>
      </c>
      <c r="CV66">
        <v>40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144</v>
      </c>
      <c r="DS66">
        <v>136</v>
      </c>
      <c r="DT66">
        <v>221</v>
      </c>
      <c r="DU66">
        <v>0</v>
      </c>
      <c r="DV66">
        <v>0</v>
      </c>
      <c r="DW66">
        <v>0</v>
      </c>
      <c r="DX66">
        <v>49</v>
      </c>
      <c r="DY66">
        <v>49</v>
      </c>
      <c r="DZ66">
        <v>54</v>
      </c>
      <c r="EA66" s="183">
        <v>0</v>
      </c>
      <c r="EB66" s="83">
        <v>0</v>
      </c>
      <c r="EC66" s="184">
        <v>0</v>
      </c>
      <c r="ED66">
        <v>22</v>
      </c>
      <c r="EE66">
        <v>23</v>
      </c>
      <c r="EF66">
        <v>25</v>
      </c>
      <c r="EG66">
        <v>0</v>
      </c>
      <c r="EH66">
        <v>0</v>
      </c>
      <c r="EI66">
        <v>0</v>
      </c>
      <c r="EJ66">
        <v>8</v>
      </c>
      <c r="EK66">
        <v>9</v>
      </c>
      <c r="EL66">
        <v>7</v>
      </c>
      <c r="EM66">
        <v>14</v>
      </c>
      <c r="EN66">
        <v>14</v>
      </c>
      <c r="EO66">
        <v>25</v>
      </c>
      <c r="EP66" s="83">
        <v>73</v>
      </c>
      <c r="EQ66" s="83">
        <v>64</v>
      </c>
      <c r="ER66" s="83">
        <v>142</v>
      </c>
      <c r="ES66">
        <v>-96</v>
      </c>
      <c r="ET66">
        <v>-118</v>
      </c>
      <c r="EU66">
        <v>-64</v>
      </c>
      <c r="EV66">
        <v>-96</v>
      </c>
      <c r="EW66">
        <v>-118</v>
      </c>
      <c r="EX66">
        <v>-64</v>
      </c>
      <c r="EY66">
        <v>168</v>
      </c>
      <c r="EZ66">
        <v>188</v>
      </c>
      <c r="FA66">
        <v>187</v>
      </c>
      <c r="FB66">
        <v>166</v>
      </c>
      <c r="FC66">
        <v>188</v>
      </c>
      <c r="FD66">
        <v>187</v>
      </c>
      <c r="FE66">
        <v>2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126</v>
      </c>
      <c r="GA66">
        <v>136</v>
      </c>
      <c r="GB66">
        <v>147</v>
      </c>
      <c r="GC66">
        <v>126</v>
      </c>
      <c r="GD66">
        <v>136</v>
      </c>
      <c r="GE66">
        <v>147</v>
      </c>
      <c r="GF66" s="4">
        <f>BP66+CQ66</f>
        <v>282</v>
      </c>
      <c r="GG66">
        <f>BQ66+CR66</f>
        <v>406</v>
      </c>
      <c r="GH66" s="4">
        <f>BR66+CS66</f>
        <v>325</v>
      </c>
      <c r="GI66" s="4">
        <f>DR66+EY66</f>
        <v>312</v>
      </c>
      <c r="GJ66">
        <f>DS66+EZ66</f>
        <v>324</v>
      </c>
      <c r="GK66" s="4">
        <f>DT66+FA66</f>
        <v>408</v>
      </c>
      <c r="GL66" s="4">
        <f>GI66-GF66</f>
        <v>30</v>
      </c>
      <c r="GM66">
        <f>GJ66-GG66</f>
        <v>-82</v>
      </c>
      <c r="GN66" s="4">
        <f>GK66-GH66</f>
        <v>83</v>
      </c>
      <c r="GO66" s="4">
        <f>GC66+EV66</f>
        <v>30</v>
      </c>
      <c r="GP66">
        <f>GD66+EW66</f>
        <v>18</v>
      </c>
      <c r="GQ66" s="4">
        <f>GE66+EX66</f>
        <v>83</v>
      </c>
      <c r="GS66" s="4"/>
      <c r="GT66" s="4"/>
      <c r="GV66" s="4"/>
      <c r="GW66" s="4"/>
      <c r="GX66" s="4"/>
      <c r="GZ66" s="4"/>
      <c r="HA66" s="4"/>
      <c r="HB66" s="4"/>
    </row>
    <row r="67" spans="1:210">
      <c r="A67" t="s">
        <v>126</v>
      </c>
      <c r="B67">
        <v>76</v>
      </c>
      <c r="C67">
        <v>0</v>
      </c>
      <c r="D67">
        <v>30</v>
      </c>
      <c r="E67">
        <v>0</v>
      </c>
      <c r="F67">
        <v>5</v>
      </c>
      <c r="G67">
        <v>55</v>
      </c>
      <c r="H67">
        <v>10</v>
      </c>
      <c r="I67" t="s">
        <v>38</v>
      </c>
      <c r="J67" t="s">
        <v>33</v>
      </c>
      <c r="K67">
        <v>3</v>
      </c>
      <c r="L67">
        <v>30</v>
      </c>
      <c r="M67">
        <v>50</v>
      </c>
      <c r="N67">
        <v>20</v>
      </c>
      <c r="O67">
        <v>0</v>
      </c>
      <c r="P67">
        <v>4</v>
      </c>
      <c r="Q67">
        <v>24</v>
      </c>
      <c r="R67">
        <v>45</v>
      </c>
      <c r="S67">
        <v>60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24</v>
      </c>
      <c r="AA67">
        <v>45</v>
      </c>
      <c r="AB67">
        <v>60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24</v>
      </c>
      <c r="AJ67">
        <v>45</v>
      </c>
      <c r="AK67">
        <v>60</v>
      </c>
      <c r="AL67">
        <v>0</v>
      </c>
      <c r="AM67">
        <v>0</v>
      </c>
      <c r="AN67">
        <v>0</v>
      </c>
      <c r="AO67">
        <v>24</v>
      </c>
      <c r="AP67">
        <v>45</v>
      </c>
      <c r="AQ67">
        <v>60</v>
      </c>
      <c r="AR67">
        <v>19</v>
      </c>
      <c r="AS67">
        <v>40</v>
      </c>
      <c r="AT67">
        <v>49</v>
      </c>
      <c r="AU67">
        <v>0</v>
      </c>
      <c r="AV67">
        <v>0</v>
      </c>
      <c r="AW67">
        <v>0</v>
      </c>
      <c r="AX67">
        <v>19</v>
      </c>
      <c r="AY67">
        <v>40</v>
      </c>
      <c r="AZ67">
        <v>49</v>
      </c>
      <c r="BA67">
        <v>5</v>
      </c>
      <c r="BB67">
        <v>5</v>
      </c>
      <c r="BC67">
        <v>11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5</v>
      </c>
      <c r="BK67">
        <v>5</v>
      </c>
      <c r="BL67">
        <v>11</v>
      </c>
      <c r="BM67">
        <v>0</v>
      </c>
      <c r="BN67">
        <v>0</v>
      </c>
      <c r="BO67">
        <v>0</v>
      </c>
      <c r="BP67">
        <v>192</v>
      </c>
      <c r="BQ67">
        <v>128</v>
      </c>
      <c r="BR67">
        <v>128</v>
      </c>
      <c r="BS67">
        <v>20</v>
      </c>
      <c r="BT67">
        <v>37</v>
      </c>
      <c r="BU67">
        <v>39</v>
      </c>
      <c r="BV67">
        <v>40</v>
      </c>
      <c r="BW67">
        <v>68</v>
      </c>
      <c r="BX67">
        <v>51</v>
      </c>
      <c r="BY67">
        <v>15</v>
      </c>
      <c r="BZ67">
        <v>2</v>
      </c>
      <c r="CA67">
        <v>0</v>
      </c>
      <c r="CB67">
        <v>11</v>
      </c>
      <c r="CC67">
        <v>0</v>
      </c>
      <c r="CD67">
        <v>0</v>
      </c>
      <c r="CE67">
        <v>94</v>
      </c>
      <c r="CF67">
        <v>11</v>
      </c>
      <c r="CG67">
        <v>26</v>
      </c>
      <c r="CH67">
        <v>0</v>
      </c>
      <c r="CI67">
        <v>0</v>
      </c>
      <c r="CJ67">
        <v>0</v>
      </c>
      <c r="CK67">
        <v>12</v>
      </c>
      <c r="CL67">
        <v>10</v>
      </c>
      <c r="CM67">
        <v>12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158</v>
      </c>
      <c r="DS67">
        <v>149</v>
      </c>
      <c r="DT67">
        <v>137</v>
      </c>
      <c r="DU67">
        <v>0</v>
      </c>
      <c r="DV67">
        <v>0</v>
      </c>
      <c r="DW67">
        <v>0</v>
      </c>
      <c r="DX67">
        <v>65</v>
      </c>
      <c r="DY67">
        <v>58</v>
      </c>
      <c r="DZ67">
        <v>28</v>
      </c>
      <c r="EA67" s="183">
        <v>0</v>
      </c>
      <c r="EB67" s="83">
        <v>0</v>
      </c>
      <c r="EC67" s="184">
        <v>0</v>
      </c>
      <c r="ED67">
        <v>48</v>
      </c>
      <c r="EE67">
        <v>36</v>
      </c>
      <c r="EF67">
        <v>31</v>
      </c>
      <c r="EG67">
        <v>0</v>
      </c>
      <c r="EH67">
        <v>0</v>
      </c>
      <c r="EI67">
        <v>0</v>
      </c>
      <c r="EJ67">
        <v>17</v>
      </c>
      <c r="EK67">
        <v>0</v>
      </c>
      <c r="EL67">
        <v>0</v>
      </c>
      <c r="EM67">
        <v>31</v>
      </c>
      <c r="EN67">
        <v>36</v>
      </c>
      <c r="EO67">
        <v>31</v>
      </c>
      <c r="EP67">
        <v>45</v>
      </c>
      <c r="EQ67">
        <v>55</v>
      </c>
      <c r="ER67">
        <v>78</v>
      </c>
      <c r="ES67">
        <v>-34</v>
      </c>
      <c r="ET67">
        <v>21</v>
      </c>
      <c r="EU67">
        <v>9</v>
      </c>
      <c r="EV67">
        <v>-34</v>
      </c>
      <c r="EW67">
        <v>21</v>
      </c>
      <c r="EX67">
        <v>9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 s="4">
        <f>BP67+CQ67</f>
        <v>192</v>
      </c>
      <c r="GG67">
        <f>BQ67+CR67</f>
        <v>128</v>
      </c>
      <c r="GH67" s="4">
        <f>BR67+CS67</f>
        <v>128</v>
      </c>
      <c r="GI67" s="4">
        <f>DR67+EY67</f>
        <v>158</v>
      </c>
      <c r="GJ67">
        <f>DS67+EZ67</f>
        <v>149</v>
      </c>
      <c r="GK67" s="4">
        <f>DT67+FA67</f>
        <v>137</v>
      </c>
      <c r="GL67" s="4">
        <f>GI67-GF67</f>
        <v>-34</v>
      </c>
      <c r="GM67">
        <f>GJ67-GG67</f>
        <v>21</v>
      </c>
      <c r="GN67" s="4">
        <f>GK67-GH67</f>
        <v>9</v>
      </c>
      <c r="GO67" s="4">
        <f>GC67+EV67</f>
        <v>-34</v>
      </c>
      <c r="GP67">
        <f>GD67+EW67</f>
        <v>21</v>
      </c>
      <c r="GQ67" s="4">
        <f>GE67+EX67</f>
        <v>9</v>
      </c>
      <c r="GS67" s="4"/>
      <c r="GT67" s="4"/>
      <c r="GV67" s="4"/>
      <c r="GW67" s="4"/>
      <c r="GX67" s="4"/>
      <c r="GZ67" s="4"/>
      <c r="HA67" s="4"/>
      <c r="HB67" s="4"/>
    </row>
    <row r="68" spans="1:210">
      <c r="A68" t="s">
        <v>127</v>
      </c>
      <c r="B68">
        <v>111</v>
      </c>
      <c r="C68">
        <v>15</v>
      </c>
      <c r="D68">
        <v>20</v>
      </c>
      <c r="E68">
        <v>1</v>
      </c>
      <c r="F68">
        <v>30</v>
      </c>
      <c r="G68">
        <v>30</v>
      </c>
      <c r="H68">
        <v>4</v>
      </c>
      <c r="I68" t="s">
        <v>38</v>
      </c>
      <c r="J68" t="s">
        <v>35</v>
      </c>
      <c r="K68">
        <v>2</v>
      </c>
      <c r="L68">
        <v>20</v>
      </c>
      <c r="M68">
        <v>40</v>
      </c>
      <c r="N68">
        <v>20</v>
      </c>
      <c r="O68">
        <v>20</v>
      </c>
      <c r="P68">
        <v>6</v>
      </c>
      <c r="Q68">
        <v>62</v>
      </c>
      <c r="R68">
        <v>124</v>
      </c>
      <c r="S68">
        <v>135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62</v>
      </c>
      <c r="AA68">
        <v>124</v>
      </c>
      <c r="AB68">
        <v>135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62</v>
      </c>
      <c r="AJ68">
        <v>124</v>
      </c>
      <c r="AK68">
        <v>135</v>
      </c>
      <c r="AL68">
        <v>0</v>
      </c>
      <c r="AM68">
        <v>0</v>
      </c>
      <c r="AN68">
        <v>0</v>
      </c>
      <c r="AO68">
        <v>62</v>
      </c>
      <c r="AP68">
        <v>124</v>
      </c>
      <c r="AQ68">
        <v>135</v>
      </c>
      <c r="AR68">
        <v>62</v>
      </c>
      <c r="AS68">
        <v>124</v>
      </c>
      <c r="AT68">
        <v>135</v>
      </c>
      <c r="AU68">
        <v>81</v>
      </c>
      <c r="AV68">
        <v>62</v>
      </c>
      <c r="AW68">
        <v>124</v>
      </c>
      <c r="AX68">
        <v>-19</v>
      </c>
      <c r="AY68">
        <v>62</v>
      </c>
      <c r="AZ68">
        <v>11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227</v>
      </c>
      <c r="BQ68">
        <v>215</v>
      </c>
      <c r="BR68">
        <v>305</v>
      </c>
      <c r="BS68">
        <v>127</v>
      </c>
      <c r="BT68">
        <v>200</v>
      </c>
      <c r="BU68">
        <v>273</v>
      </c>
      <c r="BV68">
        <v>84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C68">
        <v>0</v>
      </c>
      <c r="CD68">
        <v>0</v>
      </c>
      <c r="CE68">
        <v>0</v>
      </c>
      <c r="CF68">
        <v>0</v>
      </c>
      <c r="CG68">
        <v>15</v>
      </c>
      <c r="CH68">
        <v>0</v>
      </c>
      <c r="CI68">
        <v>0</v>
      </c>
      <c r="CJ68">
        <v>0</v>
      </c>
      <c r="CK68">
        <v>14</v>
      </c>
      <c r="CL68">
        <v>15</v>
      </c>
      <c r="CM68">
        <v>17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208</v>
      </c>
      <c r="DS68">
        <v>277</v>
      </c>
      <c r="DT68">
        <v>316</v>
      </c>
      <c r="DU68">
        <v>33</v>
      </c>
      <c r="DV68">
        <v>60</v>
      </c>
      <c r="DW68">
        <v>53</v>
      </c>
      <c r="DX68">
        <v>19</v>
      </c>
      <c r="DY68">
        <v>39</v>
      </c>
      <c r="DZ68">
        <v>56</v>
      </c>
      <c r="EA68" s="183">
        <v>0</v>
      </c>
      <c r="EB68" s="83">
        <v>0</v>
      </c>
      <c r="EC68" s="184">
        <v>0</v>
      </c>
      <c r="ED68">
        <v>96</v>
      </c>
      <c r="EE68">
        <v>78</v>
      </c>
      <c r="EF68">
        <v>54</v>
      </c>
      <c r="EG68">
        <v>0</v>
      </c>
      <c r="EH68">
        <v>0</v>
      </c>
      <c r="EI68">
        <v>0</v>
      </c>
      <c r="EJ68">
        <v>71</v>
      </c>
      <c r="EK68">
        <v>17</v>
      </c>
      <c r="EL68">
        <v>10</v>
      </c>
      <c r="EM68">
        <v>25</v>
      </c>
      <c r="EN68">
        <v>61</v>
      </c>
      <c r="EO68">
        <v>44</v>
      </c>
      <c r="EP68" s="83">
        <v>60</v>
      </c>
      <c r="EQ68" s="83">
        <v>100</v>
      </c>
      <c r="ER68" s="83">
        <v>153</v>
      </c>
      <c r="ES68">
        <v>-19</v>
      </c>
      <c r="ET68">
        <v>62</v>
      </c>
      <c r="EU68">
        <v>11</v>
      </c>
      <c r="EV68">
        <v>-19</v>
      </c>
      <c r="EW68">
        <v>62</v>
      </c>
      <c r="EX68">
        <v>11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 s="4">
        <f>BP68+CQ68</f>
        <v>227</v>
      </c>
      <c r="GG68">
        <f>BQ68+CR68</f>
        <v>215</v>
      </c>
      <c r="GH68" s="4">
        <f>BR68+CS68</f>
        <v>305</v>
      </c>
      <c r="GI68" s="4">
        <f>DR68+EY68</f>
        <v>208</v>
      </c>
      <c r="GJ68">
        <f>DS68+EZ68</f>
        <v>277</v>
      </c>
      <c r="GK68" s="4">
        <f>DT68+FA68</f>
        <v>316</v>
      </c>
      <c r="GL68" s="4">
        <f>GI68-GF68</f>
        <v>-19</v>
      </c>
      <c r="GM68">
        <f>GJ68-GG68</f>
        <v>62</v>
      </c>
      <c r="GN68" s="4">
        <f>GK68-GH68</f>
        <v>11</v>
      </c>
      <c r="GO68" s="4">
        <f>GC68+EV68</f>
        <v>-19</v>
      </c>
      <c r="GP68">
        <f>GD68+EW68</f>
        <v>62</v>
      </c>
      <c r="GQ68" s="4">
        <f>GE68+EX68</f>
        <v>11</v>
      </c>
      <c r="GS68" s="4"/>
      <c r="GT68" s="4"/>
      <c r="GV68" s="4"/>
      <c r="GW68" s="4"/>
      <c r="GX68" s="4"/>
      <c r="GZ68" s="4"/>
      <c r="HA68" s="4"/>
      <c r="HB68" s="4"/>
    </row>
    <row r="69" spans="1:210">
      <c r="A69" t="s">
        <v>128</v>
      </c>
      <c r="B69">
        <v>105</v>
      </c>
      <c r="C69">
        <v>15</v>
      </c>
      <c r="D69">
        <v>20</v>
      </c>
      <c r="E69">
        <v>20</v>
      </c>
      <c r="F69">
        <v>25</v>
      </c>
      <c r="G69">
        <v>15</v>
      </c>
      <c r="H69">
        <v>5</v>
      </c>
      <c r="I69" t="s">
        <v>38</v>
      </c>
      <c r="J69" t="s">
        <v>35</v>
      </c>
      <c r="K69">
        <v>3</v>
      </c>
      <c r="L69">
        <v>10</v>
      </c>
      <c r="M69">
        <v>75</v>
      </c>
      <c r="N69">
        <v>10</v>
      </c>
      <c r="O69">
        <v>5</v>
      </c>
      <c r="P69">
        <v>6</v>
      </c>
      <c r="Q69">
        <v>163</v>
      </c>
      <c r="R69">
        <v>220</v>
      </c>
      <c r="S69">
        <v>225</v>
      </c>
      <c r="T69">
        <v>421</v>
      </c>
      <c r="U69">
        <v>580</v>
      </c>
      <c r="V69">
        <v>580</v>
      </c>
      <c r="W69">
        <v>-266</v>
      </c>
      <c r="X69">
        <v>-408</v>
      </c>
      <c r="Y69">
        <v>-408</v>
      </c>
      <c r="Z69">
        <v>8</v>
      </c>
      <c r="AA69">
        <v>48</v>
      </c>
      <c r="AB69">
        <v>53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8</v>
      </c>
      <c r="AJ69">
        <v>48</v>
      </c>
      <c r="AK69">
        <v>53</v>
      </c>
      <c r="AL69">
        <v>0</v>
      </c>
      <c r="AM69">
        <v>0</v>
      </c>
      <c r="AN69">
        <v>0</v>
      </c>
      <c r="AO69">
        <v>163</v>
      </c>
      <c r="AP69">
        <v>220</v>
      </c>
      <c r="AQ69">
        <v>225</v>
      </c>
      <c r="AR69">
        <v>163</v>
      </c>
      <c r="AS69">
        <v>219</v>
      </c>
      <c r="AT69">
        <v>225</v>
      </c>
      <c r="AU69">
        <v>229</v>
      </c>
      <c r="AV69">
        <v>191</v>
      </c>
      <c r="AW69">
        <v>191</v>
      </c>
      <c r="AX69">
        <v>-66</v>
      </c>
      <c r="AY69">
        <v>28</v>
      </c>
      <c r="AZ69">
        <v>34</v>
      </c>
      <c r="BA69">
        <v>0</v>
      </c>
      <c r="BB69">
        <v>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</v>
      </c>
      <c r="BL69">
        <v>0</v>
      </c>
      <c r="BM69">
        <v>0</v>
      </c>
      <c r="BN69">
        <v>0</v>
      </c>
      <c r="BO69">
        <v>0</v>
      </c>
      <c r="BP69">
        <v>172</v>
      </c>
      <c r="BQ69">
        <v>445</v>
      </c>
      <c r="BR69">
        <v>409</v>
      </c>
      <c r="BS69">
        <v>134</v>
      </c>
      <c r="BT69">
        <v>275</v>
      </c>
      <c r="BU69">
        <v>213</v>
      </c>
      <c r="BV69">
        <v>12</v>
      </c>
      <c r="BW69">
        <v>0</v>
      </c>
      <c r="BX69">
        <v>0</v>
      </c>
      <c r="BY69">
        <v>20</v>
      </c>
      <c r="BZ69">
        <v>128</v>
      </c>
      <c r="CA69">
        <v>142</v>
      </c>
      <c r="CB69">
        <v>0</v>
      </c>
      <c r="CC69">
        <v>0</v>
      </c>
      <c r="CD69">
        <v>0</v>
      </c>
      <c r="CE69">
        <v>3</v>
      </c>
      <c r="CF69">
        <v>29</v>
      </c>
      <c r="CG69">
        <v>54</v>
      </c>
      <c r="CH69">
        <v>0</v>
      </c>
      <c r="CI69">
        <v>13</v>
      </c>
      <c r="CJ69">
        <v>0</v>
      </c>
      <c r="CK69">
        <v>3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106</v>
      </c>
      <c r="DS69">
        <v>473</v>
      </c>
      <c r="DT69">
        <v>415</v>
      </c>
      <c r="DU69">
        <v>0</v>
      </c>
      <c r="DV69">
        <v>0</v>
      </c>
      <c r="DW69">
        <v>0</v>
      </c>
      <c r="DX69">
        <v>0</v>
      </c>
      <c r="DY69">
        <v>139</v>
      </c>
      <c r="DZ69">
        <v>106</v>
      </c>
      <c r="EA69" s="183">
        <v>0</v>
      </c>
      <c r="EB69" s="83">
        <v>0</v>
      </c>
      <c r="EC69" s="184">
        <v>0</v>
      </c>
      <c r="ED69">
        <v>70</v>
      </c>
      <c r="EE69">
        <v>39</v>
      </c>
      <c r="EF69">
        <v>43</v>
      </c>
      <c r="EG69">
        <v>0</v>
      </c>
      <c r="EH69">
        <v>0</v>
      </c>
      <c r="EI69">
        <v>0</v>
      </c>
      <c r="EJ69">
        <v>57</v>
      </c>
      <c r="EK69">
        <v>14</v>
      </c>
      <c r="EL69">
        <v>20</v>
      </c>
      <c r="EM69">
        <v>13</v>
      </c>
      <c r="EN69">
        <v>25</v>
      </c>
      <c r="EO69">
        <v>23</v>
      </c>
      <c r="EP69" s="83">
        <v>36</v>
      </c>
      <c r="EQ69" s="83">
        <v>295</v>
      </c>
      <c r="ER69" s="83">
        <v>266</v>
      </c>
      <c r="ES69">
        <v>-66</v>
      </c>
      <c r="ET69">
        <v>28</v>
      </c>
      <c r="EU69">
        <v>6</v>
      </c>
      <c r="EV69">
        <v>-66</v>
      </c>
      <c r="EW69">
        <v>28</v>
      </c>
      <c r="EX69">
        <v>6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 s="4">
        <f>BP69+CQ69</f>
        <v>172</v>
      </c>
      <c r="GG69">
        <f>BQ69+CR69</f>
        <v>445</v>
      </c>
      <c r="GH69" s="4">
        <f>BR69+CS69</f>
        <v>409</v>
      </c>
      <c r="GI69" s="4">
        <f>DR69+EY69</f>
        <v>106</v>
      </c>
      <c r="GJ69">
        <f>DS69+EZ69</f>
        <v>473</v>
      </c>
      <c r="GK69" s="4">
        <f>DT69+FA69</f>
        <v>415</v>
      </c>
      <c r="GL69" s="4">
        <f>GI69-GF69</f>
        <v>-66</v>
      </c>
      <c r="GM69">
        <f>GJ69-GG69</f>
        <v>28</v>
      </c>
      <c r="GN69" s="4">
        <f>GK69-GH69</f>
        <v>6</v>
      </c>
      <c r="GO69" s="4">
        <f>GC69+EV69</f>
        <v>-66</v>
      </c>
      <c r="GP69">
        <f>GD69+EW69</f>
        <v>28</v>
      </c>
      <c r="GQ69" s="4">
        <f>GE69+EX69</f>
        <v>6</v>
      </c>
      <c r="GR69" t="s">
        <v>326</v>
      </c>
      <c r="GS69" s="4"/>
      <c r="GT69" s="4"/>
      <c r="GV69" s="4"/>
      <c r="GW69" s="4"/>
      <c r="GX69" s="4"/>
      <c r="GZ69" s="4"/>
      <c r="HA69" s="4"/>
      <c r="HB69" s="4"/>
    </row>
    <row r="70" spans="1:210">
      <c r="A70" t="s">
        <v>129</v>
      </c>
      <c r="B70">
        <v>278</v>
      </c>
      <c r="C70">
        <v>1.8</v>
      </c>
      <c r="D70">
        <v>29.9</v>
      </c>
      <c r="E70">
        <v>15.5</v>
      </c>
      <c r="F70">
        <v>20.5</v>
      </c>
      <c r="G70">
        <v>19.399999999999999</v>
      </c>
      <c r="H70">
        <v>12.9</v>
      </c>
      <c r="I70" t="s">
        <v>38</v>
      </c>
      <c r="J70" t="s">
        <v>33</v>
      </c>
      <c r="K70">
        <v>4</v>
      </c>
      <c r="L70">
        <v>16</v>
      </c>
      <c r="M70">
        <v>44</v>
      </c>
      <c r="N70">
        <v>15</v>
      </c>
      <c r="O70">
        <v>25</v>
      </c>
      <c r="P70">
        <v>5</v>
      </c>
      <c r="Q70">
        <v>746</v>
      </c>
      <c r="R70">
        <v>693</v>
      </c>
      <c r="S70">
        <v>602</v>
      </c>
      <c r="T70">
        <v>827</v>
      </c>
      <c r="U70">
        <v>800</v>
      </c>
      <c r="V70">
        <v>800</v>
      </c>
      <c r="W70">
        <v>-404</v>
      </c>
      <c r="X70">
        <v>-456</v>
      </c>
      <c r="Y70">
        <v>-508</v>
      </c>
      <c r="Z70">
        <v>323</v>
      </c>
      <c r="AA70">
        <v>349</v>
      </c>
      <c r="AB70">
        <v>310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323</v>
      </c>
      <c r="AJ70">
        <v>349</v>
      </c>
      <c r="AK70">
        <v>309</v>
      </c>
      <c r="AL70">
        <v>0</v>
      </c>
      <c r="AM70">
        <v>0</v>
      </c>
      <c r="AN70">
        <v>1</v>
      </c>
      <c r="AO70">
        <v>746</v>
      </c>
      <c r="AP70">
        <v>693</v>
      </c>
      <c r="AQ70">
        <v>602</v>
      </c>
      <c r="AR70">
        <v>746</v>
      </c>
      <c r="AS70">
        <v>693</v>
      </c>
      <c r="AT70">
        <v>602</v>
      </c>
      <c r="AU70">
        <f>AR70-AX70</f>
        <v>719</v>
      </c>
      <c r="AV70">
        <v>719</v>
      </c>
      <c r="AW70">
        <v>693</v>
      </c>
      <c r="AX70">
        <v>27</v>
      </c>
      <c r="AY70">
        <v>-26</v>
      </c>
      <c r="AZ70">
        <v>-91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860</v>
      </c>
      <c r="BQ70">
        <v>638</v>
      </c>
      <c r="BR70">
        <v>747</v>
      </c>
      <c r="BS70">
        <v>240</v>
      </c>
      <c r="BT70">
        <v>505</v>
      </c>
      <c r="BU70">
        <v>524</v>
      </c>
      <c r="BV70">
        <v>213</v>
      </c>
      <c r="BW70">
        <v>0</v>
      </c>
      <c r="BX70">
        <v>0</v>
      </c>
      <c r="BY70">
        <v>0</v>
      </c>
      <c r="BZ70">
        <v>0</v>
      </c>
      <c r="CA70">
        <v>63</v>
      </c>
      <c r="CB70">
        <v>12</v>
      </c>
      <c r="CC70">
        <v>4</v>
      </c>
      <c r="CD70">
        <v>7</v>
      </c>
      <c r="CE70">
        <v>343</v>
      </c>
      <c r="CF70">
        <v>27</v>
      </c>
      <c r="CG70">
        <v>71</v>
      </c>
      <c r="CH70">
        <v>52</v>
      </c>
      <c r="CI70">
        <v>52</v>
      </c>
      <c r="CJ70">
        <v>52</v>
      </c>
      <c r="CK70">
        <v>0</v>
      </c>
      <c r="CL70">
        <v>50</v>
      </c>
      <c r="CM70">
        <v>30</v>
      </c>
      <c r="CN70">
        <v>0</v>
      </c>
      <c r="CO70">
        <v>0</v>
      </c>
      <c r="CP70">
        <v>0</v>
      </c>
      <c r="CQ70">
        <v>3</v>
      </c>
      <c r="CR70">
        <v>58</v>
      </c>
      <c r="CS70">
        <v>23</v>
      </c>
      <c r="CT70">
        <v>0</v>
      </c>
      <c r="CU70">
        <v>58</v>
      </c>
      <c r="CV70">
        <v>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3</v>
      </c>
      <c r="DG70">
        <v>0</v>
      </c>
      <c r="DH70">
        <v>15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771</v>
      </c>
      <c r="DS70">
        <v>359</v>
      </c>
      <c r="DT70">
        <v>515</v>
      </c>
      <c r="DU70">
        <v>95</v>
      </c>
      <c r="DV70">
        <v>0</v>
      </c>
      <c r="DW70">
        <v>10</v>
      </c>
      <c r="DX70">
        <v>0</v>
      </c>
      <c r="DY70">
        <v>17</v>
      </c>
      <c r="DZ70">
        <v>22</v>
      </c>
      <c r="EA70" s="183">
        <v>0</v>
      </c>
      <c r="EB70" s="83">
        <v>0</v>
      </c>
      <c r="EC70" s="184">
        <v>0</v>
      </c>
      <c r="ED70">
        <f>EG70+EJ70+EM70</f>
        <v>416</v>
      </c>
      <c r="EE70">
        <v>87</v>
      </c>
      <c r="EF70">
        <v>483</v>
      </c>
      <c r="EG70">
        <f>29+292+5</f>
        <v>326</v>
      </c>
      <c r="EH70">
        <v>4</v>
      </c>
      <c r="EI70">
        <v>0</v>
      </c>
      <c r="EJ70">
        <v>0</v>
      </c>
      <c r="EK70">
        <v>0</v>
      </c>
      <c r="EL70">
        <v>393</v>
      </c>
      <c r="EM70">
        <v>90</v>
      </c>
      <c r="EN70">
        <v>83</v>
      </c>
      <c r="EO70">
        <v>90</v>
      </c>
      <c r="EP70">
        <v>260</v>
      </c>
      <c r="EQ70">
        <v>255</v>
      </c>
      <c r="ER70">
        <v>0</v>
      </c>
      <c r="ES70">
        <v>-89</v>
      </c>
      <c r="ET70">
        <v>-279</v>
      </c>
      <c r="EU70">
        <v>-232</v>
      </c>
      <c r="EV70">
        <v>-89</v>
      </c>
      <c r="EW70">
        <v>-279</v>
      </c>
      <c r="EX70">
        <v>-232</v>
      </c>
      <c r="EY70">
        <v>119</v>
      </c>
      <c r="EZ70">
        <v>311</v>
      </c>
      <c r="FA70">
        <v>164</v>
      </c>
      <c r="FB70">
        <v>119</v>
      </c>
      <c r="FC70">
        <v>0</v>
      </c>
      <c r="FD70">
        <v>124</v>
      </c>
      <c r="FE70">
        <v>0</v>
      </c>
      <c r="FF70">
        <v>296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15</v>
      </c>
      <c r="FM70">
        <v>40</v>
      </c>
      <c r="FN70">
        <v>0</v>
      </c>
      <c r="FO70">
        <v>0</v>
      </c>
      <c r="FP70">
        <v>0</v>
      </c>
      <c r="FQ70">
        <v>0</v>
      </c>
      <c r="FR70">
        <v>15</v>
      </c>
      <c r="FS70">
        <v>40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116</v>
      </c>
      <c r="GA70">
        <v>253</v>
      </c>
      <c r="GB70">
        <v>141</v>
      </c>
      <c r="GC70">
        <v>116</v>
      </c>
      <c r="GD70">
        <v>253</v>
      </c>
      <c r="GE70">
        <v>141</v>
      </c>
      <c r="GF70" s="4">
        <f>BP70+CQ70</f>
        <v>863</v>
      </c>
      <c r="GG70">
        <f>BQ70+CR70</f>
        <v>696</v>
      </c>
      <c r="GH70" s="4">
        <f>BR70+CS70</f>
        <v>770</v>
      </c>
      <c r="GI70" s="4">
        <f>DR70+EY70</f>
        <v>890</v>
      </c>
      <c r="GJ70">
        <f>DS70+EZ70</f>
        <v>670</v>
      </c>
      <c r="GK70" s="4">
        <f>DT70+FA70</f>
        <v>679</v>
      </c>
      <c r="GL70" s="4">
        <f>GI70-GF70</f>
        <v>27</v>
      </c>
      <c r="GM70">
        <f>GJ70-GG70</f>
        <v>-26</v>
      </c>
      <c r="GN70" s="4">
        <f>GK70-GH70</f>
        <v>-91</v>
      </c>
      <c r="GO70" s="4">
        <f>GC70+EV70</f>
        <v>27</v>
      </c>
      <c r="GP70">
        <f>GD70+EW70</f>
        <v>-26</v>
      </c>
      <c r="GQ70" s="4">
        <f>GE70+EX70</f>
        <v>-91</v>
      </c>
      <c r="GS70" s="4"/>
      <c r="GT70" s="4"/>
      <c r="GV70" s="4"/>
      <c r="GW70" s="4"/>
      <c r="GX70" s="4"/>
      <c r="GZ70" s="4"/>
      <c r="HA70" s="4"/>
      <c r="HB70" s="4"/>
    </row>
    <row r="71" spans="1:210">
      <c r="A71" t="s">
        <v>130</v>
      </c>
      <c r="B71">
        <v>138</v>
      </c>
      <c r="C71">
        <v>18</v>
      </c>
      <c r="D71">
        <v>31</v>
      </c>
      <c r="E71">
        <v>11</v>
      </c>
      <c r="F71">
        <v>20</v>
      </c>
      <c r="G71">
        <v>10</v>
      </c>
      <c r="H71">
        <v>10</v>
      </c>
      <c r="I71" t="s">
        <v>38</v>
      </c>
      <c r="J71" t="s">
        <v>32</v>
      </c>
      <c r="K71">
        <v>3</v>
      </c>
      <c r="L71">
        <v>10</v>
      </c>
      <c r="M71">
        <v>55</v>
      </c>
      <c r="N71">
        <v>15</v>
      </c>
      <c r="O71">
        <v>20</v>
      </c>
      <c r="P71">
        <v>6</v>
      </c>
      <c r="Q71">
        <v>1402</v>
      </c>
      <c r="R71">
        <v>1431</v>
      </c>
      <c r="S71">
        <v>2071</v>
      </c>
      <c r="T71">
        <v>1092</v>
      </c>
      <c r="U71">
        <v>1092</v>
      </c>
      <c r="V71">
        <v>1770</v>
      </c>
      <c r="W71">
        <v>-151</v>
      </c>
      <c r="X71">
        <v>-151</v>
      </c>
      <c r="Y71">
        <v>-165</v>
      </c>
      <c r="Z71">
        <f>AC71+AF71+AI71+AL71</f>
        <v>461</v>
      </c>
      <c r="AA71">
        <v>490</v>
      </c>
      <c r="AB71">
        <v>466</v>
      </c>
      <c r="AC71">
        <v>0</v>
      </c>
      <c r="AD71">
        <v>0</v>
      </c>
      <c r="AE71">
        <v>0</v>
      </c>
      <c r="AF71">
        <v>228</v>
      </c>
      <c r="AG71">
        <v>219</v>
      </c>
      <c r="AH71">
        <v>227</v>
      </c>
      <c r="AI71">
        <v>231</v>
      </c>
      <c r="AJ71">
        <v>269</v>
      </c>
      <c r="AK71">
        <v>233</v>
      </c>
      <c r="AL71">
        <v>2</v>
      </c>
      <c r="AM71">
        <v>2</v>
      </c>
      <c r="AN71">
        <v>6</v>
      </c>
      <c r="AO71">
        <v>1402</v>
      </c>
      <c r="AP71">
        <v>1431</v>
      </c>
      <c r="AQ71">
        <v>2071</v>
      </c>
      <c r="AR71">
        <f>AO71-BA71</f>
        <v>1210</v>
      </c>
      <c r="AS71">
        <v>1226</v>
      </c>
      <c r="AT71">
        <v>1855</v>
      </c>
      <c r="AU71">
        <f>AR71-AX71</f>
        <v>1093</v>
      </c>
      <c r="AV71">
        <v>1210</v>
      </c>
      <c r="AW71">
        <v>1226</v>
      </c>
      <c r="AX71">
        <v>117</v>
      </c>
      <c r="AY71">
        <v>16</v>
      </c>
      <c r="AZ71">
        <v>629</v>
      </c>
      <c r="BA71">
        <f>BJ71+BM71</f>
        <v>192</v>
      </c>
      <c r="BB71">
        <v>205</v>
      </c>
      <c r="BC71">
        <v>216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27</v>
      </c>
      <c r="BK71">
        <v>205</v>
      </c>
      <c r="BL71">
        <v>62</v>
      </c>
      <c r="BM71">
        <v>165</v>
      </c>
      <c r="BN71">
        <v>0</v>
      </c>
      <c r="BO71">
        <v>154</v>
      </c>
      <c r="BP71">
        <v>655</v>
      </c>
      <c r="BQ71">
        <v>874</v>
      </c>
      <c r="BR71">
        <v>888</v>
      </c>
      <c r="BS71">
        <v>202</v>
      </c>
      <c r="BT71">
        <v>791</v>
      </c>
      <c r="BU71">
        <v>708</v>
      </c>
      <c r="BV71">
        <v>372</v>
      </c>
      <c r="BW71">
        <v>0</v>
      </c>
      <c r="BX71">
        <v>0</v>
      </c>
      <c r="BY71">
        <v>53</v>
      </c>
      <c r="BZ71">
        <v>49</v>
      </c>
      <c r="CA71">
        <v>127</v>
      </c>
      <c r="CB71">
        <v>1</v>
      </c>
      <c r="CC71">
        <v>1</v>
      </c>
      <c r="CD71">
        <v>1</v>
      </c>
      <c r="CE71">
        <v>8</v>
      </c>
      <c r="CF71">
        <v>11</v>
      </c>
      <c r="CG71">
        <v>17</v>
      </c>
      <c r="CH71">
        <v>0</v>
      </c>
      <c r="CI71">
        <v>0</v>
      </c>
      <c r="CJ71">
        <v>14</v>
      </c>
      <c r="CK71">
        <v>19</v>
      </c>
      <c r="CL71">
        <v>22</v>
      </c>
      <c r="CM71">
        <v>21</v>
      </c>
      <c r="CN71">
        <v>0</v>
      </c>
      <c r="CO71">
        <v>0</v>
      </c>
      <c r="CP71">
        <v>0</v>
      </c>
      <c r="CQ71">
        <v>190</v>
      </c>
      <c r="CR71">
        <v>166</v>
      </c>
      <c r="CS71">
        <v>133</v>
      </c>
      <c r="CT71">
        <v>186</v>
      </c>
      <c r="CU71">
        <v>166</v>
      </c>
      <c r="CV71">
        <v>133</v>
      </c>
      <c r="CW71">
        <v>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706</v>
      </c>
      <c r="DS71">
        <v>864</v>
      </c>
      <c r="DT71">
        <v>1493</v>
      </c>
      <c r="DU71">
        <v>58</v>
      </c>
      <c r="DV71">
        <v>80</v>
      </c>
      <c r="DW71">
        <v>93</v>
      </c>
      <c r="DX71">
        <v>0</v>
      </c>
      <c r="DY71">
        <v>0</v>
      </c>
      <c r="DZ71">
        <v>0</v>
      </c>
      <c r="EA71" s="183">
        <v>0</v>
      </c>
      <c r="EB71" s="83">
        <v>0</v>
      </c>
      <c r="EC71" s="184">
        <v>0</v>
      </c>
      <c r="ED71">
        <f>EG71+EJ71+EM71</f>
        <v>232</v>
      </c>
      <c r="EE71">
        <v>237</v>
      </c>
      <c r="EF71">
        <v>142</v>
      </c>
      <c r="EG71">
        <v>28</v>
      </c>
      <c r="EH71">
        <v>13</v>
      </c>
      <c r="EI71">
        <v>0</v>
      </c>
      <c r="EJ71">
        <v>21</v>
      </c>
      <c r="EK71">
        <v>92</v>
      </c>
      <c r="EL71">
        <v>22</v>
      </c>
      <c r="EM71">
        <v>183</v>
      </c>
      <c r="EN71">
        <v>132</v>
      </c>
      <c r="EO71">
        <v>120</v>
      </c>
      <c r="EP71">
        <v>416</v>
      </c>
      <c r="EQ71">
        <v>547</v>
      </c>
      <c r="ER71">
        <v>1258</v>
      </c>
      <c r="ES71">
        <v>51</v>
      </c>
      <c r="ET71">
        <v>-10</v>
      </c>
      <c r="EU71">
        <v>605</v>
      </c>
      <c r="EV71">
        <v>51</v>
      </c>
      <c r="EW71">
        <v>-10</v>
      </c>
      <c r="EX71">
        <v>605</v>
      </c>
      <c r="EY71">
        <v>256</v>
      </c>
      <c r="EZ71">
        <v>192</v>
      </c>
      <c r="FA71">
        <v>157</v>
      </c>
      <c r="FB71">
        <v>256</v>
      </c>
      <c r="FC71">
        <v>192</v>
      </c>
      <c r="FD71">
        <v>157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66</v>
      </c>
      <c r="GA71">
        <v>26</v>
      </c>
      <c r="GB71">
        <v>24</v>
      </c>
      <c r="GC71">
        <v>66</v>
      </c>
      <c r="GD71">
        <v>26</v>
      </c>
      <c r="GE71">
        <v>24</v>
      </c>
      <c r="GF71" s="4">
        <f>BP71+CQ71</f>
        <v>845</v>
      </c>
      <c r="GG71">
        <f>BQ71+CR71</f>
        <v>1040</v>
      </c>
      <c r="GH71" s="4">
        <f>BR71+CS71</f>
        <v>1021</v>
      </c>
      <c r="GI71" s="4">
        <f>DR71+EY71</f>
        <v>962</v>
      </c>
      <c r="GJ71">
        <f>DS71+EZ71</f>
        <v>1056</v>
      </c>
      <c r="GK71" s="4">
        <f>DT71+FA71</f>
        <v>1650</v>
      </c>
      <c r="GL71" s="4">
        <f>GI71-GF71</f>
        <v>117</v>
      </c>
      <c r="GM71">
        <f>GJ71-GG71</f>
        <v>16</v>
      </c>
      <c r="GN71" s="4">
        <f>GK71-GH71</f>
        <v>629</v>
      </c>
      <c r="GO71" s="4">
        <f>GC71+EV71</f>
        <v>117</v>
      </c>
      <c r="GP71">
        <f>GD71+EW71</f>
        <v>16</v>
      </c>
      <c r="GQ71" s="4">
        <f>GE71+EX71</f>
        <v>629</v>
      </c>
      <c r="GS71" s="4"/>
      <c r="GT71" s="4"/>
      <c r="GV71" s="4"/>
      <c r="GW71" s="4"/>
      <c r="GX71" s="4"/>
      <c r="GZ71" s="4"/>
      <c r="HA71" s="4"/>
      <c r="HB71" s="4"/>
    </row>
    <row r="72" spans="1:210">
      <c r="A72" t="s">
        <v>131</v>
      </c>
      <c r="B72">
        <v>105</v>
      </c>
      <c r="C72">
        <v>2</v>
      </c>
      <c r="D72">
        <v>38</v>
      </c>
      <c r="E72">
        <v>5</v>
      </c>
      <c r="F72">
        <v>20</v>
      </c>
      <c r="G72">
        <v>20</v>
      </c>
      <c r="H72">
        <v>15</v>
      </c>
      <c r="I72" t="s">
        <v>38</v>
      </c>
      <c r="J72" t="s">
        <v>35</v>
      </c>
      <c r="K72">
        <v>5</v>
      </c>
      <c r="L72">
        <v>10</v>
      </c>
      <c r="M72">
        <v>65</v>
      </c>
      <c r="N72">
        <v>10</v>
      </c>
      <c r="O72">
        <v>15</v>
      </c>
      <c r="P72">
        <v>6</v>
      </c>
      <c r="Q72">
        <v>3240</v>
      </c>
      <c r="R72">
        <v>4637</v>
      </c>
      <c r="S72">
        <v>4543</v>
      </c>
      <c r="T72">
        <v>2455</v>
      </c>
      <c r="U72">
        <v>4626</v>
      </c>
      <c r="V72">
        <v>4626</v>
      </c>
      <c r="W72">
        <v>-18</v>
      </c>
      <c r="X72">
        <v>-62</v>
      </c>
      <c r="Y72">
        <v>-176</v>
      </c>
      <c r="Z72">
        <v>803</v>
      </c>
      <c r="AA72">
        <v>73</v>
      </c>
      <c r="AB72">
        <v>93</v>
      </c>
      <c r="AC72">
        <v>0</v>
      </c>
      <c r="AD72">
        <v>13</v>
      </c>
      <c r="AE72">
        <v>8</v>
      </c>
      <c r="AF72">
        <v>109</v>
      </c>
      <c r="AG72">
        <v>37</v>
      </c>
      <c r="AH72">
        <v>28</v>
      </c>
      <c r="AI72">
        <v>694</v>
      </c>
      <c r="AJ72">
        <v>23</v>
      </c>
      <c r="AK72">
        <v>57</v>
      </c>
      <c r="AL72">
        <v>0</v>
      </c>
      <c r="AM72">
        <v>0</v>
      </c>
      <c r="AN72">
        <v>0</v>
      </c>
      <c r="AO72">
        <v>3240</v>
      </c>
      <c r="AP72">
        <v>4637</v>
      </c>
      <c r="AQ72">
        <v>4543</v>
      </c>
      <c r="AR72">
        <v>2905</v>
      </c>
      <c r="AS72">
        <v>4431</v>
      </c>
      <c r="AT72">
        <v>4431</v>
      </c>
      <c r="AU72">
        <v>1036</v>
      </c>
      <c r="AV72">
        <v>2905</v>
      </c>
      <c r="AW72">
        <f>AT72-AZ72</f>
        <v>4329</v>
      </c>
      <c r="AX72">
        <v>1869</v>
      </c>
      <c r="AY72">
        <v>1526</v>
      </c>
      <c r="AZ72">
        <v>102</v>
      </c>
      <c r="BA72">
        <v>335</v>
      </c>
      <c r="BB72">
        <v>206</v>
      </c>
      <c r="BC72">
        <v>11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335</v>
      </c>
      <c r="BK72">
        <v>206</v>
      </c>
      <c r="BL72">
        <v>11</v>
      </c>
      <c r="BM72">
        <v>0</v>
      </c>
      <c r="BN72">
        <v>0</v>
      </c>
      <c r="BO72">
        <v>0</v>
      </c>
      <c r="BP72">
        <v>1551</v>
      </c>
      <c r="BQ72">
        <v>1224</v>
      </c>
      <c r="BR72">
        <v>739</v>
      </c>
      <c r="BS72">
        <v>244</v>
      </c>
      <c r="BT72">
        <v>418</v>
      </c>
      <c r="BU72">
        <v>545</v>
      </c>
      <c r="BV72">
        <v>926</v>
      </c>
      <c r="BW72">
        <v>468</v>
      </c>
      <c r="BX72">
        <v>0</v>
      </c>
      <c r="BY72">
        <v>132</v>
      </c>
      <c r="BZ72">
        <v>278</v>
      </c>
      <c r="CA72">
        <v>72</v>
      </c>
      <c r="CB72">
        <v>73</v>
      </c>
      <c r="CC72">
        <v>1</v>
      </c>
      <c r="CD72">
        <v>5</v>
      </c>
      <c r="CE72">
        <v>148</v>
      </c>
      <c r="CF72">
        <v>4</v>
      </c>
      <c r="CG72">
        <v>4</v>
      </c>
      <c r="CH72">
        <v>19</v>
      </c>
      <c r="CI72">
        <v>43</v>
      </c>
      <c r="CJ72">
        <v>114</v>
      </c>
      <c r="CK72">
        <v>9</v>
      </c>
      <c r="CL72">
        <v>12</v>
      </c>
      <c r="CM72">
        <v>1</v>
      </c>
      <c r="CN72">
        <v>0</v>
      </c>
      <c r="CO72">
        <v>0</v>
      </c>
      <c r="CP72">
        <v>0</v>
      </c>
      <c r="CQ72">
        <v>0</v>
      </c>
      <c r="CR72">
        <v>348</v>
      </c>
      <c r="CS72">
        <v>730</v>
      </c>
      <c r="CT72">
        <v>0</v>
      </c>
      <c r="CU72">
        <v>300</v>
      </c>
      <c r="CV72">
        <v>554</v>
      </c>
      <c r="CW72">
        <v>0</v>
      </c>
      <c r="CX72">
        <v>47</v>
      </c>
      <c r="CY72">
        <v>0</v>
      </c>
      <c r="CZ72">
        <v>0</v>
      </c>
      <c r="DA72">
        <v>0</v>
      </c>
      <c r="DB72">
        <v>175</v>
      </c>
      <c r="DC72">
        <v>0</v>
      </c>
      <c r="DD72">
        <v>1</v>
      </c>
      <c r="DE72">
        <v>1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3340</v>
      </c>
      <c r="DS72">
        <v>2658</v>
      </c>
      <c r="DT72">
        <v>632</v>
      </c>
      <c r="DU72">
        <v>58</v>
      </c>
      <c r="DV72">
        <v>66</v>
      </c>
      <c r="DW72">
        <v>104</v>
      </c>
      <c r="DX72">
        <v>2873</v>
      </c>
      <c r="DY72">
        <v>2090</v>
      </c>
      <c r="DZ72">
        <v>22</v>
      </c>
      <c r="EA72" s="183">
        <v>0</v>
      </c>
      <c r="EB72" s="83">
        <v>0</v>
      </c>
      <c r="EC72" s="184">
        <v>0</v>
      </c>
      <c r="ED72">
        <v>289</v>
      </c>
      <c r="EE72">
        <v>298</v>
      </c>
      <c r="EF72">
        <v>380</v>
      </c>
      <c r="EG72">
        <v>0</v>
      </c>
      <c r="EH72">
        <v>8</v>
      </c>
      <c r="EI72">
        <v>26</v>
      </c>
      <c r="EJ72">
        <v>209</v>
      </c>
      <c r="EK72">
        <v>183</v>
      </c>
      <c r="EL72">
        <v>265</v>
      </c>
      <c r="EM72">
        <v>80</v>
      </c>
      <c r="EN72">
        <v>107</v>
      </c>
      <c r="EO72">
        <v>89</v>
      </c>
      <c r="EP72" s="83">
        <v>120</v>
      </c>
      <c r="EQ72" s="83">
        <v>204</v>
      </c>
      <c r="ER72" s="83">
        <v>126</v>
      </c>
      <c r="ES72">
        <v>1789</v>
      </c>
      <c r="ET72">
        <v>1434</v>
      </c>
      <c r="EU72">
        <v>-107</v>
      </c>
      <c r="EV72">
        <v>1789</v>
      </c>
      <c r="EW72">
        <v>1434</v>
      </c>
      <c r="EX72">
        <v>-107</v>
      </c>
      <c r="EY72">
        <v>80</v>
      </c>
      <c r="EZ72">
        <v>440</v>
      </c>
      <c r="FA72">
        <v>939</v>
      </c>
      <c r="FB72">
        <v>80</v>
      </c>
      <c r="FC72">
        <v>440</v>
      </c>
      <c r="FD72">
        <v>939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80</v>
      </c>
      <c r="GA72">
        <v>92</v>
      </c>
      <c r="GB72">
        <v>209</v>
      </c>
      <c r="GC72">
        <v>80</v>
      </c>
      <c r="GD72">
        <v>92</v>
      </c>
      <c r="GE72">
        <v>209</v>
      </c>
      <c r="GF72" s="4">
        <f>BP72+CQ72</f>
        <v>1551</v>
      </c>
      <c r="GG72">
        <f>BQ72+CR72</f>
        <v>1572</v>
      </c>
      <c r="GH72" s="4">
        <f>BR72+CS72</f>
        <v>1469</v>
      </c>
      <c r="GI72" s="4">
        <f>DR72+EY72</f>
        <v>3420</v>
      </c>
      <c r="GJ72">
        <f>DS72+EZ72</f>
        <v>3098</v>
      </c>
      <c r="GK72" s="4">
        <f>DT72+FA72</f>
        <v>1571</v>
      </c>
      <c r="GL72" s="4">
        <f>GI72-GF72</f>
        <v>1869</v>
      </c>
      <c r="GM72">
        <f>GJ72-GG72</f>
        <v>1526</v>
      </c>
      <c r="GN72" s="4">
        <f>GK72-GH72</f>
        <v>102</v>
      </c>
      <c r="GO72" s="4">
        <f>GC72+EV72</f>
        <v>1869</v>
      </c>
      <c r="GP72">
        <f>GD72+EW72</f>
        <v>1526</v>
      </c>
      <c r="GQ72" s="4">
        <f>GE72+EX72</f>
        <v>102</v>
      </c>
      <c r="GS72" s="4"/>
      <c r="GT72" s="4"/>
      <c r="GV72" s="4"/>
      <c r="GW72" s="4"/>
      <c r="GX72" s="4"/>
      <c r="GZ72" s="4"/>
      <c r="HA72" s="4"/>
      <c r="HB72" s="4"/>
    </row>
    <row r="73" spans="1:210">
      <c r="A73" t="s">
        <v>132</v>
      </c>
      <c r="B73">
        <v>124</v>
      </c>
      <c r="C73">
        <v>5</v>
      </c>
      <c r="D73">
        <v>15</v>
      </c>
      <c r="E73">
        <v>15</v>
      </c>
      <c r="F73">
        <v>20</v>
      </c>
      <c r="G73">
        <v>30</v>
      </c>
      <c r="H73">
        <v>15</v>
      </c>
      <c r="I73" t="s">
        <v>38</v>
      </c>
      <c r="J73" t="s">
        <v>33</v>
      </c>
      <c r="K73">
        <v>2</v>
      </c>
      <c r="L73">
        <v>5</v>
      </c>
      <c r="M73">
        <v>35</v>
      </c>
      <c r="N73">
        <v>5</v>
      </c>
      <c r="O73">
        <v>55</v>
      </c>
      <c r="P73">
        <v>2</v>
      </c>
      <c r="Q73">
        <v>1098</v>
      </c>
      <c r="R73">
        <v>1137</v>
      </c>
      <c r="S73">
        <v>1136</v>
      </c>
      <c r="T73">
        <v>1055</v>
      </c>
      <c r="U73">
        <v>1127</v>
      </c>
      <c r="V73">
        <v>1127</v>
      </c>
      <c r="W73">
        <v>0</v>
      </c>
      <c r="X73">
        <v>-8</v>
      </c>
      <c r="Y73">
        <v>-24</v>
      </c>
      <c r="Z73">
        <v>43</v>
      </c>
      <c r="AA73">
        <v>18</v>
      </c>
      <c r="AB73">
        <v>33</v>
      </c>
      <c r="AC73">
        <v>0</v>
      </c>
      <c r="AD73">
        <v>0</v>
      </c>
      <c r="AE73">
        <v>0</v>
      </c>
      <c r="AF73">
        <v>2</v>
      </c>
      <c r="AG73">
        <v>0</v>
      </c>
      <c r="AH73">
        <v>6</v>
      </c>
      <c r="AI73">
        <v>41</v>
      </c>
      <c r="AJ73">
        <v>18</v>
      </c>
      <c r="AK73">
        <v>27</v>
      </c>
      <c r="AL73">
        <v>0</v>
      </c>
      <c r="AM73">
        <v>0</v>
      </c>
      <c r="AN73">
        <v>0</v>
      </c>
      <c r="AO73">
        <v>1098</v>
      </c>
      <c r="AP73">
        <v>1137</v>
      </c>
      <c r="AQ73">
        <v>1136</v>
      </c>
      <c r="AR73">
        <v>1091</v>
      </c>
      <c r="AS73">
        <v>1104</v>
      </c>
      <c r="AT73">
        <v>1122</v>
      </c>
      <c r="AU73">
        <v>1102</v>
      </c>
      <c r="AV73">
        <v>1102</v>
      </c>
      <c r="AW73">
        <v>1102</v>
      </c>
      <c r="AX73">
        <v>-11</v>
      </c>
      <c r="AY73">
        <v>2</v>
      </c>
      <c r="AZ73">
        <v>30</v>
      </c>
      <c r="BA73">
        <v>7</v>
      </c>
      <c r="BB73">
        <v>33</v>
      </c>
      <c r="BC73">
        <v>14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7</v>
      </c>
      <c r="BK73">
        <v>33</v>
      </c>
      <c r="BL73">
        <v>14</v>
      </c>
      <c r="BM73">
        <v>0</v>
      </c>
      <c r="BN73">
        <v>0</v>
      </c>
      <c r="BO73">
        <v>0</v>
      </c>
      <c r="BP73">
        <v>76</v>
      </c>
      <c r="BQ73">
        <v>100</v>
      </c>
      <c r="BR73">
        <v>167</v>
      </c>
      <c r="BS73">
        <v>15</v>
      </c>
      <c r="BT73">
        <v>90</v>
      </c>
      <c r="BU73">
        <v>140</v>
      </c>
      <c r="BV73">
        <v>58</v>
      </c>
      <c r="BW73">
        <v>0</v>
      </c>
      <c r="BX73">
        <v>0</v>
      </c>
      <c r="BY73">
        <v>0</v>
      </c>
      <c r="BZ73">
        <v>0</v>
      </c>
      <c r="CA73">
        <v>8</v>
      </c>
      <c r="CB73">
        <v>1</v>
      </c>
      <c r="CC73">
        <v>0</v>
      </c>
      <c r="CD73">
        <v>1</v>
      </c>
      <c r="CE73">
        <v>2</v>
      </c>
      <c r="CF73">
        <v>2</v>
      </c>
      <c r="CG73">
        <v>2</v>
      </c>
      <c r="CH73">
        <v>0</v>
      </c>
      <c r="CI73">
        <v>8</v>
      </c>
      <c r="CJ73">
        <v>16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12</v>
      </c>
      <c r="CR73">
        <v>29</v>
      </c>
      <c r="CS73">
        <v>60</v>
      </c>
      <c r="CT73">
        <v>0</v>
      </c>
      <c r="CU73">
        <v>29</v>
      </c>
      <c r="CV73">
        <v>60</v>
      </c>
      <c r="CW73">
        <v>12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82</v>
      </c>
      <c r="DS73">
        <v>75</v>
      </c>
      <c r="DT73">
        <v>182</v>
      </c>
      <c r="DU73">
        <v>0</v>
      </c>
      <c r="DV73">
        <v>5</v>
      </c>
      <c r="DW73">
        <v>37</v>
      </c>
      <c r="DX73">
        <v>0</v>
      </c>
      <c r="DY73">
        <v>0</v>
      </c>
      <c r="DZ73">
        <v>0</v>
      </c>
      <c r="EA73" s="183">
        <v>0</v>
      </c>
      <c r="EB73" s="83">
        <v>0</v>
      </c>
      <c r="EC73" s="184">
        <v>0</v>
      </c>
      <c r="ED73">
        <v>35</v>
      </c>
      <c r="EE73">
        <v>40</v>
      </c>
      <c r="EF73">
        <v>67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35</v>
      </c>
      <c r="EN73">
        <v>40</v>
      </c>
      <c r="EO73">
        <v>67</v>
      </c>
      <c r="EP73">
        <v>47</v>
      </c>
      <c r="EQ73">
        <v>30</v>
      </c>
      <c r="ER73">
        <v>78</v>
      </c>
      <c r="ES73">
        <v>6</v>
      </c>
      <c r="ET73">
        <v>-25</v>
      </c>
      <c r="EU73">
        <v>15</v>
      </c>
      <c r="EV73">
        <v>6</v>
      </c>
      <c r="EW73">
        <v>-25</v>
      </c>
      <c r="EX73">
        <v>15</v>
      </c>
      <c r="EY73">
        <v>19</v>
      </c>
      <c r="EZ73">
        <v>67</v>
      </c>
      <c r="FA73">
        <v>63</v>
      </c>
      <c r="FB73">
        <v>19</v>
      </c>
      <c r="FC73">
        <v>67</v>
      </c>
      <c r="FD73">
        <v>45</v>
      </c>
      <c r="FE73">
        <v>0</v>
      </c>
      <c r="FF73">
        <v>0</v>
      </c>
      <c r="FG73">
        <v>18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7</v>
      </c>
      <c r="GA73">
        <v>38</v>
      </c>
      <c r="GB73">
        <v>3</v>
      </c>
      <c r="GC73">
        <v>7</v>
      </c>
      <c r="GD73">
        <v>38</v>
      </c>
      <c r="GE73">
        <v>3</v>
      </c>
      <c r="GF73" s="4">
        <f>BP73+CQ73</f>
        <v>88</v>
      </c>
      <c r="GG73">
        <f>BQ73+CR73</f>
        <v>129</v>
      </c>
      <c r="GH73" s="4">
        <f>BR73+CS73</f>
        <v>227</v>
      </c>
      <c r="GI73" s="4">
        <f>DR73+EY73</f>
        <v>101</v>
      </c>
      <c r="GJ73">
        <f>DS73+EZ73</f>
        <v>142</v>
      </c>
      <c r="GK73" s="4">
        <f>DT73+FA73</f>
        <v>245</v>
      </c>
      <c r="GL73" s="4">
        <f>GI73-GF73</f>
        <v>13</v>
      </c>
      <c r="GM73">
        <f>GJ73-GG73</f>
        <v>13</v>
      </c>
      <c r="GN73" s="4">
        <f>GK73-GH73</f>
        <v>18</v>
      </c>
      <c r="GO73" s="4">
        <f>GC73+EV73</f>
        <v>13</v>
      </c>
      <c r="GP73">
        <f>GD73+EW73</f>
        <v>13</v>
      </c>
      <c r="GQ73" s="4">
        <f>GE73+EX73</f>
        <v>18</v>
      </c>
      <c r="GS73" s="4"/>
      <c r="GT73" s="4"/>
      <c r="GV73" s="4"/>
      <c r="GW73" s="4"/>
      <c r="GX73" s="4"/>
      <c r="GZ73" s="4"/>
      <c r="HA73" s="4"/>
      <c r="HB73" s="4"/>
    </row>
    <row r="74" spans="1:210">
      <c r="A74" t="s">
        <v>137</v>
      </c>
      <c r="B74">
        <v>138</v>
      </c>
      <c r="C74">
        <v>2</v>
      </c>
      <c r="D74">
        <v>25</v>
      </c>
      <c r="E74">
        <v>3</v>
      </c>
      <c r="F74">
        <v>14</v>
      </c>
      <c r="G74">
        <v>30</v>
      </c>
      <c r="H74">
        <v>26</v>
      </c>
      <c r="I74" t="s">
        <v>38</v>
      </c>
      <c r="J74" t="s">
        <v>32</v>
      </c>
      <c r="K74">
        <v>6</v>
      </c>
      <c r="L74">
        <v>3</v>
      </c>
      <c r="M74">
        <v>84</v>
      </c>
      <c r="N74">
        <v>2</v>
      </c>
      <c r="O74">
        <v>11</v>
      </c>
      <c r="P74">
        <v>6</v>
      </c>
      <c r="Q74">
        <v>505</v>
      </c>
      <c r="R74">
        <v>559</v>
      </c>
      <c r="S74">
        <v>545</v>
      </c>
      <c r="T74">
        <v>455</v>
      </c>
      <c r="U74">
        <v>469</v>
      </c>
      <c r="V74">
        <v>475</v>
      </c>
      <c r="W74">
        <v>0</v>
      </c>
      <c r="X74">
        <v>0</v>
      </c>
      <c r="Y74">
        <v>0</v>
      </c>
      <c r="Z74">
        <v>50</v>
      </c>
      <c r="AA74">
        <v>90</v>
      </c>
      <c r="AB74">
        <v>70</v>
      </c>
      <c r="AC74">
        <v>0</v>
      </c>
      <c r="AD74">
        <v>0</v>
      </c>
      <c r="AE74">
        <v>0</v>
      </c>
      <c r="AF74">
        <v>0</v>
      </c>
      <c r="AG74">
        <v>33</v>
      </c>
      <c r="AH74">
        <v>32</v>
      </c>
      <c r="AI74">
        <v>50</v>
      </c>
      <c r="AJ74">
        <v>56</v>
      </c>
      <c r="AK74">
        <v>38</v>
      </c>
      <c r="AL74">
        <v>0</v>
      </c>
      <c r="AM74">
        <v>0</v>
      </c>
      <c r="AN74">
        <v>0</v>
      </c>
      <c r="AO74">
        <v>505</v>
      </c>
      <c r="AP74">
        <v>559</v>
      </c>
      <c r="AQ74">
        <v>545</v>
      </c>
      <c r="AR74">
        <v>483</v>
      </c>
      <c r="AS74">
        <v>526</v>
      </c>
      <c r="AT74">
        <v>539</v>
      </c>
      <c r="AU74">
        <v>385</v>
      </c>
      <c r="AV74">
        <v>385</v>
      </c>
      <c r="AW74">
        <v>385</v>
      </c>
      <c r="AX74">
        <v>98</v>
      </c>
      <c r="AY74">
        <v>140</v>
      </c>
      <c r="AZ74">
        <v>154</v>
      </c>
      <c r="BA74">
        <v>22</v>
      </c>
      <c r="BB74">
        <v>33</v>
      </c>
      <c r="BC74">
        <v>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22</v>
      </c>
      <c r="BK74">
        <v>33</v>
      </c>
      <c r="BL74">
        <v>6</v>
      </c>
      <c r="BM74">
        <v>0</v>
      </c>
      <c r="BN74">
        <v>0</v>
      </c>
      <c r="BO74">
        <v>0</v>
      </c>
      <c r="BP74">
        <v>696</v>
      </c>
      <c r="BQ74">
        <v>743</v>
      </c>
      <c r="BR74">
        <v>528</v>
      </c>
      <c r="BS74">
        <v>262</v>
      </c>
      <c r="BT74">
        <v>495</v>
      </c>
      <c r="BU74">
        <v>326</v>
      </c>
      <c r="BV74">
        <v>217</v>
      </c>
      <c r="BW74">
        <v>0</v>
      </c>
      <c r="BX74">
        <v>0</v>
      </c>
      <c r="BY74">
        <v>216</v>
      </c>
      <c r="BZ74">
        <v>248</v>
      </c>
      <c r="CA74">
        <v>201</v>
      </c>
      <c r="CB74">
        <v>2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104</v>
      </c>
      <c r="CT74">
        <v>0</v>
      </c>
      <c r="CU74">
        <v>0</v>
      </c>
      <c r="CV74">
        <v>104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702</v>
      </c>
      <c r="DS74">
        <v>786</v>
      </c>
      <c r="DT74">
        <v>519</v>
      </c>
      <c r="DU74">
        <v>174</v>
      </c>
      <c r="DV74">
        <v>174</v>
      </c>
      <c r="DW74">
        <v>40</v>
      </c>
      <c r="DX74">
        <v>0</v>
      </c>
      <c r="DY74">
        <v>0</v>
      </c>
      <c r="DZ74">
        <v>0</v>
      </c>
      <c r="EA74" s="183">
        <v>0</v>
      </c>
      <c r="EB74" s="83">
        <v>0</v>
      </c>
      <c r="EC74" s="184">
        <v>0</v>
      </c>
      <c r="ED74">
        <v>79</v>
      </c>
      <c r="EE74">
        <v>54</v>
      </c>
      <c r="EF74">
        <v>32</v>
      </c>
      <c r="EG74">
        <v>0</v>
      </c>
      <c r="EH74">
        <v>0</v>
      </c>
      <c r="EI74">
        <v>0</v>
      </c>
      <c r="EJ74">
        <v>48</v>
      </c>
      <c r="EK74">
        <v>23</v>
      </c>
      <c r="EL74">
        <v>13</v>
      </c>
      <c r="EM74">
        <v>31</v>
      </c>
      <c r="EN74">
        <v>31</v>
      </c>
      <c r="EO74">
        <v>19</v>
      </c>
      <c r="EP74">
        <v>449</v>
      </c>
      <c r="EQ74">
        <v>558</v>
      </c>
      <c r="ER74">
        <v>447</v>
      </c>
      <c r="ES74">
        <v>6</v>
      </c>
      <c r="ET74">
        <v>43</v>
      </c>
      <c r="EU74">
        <v>-9</v>
      </c>
      <c r="EV74">
        <v>6</v>
      </c>
      <c r="EW74">
        <v>43</v>
      </c>
      <c r="EX74">
        <v>-9</v>
      </c>
      <c r="EY74">
        <v>0</v>
      </c>
      <c r="EZ74">
        <v>0</v>
      </c>
      <c r="FA74">
        <v>126</v>
      </c>
      <c r="FB74">
        <v>0</v>
      </c>
      <c r="FC74">
        <v>0</v>
      </c>
      <c r="FD74">
        <v>126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22</v>
      </c>
      <c r="GC74">
        <v>0</v>
      </c>
      <c r="GD74">
        <v>0</v>
      </c>
      <c r="GE74">
        <v>22</v>
      </c>
      <c r="GF74" s="4">
        <f>BP74+CQ74</f>
        <v>696</v>
      </c>
      <c r="GG74">
        <f>BQ74+CR74</f>
        <v>743</v>
      </c>
      <c r="GH74" s="4">
        <f>BR74+CS74</f>
        <v>632</v>
      </c>
      <c r="GI74" s="4">
        <f>DR74+EY74</f>
        <v>702</v>
      </c>
      <c r="GJ74">
        <f>DS74+EZ74</f>
        <v>786</v>
      </c>
      <c r="GK74" s="4">
        <f>DT74+FA74</f>
        <v>645</v>
      </c>
      <c r="GL74" s="4">
        <f>GI74-GF74</f>
        <v>6</v>
      </c>
      <c r="GM74">
        <f>GJ74-GG74</f>
        <v>43</v>
      </c>
      <c r="GN74" s="4">
        <f>GK74-GH74</f>
        <v>13</v>
      </c>
      <c r="GO74" s="4">
        <f>GC74+EV74</f>
        <v>6</v>
      </c>
      <c r="GP74">
        <f>GD74+EW74</f>
        <v>43</v>
      </c>
      <c r="GQ74" s="4">
        <f>GE74+EX74</f>
        <v>13</v>
      </c>
      <c r="GS74" s="4"/>
      <c r="GT74" s="4"/>
      <c r="GV74" s="4"/>
      <c r="GW74" s="4"/>
      <c r="GX74" s="4"/>
      <c r="GZ74" s="4"/>
      <c r="HA74" s="4"/>
      <c r="HB74" s="4"/>
    </row>
    <row r="75" spans="1:210">
      <c r="A75" t="s">
        <v>138</v>
      </c>
      <c r="B75">
        <v>85</v>
      </c>
      <c r="C75">
        <v>15</v>
      </c>
      <c r="D75">
        <v>25</v>
      </c>
      <c r="E75">
        <v>20</v>
      </c>
      <c r="F75">
        <v>25</v>
      </c>
      <c r="G75">
        <v>10</v>
      </c>
      <c r="H75">
        <v>5</v>
      </c>
      <c r="I75" t="s">
        <v>38</v>
      </c>
      <c r="J75" t="s">
        <v>32</v>
      </c>
      <c r="K75">
        <v>1</v>
      </c>
      <c r="L75">
        <v>5</v>
      </c>
      <c r="M75">
        <v>40</v>
      </c>
      <c r="N75">
        <v>30</v>
      </c>
      <c r="O75">
        <v>25</v>
      </c>
      <c r="P75">
        <v>7</v>
      </c>
      <c r="Q75">
        <v>3826</v>
      </c>
      <c r="R75">
        <v>3850</v>
      </c>
      <c r="S75">
        <v>3876</v>
      </c>
      <c r="T75">
        <v>3596</v>
      </c>
      <c r="U75">
        <v>3613</v>
      </c>
      <c r="V75">
        <v>3655</v>
      </c>
      <c r="W75">
        <v>0</v>
      </c>
      <c r="X75">
        <v>0</v>
      </c>
      <c r="Y75">
        <v>0</v>
      </c>
      <c r="Z75">
        <v>230</v>
      </c>
      <c r="AA75">
        <v>237</v>
      </c>
      <c r="AB75">
        <v>221</v>
      </c>
      <c r="AC75">
        <v>0</v>
      </c>
      <c r="AD75">
        <v>10</v>
      </c>
      <c r="AE75">
        <v>13</v>
      </c>
      <c r="AF75">
        <v>14</v>
      </c>
      <c r="AG75">
        <v>0</v>
      </c>
      <c r="AH75">
        <v>15</v>
      </c>
      <c r="AI75">
        <v>208</v>
      </c>
      <c r="AJ75">
        <v>227</v>
      </c>
      <c r="AK75">
        <v>193</v>
      </c>
      <c r="AL75">
        <v>0</v>
      </c>
      <c r="AM75">
        <v>0</v>
      </c>
      <c r="AN75">
        <v>0</v>
      </c>
      <c r="AO75">
        <v>3826</v>
      </c>
      <c r="AP75">
        <v>3850</v>
      </c>
      <c r="AQ75">
        <v>3876</v>
      </c>
      <c r="AR75">
        <v>3822</v>
      </c>
      <c r="AS75">
        <v>3821</v>
      </c>
      <c r="AT75">
        <v>3876</v>
      </c>
      <c r="AU75">
        <v>3714</v>
      </c>
      <c r="AV75">
        <v>3714</v>
      </c>
      <c r="AW75">
        <v>3714</v>
      </c>
      <c r="AX75">
        <v>108</v>
      </c>
      <c r="AY75">
        <v>107</v>
      </c>
      <c r="AZ75">
        <v>162</v>
      </c>
      <c r="BA75">
        <v>4</v>
      </c>
      <c r="BB75">
        <v>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29</v>
      </c>
      <c r="BL75">
        <v>0</v>
      </c>
      <c r="BM75">
        <v>0</v>
      </c>
      <c r="BN75">
        <v>0</v>
      </c>
      <c r="BO75">
        <v>0</v>
      </c>
      <c r="BP75">
        <v>366</v>
      </c>
      <c r="BQ75">
        <v>475</v>
      </c>
      <c r="BR75">
        <v>469</v>
      </c>
      <c r="BS75">
        <v>175</v>
      </c>
      <c r="BT75">
        <v>395</v>
      </c>
      <c r="BU75">
        <v>416</v>
      </c>
      <c r="BV75">
        <v>157</v>
      </c>
      <c r="BW75">
        <v>0</v>
      </c>
      <c r="BX75">
        <v>0</v>
      </c>
      <c r="BY75">
        <v>0</v>
      </c>
      <c r="BZ75">
        <v>28</v>
      </c>
      <c r="CA75">
        <v>14</v>
      </c>
      <c r="CB75">
        <v>0</v>
      </c>
      <c r="CC75">
        <v>0</v>
      </c>
      <c r="CD75">
        <v>0</v>
      </c>
      <c r="CE75">
        <v>19</v>
      </c>
      <c r="CF75">
        <v>38</v>
      </c>
      <c r="CG75">
        <v>24</v>
      </c>
      <c r="CH75">
        <v>0</v>
      </c>
      <c r="CI75">
        <v>0</v>
      </c>
      <c r="CJ75">
        <v>0</v>
      </c>
      <c r="CK75">
        <v>0</v>
      </c>
      <c r="CL75">
        <v>14</v>
      </c>
      <c r="CM75">
        <v>15</v>
      </c>
      <c r="CN75">
        <v>0</v>
      </c>
      <c r="CO75">
        <v>0</v>
      </c>
      <c r="CP75">
        <v>0</v>
      </c>
      <c r="CQ75">
        <v>123</v>
      </c>
      <c r="CR75">
        <v>128</v>
      </c>
      <c r="CS75">
        <v>202</v>
      </c>
      <c r="CT75">
        <v>121</v>
      </c>
      <c r="CU75">
        <v>128</v>
      </c>
      <c r="CV75">
        <v>202</v>
      </c>
      <c r="CW75">
        <v>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428</v>
      </c>
      <c r="DS75">
        <v>431</v>
      </c>
      <c r="DT75">
        <v>457</v>
      </c>
      <c r="DU75">
        <v>117</v>
      </c>
      <c r="DV75">
        <v>88</v>
      </c>
      <c r="DW75">
        <v>86</v>
      </c>
      <c r="DX75">
        <v>4</v>
      </c>
      <c r="DY75">
        <v>19</v>
      </c>
      <c r="DZ75">
        <v>3</v>
      </c>
      <c r="EA75" s="183">
        <v>0</v>
      </c>
      <c r="EB75" s="83">
        <v>0</v>
      </c>
      <c r="EC75" s="184">
        <v>0</v>
      </c>
      <c r="ED75">
        <v>111</v>
      </c>
      <c r="EE75">
        <v>147</v>
      </c>
      <c r="EF75">
        <v>129</v>
      </c>
      <c r="EG75">
        <v>0</v>
      </c>
      <c r="EH75">
        <v>0</v>
      </c>
      <c r="EI75">
        <v>0</v>
      </c>
      <c r="EJ75">
        <v>40</v>
      </c>
      <c r="EK75">
        <v>37</v>
      </c>
      <c r="EL75">
        <v>43</v>
      </c>
      <c r="EM75">
        <v>71</v>
      </c>
      <c r="EN75">
        <v>110</v>
      </c>
      <c r="EO75">
        <v>86</v>
      </c>
      <c r="EP75">
        <v>196</v>
      </c>
      <c r="EQ75">
        <v>177</v>
      </c>
      <c r="ER75">
        <v>239</v>
      </c>
      <c r="ES75">
        <v>62</v>
      </c>
      <c r="ET75">
        <v>-44</v>
      </c>
      <c r="EU75">
        <v>-12</v>
      </c>
      <c r="EV75">
        <v>62</v>
      </c>
      <c r="EW75">
        <v>-44</v>
      </c>
      <c r="EX75">
        <v>-12</v>
      </c>
      <c r="EY75">
        <v>155</v>
      </c>
      <c r="EZ75">
        <v>173</v>
      </c>
      <c r="FA75">
        <v>269</v>
      </c>
      <c r="FB75">
        <v>155</v>
      </c>
      <c r="FC75">
        <v>173</v>
      </c>
      <c r="FD75">
        <v>269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45</v>
      </c>
      <c r="GB75">
        <v>67</v>
      </c>
      <c r="GC75">
        <v>0</v>
      </c>
      <c r="GD75">
        <v>45</v>
      </c>
      <c r="GE75">
        <v>67</v>
      </c>
      <c r="GF75" s="4">
        <f>BP75+CQ75</f>
        <v>489</v>
      </c>
      <c r="GG75">
        <f>BQ75+CR75</f>
        <v>603</v>
      </c>
      <c r="GH75" s="4">
        <f>BR75+CS75</f>
        <v>671</v>
      </c>
      <c r="GI75" s="4">
        <f>DR75+EY75</f>
        <v>583</v>
      </c>
      <c r="GJ75">
        <f>DS75+EZ75</f>
        <v>604</v>
      </c>
      <c r="GK75" s="4">
        <f>DT75+FA75</f>
        <v>726</v>
      </c>
      <c r="GL75" s="4">
        <f>GI75-GF75</f>
        <v>94</v>
      </c>
      <c r="GM75">
        <f>GJ75-GG75</f>
        <v>1</v>
      </c>
      <c r="GN75" s="4">
        <f>GK75-GH75</f>
        <v>55</v>
      </c>
      <c r="GO75" s="4">
        <f>GC75+EV75</f>
        <v>62</v>
      </c>
      <c r="GP75">
        <f>GD75+EW75</f>
        <v>1</v>
      </c>
      <c r="GQ75" s="4">
        <f>GE75+EX75</f>
        <v>55</v>
      </c>
      <c r="GS75" s="4"/>
      <c r="GT75" s="4"/>
      <c r="GV75" s="4"/>
      <c r="GW75" s="4"/>
      <c r="GX75" s="4"/>
      <c r="GZ75" s="4"/>
      <c r="HA75" s="4"/>
      <c r="HB75" s="4"/>
    </row>
    <row r="76" spans="1:210">
      <c r="A76" t="s">
        <v>133</v>
      </c>
      <c r="B76">
        <v>95</v>
      </c>
      <c r="C76">
        <v>10</v>
      </c>
      <c r="D76">
        <v>25</v>
      </c>
      <c r="E76">
        <v>25</v>
      </c>
      <c r="F76">
        <v>20</v>
      </c>
      <c r="G76">
        <v>15</v>
      </c>
      <c r="H76">
        <v>5</v>
      </c>
      <c r="I76" t="s">
        <v>39</v>
      </c>
      <c r="J76" t="s">
        <v>32</v>
      </c>
      <c r="K76">
        <v>6</v>
      </c>
      <c r="L76">
        <v>10</v>
      </c>
      <c r="M76">
        <v>40</v>
      </c>
      <c r="N76">
        <v>20</v>
      </c>
      <c r="O76">
        <v>30</v>
      </c>
      <c r="P76">
        <v>7</v>
      </c>
      <c r="Q76">
        <v>314</v>
      </c>
      <c r="R76">
        <v>388</v>
      </c>
      <c r="S76">
        <v>314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314</v>
      </c>
      <c r="AA76">
        <v>388</v>
      </c>
      <c r="AB76">
        <v>34</v>
      </c>
      <c r="AC76">
        <v>0</v>
      </c>
      <c r="AD76">
        <v>0</v>
      </c>
      <c r="AE76">
        <v>0</v>
      </c>
      <c r="AF76">
        <v>0</v>
      </c>
      <c r="AG76">
        <v>3</v>
      </c>
      <c r="AH76">
        <v>0</v>
      </c>
      <c r="AI76">
        <v>314</v>
      </c>
      <c r="AJ76">
        <v>385</v>
      </c>
      <c r="AK76">
        <v>314</v>
      </c>
      <c r="AL76">
        <v>0</v>
      </c>
      <c r="AM76">
        <v>0</v>
      </c>
      <c r="AN76">
        <v>0</v>
      </c>
      <c r="AO76">
        <v>314</v>
      </c>
      <c r="AP76">
        <v>388</v>
      </c>
      <c r="AQ76">
        <v>314</v>
      </c>
      <c r="AR76">
        <v>314</v>
      </c>
      <c r="AS76">
        <v>380</v>
      </c>
      <c r="AT76">
        <v>314</v>
      </c>
      <c r="AU76">
        <v>0</v>
      </c>
      <c r="AV76">
        <v>0</v>
      </c>
      <c r="AW76">
        <v>0</v>
      </c>
      <c r="AX76">
        <v>314</v>
      </c>
      <c r="AY76">
        <v>388</v>
      </c>
      <c r="AZ76">
        <v>314</v>
      </c>
      <c r="BA76">
        <v>0</v>
      </c>
      <c r="BB76">
        <v>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8</v>
      </c>
      <c r="BL76">
        <v>0</v>
      </c>
      <c r="BM76">
        <v>0</v>
      </c>
      <c r="BN76">
        <v>0</v>
      </c>
      <c r="BO76">
        <v>0</v>
      </c>
      <c r="BP76">
        <v>342</v>
      </c>
      <c r="BQ76">
        <v>503</v>
      </c>
      <c r="BR76">
        <v>398</v>
      </c>
      <c r="BS76">
        <v>19</v>
      </c>
      <c r="BT76">
        <v>25</v>
      </c>
      <c r="BU76">
        <v>12</v>
      </c>
      <c r="BV76">
        <v>41</v>
      </c>
      <c r="BW76">
        <v>0</v>
      </c>
      <c r="BX76">
        <v>0</v>
      </c>
      <c r="BY76">
        <v>85</v>
      </c>
      <c r="BZ76">
        <v>119</v>
      </c>
      <c r="CA76">
        <v>108</v>
      </c>
      <c r="CB76">
        <v>0</v>
      </c>
      <c r="CC76">
        <v>0</v>
      </c>
      <c r="CD76">
        <v>0</v>
      </c>
      <c r="CE76">
        <v>197</v>
      </c>
      <c r="CF76">
        <v>359</v>
      </c>
      <c r="CG76">
        <v>278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461</v>
      </c>
      <c r="DS76">
        <v>569</v>
      </c>
      <c r="DT76">
        <v>524</v>
      </c>
      <c r="DU76">
        <v>0</v>
      </c>
      <c r="DV76">
        <v>0</v>
      </c>
      <c r="DW76">
        <v>0</v>
      </c>
      <c r="DX76">
        <v>378</v>
      </c>
      <c r="DY76">
        <v>336</v>
      </c>
      <c r="DZ76">
        <v>301</v>
      </c>
      <c r="EA76" s="183">
        <v>0</v>
      </c>
      <c r="EB76" s="83">
        <v>0</v>
      </c>
      <c r="EC76" s="184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83</v>
      </c>
      <c r="EQ76">
        <v>232</v>
      </c>
      <c r="ER76">
        <v>223</v>
      </c>
      <c r="ES76">
        <v>119</v>
      </c>
      <c r="ET76">
        <v>65</v>
      </c>
      <c r="EU76">
        <v>126</v>
      </c>
      <c r="EV76">
        <v>119</v>
      </c>
      <c r="EW76">
        <v>65</v>
      </c>
      <c r="EX76">
        <v>126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 s="4">
        <f>BP76+CQ76</f>
        <v>342</v>
      </c>
      <c r="GG76">
        <f>BQ76+CR76</f>
        <v>503</v>
      </c>
      <c r="GH76" s="4">
        <f>BR76+CS76</f>
        <v>398</v>
      </c>
      <c r="GI76" s="4">
        <f>DR76+EY76</f>
        <v>461</v>
      </c>
      <c r="GJ76">
        <f>DS76+EZ76</f>
        <v>569</v>
      </c>
      <c r="GK76" s="4">
        <f>DT76+FA76</f>
        <v>524</v>
      </c>
      <c r="GL76" s="4">
        <f>GI76-GF76</f>
        <v>119</v>
      </c>
      <c r="GM76">
        <f>GJ76-GG76</f>
        <v>66</v>
      </c>
      <c r="GN76" s="4">
        <f>GK76-GH76</f>
        <v>126</v>
      </c>
      <c r="GO76" s="4">
        <f>GC76+EV76</f>
        <v>119</v>
      </c>
      <c r="GP76">
        <f>GD76+EW76</f>
        <v>65</v>
      </c>
      <c r="GQ76" s="4">
        <f>GE76+EX76</f>
        <v>126</v>
      </c>
      <c r="GS76" s="4"/>
      <c r="GT76" s="4"/>
      <c r="GV76" s="4"/>
      <c r="GW76" s="4"/>
      <c r="GX76" s="4"/>
      <c r="GZ76" s="4"/>
      <c r="HA76" s="4"/>
      <c r="HB76" s="4"/>
    </row>
    <row r="77" spans="1:210">
      <c r="A77" t="s">
        <v>75</v>
      </c>
      <c r="B77">
        <v>50</v>
      </c>
      <c r="C77">
        <v>30</v>
      </c>
      <c r="D77">
        <v>35</v>
      </c>
      <c r="E77">
        <v>15</v>
      </c>
      <c r="F77">
        <v>0</v>
      </c>
      <c r="G77">
        <v>10</v>
      </c>
      <c r="H77">
        <v>10</v>
      </c>
      <c r="I77" t="s">
        <v>40</v>
      </c>
      <c r="J77" t="s">
        <v>35</v>
      </c>
      <c r="K77">
        <v>2</v>
      </c>
      <c r="L77">
        <v>70</v>
      </c>
      <c r="M77">
        <v>0</v>
      </c>
      <c r="N77">
        <v>10</v>
      </c>
      <c r="O77">
        <v>20</v>
      </c>
      <c r="P77">
        <v>2</v>
      </c>
      <c r="Q77">
        <v>60</v>
      </c>
      <c r="R77">
        <v>87</v>
      </c>
      <c r="S77">
        <v>98</v>
      </c>
      <c r="T77">
        <v>48</v>
      </c>
      <c r="U77">
        <v>48</v>
      </c>
      <c r="V77">
        <v>48</v>
      </c>
      <c r="W77">
        <v>0</v>
      </c>
      <c r="Y77">
        <v>0</v>
      </c>
      <c r="Z77">
        <v>12</v>
      </c>
      <c r="AA77">
        <v>39</v>
      </c>
      <c r="AB77">
        <v>50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12</v>
      </c>
      <c r="AJ77">
        <v>39</v>
      </c>
      <c r="AK77">
        <v>50</v>
      </c>
      <c r="AL77">
        <v>0</v>
      </c>
      <c r="AM77">
        <v>0</v>
      </c>
      <c r="AN77">
        <v>0</v>
      </c>
      <c r="AO77">
        <v>60</v>
      </c>
      <c r="AP77">
        <v>87</v>
      </c>
      <c r="AQ77">
        <v>98</v>
      </c>
      <c r="AR77">
        <v>60</v>
      </c>
      <c r="AS77">
        <v>87</v>
      </c>
      <c r="AT77">
        <v>98</v>
      </c>
      <c r="AU77">
        <v>49</v>
      </c>
      <c r="AV77">
        <v>60</v>
      </c>
      <c r="AW77">
        <v>87</v>
      </c>
      <c r="AX77">
        <v>11</v>
      </c>
      <c r="AY77">
        <v>27</v>
      </c>
      <c r="AZ77">
        <v>11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219</v>
      </c>
      <c r="BQ77">
        <v>136</v>
      </c>
      <c r="BR77">
        <v>161</v>
      </c>
      <c r="BS77">
        <v>201</v>
      </c>
      <c r="BT77">
        <v>110</v>
      </c>
      <c r="BU77">
        <v>110</v>
      </c>
      <c r="BV77">
        <v>15</v>
      </c>
      <c r="BW77">
        <v>26</v>
      </c>
      <c r="BX77">
        <v>45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6</v>
      </c>
      <c r="CH77">
        <v>0</v>
      </c>
      <c r="CI77">
        <v>0</v>
      </c>
      <c r="CJ77">
        <v>0</v>
      </c>
      <c r="CK77">
        <v>3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230</v>
      </c>
      <c r="DS77">
        <v>163</v>
      </c>
      <c r="DT77">
        <v>172</v>
      </c>
      <c r="DU77">
        <v>0</v>
      </c>
      <c r="DV77">
        <v>15</v>
      </c>
      <c r="DW77">
        <v>85</v>
      </c>
      <c r="DX77">
        <v>0</v>
      </c>
      <c r="DY77">
        <v>0</v>
      </c>
      <c r="DZ77">
        <v>0</v>
      </c>
      <c r="EA77" s="183">
        <v>0</v>
      </c>
      <c r="EB77" s="83">
        <v>0</v>
      </c>
      <c r="EC77" s="184">
        <v>0</v>
      </c>
      <c r="ED77">
        <v>230</v>
      </c>
      <c r="EE77">
        <v>148</v>
      </c>
      <c r="EF77">
        <v>81</v>
      </c>
      <c r="EG77">
        <v>0</v>
      </c>
      <c r="EH77">
        <v>0</v>
      </c>
      <c r="EI77">
        <v>0</v>
      </c>
      <c r="EJ77">
        <v>205</v>
      </c>
      <c r="EK77">
        <v>123</v>
      </c>
      <c r="EL77">
        <v>62</v>
      </c>
      <c r="EM77">
        <v>25</v>
      </c>
      <c r="EN77">
        <v>25</v>
      </c>
      <c r="EO77">
        <v>25</v>
      </c>
      <c r="EP77" s="83">
        <v>0</v>
      </c>
      <c r="EQ77" s="83">
        <v>0</v>
      </c>
      <c r="ER77" s="83">
        <v>0</v>
      </c>
      <c r="ES77">
        <v>11</v>
      </c>
      <c r="ET77">
        <v>27</v>
      </c>
      <c r="EU77">
        <v>11</v>
      </c>
      <c r="EV77">
        <v>11</v>
      </c>
      <c r="EW77">
        <v>27</v>
      </c>
      <c r="EX77">
        <v>11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f>BP77+CQ77</f>
        <v>219</v>
      </c>
      <c r="GG77">
        <f>BQ77+CR77</f>
        <v>136</v>
      </c>
      <c r="GH77">
        <f>BR77+CS77</f>
        <v>161</v>
      </c>
      <c r="GI77">
        <f>DR77+EY77</f>
        <v>230</v>
      </c>
      <c r="GJ77">
        <f>DS77+EZ77</f>
        <v>163</v>
      </c>
      <c r="GK77">
        <f>DT77+FA77</f>
        <v>172</v>
      </c>
      <c r="GL77">
        <f>GI77-GF77</f>
        <v>11</v>
      </c>
      <c r="GM77">
        <f>GJ77-GG77</f>
        <v>27</v>
      </c>
      <c r="GN77">
        <f>GK77-GH77</f>
        <v>11</v>
      </c>
      <c r="GO77">
        <f>GC77+EV77</f>
        <v>11</v>
      </c>
      <c r="GP77">
        <f>GD77+EW77</f>
        <v>27</v>
      </c>
      <c r="GQ77">
        <f>GE77+EX77</f>
        <v>11</v>
      </c>
      <c r="GS77" s="4"/>
      <c r="GT77" s="4"/>
      <c r="GV77" s="4"/>
      <c r="GW77" s="4"/>
      <c r="GX77" s="4"/>
      <c r="GZ77" s="4"/>
      <c r="HA77" s="4"/>
      <c r="HB77" s="4"/>
    </row>
    <row r="78" spans="1:210">
      <c r="A78" t="s">
        <v>76</v>
      </c>
      <c r="B78">
        <v>40</v>
      </c>
      <c r="C78">
        <v>0</v>
      </c>
      <c r="D78">
        <v>25</v>
      </c>
      <c r="E78">
        <v>15</v>
      </c>
      <c r="F78">
        <v>15</v>
      </c>
      <c r="G78">
        <v>35</v>
      </c>
      <c r="H78">
        <v>10</v>
      </c>
      <c r="I78" t="s">
        <v>41</v>
      </c>
      <c r="J78" t="s">
        <v>33</v>
      </c>
      <c r="K78">
        <v>1</v>
      </c>
      <c r="L78">
        <v>15</v>
      </c>
      <c r="M78">
        <v>55</v>
      </c>
      <c r="N78">
        <v>25</v>
      </c>
      <c r="O78">
        <v>5</v>
      </c>
      <c r="P78">
        <v>2</v>
      </c>
      <c r="Q78">
        <v>52718</v>
      </c>
      <c r="R78">
        <v>18274</v>
      </c>
      <c r="S78">
        <v>28832</v>
      </c>
      <c r="T78">
        <v>47417</v>
      </c>
      <c r="U78">
        <v>20411</v>
      </c>
      <c r="V78">
        <v>19521</v>
      </c>
      <c r="W78">
        <v>-5466</v>
      </c>
      <c r="X78">
        <v>-9298</v>
      </c>
      <c r="Y78">
        <v>-9218</v>
      </c>
      <c r="Z78">
        <v>10767</v>
      </c>
      <c r="AA78">
        <v>7161</v>
      </c>
      <c r="AB78">
        <v>18529</v>
      </c>
      <c r="AC78">
        <v>26</v>
      </c>
      <c r="AD78">
        <v>0</v>
      </c>
      <c r="AE78">
        <v>0</v>
      </c>
      <c r="AF78">
        <v>6320</v>
      </c>
      <c r="AG78">
        <v>1973</v>
      </c>
      <c r="AH78">
        <v>998</v>
      </c>
      <c r="AI78">
        <v>4055</v>
      </c>
      <c r="AJ78">
        <v>5164</v>
      </c>
      <c r="AK78">
        <v>17513</v>
      </c>
      <c r="AL78">
        <v>366</v>
      </c>
      <c r="AM78">
        <v>24</v>
      </c>
      <c r="AN78">
        <v>18</v>
      </c>
      <c r="AO78">
        <v>52718</v>
      </c>
      <c r="AP78">
        <v>18274</v>
      </c>
      <c r="AQ78">
        <v>28832</v>
      </c>
      <c r="AR78">
        <v>50432</v>
      </c>
      <c r="AS78">
        <v>16081</v>
      </c>
      <c r="AT78">
        <v>25743</v>
      </c>
      <c r="AU78">
        <v>50885</v>
      </c>
      <c r="AV78">
        <v>20695</v>
      </c>
      <c r="AW78">
        <v>20404</v>
      </c>
      <c r="AX78">
        <v>-453</v>
      </c>
      <c r="AY78">
        <v>-4614</v>
      </c>
      <c r="AZ78">
        <v>5339</v>
      </c>
      <c r="BA78">
        <v>2286</v>
      </c>
      <c r="BB78">
        <v>2193</v>
      </c>
      <c r="BC78">
        <v>3089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2264</v>
      </c>
      <c r="BK78">
        <v>2134</v>
      </c>
      <c r="BL78">
        <v>3074</v>
      </c>
      <c r="BM78">
        <v>22</v>
      </c>
      <c r="BN78">
        <v>59</v>
      </c>
      <c r="BO78">
        <v>15</v>
      </c>
      <c r="BP78">
        <v>19283</v>
      </c>
      <c r="BQ78">
        <v>27371</v>
      </c>
      <c r="BR78">
        <v>23001</v>
      </c>
      <c r="BS78">
        <v>2179</v>
      </c>
      <c r="BT78">
        <v>15958</v>
      </c>
      <c r="BU78">
        <v>16058</v>
      </c>
      <c r="BV78">
        <v>11991</v>
      </c>
      <c r="BW78">
        <v>0</v>
      </c>
      <c r="BX78">
        <v>0</v>
      </c>
      <c r="BY78">
        <v>3309</v>
      </c>
      <c r="BZ78">
        <v>4127</v>
      </c>
      <c r="CA78">
        <v>5225</v>
      </c>
      <c r="CB78">
        <v>123</v>
      </c>
      <c r="CC78">
        <v>30</v>
      </c>
      <c r="CD78">
        <v>28</v>
      </c>
      <c r="CE78">
        <v>1681</v>
      </c>
      <c r="CF78">
        <v>6587</v>
      </c>
      <c r="CG78">
        <v>1499</v>
      </c>
      <c r="CH78">
        <v>0</v>
      </c>
      <c r="CI78">
        <v>604</v>
      </c>
      <c r="CJ78">
        <v>191</v>
      </c>
      <c r="CK78">
        <v>0</v>
      </c>
      <c r="CL78">
        <v>0</v>
      </c>
      <c r="CM78">
        <v>0</v>
      </c>
      <c r="CN78">
        <v>0</v>
      </c>
      <c r="CO78">
        <v>65</v>
      </c>
      <c r="CP78">
        <v>0</v>
      </c>
      <c r="CQ78">
        <v>121</v>
      </c>
      <c r="CR78">
        <v>897</v>
      </c>
      <c r="CS78">
        <v>3642</v>
      </c>
      <c r="CT78">
        <v>14</v>
      </c>
      <c r="CU78">
        <v>491</v>
      </c>
      <c r="CV78">
        <v>677</v>
      </c>
      <c r="CW78">
        <v>99</v>
      </c>
      <c r="CX78">
        <v>0</v>
      </c>
      <c r="CY78">
        <v>0</v>
      </c>
      <c r="CZ78">
        <v>0</v>
      </c>
      <c r="DA78">
        <v>36</v>
      </c>
      <c r="DB78">
        <v>39</v>
      </c>
      <c r="DC78">
        <v>0</v>
      </c>
      <c r="DD78">
        <v>0</v>
      </c>
      <c r="DE78">
        <v>0</v>
      </c>
      <c r="DF78">
        <v>8</v>
      </c>
      <c r="DG78">
        <v>18</v>
      </c>
      <c r="DH78">
        <v>5</v>
      </c>
      <c r="DI78">
        <v>0</v>
      </c>
      <c r="DJ78">
        <v>0</v>
      </c>
      <c r="DK78">
        <v>327</v>
      </c>
      <c r="DL78">
        <v>0</v>
      </c>
      <c r="DM78">
        <v>0</v>
      </c>
      <c r="DN78">
        <v>0</v>
      </c>
      <c r="DO78">
        <v>0</v>
      </c>
      <c r="DP78">
        <v>352</v>
      </c>
      <c r="DQ78">
        <v>2594</v>
      </c>
      <c r="DR78">
        <v>16666</v>
      </c>
      <c r="DS78">
        <v>20917</v>
      </c>
      <c r="DT78">
        <v>21042</v>
      </c>
      <c r="DU78">
        <v>4973</v>
      </c>
      <c r="DV78">
        <v>4675</v>
      </c>
      <c r="DW78">
        <v>4696</v>
      </c>
      <c r="DX78">
        <v>933</v>
      </c>
      <c r="DY78">
        <v>2099</v>
      </c>
      <c r="DZ78">
        <v>1546</v>
      </c>
      <c r="EA78" s="183">
        <v>80</v>
      </c>
      <c r="EB78" s="83">
        <v>415</v>
      </c>
      <c r="EC78" s="184">
        <v>0</v>
      </c>
      <c r="ED78">
        <v>5242</v>
      </c>
      <c r="EE78">
        <v>3730</v>
      </c>
      <c r="EF78">
        <v>3465</v>
      </c>
      <c r="EG78">
        <v>1845</v>
      </c>
      <c r="EH78">
        <v>0</v>
      </c>
      <c r="EI78">
        <v>0</v>
      </c>
      <c r="EJ78">
        <v>460</v>
      </c>
      <c r="EK78">
        <v>943</v>
      </c>
      <c r="EL78">
        <v>213</v>
      </c>
      <c r="EM78">
        <v>2937</v>
      </c>
      <c r="EN78">
        <v>2788</v>
      </c>
      <c r="EO78">
        <v>3252</v>
      </c>
      <c r="EP78">
        <v>5438</v>
      </c>
      <c r="EQ78">
        <v>9998</v>
      </c>
      <c r="ER78">
        <v>11335</v>
      </c>
      <c r="ES78">
        <v>-2617</v>
      </c>
      <c r="ET78">
        <v>-6389</v>
      </c>
      <c r="EU78">
        <v>-1959</v>
      </c>
      <c r="EV78">
        <v>-2949</v>
      </c>
      <c r="EW78">
        <v>-6454</v>
      </c>
      <c r="EX78">
        <v>-1959</v>
      </c>
      <c r="EY78">
        <v>2617</v>
      </c>
      <c r="EZ78">
        <v>3190</v>
      </c>
      <c r="FA78">
        <v>15554</v>
      </c>
      <c r="FB78">
        <v>2411</v>
      </c>
      <c r="FC78">
        <v>3134</v>
      </c>
      <c r="FD78">
        <v>3354</v>
      </c>
      <c r="FE78">
        <v>206</v>
      </c>
      <c r="FF78">
        <v>56</v>
      </c>
      <c r="FG78">
        <v>0</v>
      </c>
      <c r="FH78">
        <v>0</v>
      </c>
      <c r="FI78">
        <v>0</v>
      </c>
      <c r="FJ78">
        <v>12200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2496</v>
      </c>
      <c r="GA78">
        <v>2645</v>
      </c>
      <c r="GB78">
        <v>14506</v>
      </c>
      <c r="GC78">
        <v>2496</v>
      </c>
      <c r="GD78">
        <v>2293</v>
      </c>
      <c r="GE78">
        <v>11912</v>
      </c>
      <c r="GF78">
        <f>BP78+CQ78</f>
        <v>19404</v>
      </c>
      <c r="GG78">
        <f>BQ78+CR78</f>
        <v>28268</v>
      </c>
      <c r="GH78">
        <f>BR78+CS78</f>
        <v>26643</v>
      </c>
      <c r="GI78">
        <f>DR78+EY78</f>
        <v>19283</v>
      </c>
      <c r="GJ78">
        <f>DS78+EZ78</f>
        <v>24107</v>
      </c>
      <c r="GK78">
        <f>DT78+FA78</f>
        <v>36596</v>
      </c>
      <c r="GL78">
        <f>GI78-GF78</f>
        <v>-121</v>
      </c>
      <c r="GM78">
        <f>GJ78-GG78</f>
        <v>-4161</v>
      </c>
      <c r="GN78">
        <f>GK78-GH78</f>
        <v>9953</v>
      </c>
      <c r="GO78">
        <f>GC78+EV78</f>
        <v>-453</v>
      </c>
      <c r="GP78">
        <f>GD78+EW78</f>
        <v>-4161</v>
      </c>
      <c r="GQ78">
        <f>GE78+EX78</f>
        <v>9953</v>
      </c>
      <c r="GS78" s="4"/>
      <c r="GT78" s="4"/>
      <c r="GV78" s="4"/>
      <c r="GW78" s="4"/>
      <c r="GX78" s="4"/>
      <c r="GZ78" s="4"/>
      <c r="HA78" s="4"/>
      <c r="HB78" s="4"/>
    </row>
    <row r="79" spans="1:210">
      <c r="A79" t="s">
        <v>79</v>
      </c>
      <c r="B79">
        <v>30</v>
      </c>
      <c r="C79">
        <v>5</v>
      </c>
      <c r="D79">
        <v>40</v>
      </c>
      <c r="E79">
        <v>0</v>
      </c>
      <c r="F79">
        <v>5</v>
      </c>
      <c r="G79">
        <v>30</v>
      </c>
      <c r="H79">
        <v>20</v>
      </c>
      <c r="I79" t="s">
        <v>41</v>
      </c>
      <c r="J79" t="s">
        <v>33</v>
      </c>
      <c r="K79">
        <v>3</v>
      </c>
      <c r="L79">
        <v>20</v>
      </c>
      <c r="M79">
        <v>50</v>
      </c>
      <c r="N79">
        <v>10</v>
      </c>
      <c r="O79">
        <v>20</v>
      </c>
      <c r="P79">
        <v>1</v>
      </c>
      <c r="Q79">
        <v>837</v>
      </c>
      <c r="R79">
        <v>868</v>
      </c>
      <c r="S79">
        <v>865</v>
      </c>
      <c r="T79">
        <v>746</v>
      </c>
      <c r="U79">
        <v>746</v>
      </c>
      <c r="V79">
        <v>746</v>
      </c>
      <c r="W79">
        <v>0</v>
      </c>
      <c r="X79">
        <v>0</v>
      </c>
      <c r="Y79">
        <v>0</v>
      </c>
      <c r="Z79">
        <v>91</v>
      </c>
      <c r="AA79">
        <v>122</v>
      </c>
      <c r="AB79">
        <v>119</v>
      </c>
      <c r="AC79">
        <v>4</v>
      </c>
      <c r="AD79">
        <v>4</v>
      </c>
      <c r="AE79">
        <v>5</v>
      </c>
      <c r="AF79">
        <v>0</v>
      </c>
      <c r="AG79">
        <v>0</v>
      </c>
      <c r="AH79">
        <v>0</v>
      </c>
      <c r="AI79">
        <v>87</v>
      </c>
      <c r="AJ79">
        <v>118</v>
      </c>
      <c r="AK79">
        <v>114</v>
      </c>
      <c r="AL79">
        <v>0</v>
      </c>
      <c r="AM79">
        <v>0</v>
      </c>
      <c r="AN79">
        <v>0</v>
      </c>
      <c r="AO79">
        <v>837</v>
      </c>
      <c r="AP79">
        <v>868</v>
      </c>
      <c r="AQ79">
        <v>865</v>
      </c>
      <c r="AR79">
        <v>837</v>
      </c>
      <c r="AS79">
        <v>868</v>
      </c>
      <c r="AT79">
        <v>865</v>
      </c>
      <c r="AU79">
        <v>0</v>
      </c>
      <c r="AV79">
        <v>0</v>
      </c>
      <c r="AW79">
        <v>0</v>
      </c>
      <c r="AX79">
        <v>837</v>
      </c>
      <c r="AY79">
        <v>868</v>
      </c>
      <c r="AZ79">
        <v>865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247</v>
      </c>
      <c r="BQ79">
        <v>179</v>
      </c>
      <c r="BR79">
        <v>296</v>
      </c>
      <c r="BS79">
        <v>144</v>
      </c>
      <c r="BT79">
        <v>163</v>
      </c>
      <c r="BU79">
        <v>267</v>
      </c>
      <c r="BV79">
        <v>98</v>
      </c>
      <c r="BW79">
        <v>0</v>
      </c>
      <c r="BX79">
        <v>0</v>
      </c>
      <c r="BY79">
        <v>0</v>
      </c>
      <c r="BZ79">
        <v>12</v>
      </c>
      <c r="CA79">
        <v>24</v>
      </c>
      <c r="CB79">
        <v>1</v>
      </c>
      <c r="CC79">
        <v>1</v>
      </c>
      <c r="CD79">
        <v>1</v>
      </c>
      <c r="CE79">
        <v>4</v>
      </c>
      <c r="CF79">
        <v>3</v>
      </c>
      <c r="CG79">
        <v>4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209</v>
      </c>
      <c r="DS79">
        <v>205</v>
      </c>
      <c r="DT79">
        <v>290</v>
      </c>
      <c r="DU79">
        <v>40</v>
      </c>
      <c r="DV79">
        <v>49</v>
      </c>
      <c r="DW79">
        <v>58</v>
      </c>
      <c r="DX79">
        <v>0</v>
      </c>
      <c r="DY79">
        <v>0</v>
      </c>
      <c r="DZ79">
        <v>0</v>
      </c>
      <c r="EA79" s="183">
        <v>0</v>
      </c>
      <c r="EB79" s="83">
        <v>0</v>
      </c>
      <c r="EC79" s="184">
        <v>0</v>
      </c>
      <c r="ED79">
        <v>21</v>
      </c>
      <c r="EE79">
        <v>27</v>
      </c>
      <c r="EF79">
        <v>22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21</v>
      </c>
      <c r="EN79">
        <v>27</v>
      </c>
      <c r="EO79">
        <v>22</v>
      </c>
      <c r="EP79">
        <v>148</v>
      </c>
      <c r="EQ79">
        <v>129</v>
      </c>
      <c r="ER79">
        <v>210</v>
      </c>
      <c r="ES79">
        <v>-38</v>
      </c>
      <c r="ET79">
        <v>26</v>
      </c>
      <c r="EU79">
        <v>-6</v>
      </c>
      <c r="EV79">
        <v>-38</v>
      </c>
      <c r="EW79">
        <v>26</v>
      </c>
      <c r="EX79">
        <v>-6</v>
      </c>
      <c r="EY79">
        <v>15</v>
      </c>
      <c r="EZ79">
        <v>5</v>
      </c>
      <c r="FA79">
        <v>3</v>
      </c>
      <c r="FB79">
        <v>15</v>
      </c>
      <c r="FC79">
        <v>5</v>
      </c>
      <c r="FD79">
        <v>3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15</v>
      </c>
      <c r="GA79">
        <v>5</v>
      </c>
      <c r="GB79">
        <v>3</v>
      </c>
      <c r="GC79">
        <v>15</v>
      </c>
      <c r="GD79">
        <v>5</v>
      </c>
      <c r="GE79">
        <v>3</v>
      </c>
      <c r="GF79">
        <f>BP79+CQ79</f>
        <v>247</v>
      </c>
      <c r="GG79">
        <f>BQ79+CR79</f>
        <v>179</v>
      </c>
      <c r="GH79">
        <f>BR79+CS79</f>
        <v>296</v>
      </c>
      <c r="GI79">
        <f>DR79+EY79</f>
        <v>224</v>
      </c>
      <c r="GJ79">
        <f>DS79+EZ79</f>
        <v>210</v>
      </c>
      <c r="GK79">
        <f>DT79+FA79</f>
        <v>293</v>
      </c>
      <c r="GL79">
        <f>GI79-GF79</f>
        <v>-23</v>
      </c>
      <c r="GM79">
        <f>GJ79-GG79</f>
        <v>31</v>
      </c>
      <c r="GN79">
        <f>GK79-GH79</f>
        <v>-3</v>
      </c>
      <c r="GO79">
        <f>GC79+EV79</f>
        <v>-23</v>
      </c>
      <c r="GP79">
        <f>GD79+EW79</f>
        <v>31</v>
      </c>
      <c r="GQ79">
        <f>GE79+EX79</f>
        <v>-3</v>
      </c>
      <c r="GS79" s="4"/>
      <c r="GT79" s="4"/>
      <c r="GV79" s="4"/>
      <c r="GW79" s="4"/>
      <c r="GX79" s="4"/>
      <c r="GZ79" s="4"/>
      <c r="HA79" s="4"/>
      <c r="HB79" s="4"/>
    </row>
    <row r="80" spans="1:210">
      <c r="A80" t="s">
        <v>87</v>
      </c>
      <c r="B80">
        <v>120</v>
      </c>
      <c r="C80">
        <v>5</v>
      </c>
      <c r="D80">
        <v>25</v>
      </c>
      <c r="E80">
        <v>10</v>
      </c>
      <c r="F80">
        <v>20</v>
      </c>
      <c r="G80">
        <v>30</v>
      </c>
      <c r="H80">
        <v>10</v>
      </c>
      <c r="I80" t="s">
        <v>41</v>
      </c>
      <c r="J80" t="s">
        <v>35</v>
      </c>
      <c r="K80">
        <v>5</v>
      </c>
      <c r="L80">
        <v>10</v>
      </c>
      <c r="M80">
        <v>70</v>
      </c>
      <c r="N80">
        <v>15</v>
      </c>
      <c r="O80">
        <v>5</v>
      </c>
      <c r="P80">
        <v>7</v>
      </c>
      <c r="Q80">
        <v>157</v>
      </c>
      <c r="R80">
        <v>101</v>
      </c>
      <c r="S80">
        <v>121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157</v>
      </c>
      <c r="AA80">
        <v>101</v>
      </c>
      <c r="AB80">
        <v>121</v>
      </c>
      <c r="AC80">
        <v>0</v>
      </c>
      <c r="AD80">
        <v>0</v>
      </c>
      <c r="AE80">
        <v>0</v>
      </c>
      <c r="AF80">
        <v>2</v>
      </c>
      <c r="AG80">
        <v>0</v>
      </c>
      <c r="AH80">
        <v>46</v>
      </c>
      <c r="AI80">
        <v>155</v>
      </c>
      <c r="AJ80">
        <v>101</v>
      </c>
      <c r="AK80">
        <v>75</v>
      </c>
      <c r="AL80">
        <v>0</v>
      </c>
      <c r="AM80">
        <v>0</v>
      </c>
      <c r="AN80">
        <v>0</v>
      </c>
      <c r="AO80">
        <v>157</v>
      </c>
      <c r="AP80">
        <v>101</v>
      </c>
      <c r="AQ80">
        <v>121</v>
      </c>
      <c r="AR80">
        <v>90</v>
      </c>
      <c r="AS80">
        <v>70</v>
      </c>
      <c r="AT80">
        <v>121</v>
      </c>
      <c r="AU80">
        <v>0</v>
      </c>
      <c r="AV80">
        <v>0</v>
      </c>
      <c r="AW80">
        <v>0</v>
      </c>
      <c r="AX80">
        <v>90</v>
      </c>
      <c r="AY80">
        <v>70</v>
      </c>
      <c r="AZ80">
        <v>121</v>
      </c>
      <c r="BA80">
        <v>67</v>
      </c>
      <c r="BB80">
        <v>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47</v>
      </c>
      <c r="BK80">
        <v>31</v>
      </c>
      <c r="BL80">
        <v>0</v>
      </c>
      <c r="BM80">
        <v>20</v>
      </c>
      <c r="BN80">
        <v>0</v>
      </c>
      <c r="BO80">
        <v>0</v>
      </c>
      <c r="BP80">
        <v>151</v>
      </c>
      <c r="BQ80">
        <v>252</v>
      </c>
      <c r="BR80">
        <v>181</v>
      </c>
      <c r="BS80">
        <v>32</v>
      </c>
      <c r="BT80">
        <v>247</v>
      </c>
      <c r="BU80">
        <v>174</v>
      </c>
      <c r="BV80">
        <v>113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3</v>
      </c>
      <c r="CF80">
        <v>3</v>
      </c>
      <c r="CG80">
        <v>3</v>
      </c>
      <c r="CH80">
        <v>0</v>
      </c>
      <c r="CI80">
        <v>0</v>
      </c>
      <c r="CJ80">
        <v>0</v>
      </c>
      <c r="CK80">
        <v>3</v>
      </c>
      <c r="CL80">
        <v>2</v>
      </c>
      <c r="CM80">
        <v>4</v>
      </c>
      <c r="CN80">
        <v>0</v>
      </c>
      <c r="CO80">
        <v>0</v>
      </c>
      <c r="CP80">
        <v>0</v>
      </c>
      <c r="CQ80">
        <v>0</v>
      </c>
      <c r="CR80">
        <v>26</v>
      </c>
      <c r="CS80">
        <v>0</v>
      </c>
      <c r="CT80">
        <v>0</v>
      </c>
      <c r="CU80">
        <v>16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207</v>
      </c>
      <c r="DS80">
        <v>228</v>
      </c>
      <c r="DT80">
        <v>231</v>
      </c>
      <c r="DU80">
        <v>12</v>
      </c>
      <c r="DV80">
        <v>0</v>
      </c>
      <c r="DW80">
        <v>22</v>
      </c>
      <c r="DX80">
        <v>0</v>
      </c>
      <c r="DY80">
        <v>0</v>
      </c>
      <c r="DZ80">
        <v>0</v>
      </c>
      <c r="EA80" s="183">
        <v>0</v>
      </c>
      <c r="EB80" s="83">
        <v>0</v>
      </c>
      <c r="EC80" s="184">
        <v>0</v>
      </c>
      <c r="ED80">
        <v>97</v>
      </c>
      <c r="EE80">
        <v>65</v>
      </c>
      <c r="EF80">
        <v>50</v>
      </c>
      <c r="EG80">
        <v>0</v>
      </c>
      <c r="EH80">
        <v>0</v>
      </c>
      <c r="EI80">
        <v>0</v>
      </c>
      <c r="EJ80">
        <v>60</v>
      </c>
      <c r="EK80">
        <v>0</v>
      </c>
      <c r="EL80">
        <v>0</v>
      </c>
      <c r="EM80">
        <v>37</v>
      </c>
      <c r="EN80">
        <v>65</v>
      </c>
      <c r="EO80">
        <v>50</v>
      </c>
      <c r="EP80" s="83">
        <v>98</v>
      </c>
      <c r="EQ80" s="83">
        <v>163</v>
      </c>
      <c r="ER80" s="83">
        <v>159</v>
      </c>
      <c r="ES80">
        <v>56</v>
      </c>
      <c r="ET80">
        <v>-24</v>
      </c>
      <c r="EU80">
        <v>50</v>
      </c>
      <c r="EV80">
        <v>56</v>
      </c>
      <c r="EW80">
        <v>-24</v>
      </c>
      <c r="EX80">
        <v>50</v>
      </c>
      <c r="EY80">
        <v>3</v>
      </c>
      <c r="EZ80">
        <v>30</v>
      </c>
      <c r="FA80">
        <v>0</v>
      </c>
      <c r="FB80">
        <v>3</v>
      </c>
      <c r="FC80">
        <v>30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3</v>
      </c>
      <c r="GA80">
        <v>4</v>
      </c>
      <c r="GB80">
        <v>0</v>
      </c>
      <c r="GC80">
        <v>3</v>
      </c>
      <c r="GD80">
        <v>4</v>
      </c>
      <c r="GE80">
        <v>0</v>
      </c>
      <c r="GF80" s="4">
        <f>BP80+CQ80</f>
        <v>151</v>
      </c>
      <c r="GG80">
        <f>BQ80+CR80</f>
        <v>278</v>
      </c>
      <c r="GH80" s="4">
        <f>BR80+CS80</f>
        <v>181</v>
      </c>
      <c r="GI80" s="4">
        <f>DR80+EY80</f>
        <v>210</v>
      </c>
      <c r="GJ80">
        <f>DS80+EZ80</f>
        <v>258</v>
      </c>
      <c r="GK80" s="4">
        <f>DT80+FA80</f>
        <v>231</v>
      </c>
      <c r="GL80" s="4">
        <f>GI80-GF80</f>
        <v>59</v>
      </c>
      <c r="GM80">
        <f>GJ80-GG80</f>
        <v>-20</v>
      </c>
      <c r="GN80" s="4">
        <f>GK80-GH80</f>
        <v>50</v>
      </c>
      <c r="GO80" s="4">
        <f>GC80+EV80</f>
        <v>59</v>
      </c>
      <c r="GP80">
        <f>GD80+EW80</f>
        <v>-20</v>
      </c>
      <c r="GQ80" s="4">
        <f>GE80+EX80</f>
        <v>50</v>
      </c>
      <c r="GS80" s="4"/>
      <c r="GT80" s="4"/>
      <c r="GV80" s="4"/>
      <c r="GW80" s="4"/>
      <c r="GX80" s="4"/>
      <c r="GZ80" s="4"/>
      <c r="HA80" s="4"/>
      <c r="HB80" s="4"/>
    </row>
    <row r="81" spans="1:210">
      <c r="A81" t="s">
        <v>98</v>
      </c>
      <c r="B81">
        <v>31</v>
      </c>
      <c r="C81">
        <v>5</v>
      </c>
      <c r="D81">
        <v>30</v>
      </c>
      <c r="E81">
        <v>10</v>
      </c>
      <c r="F81">
        <v>15</v>
      </c>
      <c r="G81">
        <v>20</v>
      </c>
      <c r="H81">
        <v>20</v>
      </c>
      <c r="I81" t="s">
        <v>41</v>
      </c>
      <c r="J81" t="s">
        <v>32</v>
      </c>
      <c r="K81">
        <v>5</v>
      </c>
      <c r="L81">
        <v>20</v>
      </c>
      <c r="M81">
        <v>50</v>
      </c>
      <c r="N81">
        <v>15</v>
      </c>
      <c r="O81">
        <v>15</v>
      </c>
      <c r="P81">
        <v>6</v>
      </c>
      <c r="Q81">
        <f>+T81+W81+Z81</f>
        <v>1117</v>
      </c>
      <c r="R81">
        <f>U81+X81+AA81</f>
        <v>1144</v>
      </c>
      <c r="S81">
        <f>V81+Y81+AB81</f>
        <v>1229</v>
      </c>
      <c r="T81">
        <f>1070+443</f>
        <v>1513</v>
      </c>
      <c r="U81">
        <f>1070+443</f>
        <v>1513</v>
      </c>
      <c r="V81">
        <v>1513</v>
      </c>
      <c r="W81">
        <v>-1070</v>
      </c>
      <c r="X81">
        <v>-1070</v>
      </c>
      <c r="Y81">
        <v>-1070</v>
      </c>
      <c r="Z81">
        <f>AC81+AI81</f>
        <v>674</v>
      </c>
      <c r="AA81">
        <f>AD81+AG81+AJ81</f>
        <v>701</v>
      </c>
      <c r="AB81">
        <f>AE81+AK81</f>
        <v>786</v>
      </c>
      <c r="AC81">
        <v>602</v>
      </c>
      <c r="AD81">
        <v>612</v>
      </c>
      <c r="AE81">
        <v>668</v>
      </c>
      <c r="AF81">
        <v>0</v>
      </c>
      <c r="AG81">
        <v>0</v>
      </c>
      <c r="AH81">
        <v>0</v>
      </c>
      <c r="AI81">
        <v>72</v>
      </c>
      <c r="AJ81">
        <v>89</v>
      </c>
      <c r="AK81">
        <v>118</v>
      </c>
      <c r="AL81">
        <v>0</v>
      </c>
      <c r="AM81">
        <v>0</v>
      </c>
      <c r="AN81">
        <v>0</v>
      </c>
      <c r="AO81">
        <v>1117</v>
      </c>
      <c r="AP81">
        <v>1144</v>
      </c>
      <c r="AQ81">
        <v>1229</v>
      </c>
      <c r="AR81">
        <v>1117</v>
      </c>
      <c r="AS81">
        <v>1144</v>
      </c>
      <c r="AT81">
        <v>1229</v>
      </c>
      <c r="AU81">
        <v>1117</v>
      </c>
      <c r="AV81">
        <f>1144-15</f>
        <v>1129</v>
      </c>
      <c r="AW81">
        <f>1229-35</f>
        <v>1194</v>
      </c>
      <c r="AX81">
        <v>0</v>
      </c>
      <c r="AY81">
        <v>15</v>
      </c>
      <c r="AZ81">
        <v>35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136</v>
      </c>
      <c r="BQ81">
        <v>138</v>
      </c>
      <c r="BR81">
        <v>229</v>
      </c>
      <c r="BS81">
        <v>99</v>
      </c>
      <c r="BT81">
        <v>103</v>
      </c>
      <c r="BU81">
        <v>99</v>
      </c>
      <c r="BV81">
        <v>35</v>
      </c>
      <c r="BW81">
        <v>32</v>
      </c>
      <c r="BX81">
        <v>59</v>
      </c>
      <c r="BY81">
        <v>0</v>
      </c>
      <c r="BZ81">
        <v>0</v>
      </c>
      <c r="CA81">
        <v>0</v>
      </c>
      <c r="CB81">
        <v>2</v>
      </c>
      <c r="CC81">
        <v>3</v>
      </c>
      <c r="CD81">
        <v>0</v>
      </c>
      <c r="CE81">
        <v>0</v>
      </c>
      <c r="CF81">
        <v>0</v>
      </c>
      <c r="CG81">
        <v>71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136</v>
      </c>
      <c r="DS81">
        <v>153</v>
      </c>
      <c r="DT81">
        <v>264</v>
      </c>
      <c r="DU81">
        <v>0</v>
      </c>
      <c r="DV81">
        <v>0</v>
      </c>
      <c r="DW81">
        <v>0</v>
      </c>
      <c r="DX81">
        <v>10</v>
      </c>
      <c r="DY81">
        <v>21</v>
      </c>
      <c r="DZ81">
        <v>17</v>
      </c>
      <c r="EA81" s="183">
        <v>0</v>
      </c>
      <c r="EB81" s="83">
        <v>0</v>
      </c>
      <c r="EC81" s="184">
        <v>0</v>
      </c>
      <c r="ED81">
        <f>EM81+EJ81+EG81</f>
        <v>67</v>
      </c>
      <c r="EE81">
        <f>EH81+EK81+EN81</f>
        <v>74</v>
      </c>
      <c r="EF81">
        <f>EI1558+EI81+EL81+EO81</f>
        <v>125</v>
      </c>
      <c r="EG81">
        <v>29</v>
      </c>
      <c r="EH81">
        <v>32</v>
      </c>
      <c r="EI81">
        <v>74</v>
      </c>
      <c r="EJ81">
        <v>16</v>
      </c>
      <c r="EK81">
        <v>17</v>
      </c>
      <c r="EL81">
        <v>9</v>
      </c>
      <c r="EM81">
        <v>22</v>
      </c>
      <c r="EN81">
        <v>25</v>
      </c>
      <c r="EO81">
        <v>42</v>
      </c>
      <c r="EP81">
        <v>59</v>
      </c>
      <c r="EQ81">
        <v>58</v>
      </c>
      <c r="ER81">
        <v>48</v>
      </c>
      <c r="ES81">
        <v>0</v>
      </c>
      <c r="ET81">
        <v>15</v>
      </c>
      <c r="EU81">
        <v>35</v>
      </c>
      <c r="EV81">
        <v>0</v>
      </c>
      <c r="EW81">
        <v>15</v>
      </c>
      <c r="EX81">
        <v>35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 s="4">
        <f>BP81+CQ81</f>
        <v>136</v>
      </c>
      <c r="GG81">
        <f>BQ81+CR81</f>
        <v>138</v>
      </c>
      <c r="GH81" s="4">
        <f>BR81+CS81</f>
        <v>229</v>
      </c>
      <c r="GI81" s="4">
        <f>DR81+EY81</f>
        <v>136</v>
      </c>
      <c r="GJ81">
        <f>DS81+EZ81</f>
        <v>153</v>
      </c>
      <c r="GK81" s="4">
        <f>DT81+FA81</f>
        <v>264</v>
      </c>
      <c r="GL81" s="4">
        <f>GI81-GF81</f>
        <v>0</v>
      </c>
      <c r="GM81">
        <f>GJ81-GG81</f>
        <v>15</v>
      </c>
      <c r="GN81" s="4">
        <f>GK81-GH81</f>
        <v>35</v>
      </c>
      <c r="GO81" s="4">
        <f>GC81+EV81</f>
        <v>0</v>
      </c>
      <c r="GP81">
        <f>GD81+EW81</f>
        <v>15</v>
      </c>
      <c r="GQ81" s="4">
        <f>GE81+EX81</f>
        <v>35</v>
      </c>
      <c r="GS81" s="4"/>
      <c r="GT81" s="4"/>
      <c r="GV81" s="4"/>
      <c r="GW81" s="4"/>
      <c r="GX81" s="4"/>
      <c r="GZ81" s="4"/>
      <c r="HA81" s="4"/>
      <c r="HB81" s="4"/>
    </row>
    <row r="82" spans="1:210">
      <c r="A82" t="s">
        <v>53</v>
      </c>
      <c r="B82">
        <v>140</v>
      </c>
      <c r="C82">
        <v>0</v>
      </c>
      <c r="D82">
        <v>90</v>
      </c>
      <c r="E82">
        <v>3</v>
      </c>
      <c r="F82">
        <v>3</v>
      </c>
      <c r="G82">
        <v>4</v>
      </c>
      <c r="H82">
        <v>0</v>
      </c>
      <c r="I82" t="s">
        <v>34</v>
      </c>
      <c r="J82" t="s">
        <v>32</v>
      </c>
      <c r="K82">
        <v>7</v>
      </c>
      <c r="L82">
        <v>65</v>
      </c>
      <c r="M82">
        <v>25</v>
      </c>
      <c r="N82">
        <v>5</v>
      </c>
      <c r="O82">
        <v>5</v>
      </c>
      <c r="P82">
        <v>7</v>
      </c>
      <c r="Q82">
        <v>7447</v>
      </c>
      <c r="R82">
        <v>7156</v>
      </c>
      <c r="S82">
        <v>7144</v>
      </c>
      <c r="T82">
        <v>1582</v>
      </c>
      <c r="U82">
        <v>1582</v>
      </c>
      <c r="V82">
        <v>1723</v>
      </c>
      <c r="W82">
        <v>-1513</v>
      </c>
      <c r="X82">
        <v>1582</v>
      </c>
      <c r="Y82">
        <v>1612</v>
      </c>
      <c r="Z82">
        <v>7378</v>
      </c>
      <c r="AA82">
        <v>7156</v>
      </c>
      <c r="AB82">
        <v>7024</v>
      </c>
      <c r="AC82">
        <v>130</v>
      </c>
      <c r="AD82">
        <v>7070</v>
      </c>
      <c r="AE82">
        <v>131</v>
      </c>
      <c r="AF82">
        <v>50</v>
      </c>
      <c r="AG82">
        <v>263</v>
      </c>
      <c r="AH82">
        <v>52</v>
      </c>
      <c r="AI82">
        <v>7192</v>
      </c>
      <c r="AJ82">
        <v>6816</v>
      </c>
      <c r="AK82">
        <v>6841</v>
      </c>
      <c r="AL82">
        <v>6</v>
      </c>
      <c r="AM82">
        <v>7</v>
      </c>
      <c r="AN82">
        <v>0</v>
      </c>
      <c r="AO82">
        <v>7447</v>
      </c>
      <c r="AP82">
        <v>7156</v>
      </c>
      <c r="AQ82">
        <v>7144</v>
      </c>
      <c r="AR82">
        <v>5493</v>
      </c>
      <c r="AS82">
        <v>5410</v>
      </c>
      <c r="AT82">
        <v>5081</v>
      </c>
      <c r="AU82">
        <v>6665</v>
      </c>
      <c r="AV82">
        <v>5493</v>
      </c>
      <c r="AW82">
        <v>5249</v>
      </c>
      <c r="AX82">
        <v>-1172</v>
      </c>
      <c r="AY82">
        <v>-83</v>
      </c>
      <c r="AZ82">
        <v>-168</v>
      </c>
      <c r="BA82">
        <v>1954</v>
      </c>
      <c r="BB82">
        <v>1745</v>
      </c>
      <c r="BC82">
        <v>2063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618</v>
      </c>
      <c r="BK82">
        <v>300</v>
      </c>
      <c r="BL82">
        <v>748</v>
      </c>
      <c r="BM82">
        <v>1336</v>
      </c>
      <c r="BN82">
        <v>1445</v>
      </c>
      <c r="BO82">
        <v>0</v>
      </c>
      <c r="BP82">
        <v>15197</v>
      </c>
      <c r="BQ82">
        <v>15011</v>
      </c>
      <c r="BR82">
        <v>18453</v>
      </c>
      <c r="BS82">
        <v>1551</v>
      </c>
      <c r="BT82">
        <v>2045</v>
      </c>
      <c r="BU82">
        <v>3051</v>
      </c>
      <c r="BV82">
        <v>8682</v>
      </c>
      <c r="BW82">
        <f>10448-2045</f>
        <v>8403</v>
      </c>
      <c r="BX82">
        <f>13943-BU82</f>
        <v>10892</v>
      </c>
      <c r="BY82">
        <v>3698</v>
      </c>
      <c r="BZ82">
        <v>4266</v>
      </c>
      <c r="CA82">
        <v>4315</v>
      </c>
      <c r="CB82">
        <v>14</v>
      </c>
      <c r="CC82">
        <v>0.5</v>
      </c>
      <c r="CD82">
        <v>0</v>
      </c>
      <c r="CE82">
        <v>1020</v>
      </c>
      <c r="CF82">
        <v>36</v>
      </c>
      <c r="CG82">
        <v>48</v>
      </c>
      <c r="CH82">
        <v>69</v>
      </c>
      <c r="CI82">
        <v>69</v>
      </c>
      <c r="CJ82">
        <v>30</v>
      </c>
      <c r="CK82">
        <v>163</v>
      </c>
      <c r="CL82">
        <v>191</v>
      </c>
      <c r="CM82">
        <v>117</v>
      </c>
      <c r="CN82">
        <v>0</v>
      </c>
      <c r="CO82">
        <v>0.5</v>
      </c>
      <c r="CP82">
        <v>0</v>
      </c>
      <c r="CQ82">
        <v>742</v>
      </c>
      <c r="CR82">
        <v>996</v>
      </c>
      <c r="CS82">
        <v>301</v>
      </c>
      <c r="CT82">
        <v>52</v>
      </c>
      <c r="CU82">
        <v>3</v>
      </c>
      <c r="CV82">
        <v>9</v>
      </c>
      <c r="CW82">
        <v>494</v>
      </c>
      <c r="CX82">
        <v>817</v>
      </c>
      <c r="CY82">
        <v>229</v>
      </c>
      <c r="CZ82">
        <v>56</v>
      </c>
      <c r="DA82">
        <v>176</v>
      </c>
      <c r="DB82">
        <v>0</v>
      </c>
      <c r="DC82">
        <v>0</v>
      </c>
      <c r="DD82">
        <v>0</v>
      </c>
      <c r="DE82">
        <v>0</v>
      </c>
      <c r="DF82">
        <v>140</v>
      </c>
      <c r="DG82">
        <v>0</v>
      </c>
      <c r="DH82">
        <v>63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13918</v>
      </c>
      <c r="DS82">
        <v>15137</v>
      </c>
      <c r="DT82">
        <v>18218</v>
      </c>
      <c r="DU82">
        <v>3898</v>
      </c>
      <c r="DV82">
        <v>3369</v>
      </c>
      <c r="DW82">
        <v>4430</v>
      </c>
      <c r="DX82">
        <v>8</v>
      </c>
      <c r="DY82">
        <v>9</v>
      </c>
      <c r="DZ82">
        <v>50</v>
      </c>
      <c r="EA82" s="183">
        <v>20</v>
      </c>
      <c r="EB82" s="83">
        <v>0</v>
      </c>
      <c r="EC82" s="184">
        <v>0</v>
      </c>
      <c r="ED82">
        <v>7805</v>
      </c>
      <c r="EE82">
        <v>6401</v>
      </c>
      <c r="EF82">
        <v>6442</v>
      </c>
      <c r="EG82">
        <v>1552</v>
      </c>
      <c r="EH82">
        <v>0</v>
      </c>
      <c r="EI82">
        <v>0</v>
      </c>
      <c r="EJ82">
        <v>1779</v>
      </c>
      <c r="EK82">
        <v>1082</v>
      </c>
      <c r="EL82">
        <v>534</v>
      </c>
      <c r="EM82">
        <v>4474</v>
      </c>
      <c r="EN82">
        <v>5319</v>
      </c>
      <c r="EO82">
        <v>5908</v>
      </c>
      <c r="EP82">
        <v>2187</v>
      </c>
      <c r="EQ82">
        <v>5358</v>
      </c>
      <c r="ER82">
        <v>7293</v>
      </c>
      <c r="ES82">
        <f>--1279</f>
        <v>1279</v>
      </c>
      <c r="ET82">
        <v>126</v>
      </c>
      <c r="EU82">
        <v>-235</v>
      </c>
      <c r="EV82">
        <v>-1281</v>
      </c>
      <c r="EW82">
        <v>126</v>
      </c>
      <c r="EX82">
        <v>-235</v>
      </c>
      <c r="EY82">
        <v>851</v>
      </c>
      <c r="EZ82">
        <v>787</v>
      </c>
      <c r="FA82">
        <v>368</v>
      </c>
      <c r="FB82">
        <v>849</v>
      </c>
      <c r="FC82">
        <v>782</v>
      </c>
      <c r="FD82">
        <v>76</v>
      </c>
      <c r="FE82">
        <v>2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5</v>
      </c>
      <c r="FM82">
        <v>292</v>
      </c>
      <c r="FN82">
        <v>0</v>
      </c>
      <c r="FO82">
        <v>0</v>
      </c>
      <c r="FP82">
        <v>0</v>
      </c>
      <c r="FQ82">
        <v>0</v>
      </c>
      <c r="FR82">
        <v>5</v>
      </c>
      <c r="FS82">
        <v>292</v>
      </c>
      <c r="FT82">
        <v>0</v>
      </c>
      <c r="FU82">
        <v>0</v>
      </c>
      <c r="FV82">
        <v>0</v>
      </c>
      <c r="FW82">
        <v>0</v>
      </c>
      <c r="FY82">
        <v>0</v>
      </c>
      <c r="FZ82">
        <v>109</v>
      </c>
      <c r="GA82">
        <v>-209</v>
      </c>
      <c r="GB82">
        <v>67</v>
      </c>
      <c r="GC82">
        <v>109</v>
      </c>
      <c r="GD82">
        <v>-209</v>
      </c>
      <c r="GE82">
        <v>67</v>
      </c>
      <c r="GF82">
        <f>BP82+CQ82</f>
        <v>15939</v>
      </c>
      <c r="GG82">
        <f>BQ82+CR82</f>
        <v>16007</v>
      </c>
      <c r="GH82">
        <f>BR82+CS82</f>
        <v>18754</v>
      </c>
      <c r="GI82">
        <f>DR82+EY82</f>
        <v>14769</v>
      </c>
      <c r="GJ82">
        <f>DS82+EZ82</f>
        <v>15924</v>
      </c>
      <c r="GK82">
        <f>DT82+FA82</f>
        <v>18586</v>
      </c>
      <c r="GL82">
        <f>GI82-GF82</f>
        <v>-1170</v>
      </c>
      <c r="GM82">
        <f>GJ82-GG82</f>
        <v>-83</v>
      </c>
      <c r="GN82">
        <f>GK82-GH82</f>
        <v>-168</v>
      </c>
      <c r="GO82">
        <f>GC82+EV82</f>
        <v>-1172</v>
      </c>
      <c r="GP82">
        <f>GD82+EW82</f>
        <v>-83</v>
      </c>
      <c r="GQ82">
        <f>GE82+EX82</f>
        <v>-168</v>
      </c>
      <c r="GS82" s="4"/>
      <c r="GT82" s="4"/>
      <c r="GV82" s="4"/>
      <c r="GW82" s="4"/>
      <c r="GX82" s="4"/>
      <c r="GZ82" s="4"/>
      <c r="HA82" s="4"/>
      <c r="HB82" s="4"/>
    </row>
    <row r="83" spans="1:210">
      <c r="A83" t="s">
        <v>88</v>
      </c>
      <c r="B83">
        <v>180</v>
      </c>
      <c r="C83">
        <v>3</v>
      </c>
      <c r="D83">
        <v>45</v>
      </c>
      <c r="E83">
        <v>30</v>
      </c>
      <c r="F83">
        <v>10</v>
      </c>
      <c r="G83">
        <v>10</v>
      </c>
      <c r="H83">
        <v>2</v>
      </c>
      <c r="I83" t="s">
        <v>34</v>
      </c>
      <c r="J83" t="s">
        <v>33</v>
      </c>
      <c r="K83">
        <v>3</v>
      </c>
      <c r="L83">
        <v>60</v>
      </c>
      <c r="M83">
        <v>30</v>
      </c>
      <c r="N83">
        <v>9</v>
      </c>
      <c r="O83">
        <v>1</v>
      </c>
      <c r="P83">
        <v>5</v>
      </c>
      <c r="Q83">
        <v>659</v>
      </c>
      <c r="R83">
        <v>752</v>
      </c>
      <c r="S83">
        <v>803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658</v>
      </c>
      <c r="AA83">
        <v>752</v>
      </c>
      <c r="AB83">
        <v>803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80</v>
      </c>
      <c r="AI83">
        <v>633</v>
      </c>
      <c r="AJ83">
        <v>722</v>
      </c>
      <c r="AK83">
        <v>691</v>
      </c>
      <c r="AL83">
        <v>25</v>
      </c>
      <c r="AM83">
        <v>30</v>
      </c>
      <c r="AN83">
        <v>111</v>
      </c>
      <c r="AO83">
        <v>658</v>
      </c>
      <c r="AP83">
        <v>752</v>
      </c>
      <c r="AQ83">
        <v>803</v>
      </c>
      <c r="AR83">
        <v>636</v>
      </c>
      <c r="AS83">
        <f>AP83-BB83</f>
        <v>711</v>
      </c>
      <c r="AT83">
        <f>AQ83-BC83</f>
        <v>763</v>
      </c>
      <c r="AU83">
        <f>AR83-AX83</f>
        <v>558</v>
      </c>
      <c r="AV83">
        <f>AS83-AY83</f>
        <v>611</v>
      </c>
      <c r="AW83">
        <f>AT83-AZ83</f>
        <v>739</v>
      </c>
      <c r="AX83">
        <v>78</v>
      </c>
      <c r="AY83">
        <v>100</v>
      </c>
      <c r="AZ83">
        <v>24</v>
      </c>
      <c r="BA83">
        <v>22</v>
      </c>
      <c r="BB83">
        <v>41</v>
      </c>
      <c r="BC83">
        <v>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22</v>
      </c>
      <c r="BK83">
        <v>41</v>
      </c>
      <c r="BL83">
        <v>40</v>
      </c>
      <c r="BM83">
        <v>0</v>
      </c>
      <c r="BN83">
        <v>0</v>
      </c>
      <c r="BO83">
        <v>0</v>
      </c>
      <c r="BP83">
        <v>1409</v>
      </c>
      <c r="BQ83">
        <v>1448</v>
      </c>
      <c r="BR83">
        <v>1447</v>
      </c>
      <c r="BS83">
        <v>86</v>
      </c>
      <c r="BT83">
        <v>19</v>
      </c>
      <c r="BU83">
        <v>18</v>
      </c>
      <c r="BV83">
        <v>1067</v>
      </c>
      <c r="BW83">
        <v>1107</v>
      </c>
      <c r="BX83">
        <v>995</v>
      </c>
      <c r="BY83">
        <v>252</v>
      </c>
      <c r="BZ83">
        <v>318</v>
      </c>
      <c r="CA83">
        <v>426</v>
      </c>
      <c r="CB83">
        <v>0</v>
      </c>
      <c r="CC83">
        <v>0</v>
      </c>
      <c r="CD83">
        <v>5</v>
      </c>
      <c r="CE83">
        <v>3</v>
      </c>
      <c r="CF83">
        <v>3</v>
      </c>
      <c r="CG83">
        <v>3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1487</v>
      </c>
      <c r="DS83">
        <v>1548</v>
      </c>
      <c r="DT83">
        <v>1471</v>
      </c>
      <c r="DU83">
        <v>51</v>
      </c>
      <c r="DV83">
        <v>47</v>
      </c>
      <c r="DW83">
        <v>80</v>
      </c>
      <c r="DX83">
        <v>847</v>
      </c>
      <c r="DY83">
        <v>809</v>
      </c>
      <c r="DZ83">
        <v>781</v>
      </c>
      <c r="EA83" s="183">
        <v>0</v>
      </c>
      <c r="EB83" s="83">
        <v>0</v>
      </c>
      <c r="EC83" s="184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589</v>
      </c>
      <c r="EQ83">
        <v>692</v>
      </c>
      <c r="ER83">
        <v>700</v>
      </c>
      <c r="ES83">
        <v>78</v>
      </c>
      <c r="ET83">
        <v>100</v>
      </c>
      <c r="EU83">
        <v>24</v>
      </c>
      <c r="EV83">
        <v>78</v>
      </c>
      <c r="EW83">
        <v>100</v>
      </c>
      <c r="EX83">
        <v>24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 s="4">
        <f>BP83+CQ83</f>
        <v>1409</v>
      </c>
      <c r="GG83">
        <f>BQ83+CR83</f>
        <v>1448</v>
      </c>
      <c r="GH83" s="4">
        <f>BR83+CS83</f>
        <v>1447</v>
      </c>
      <c r="GI83" s="4">
        <f>DR83+EY83</f>
        <v>1487</v>
      </c>
      <c r="GJ83">
        <f>DS83+EZ83</f>
        <v>1548</v>
      </c>
      <c r="GK83" s="4">
        <f>DT83+FA83</f>
        <v>1471</v>
      </c>
      <c r="GL83" s="4">
        <f>GI83-GF83</f>
        <v>78</v>
      </c>
      <c r="GM83">
        <f>GJ83-GG83</f>
        <v>100</v>
      </c>
      <c r="GN83" s="4">
        <f>GK83-GH83</f>
        <v>24</v>
      </c>
      <c r="GO83" s="4">
        <f>GC83+EV83</f>
        <v>78</v>
      </c>
      <c r="GP83">
        <f>GD83+EW83</f>
        <v>100</v>
      </c>
      <c r="GQ83" s="4">
        <f>GE83+EX83</f>
        <v>24</v>
      </c>
      <c r="GS83" s="4"/>
      <c r="GT83" s="4"/>
      <c r="GV83" s="4"/>
      <c r="GW83" s="4"/>
      <c r="GX83" s="4"/>
      <c r="GZ83" s="4"/>
      <c r="HA83" s="4"/>
      <c r="HB83" s="4"/>
    </row>
    <row r="84" spans="1:210">
      <c r="A84" t="s">
        <v>139</v>
      </c>
      <c r="B84">
        <v>350</v>
      </c>
      <c r="C84">
        <v>10</v>
      </c>
      <c r="D84">
        <v>63</v>
      </c>
      <c r="E84">
        <v>13</v>
      </c>
      <c r="F84">
        <v>7</v>
      </c>
      <c r="G84">
        <v>5</v>
      </c>
      <c r="H84">
        <v>2</v>
      </c>
      <c r="I84" t="s">
        <v>34</v>
      </c>
      <c r="J84" t="s">
        <v>33</v>
      </c>
      <c r="K84">
        <v>6</v>
      </c>
      <c r="L84">
        <v>30</v>
      </c>
      <c r="M84">
        <v>60</v>
      </c>
      <c r="N84">
        <v>5</v>
      </c>
      <c r="O84">
        <v>5</v>
      </c>
      <c r="P84">
        <v>7</v>
      </c>
      <c r="Q84">
        <v>733</v>
      </c>
      <c r="R84">
        <v>571</v>
      </c>
      <c r="S84">
        <v>496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733</v>
      </c>
      <c r="AA84">
        <v>571</v>
      </c>
      <c r="AB84">
        <v>498</v>
      </c>
      <c r="AC84">
        <v>0</v>
      </c>
      <c r="AD84">
        <v>0</v>
      </c>
      <c r="AE84">
        <v>0</v>
      </c>
      <c r="AF84">
        <v>0</v>
      </c>
      <c r="AG84">
        <v>50</v>
      </c>
      <c r="AH84">
        <v>50</v>
      </c>
      <c r="AI84">
        <v>565</v>
      </c>
      <c r="AJ84">
        <v>521</v>
      </c>
      <c r="AK84">
        <v>448</v>
      </c>
      <c r="AL84">
        <v>168</v>
      </c>
      <c r="AM84">
        <v>0</v>
      </c>
      <c r="AN84">
        <v>0</v>
      </c>
      <c r="AO84">
        <v>733</v>
      </c>
      <c r="AP84">
        <v>571</v>
      </c>
      <c r="AQ84">
        <v>498</v>
      </c>
      <c r="AR84">
        <v>585</v>
      </c>
      <c r="AS84">
        <v>331</v>
      </c>
      <c r="AT84">
        <v>150</v>
      </c>
      <c r="AU84">
        <v>0</v>
      </c>
      <c r="AV84">
        <v>300</v>
      </c>
      <c r="AW84">
        <v>300</v>
      </c>
      <c r="AX84">
        <v>585</v>
      </c>
      <c r="AY84">
        <v>31</v>
      </c>
      <c r="AZ84">
        <v>-150</v>
      </c>
      <c r="BA84">
        <v>148</v>
      </c>
      <c r="BB84">
        <v>240</v>
      </c>
      <c r="BC84">
        <v>348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131</v>
      </c>
      <c r="BK84">
        <v>240</v>
      </c>
      <c r="BL84">
        <v>348</v>
      </c>
      <c r="BM84">
        <v>17</v>
      </c>
      <c r="BN84">
        <v>0</v>
      </c>
      <c r="BO84">
        <v>0</v>
      </c>
      <c r="BP84">
        <v>3785</v>
      </c>
      <c r="BQ84">
        <v>4642</v>
      </c>
      <c r="BR84">
        <v>5306</v>
      </c>
      <c r="BS84">
        <v>63</v>
      </c>
      <c r="BT84">
        <v>3197</v>
      </c>
      <c r="BU84">
        <v>3552</v>
      </c>
      <c r="BV84">
        <v>2375</v>
      </c>
      <c r="BW84">
        <v>0</v>
      </c>
      <c r="BX84">
        <v>0</v>
      </c>
      <c r="BY84">
        <v>1278</v>
      </c>
      <c r="BZ84">
        <v>1291</v>
      </c>
      <c r="CA84">
        <v>1720</v>
      </c>
      <c r="CB84">
        <v>56</v>
      </c>
      <c r="CC84">
        <v>0</v>
      </c>
      <c r="CD84">
        <v>0</v>
      </c>
      <c r="CE84">
        <v>13</v>
      </c>
      <c r="CF84">
        <v>47</v>
      </c>
      <c r="CG84">
        <v>34</v>
      </c>
      <c r="CH84">
        <v>0</v>
      </c>
      <c r="CI84">
        <v>0</v>
      </c>
      <c r="CJ84">
        <v>0</v>
      </c>
      <c r="CK84">
        <v>0</v>
      </c>
      <c r="CL84">
        <v>107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3928</v>
      </c>
      <c r="DS84">
        <v>3940</v>
      </c>
      <c r="DT84">
        <v>5030</v>
      </c>
      <c r="DU84">
        <v>887</v>
      </c>
      <c r="DV84">
        <v>0</v>
      </c>
      <c r="DW84">
        <v>64</v>
      </c>
      <c r="DX84">
        <v>0</v>
      </c>
      <c r="DY84">
        <v>-3</v>
      </c>
      <c r="DZ84">
        <v>1</v>
      </c>
      <c r="EA84" s="183">
        <v>0</v>
      </c>
      <c r="EB84" s="83">
        <v>0</v>
      </c>
      <c r="EC84" s="184">
        <v>0</v>
      </c>
      <c r="ED84">
        <v>1265</v>
      </c>
      <c r="EE84">
        <v>2084</v>
      </c>
      <c r="EF84">
        <v>2592</v>
      </c>
      <c r="EG84">
        <v>0</v>
      </c>
      <c r="EH84">
        <v>0</v>
      </c>
      <c r="EI84">
        <v>0</v>
      </c>
      <c r="EJ84">
        <v>97</v>
      </c>
      <c r="EK84">
        <v>431</v>
      </c>
      <c r="EL84">
        <v>619</v>
      </c>
      <c r="EM84">
        <v>1168</v>
      </c>
      <c r="EN84">
        <v>1653</v>
      </c>
      <c r="EO84">
        <v>1973</v>
      </c>
      <c r="EP84">
        <v>1776</v>
      </c>
      <c r="EQ84">
        <v>1859</v>
      </c>
      <c r="ER84">
        <v>2373</v>
      </c>
      <c r="ES84">
        <v>143</v>
      </c>
      <c r="ET84">
        <v>-702</v>
      </c>
      <c r="EU84">
        <v>-276</v>
      </c>
      <c r="EV84">
        <v>143</v>
      </c>
      <c r="EW84">
        <v>-702</v>
      </c>
      <c r="EX84">
        <v>-276</v>
      </c>
      <c r="EY84">
        <v>0</v>
      </c>
      <c r="EZ84">
        <v>148</v>
      </c>
      <c r="FA84">
        <v>96</v>
      </c>
      <c r="FB84">
        <v>0</v>
      </c>
      <c r="FC84">
        <v>148</v>
      </c>
      <c r="FD84">
        <v>96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148</v>
      </c>
      <c r="GB84">
        <v>96</v>
      </c>
      <c r="GC84">
        <v>0</v>
      </c>
      <c r="GD84">
        <v>148</v>
      </c>
      <c r="GE84">
        <v>96</v>
      </c>
      <c r="GF84" s="4">
        <f>BP84+CQ84</f>
        <v>3785</v>
      </c>
      <c r="GG84">
        <f>BQ84+CR84</f>
        <v>4642</v>
      </c>
      <c r="GH84" s="4">
        <f>BR84+CS84</f>
        <v>5306</v>
      </c>
      <c r="GI84" s="4">
        <f>DR84+EY84</f>
        <v>3928</v>
      </c>
      <c r="GJ84">
        <f>DS84+EZ84</f>
        <v>4088</v>
      </c>
      <c r="GK84" s="4">
        <f>DT84+FA84</f>
        <v>5126</v>
      </c>
      <c r="GL84" s="4">
        <f>GI84-GF84</f>
        <v>143</v>
      </c>
      <c r="GM84">
        <f>GJ84-GG84</f>
        <v>-554</v>
      </c>
      <c r="GN84" s="4">
        <f>GK84-GH84</f>
        <v>-180</v>
      </c>
      <c r="GO84" s="4">
        <f>GC84+EV84</f>
        <v>143</v>
      </c>
      <c r="GP84">
        <f>GD84+EW84</f>
        <v>-554</v>
      </c>
      <c r="GQ84" s="4">
        <f>GE84+EX84</f>
        <v>-180</v>
      </c>
      <c r="GS84" s="4"/>
      <c r="GT84" s="4"/>
      <c r="GV84" s="4"/>
      <c r="GW84" s="4"/>
      <c r="GX84" s="4"/>
      <c r="GZ84" s="4"/>
      <c r="HA84" s="4"/>
      <c r="HB84" s="4"/>
    </row>
    <row r="85" spans="1:210">
      <c r="A85" t="s">
        <v>140</v>
      </c>
      <c r="B85">
        <v>210</v>
      </c>
      <c r="C85">
        <v>4</v>
      </c>
      <c r="D85">
        <v>70</v>
      </c>
      <c r="E85">
        <v>15</v>
      </c>
      <c r="F85">
        <v>5</v>
      </c>
      <c r="G85">
        <v>4</v>
      </c>
      <c r="H85">
        <v>2</v>
      </c>
      <c r="I85" t="s">
        <v>34</v>
      </c>
      <c r="J85" t="s">
        <v>33</v>
      </c>
      <c r="K85">
        <v>4</v>
      </c>
      <c r="L85">
        <v>70</v>
      </c>
      <c r="M85">
        <v>25</v>
      </c>
      <c r="N85">
        <v>5</v>
      </c>
      <c r="O85">
        <v>0</v>
      </c>
      <c r="P85">
        <v>3</v>
      </c>
      <c r="Q85">
        <v>742</v>
      </c>
      <c r="R85">
        <v>3127</v>
      </c>
      <c r="S85">
        <v>1438</v>
      </c>
      <c r="T85">
        <v>0</v>
      </c>
      <c r="U85">
        <v>165</v>
      </c>
      <c r="V85">
        <v>0</v>
      </c>
      <c r="W85">
        <v>0</v>
      </c>
      <c r="X85">
        <v>-165</v>
      </c>
      <c r="Y85">
        <v>0</v>
      </c>
      <c r="Z85">
        <v>742</v>
      </c>
      <c r="AA85">
        <v>3127</v>
      </c>
      <c r="AB85">
        <v>1438</v>
      </c>
      <c r="AC85">
        <v>0</v>
      </c>
      <c r="AD85">
        <v>0</v>
      </c>
      <c r="AE85">
        <v>0</v>
      </c>
      <c r="AF85">
        <v>0</v>
      </c>
      <c r="AG85">
        <v>86</v>
      </c>
      <c r="AH85">
        <v>0</v>
      </c>
      <c r="AI85">
        <v>742</v>
      </c>
      <c r="AJ85">
        <v>3031</v>
      </c>
      <c r="AK85">
        <f>AB85-AN85</f>
        <v>1350</v>
      </c>
      <c r="AL85">
        <v>0</v>
      </c>
      <c r="AM85">
        <v>10</v>
      </c>
      <c r="AN85">
        <v>88</v>
      </c>
      <c r="AO85">
        <v>742</v>
      </c>
      <c r="AP85">
        <v>3127</v>
      </c>
      <c r="AQ85">
        <v>1438</v>
      </c>
      <c r="AR85">
        <v>520</v>
      </c>
      <c r="AS85">
        <v>3051</v>
      </c>
      <c r="AT85">
        <f>AQ85-AW85-AZ85</f>
        <v>200</v>
      </c>
      <c r="AU85">
        <v>376</v>
      </c>
      <c r="AV85">
        <v>1079</v>
      </c>
      <c r="AW85">
        <v>954</v>
      </c>
      <c r="AX85">
        <v>144</v>
      </c>
      <c r="AY85">
        <v>1972</v>
      </c>
      <c r="AZ85">
        <v>284</v>
      </c>
      <c r="BA85">
        <v>22</v>
      </c>
      <c r="BB85">
        <v>76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22</v>
      </c>
      <c r="BK85">
        <v>76</v>
      </c>
      <c r="BL85">
        <v>0</v>
      </c>
      <c r="BM85">
        <v>200</v>
      </c>
      <c r="BN85">
        <v>0</v>
      </c>
      <c r="BO85">
        <v>0</v>
      </c>
      <c r="BP85">
        <v>1195</v>
      </c>
      <c r="BQ85">
        <v>1496</v>
      </c>
      <c r="BR85">
        <v>1743</v>
      </c>
      <c r="BS85">
        <v>46</v>
      </c>
      <c r="BT85">
        <v>76</v>
      </c>
      <c r="BU85">
        <v>111</v>
      </c>
      <c r="BV85">
        <v>940</v>
      </c>
      <c r="BW85">
        <v>1195</v>
      </c>
      <c r="BX85">
        <f>51+1340</f>
        <v>1391</v>
      </c>
      <c r="BY85">
        <v>184</v>
      </c>
      <c r="BZ85">
        <v>197</v>
      </c>
      <c r="CA85">
        <v>222</v>
      </c>
      <c r="CB85">
        <v>0</v>
      </c>
      <c r="CC85">
        <v>0</v>
      </c>
      <c r="CD85">
        <v>0</v>
      </c>
      <c r="CE85">
        <v>17</v>
      </c>
      <c r="CF85">
        <v>16</v>
      </c>
      <c r="CG85">
        <v>5</v>
      </c>
      <c r="CH85">
        <v>0</v>
      </c>
      <c r="CI85">
        <v>0</v>
      </c>
      <c r="CJ85">
        <v>0</v>
      </c>
      <c r="CK85">
        <v>8</v>
      </c>
      <c r="CL85">
        <v>12</v>
      </c>
      <c r="CM85">
        <v>14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1339</v>
      </c>
      <c r="DS85">
        <v>1930</v>
      </c>
      <c r="DT85">
        <v>2027</v>
      </c>
      <c r="DU85">
        <v>162</v>
      </c>
      <c r="DV85">
        <v>215</v>
      </c>
      <c r="DW85">
        <v>384</v>
      </c>
      <c r="DX85">
        <v>0</v>
      </c>
      <c r="DY85">
        <v>0</v>
      </c>
      <c r="DZ85">
        <v>0</v>
      </c>
      <c r="EA85" s="183">
        <v>0</v>
      </c>
      <c r="EB85" s="83">
        <v>0</v>
      </c>
      <c r="EC85" s="184">
        <v>0</v>
      </c>
      <c r="ED85">
        <v>949</v>
      </c>
      <c r="EE85">
        <v>1028</v>
      </c>
      <c r="EF85">
        <v>856</v>
      </c>
      <c r="EG85">
        <f>ED85-EJ85-EM85</f>
        <v>42</v>
      </c>
      <c r="EH85">
        <v>121</v>
      </c>
      <c r="EI85">
        <v>853</v>
      </c>
      <c r="EJ85">
        <v>25</v>
      </c>
      <c r="EK85">
        <v>25</v>
      </c>
      <c r="EL85">
        <v>0</v>
      </c>
      <c r="EM85">
        <v>882</v>
      </c>
      <c r="EN85">
        <v>882</v>
      </c>
      <c r="EO85">
        <v>3</v>
      </c>
      <c r="EP85">
        <v>228</v>
      </c>
      <c r="EQ85">
        <v>687</v>
      </c>
      <c r="ER85">
        <v>787</v>
      </c>
      <c r="ES85">
        <v>144</v>
      </c>
      <c r="ET85">
        <v>434</v>
      </c>
      <c r="EU85">
        <v>284</v>
      </c>
      <c r="EV85">
        <v>144</v>
      </c>
      <c r="EW85">
        <v>434</v>
      </c>
      <c r="EX85">
        <v>284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 s="4">
        <f>BP85+CQ85</f>
        <v>1195</v>
      </c>
      <c r="GG85">
        <f>BQ85+CR85</f>
        <v>1496</v>
      </c>
      <c r="GH85" s="4">
        <f>BR85+CS85</f>
        <v>1743</v>
      </c>
      <c r="GI85" s="4">
        <f>DR85+EY85</f>
        <v>1339</v>
      </c>
      <c r="GJ85">
        <f>DS85+EZ85</f>
        <v>1930</v>
      </c>
      <c r="GK85" s="4">
        <f>DT85+FA85</f>
        <v>2027</v>
      </c>
      <c r="GL85" s="4">
        <f>GI85-GF85</f>
        <v>144</v>
      </c>
      <c r="GM85">
        <f>GJ85-GG85</f>
        <v>434</v>
      </c>
      <c r="GN85" s="4">
        <f>GK85-GH85</f>
        <v>284</v>
      </c>
      <c r="GO85" s="4">
        <f>GC85+EV85</f>
        <v>144</v>
      </c>
      <c r="GP85">
        <f>GD85+EW85</f>
        <v>434</v>
      </c>
      <c r="GQ85" s="4">
        <f>GE85+EX85</f>
        <v>284</v>
      </c>
      <c r="GS85" s="4"/>
      <c r="GT85" s="4"/>
      <c r="GV85" s="4"/>
      <c r="GW85" s="4"/>
      <c r="GX85" s="4"/>
      <c r="GZ85" s="4"/>
      <c r="HA85" s="4"/>
      <c r="HB85" s="4"/>
    </row>
    <row r="86" spans="1:210">
      <c r="A86" t="s">
        <v>96</v>
      </c>
      <c r="B86">
        <v>92</v>
      </c>
      <c r="C86">
        <v>3</v>
      </c>
      <c r="D86">
        <v>50</v>
      </c>
      <c r="E86">
        <v>15</v>
      </c>
      <c r="F86">
        <v>14</v>
      </c>
      <c r="G86">
        <v>17</v>
      </c>
      <c r="H86">
        <v>1</v>
      </c>
      <c r="I86" t="s">
        <v>42</v>
      </c>
      <c r="J86" t="s">
        <v>32</v>
      </c>
      <c r="K86">
        <v>2</v>
      </c>
      <c r="L86">
        <v>80</v>
      </c>
      <c r="M86">
        <v>15</v>
      </c>
      <c r="N86">
        <v>5</v>
      </c>
      <c r="O86">
        <v>0</v>
      </c>
      <c r="P86">
        <v>5</v>
      </c>
      <c r="Q86">
        <v>142</v>
      </c>
      <c r="R86">
        <v>125</v>
      </c>
      <c r="S86">
        <v>197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142</v>
      </c>
      <c r="AA86">
        <v>125</v>
      </c>
      <c r="AB86">
        <v>197</v>
      </c>
      <c r="AC86">
        <v>0</v>
      </c>
      <c r="AD86">
        <v>0</v>
      </c>
      <c r="AE86">
        <v>0</v>
      </c>
      <c r="AF86">
        <v>20</v>
      </c>
      <c r="AG86">
        <v>22</v>
      </c>
      <c r="AH86">
        <v>36</v>
      </c>
      <c r="AI86">
        <v>122</v>
      </c>
      <c r="AJ86">
        <v>103</v>
      </c>
      <c r="AK86">
        <v>161</v>
      </c>
      <c r="AL86">
        <v>0</v>
      </c>
      <c r="AM86">
        <v>0</v>
      </c>
      <c r="AN86">
        <v>0</v>
      </c>
      <c r="AO86">
        <v>142</v>
      </c>
      <c r="AP86">
        <v>125</v>
      </c>
      <c r="AQ86">
        <v>197</v>
      </c>
      <c r="AR86">
        <v>142</v>
      </c>
      <c r="AS86">
        <v>103</v>
      </c>
      <c r="AT86">
        <v>197</v>
      </c>
      <c r="AU86">
        <v>119</v>
      </c>
      <c r="AV86">
        <v>142</v>
      </c>
      <c r="AW86">
        <v>103</v>
      </c>
      <c r="AX86">
        <v>23</v>
      </c>
      <c r="AY86">
        <v>-39</v>
      </c>
      <c r="AZ86">
        <v>94</v>
      </c>
      <c r="BA86">
        <v>0</v>
      </c>
      <c r="BB86">
        <v>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22</v>
      </c>
      <c r="BL86">
        <v>0</v>
      </c>
      <c r="BM86">
        <v>0</v>
      </c>
      <c r="BN86">
        <v>0</v>
      </c>
      <c r="BO86">
        <v>0</v>
      </c>
      <c r="BP86">
        <v>524</v>
      </c>
      <c r="BQ86">
        <v>619</v>
      </c>
      <c r="BR86">
        <v>648</v>
      </c>
      <c r="BS86">
        <v>214</v>
      </c>
      <c r="BT86">
        <v>616</v>
      </c>
      <c r="BU86">
        <v>594</v>
      </c>
      <c r="BV86">
        <v>307</v>
      </c>
      <c r="BW86">
        <v>0</v>
      </c>
      <c r="BX86">
        <v>0</v>
      </c>
      <c r="BY86">
        <v>0</v>
      </c>
      <c r="BZ86">
        <v>3</v>
      </c>
      <c r="CA86">
        <v>50</v>
      </c>
      <c r="CB86">
        <v>0</v>
      </c>
      <c r="CC86">
        <v>0</v>
      </c>
      <c r="CD86">
        <v>2</v>
      </c>
      <c r="CE86">
        <v>2</v>
      </c>
      <c r="CF86">
        <v>0</v>
      </c>
      <c r="CG86">
        <v>3</v>
      </c>
      <c r="CH86">
        <v>0</v>
      </c>
      <c r="CI86">
        <v>0</v>
      </c>
      <c r="CJ86">
        <v>0</v>
      </c>
      <c r="CK86">
        <v>1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547</v>
      </c>
      <c r="DS86">
        <v>580</v>
      </c>
      <c r="DT86">
        <v>742</v>
      </c>
      <c r="DU86">
        <v>62</v>
      </c>
      <c r="DV86">
        <v>19</v>
      </c>
      <c r="DW86">
        <v>27</v>
      </c>
      <c r="DX86">
        <v>25</v>
      </c>
      <c r="DY86">
        <v>37</v>
      </c>
      <c r="DZ86">
        <v>22</v>
      </c>
      <c r="EA86" s="183">
        <v>0</v>
      </c>
      <c r="EB86" s="83">
        <v>0</v>
      </c>
      <c r="EC86" s="184">
        <v>0</v>
      </c>
      <c r="ED86">
        <v>324</v>
      </c>
      <c r="EE86">
        <v>256</v>
      </c>
      <c r="EF86">
        <v>287</v>
      </c>
      <c r="EG86">
        <v>0</v>
      </c>
      <c r="EH86">
        <v>0</v>
      </c>
      <c r="EI86">
        <v>0</v>
      </c>
      <c r="EJ86">
        <v>94</v>
      </c>
      <c r="EK86">
        <v>9</v>
      </c>
      <c r="EL86">
        <v>14</v>
      </c>
      <c r="EM86">
        <v>230</v>
      </c>
      <c r="EN86">
        <v>247</v>
      </c>
      <c r="EO86">
        <v>273</v>
      </c>
      <c r="EP86">
        <v>136</v>
      </c>
      <c r="EQ86">
        <v>268</v>
      </c>
      <c r="ER86">
        <v>406</v>
      </c>
      <c r="ES86">
        <v>23</v>
      </c>
      <c r="ET86">
        <v>-39</v>
      </c>
      <c r="EU86">
        <v>94</v>
      </c>
      <c r="EV86">
        <v>23</v>
      </c>
      <c r="EW86">
        <v>-39</v>
      </c>
      <c r="EX86">
        <v>94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 s="4">
        <f>BP86+CQ86</f>
        <v>524</v>
      </c>
      <c r="GG86">
        <f>BQ86+CR86</f>
        <v>619</v>
      </c>
      <c r="GH86" s="4">
        <f>BR86+CS86</f>
        <v>648</v>
      </c>
      <c r="GI86" s="4">
        <f>DR86+EY86</f>
        <v>547</v>
      </c>
      <c r="GJ86">
        <f>DS86+EZ86</f>
        <v>580</v>
      </c>
      <c r="GK86" s="4">
        <f>DT86+FA86</f>
        <v>742</v>
      </c>
      <c r="GL86" s="4">
        <f>GI86-GF86</f>
        <v>23</v>
      </c>
      <c r="GM86">
        <f>GJ86-GG86</f>
        <v>-39</v>
      </c>
      <c r="GN86" s="4">
        <f>GK86-GH86</f>
        <v>94</v>
      </c>
      <c r="GO86" s="4">
        <f>GC86+EV86</f>
        <v>23</v>
      </c>
      <c r="GP86">
        <f>GD86+EW86</f>
        <v>-39</v>
      </c>
      <c r="GQ86" s="4">
        <f>GE86+EX86</f>
        <v>94</v>
      </c>
      <c r="GS86" s="4"/>
      <c r="GT86" s="4"/>
      <c r="GV86" s="4"/>
      <c r="GW86" s="4"/>
      <c r="GX86" s="4"/>
      <c r="GZ86" s="4"/>
      <c r="HA86" s="4"/>
      <c r="HB86" s="4"/>
    </row>
    <row r="87" spans="1:210">
      <c r="A87" t="s">
        <v>77</v>
      </c>
      <c r="B87">
        <v>105</v>
      </c>
      <c r="C87">
        <v>0</v>
      </c>
      <c r="D87">
        <v>40</v>
      </c>
      <c r="E87">
        <v>30</v>
      </c>
      <c r="F87">
        <v>5</v>
      </c>
      <c r="G87">
        <v>5</v>
      </c>
      <c r="H87">
        <v>20</v>
      </c>
      <c r="I87" t="s">
        <v>43</v>
      </c>
      <c r="J87" t="s">
        <v>33</v>
      </c>
      <c r="K87">
        <v>1</v>
      </c>
      <c r="L87">
        <v>35</v>
      </c>
      <c r="M87">
        <v>50</v>
      </c>
      <c r="N87">
        <v>15</v>
      </c>
      <c r="O87">
        <v>0</v>
      </c>
      <c r="P87">
        <v>5</v>
      </c>
      <c r="Q87">
        <v>1140</v>
      </c>
      <c r="R87">
        <v>862</v>
      </c>
      <c r="S87">
        <v>2236</v>
      </c>
      <c r="T87">
        <v>2092</v>
      </c>
      <c r="U87">
        <v>2163</v>
      </c>
      <c r="V87">
        <v>3409</v>
      </c>
      <c r="W87">
        <v>-1247</v>
      </c>
      <c r="X87">
        <v>-1301</v>
      </c>
      <c r="Y87">
        <v>-1531</v>
      </c>
      <c r="Z87">
        <v>295</v>
      </c>
      <c r="AA87">
        <v>495</v>
      </c>
      <c r="AB87">
        <v>358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0</v>
      </c>
      <c r="AI87">
        <v>295</v>
      </c>
      <c r="AJ87">
        <v>485</v>
      </c>
      <c r="AK87">
        <v>358</v>
      </c>
      <c r="AL87">
        <v>0</v>
      </c>
      <c r="AM87">
        <v>0</v>
      </c>
      <c r="AN87">
        <v>0</v>
      </c>
      <c r="AO87">
        <v>1140</v>
      </c>
      <c r="AP87">
        <v>1357</v>
      </c>
      <c r="AQ87">
        <v>2236</v>
      </c>
      <c r="AR87">
        <v>1140</v>
      </c>
      <c r="AS87">
        <v>1355</v>
      </c>
      <c r="AT87">
        <v>2233</v>
      </c>
      <c r="AU87">
        <v>1140</v>
      </c>
      <c r="AV87">
        <v>1355</v>
      </c>
      <c r="AW87">
        <v>2233</v>
      </c>
      <c r="AX87">
        <v>0</v>
      </c>
      <c r="AY87">
        <v>0</v>
      </c>
      <c r="AZ87">
        <v>0</v>
      </c>
      <c r="BA87">
        <v>0</v>
      </c>
      <c r="BB87">
        <v>2</v>
      </c>
      <c r="BC87">
        <v>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3</v>
      </c>
      <c r="BM87">
        <v>0</v>
      </c>
      <c r="BN87">
        <v>0</v>
      </c>
      <c r="BO87">
        <v>0</v>
      </c>
      <c r="BP87">
        <v>804</v>
      </c>
      <c r="BQ87">
        <v>873</v>
      </c>
      <c r="BR87">
        <v>1133</v>
      </c>
      <c r="BS87">
        <v>136</v>
      </c>
      <c r="BT87">
        <v>111</v>
      </c>
      <c r="BU87">
        <v>212</v>
      </c>
      <c r="BV87">
        <v>533</v>
      </c>
      <c r="BW87">
        <v>586</v>
      </c>
      <c r="BX87">
        <v>636</v>
      </c>
      <c r="BY87">
        <v>70</v>
      </c>
      <c r="BZ87">
        <v>100</v>
      </c>
      <c r="CA87">
        <v>170</v>
      </c>
      <c r="CB87">
        <v>0</v>
      </c>
      <c r="CC87">
        <v>8</v>
      </c>
      <c r="CD87">
        <v>4</v>
      </c>
      <c r="CE87">
        <v>19</v>
      </c>
      <c r="CF87">
        <v>4</v>
      </c>
      <c r="CG87">
        <v>32</v>
      </c>
      <c r="CH87">
        <v>46</v>
      </c>
      <c r="CI87">
        <v>54</v>
      </c>
      <c r="CJ87">
        <v>79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804</v>
      </c>
      <c r="DS87">
        <v>873</v>
      </c>
      <c r="DT87">
        <v>1133</v>
      </c>
      <c r="DU87">
        <v>49</v>
      </c>
      <c r="DV87">
        <v>85</v>
      </c>
      <c r="DW87">
        <v>21</v>
      </c>
      <c r="DX87">
        <v>117</v>
      </c>
      <c r="DY87">
        <v>49</v>
      </c>
      <c r="DZ87">
        <v>72</v>
      </c>
      <c r="EA87" s="183">
        <v>0</v>
      </c>
      <c r="EB87" s="83">
        <v>10</v>
      </c>
      <c r="EC87" s="184">
        <v>40</v>
      </c>
      <c r="ED87">
        <v>273</v>
      </c>
      <c r="EE87">
        <v>388</v>
      </c>
      <c r="EF87">
        <v>346</v>
      </c>
      <c r="EG87">
        <v>0</v>
      </c>
      <c r="EH87">
        <v>0</v>
      </c>
      <c r="EI87">
        <v>0</v>
      </c>
      <c r="EJ87">
        <v>115</v>
      </c>
      <c r="EK87">
        <v>85</v>
      </c>
      <c r="EL87">
        <v>54</v>
      </c>
      <c r="EM87">
        <v>273</v>
      </c>
      <c r="EN87">
        <v>303</v>
      </c>
      <c r="EO87">
        <v>292</v>
      </c>
      <c r="EP87">
        <v>365</v>
      </c>
      <c r="EQ87">
        <v>341</v>
      </c>
      <c r="ER87">
        <v>654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f>BP87+CQ87</f>
        <v>804</v>
      </c>
      <c r="GG87">
        <f>BQ87+CR87</f>
        <v>873</v>
      </c>
      <c r="GH87">
        <f>BR87+CS87</f>
        <v>1133</v>
      </c>
      <c r="GI87">
        <f>DR87+EY87</f>
        <v>804</v>
      </c>
      <c r="GJ87">
        <f>DS87+EZ87</f>
        <v>873</v>
      </c>
      <c r="GK87">
        <f>DT87+FA87</f>
        <v>1133</v>
      </c>
      <c r="GL87">
        <f>GI87-GF87</f>
        <v>0</v>
      </c>
      <c r="GM87">
        <f>GJ87-GG87</f>
        <v>0</v>
      </c>
      <c r="GN87">
        <f>GK87-GH87</f>
        <v>0</v>
      </c>
      <c r="GO87">
        <f>GC87+EV87</f>
        <v>0</v>
      </c>
      <c r="GP87">
        <f>GD87+EW87</f>
        <v>0</v>
      </c>
      <c r="GQ87">
        <f>GE87+EX87</f>
        <v>0</v>
      </c>
      <c r="GR87" t="s">
        <v>326</v>
      </c>
      <c r="GS87" s="4"/>
      <c r="GT87" s="4"/>
      <c r="GV87" s="4"/>
      <c r="GW87" s="4"/>
      <c r="GX87" s="4"/>
      <c r="GZ87" s="4"/>
      <c r="HA87" s="4"/>
      <c r="HB87" s="4"/>
    </row>
    <row r="88" spans="1:210">
      <c r="A88" t="s">
        <v>78</v>
      </c>
      <c r="B88">
        <v>203</v>
      </c>
      <c r="C88">
        <v>2</v>
      </c>
      <c r="D88">
        <v>70</v>
      </c>
      <c r="E88">
        <v>10</v>
      </c>
      <c r="F88">
        <v>10</v>
      </c>
      <c r="G88">
        <v>4</v>
      </c>
      <c r="H88">
        <v>4</v>
      </c>
      <c r="I88" t="s">
        <v>44</v>
      </c>
      <c r="J88" t="s">
        <v>35</v>
      </c>
      <c r="K88">
        <v>5</v>
      </c>
      <c r="L88">
        <v>15</v>
      </c>
      <c r="M88">
        <v>50</v>
      </c>
      <c r="N88">
        <v>30</v>
      </c>
      <c r="O88">
        <v>5</v>
      </c>
      <c r="P88">
        <v>6</v>
      </c>
      <c r="Q88">
        <v>812</v>
      </c>
      <c r="R88">
        <v>1538</v>
      </c>
      <c r="S88">
        <v>1596</v>
      </c>
      <c r="T88">
        <v>539</v>
      </c>
      <c r="U88">
        <v>1316</v>
      </c>
      <c r="V88">
        <v>1445</v>
      </c>
      <c r="W88">
        <v>0</v>
      </c>
      <c r="X88">
        <v>0</v>
      </c>
      <c r="Y88">
        <v>0</v>
      </c>
      <c r="Z88">
        <v>273</v>
      </c>
      <c r="AA88">
        <v>222</v>
      </c>
      <c r="AB88">
        <v>151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273</v>
      </c>
      <c r="AJ88">
        <v>222</v>
      </c>
      <c r="AK88">
        <v>151</v>
      </c>
      <c r="AL88">
        <v>0</v>
      </c>
      <c r="AM88">
        <v>0</v>
      </c>
      <c r="AN88">
        <v>0</v>
      </c>
      <c r="AO88">
        <v>812</v>
      </c>
      <c r="AP88">
        <v>1538</v>
      </c>
      <c r="AQ88">
        <v>1496</v>
      </c>
      <c r="AR88">
        <v>758</v>
      </c>
      <c r="AS88">
        <v>1220</v>
      </c>
      <c r="AT88">
        <v>1457</v>
      </c>
      <c r="AU88">
        <v>0</v>
      </c>
      <c r="AV88">
        <v>0</v>
      </c>
      <c r="AW88">
        <v>0</v>
      </c>
      <c r="AX88">
        <v>758</v>
      </c>
      <c r="AY88">
        <v>1220</v>
      </c>
      <c r="AZ88">
        <v>1457</v>
      </c>
      <c r="BA88">
        <v>54</v>
      </c>
      <c r="BB88">
        <v>318</v>
      </c>
      <c r="BC88">
        <v>139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54</v>
      </c>
      <c r="BK88">
        <v>318</v>
      </c>
      <c r="BL88">
        <v>139</v>
      </c>
      <c r="BM88">
        <v>0</v>
      </c>
      <c r="BN88">
        <v>0</v>
      </c>
      <c r="BO88">
        <v>0</v>
      </c>
      <c r="BP88">
        <v>1590</v>
      </c>
      <c r="BQ88">
        <v>2018</v>
      </c>
      <c r="BR88">
        <v>1953</v>
      </c>
      <c r="BS88">
        <v>208</v>
      </c>
      <c r="BT88">
        <v>1866</v>
      </c>
      <c r="BU88">
        <v>1802</v>
      </c>
      <c r="BV88">
        <v>1277</v>
      </c>
      <c r="BW88">
        <v>0</v>
      </c>
      <c r="BX88">
        <v>0</v>
      </c>
      <c r="BY88">
        <v>89</v>
      </c>
      <c r="BZ88">
        <v>60</v>
      </c>
      <c r="CA88">
        <v>84</v>
      </c>
      <c r="CB88">
        <v>2</v>
      </c>
      <c r="CC88">
        <v>2</v>
      </c>
      <c r="CD88">
        <v>2</v>
      </c>
      <c r="CE88">
        <v>14</v>
      </c>
      <c r="CF88">
        <v>90</v>
      </c>
      <c r="CG88">
        <v>18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47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2065</v>
      </c>
      <c r="DS88">
        <v>2480</v>
      </c>
      <c r="DT88">
        <v>2190</v>
      </c>
      <c r="DU88">
        <v>197</v>
      </c>
      <c r="DV88">
        <v>356</v>
      </c>
      <c r="DW88">
        <v>198</v>
      </c>
      <c r="DX88">
        <v>0</v>
      </c>
      <c r="DY88">
        <v>0</v>
      </c>
      <c r="DZ88">
        <v>55</v>
      </c>
      <c r="EA88" s="183">
        <v>0</v>
      </c>
      <c r="EB88" s="83">
        <v>0</v>
      </c>
      <c r="EC88" s="184">
        <v>0</v>
      </c>
      <c r="ED88">
        <f>SUM(EG88:EM88)</f>
        <v>5189</v>
      </c>
      <c r="EE88">
        <v>2124</v>
      </c>
      <c r="EF88">
        <f>+EI88+EL88+EO88</f>
        <v>1651</v>
      </c>
      <c r="EG88">
        <v>1271</v>
      </c>
      <c r="EH88">
        <f>EE88-EK88-EN88</f>
        <v>1518</v>
      </c>
      <c r="EI88">
        <f>990+318</f>
        <v>1308</v>
      </c>
      <c r="EJ88">
        <f>100+291</f>
        <v>391</v>
      </c>
      <c r="EK88">
        <v>400</v>
      </c>
      <c r="EL88">
        <v>95</v>
      </c>
      <c r="EM88">
        <v>206</v>
      </c>
      <c r="EN88">
        <v>206</v>
      </c>
      <c r="EO88">
        <v>248</v>
      </c>
      <c r="EP88" s="83">
        <v>0</v>
      </c>
      <c r="EQ88" s="83">
        <v>0</v>
      </c>
      <c r="ER88" s="83">
        <v>286</v>
      </c>
      <c r="ES88">
        <v>475</v>
      </c>
      <c r="ET88">
        <v>462</v>
      </c>
      <c r="EU88">
        <v>237</v>
      </c>
      <c r="EV88">
        <v>475</v>
      </c>
      <c r="EW88">
        <v>462</v>
      </c>
      <c r="EX88">
        <v>237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f>BP88+CQ88</f>
        <v>1590</v>
      </c>
      <c r="GG88">
        <f>BQ88+CR88</f>
        <v>2018</v>
      </c>
      <c r="GH88">
        <f>BR88+CS88</f>
        <v>1953</v>
      </c>
      <c r="GI88">
        <f>DR88+EY88</f>
        <v>2065</v>
      </c>
      <c r="GJ88">
        <f>DS88+EZ88</f>
        <v>2480</v>
      </c>
      <c r="GK88">
        <f>DT88+FA88</f>
        <v>2190</v>
      </c>
      <c r="GL88">
        <f>GI88-GF88</f>
        <v>475</v>
      </c>
      <c r="GM88">
        <f>GJ88-GG88</f>
        <v>462</v>
      </c>
      <c r="GN88">
        <f>GK88-GH88</f>
        <v>237</v>
      </c>
      <c r="GO88">
        <f>GC88+EV88</f>
        <v>475</v>
      </c>
      <c r="GP88">
        <f>GD88+EW88</f>
        <v>462</v>
      </c>
      <c r="GQ88">
        <f>GE88+EX88</f>
        <v>237</v>
      </c>
      <c r="GR88" t="s">
        <v>326</v>
      </c>
      <c r="GS88" s="4"/>
      <c r="GT88" s="4"/>
      <c r="GV88" s="4"/>
      <c r="GW88" s="4"/>
      <c r="GX88" s="4"/>
      <c r="GZ88" s="4"/>
      <c r="HA88" s="4"/>
      <c r="HB88" s="4"/>
    </row>
    <row r="89" spans="1:210">
      <c r="A89" t="s">
        <v>80</v>
      </c>
      <c r="B89">
        <v>180</v>
      </c>
      <c r="C89">
        <v>10</v>
      </c>
      <c r="D89">
        <v>0</v>
      </c>
      <c r="E89">
        <v>10</v>
      </c>
      <c r="F89">
        <v>20</v>
      </c>
      <c r="G89">
        <v>40</v>
      </c>
      <c r="H89">
        <v>20</v>
      </c>
      <c r="I89" t="s">
        <v>44</v>
      </c>
      <c r="J89" t="s">
        <v>35</v>
      </c>
      <c r="K89">
        <v>1</v>
      </c>
      <c r="L89">
        <v>10</v>
      </c>
      <c r="M89">
        <v>0</v>
      </c>
      <c r="N89">
        <v>80</v>
      </c>
      <c r="O89">
        <v>10</v>
      </c>
      <c r="P89">
        <v>1</v>
      </c>
      <c r="Q89">
        <v>14189</v>
      </c>
      <c r="R89">
        <v>13585</v>
      </c>
      <c r="S89">
        <v>12494</v>
      </c>
      <c r="T89">
        <v>19776</v>
      </c>
      <c r="U89">
        <v>19776</v>
      </c>
      <c r="V89">
        <v>19777</v>
      </c>
      <c r="W89">
        <v>-6212</v>
      </c>
      <c r="X89">
        <v>-6628</v>
      </c>
      <c r="Y89">
        <v>-7495</v>
      </c>
      <c r="Z89">
        <v>625</v>
      </c>
      <c r="AA89">
        <v>437</v>
      </c>
      <c r="AB89">
        <v>176</v>
      </c>
      <c r="AC89">
        <v>0</v>
      </c>
      <c r="AD89">
        <v>0</v>
      </c>
      <c r="AE89">
        <v>0</v>
      </c>
      <c r="AF89">
        <v>158</v>
      </c>
      <c r="AG89">
        <v>130</v>
      </c>
      <c r="AH89">
        <v>33</v>
      </c>
      <c r="AI89">
        <v>467</v>
      </c>
      <c r="AJ89">
        <v>307</v>
      </c>
      <c r="AK89">
        <v>143</v>
      </c>
      <c r="AL89">
        <v>0</v>
      </c>
      <c r="AM89">
        <v>0</v>
      </c>
      <c r="AN89">
        <v>0</v>
      </c>
      <c r="AO89">
        <v>14189</v>
      </c>
      <c r="AP89">
        <v>13585</v>
      </c>
      <c r="AQ89">
        <v>12494</v>
      </c>
      <c r="AR89">
        <v>13523</v>
      </c>
      <c r="AS89">
        <v>13050</v>
      </c>
      <c r="AT89">
        <v>12149</v>
      </c>
      <c r="AU89">
        <v>17402</v>
      </c>
      <c r="AV89">
        <v>17402</v>
      </c>
      <c r="AW89">
        <v>17482</v>
      </c>
      <c r="AX89">
        <v>-3879</v>
      </c>
      <c r="AY89">
        <v>-4352</v>
      </c>
      <c r="AZ89">
        <v>-5253</v>
      </c>
      <c r="BA89">
        <v>666</v>
      </c>
      <c r="BB89">
        <v>535</v>
      </c>
      <c r="BC89">
        <v>345</v>
      </c>
      <c r="BD89">
        <v>0</v>
      </c>
      <c r="BE89">
        <v>0</v>
      </c>
      <c r="BF89">
        <v>0</v>
      </c>
      <c r="BG89">
        <v>320</v>
      </c>
      <c r="BH89">
        <v>240</v>
      </c>
      <c r="BI89">
        <v>80</v>
      </c>
      <c r="BJ89">
        <v>232</v>
      </c>
      <c r="BK89">
        <v>245</v>
      </c>
      <c r="BL89">
        <v>248</v>
      </c>
      <c r="BM89">
        <v>114</v>
      </c>
      <c r="BN89">
        <v>50</v>
      </c>
      <c r="BO89">
        <v>17</v>
      </c>
      <c r="BP89">
        <v>869</v>
      </c>
      <c r="BQ89">
        <v>1022</v>
      </c>
      <c r="BR89">
        <v>731</v>
      </c>
      <c r="BS89">
        <v>175</v>
      </c>
      <c r="BT89">
        <v>362</v>
      </c>
      <c r="BU89">
        <v>348</v>
      </c>
      <c r="BV89">
        <v>87</v>
      </c>
      <c r="BW89">
        <v>0</v>
      </c>
      <c r="BX89">
        <v>0</v>
      </c>
      <c r="BY89">
        <v>144</v>
      </c>
      <c r="BZ89">
        <v>115</v>
      </c>
      <c r="CA89">
        <v>60</v>
      </c>
      <c r="CB89">
        <v>0</v>
      </c>
      <c r="CC89">
        <v>0</v>
      </c>
      <c r="CD89">
        <v>4</v>
      </c>
      <c r="CE89">
        <v>253</v>
      </c>
      <c r="CF89">
        <v>238</v>
      </c>
      <c r="CG89">
        <v>95</v>
      </c>
      <c r="CH89">
        <v>191</v>
      </c>
      <c r="CI89">
        <v>291</v>
      </c>
      <c r="CJ89">
        <v>191</v>
      </c>
      <c r="CK89">
        <v>19</v>
      </c>
      <c r="CL89">
        <v>16</v>
      </c>
      <c r="CM89">
        <v>33</v>
      </c>
      <c r="CN89">
        <v>0</v>
      </c>
      <c r="CO89">
        <v>0</v>
      </c>
      <c r="CP89">
        <v>0</v>
      </c>
      <c r="CQ89">
        <v>338</v>
      </c>
      <c r="CR89">
        <v>267</v>
      </c>
      <c r="CS89">
        <v>358</v>
      </c>
      <c r="CT89">
        <v>81</v>
      </c>
      <c r="CU89">
        <v>138</v>
      </c>
      <c r="CV89">
        <v>130</v>
      </c>
      <c r="CW89">
        <v>28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5</v>
      </c>
      <c r="DD89">
        <v>0</v>
      </c>
      <c r="DE89">
        <v>4</v>
      </c>
      <c r="DF89">
        <v>0</v>
      </c>
      <c r="DG89">
        <v>5</v>
      </c>
      <c r="DH89">
        <v>0</v>
      </c>
      <c r="DI89">
        <v>224</v>
      </c>
      <c r="DJ89">
        <v>124</v>
      </c>
      <c r="DK89">
        <v>224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400</v>
      </c>
      <c r="DS89">
        <v>480</v>
      </c>
      <c r="DT89">
        <v>377</v>
      </c>
      <c r="DU89">
        <v>0</v>
      </c>
      <c r="DV89">
        <v>0</v>
      </c>
      <c r="DW89">
        <v>0</v>
      </c>
      <c r="DX89">
        <v>14</v>
      </c>
      <c r="DY89">
        <v>30</v>
      </c>
      <c r="DZ89">
        <v>0</v>
      </c>
      <c r="EA89" s="183">
        <v>0</v>
      </c>
      <c r="EB89" s="83">
        <v>0</v>
      </c>
      <c r="EC89" s="184">
        <v>0</v>
      </c>
      <c r="ED89">
        <v>220</v>
      </c>
      <c r="EE89">
        <v>196</v>
      </c>
      <c r="EF89">
        <v>166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220</v>
      </c>
      <c r="EN89">
        <v>196</v>
      </c>
      <c r="EO89">
        <v>166</v>
      </c>
      <c r="EP89" s="83">
        <v>166</v>
      </c>
      <c r="EQ89" s="83">
        <v>254</v>
      </c>
      <c r="ER89" s="83">
        <v>211</v>
      </c>
      <c r="ES89">
        <v>-469</v>
      </c>
      <c r="ET89">
        <v>-542</v>
      </c>
      <c r="EU89">
        <v>-354</v>
      </c>
      <c r="EV89">
        <v>-469</v>
      </c>
      <c r="EW89">
        <v>-542</v>
      </c>
      <c r="EX89">
        <v>-354</v>
      </c>
      <c r="EY89">
        <v>575</v>
      </c>
      <c r="EZ89">
        <v>337</v>
      </c>
      <c r="FA89">
        <v>409</v>
      </c>
      <c r="FB89">
        <v>575</v>
      </c>
      <c r="FC89">
        <v>337</v>
      </c>
      <c r="FD89">
        <v>409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237</v>
      </c>
      <c r="GA89">
        <v>70</v>
      </c>
      <c r="GB89">
        <v>51</v>
      </c>
      <c r="GC89">
        <v>237</v>
      </c>
      <c r="GD89">
        <v>70</v>
      </c>
      <c r="GE89">
        <v>51</v>
      </c>
      <c r="GF89" s="4">
        <f>BP89+CQ89</f>
        <v>1207</v>
      </c>
      <c r="GG89">
        <f>BQ89+CR89</f>
        <v>1289</v>
      </c>
      <c r="GH89">
        <f>BR89+CS89</f>
        <v>1089</v>
      </c>
      <c r="GI89" s="4">
        <f>DR89+EY89</f>
        <v>975</v>
      </c>
      <c r="GJ89">
        <f>DS89+EZ89</f>
        <v>817</v>
      </c>
      <c r="GK89">
        <f>DT89+FA89</f>
        <v>786</v>
      </c>
      <c r="GL89" s="4">
        <f>GI89-GF89</f>
        <v>-232</v>
      </c>
      <c r="GM89">
        <f>GJ89-GG89</f>
        <v>-472</v>
      </c>
      <c r="GN89">
        <f>GK89-GH89</f>
        <v>-303</v>
      </c>
      <c r="GO89" s="4">
        <f>GC89+EV89</f>
        <v>-232</v>
      </c>
      <c r="GP89">
        <f>GD89+EW89</f>
        <v>-472</v>
      </c>
      <c r="GQ89">
        <f>GE89+EX89</f>
        <v>-303</v>
      </c>
      <c r="GS89" s="4"/>
      <c r="GT89" s="4"/>
      <c r="GV89" s="4"/>
      <c r="GW89" s="4"/>
      <c r="GX89" s="4"/>
      <c r="GZ89" s="4"/>
      <c r="HA89" s="4"/>
      <c r="HB89" s="4"/>
    </row>
    <row r="90" spans="1:210">
      <c r="A90" t="s">
        <v>89</v>
      </c>
      <c r="B90">
        <v>195</v>
      </c>
      <c r="C90">
        <v>1</v>
      </c>
      <c r="D90">
        <v>70</v>
      </c>
      <c r="E90">
        <v>20</v>
      </c>
      <c r="F90">
        <v>5</v>
      </c>
      <c r="G90">
        <v>2</v>
      </c>
      <c r="H90">
        <v>2</v>
      </c>
      <c r="I90" t="s">
        <v>44</v>
      </c>
      <c r="J90" t="s">
        <v>32</v>
      </c>
      <c r="K90">
        <v>5</v>
      </c>
      <c r="L90">
        <v>10</v>
      </c>
      <c r="M90">
        <v>65</v>
      </c>
      <c r="N90">
        <v>20</v>
      </c>
      <c r="O90">
        <v>5</v>
      </c>
      <c r="P90">
        <v>2</v>
      </c>
      <c r="Q90">
        <v>40</v>
      </c>
      <c r="R90">
        <v>143</v>
      </c>
      <c r="S90">
        <v>352</v>
      </c>
      <c r="T90">
        <v>553</v>
      </c>
      <c r="U90">
        <v>553</v>
      </c>
      <c r="V90">
        <v>553</v>
      </c>
      <c r="W90">
        <v>-553</v>
      </c>
      <c r="X90">
        <v>553</v>
      </c>
      <c r="Y90">
        <v>-553</v>
      </c>
      <c r="Z90">
        <v>40</v>
      </c>
      <c r="AA90">
        <v>143</v>
      </c>
      <c r="AB90">
        <v>352</v>
      </c>
      <c r="AC90">
        <v>0</v>
      </c>
      <c r="AD90">
        <v>0</v>
      </c>
      <c r="AE90">
        <v>0</v>
      </c>
      <c r="AF90">
        <v>112</v>
      </c>
      <c r="AG90">
        <v>134</v>
      </c>
      <c r="AH90">
        <v>344</v>
      </c>
      <c r="AI90">
        <v>-88</v>
      </c>
      <c r="AJ90">
        <v>-71</v>
      </c>
      <c r="AK90">
        <v>-52</v>
      </c>
      <c r="AL90">
        <v>15</v>
      </c>
      <c r="AM90">
        <v>80</v>
      </c>
      <c r="AN90">
        <v>60</v>
      </c>
      <c r="AO90">
        <v>40</v>
      </c>
      <c r="AP90">
        <v>143</v>
      </c>
      <c r="AQ90">
        <v>352</v>
      </c>
      <c r="AR90">
        <v>-4659</v>
      </c>
      <c r="AS90">
        <v>-4289</v>
      </c>
      <c r="AT90">
        <v>-4011</v>
      </c>
      <c r="AU90">
        <v>0</v>
      </c>
      <c r="AV90">
        <v>0</v>
      </c>
      <c r="AW90">
        <v>0</v>
      </c>
      <c r="AX90">
        <v>-4859</v>
      </c>
      <c r="AY90">
        <v>-4289</v>
      </c>
      <c r="AZ90">
        <v>-4011</v>
      </c>
      <c r="BA90">
        <v>4699</v>
      </c>
      <c r="BB90">
        <v>4432</v>
      </c>
      <c r="BC90">
        <v>4363</v>
      </c>
      <c r="BD90">
        <v>0</v>
      </c>
      <c r="BE90">
        <v>0</v>
      </c>
      <c r="BF90">
        <v>0</v>
      </c>
      <c r="BG90">
        <v>31</v>
      </c>
      <c r="BH90">
        <v>0</v>
      </c>
      <c r="BI90">
        <v>0</v>
      </c>
      <c r="BJ90">
        <v>4549</v>
      </c>
      <c r="BK90">
        <v>4250</v>
      </c>
      <c r="BL90">
        <v>4075</v>
      </c>
      <c r="BM90">
        <v>119</v>
      </c>
      <c r="BN90">
        <v>182</v>
      </c>
      <c r="BO90">
        <v>288</v>
      </c>
      <c r="BP90">
        <v>5419</v>
      </c>
      <c r="BQ90">
        <v>6580</v>
      </c>
      <c r="BR90">
        <v>7230</v>
      </c>
      <c r="BS90">
        <v>223</v>
      </c>
      <c r="BT90">
        <v>6074</v>
      </c>
      <c r="BU90">
        <v>6738</v>
      </c>
      <c r="BV90">
        <v>5002</v>
      </c>
      <c r="BW90">
        <v>0</v>
      </c>
      <c r="BX90">
        <v>0</v>
      </c>
      <c r="BY90">
        <v>0</v>
      </c>
      <c r="BZ90">
        <v>16</v>
      </c>
      <c r="CA90">
        <v>18</v>
      </c>
      <c r="CB90">
        <v>75</v>
      </c>
      <c r="CC90">
        <v>300</v>
      </c>
      <c r="CD90">
        <v>304</v>
      </c>
      <c r="CE90">
        <v>62</v>
      </c>
      <c r="CF90">
        <v>162</v>
      </c>
      <c r="CG90">
        <v>172</v>
      </c>
      <c r="CH90">
        <v>56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153</v>
      </c>
      <c r="CR90">
        <v>132</v>
      </c>
      <c r="CS90">
        <v>104</v>
      </c>
      <c r="CT90">
        <v>5</v>
      </c>
      <c r="CU90">
        <v>101</v>
      </c>
      <c r="CV90">
        <v>83</v>
      </c>
      <c r="CW90">
        <v>141</v>
      </c>
      <c r="CX90">
        <v>0</v>
      </c>
      <c r="CY90">
        <v>0</v>
      </c>
      <c r="CZ90">
        <v>2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5</v>
      </c>
      <c r="DG90">
        <v>3</v>
      </c>
      <c r="DH90">
        <v>3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28</v>
      </c>
      <c r="DQ90">
        <v>18</v>
      </c>
      <c r="DR90">
        <v>5098</v>
      </c>
      <c r="DS90">
        <v>6400</v>
      </c>
      <c r="DT90">
        <v>7131</v>
      </c>
      <c r="DU90">
        <v>4</v>
      </c>
      <c r="DV90">
        <v>3</v>
      </c>
      <c r="DW90">
        <v>2</v>
      </c>
      <c r="DX90">
        <v>615</v>
      </c>
      <c r="DY90">
        <v>196</v>
      </c>
      <c r="DZ90">
        <v>248</v>
      </c>
      <c r="EA90" s="183">
        <v>0</v>
      </c>
      <c r="EB90" s="83">
        <v>0</v>
      </c>
      <c r="EC90" s="184">
        <v>0</v>
      </c>
      <c r="ED90">
        <v>325</v>
      </c>
      <c r="EE90">
        <v>369</v>
      </c>
      <c r="EF90">
        <v>539</v>
      </c>
      <c r="EG90">
        <v>0</v>
      </c>
      <c r="EH90">
        <v>0</v>
      </c>
      <c r="EI90">
        <v>0</v>
      </c>
      <c r="EJ90">
        <v>124</v>
      </c>
      <c r="EK90">
        <v>165</v>
      </c>
      <c r="EL90">
        <v>324</v>
      </c>
      <c r="EM90">
        <v>201</v>
      </c>
      <c r="EN90">
        <v>204</v>
      </c>
      <c r="EO90">
        <v>215</v>
      </c>
      <c r="EP90">
        <v>4154</v>
      </c>
      <c r="EQ90">
        <v>5832</v>
      </c>
      <c r="ER90">
        <v>6342</v>
      </c>
      <c r="ES90">
        <v>-168</v>
      </c>
      <c r="ET90">
        <v>-48</v>
      </c>
      <c r="EU90">
        <v>-99</v>
      </c>
      <c r="EV90">
        <v>-168</v>
      </c>
      <c r="EW90">
        <v>-48</v>
      </c>
      <c r="EX90">
        <v>-99</v>
      </c>
      <c r="EY90">
        <v>500</v>
      </c>
      <c r="EZ90">
        <v>550</v>
      </c>
      <c r="FA90">
        <v>481</v>
      </c>
      <c r="FB90">
        <v>500</v>
      </c>
      <c r="FC90">
        <v>550</v>
      </c>
      <c r="FD90">
        <v>481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347</v>
      </c>
      <c r="GA90">
        <v>446</v>
      </c>
      <c r="GB90">
        <v>395</v>
      </c>
      <c r="GC90">
        <v>338</v>
      </c>
      <c r="GD90">
        <v>418</v>
      </c>
      <c r="GE90">
        <v>377</v>
      </c>
      <c r="GF90" s="4">
        <f t="shared" ref="GF71:GF95" si="12">BP90+CQ90</f>
        <v>5572</v>
      </c>
      <c r="GG90">
        <f t="shared" ref="GG71:GG95" si="13">BQ90+CR90</f>
        <v>6712</v>
      </c>
      <c r="GH90" s="4">
        <f t="shared" ref="GH71:GH95" si="14">BR90+CS90</f>
        <v>7334</v>
      </c>
      <c r="GI90" s="4">
        <f t="shared" ref="GI71:GI95" si="15">DR90+EY90</f>
        <v>5598</v>
      </c>
      <c r="GJ90">
        <f t="shared" ref="GJ71:GJ95" si="16">DS90+EZ90</f>
        <v>6950</v>
      </c>
      <c r="GK90" s="4">
        <f t="shared" ref="GK71:GK95" si="17">DT90+FA90</f>
        <v>7612</v>
      </c>
      <c r="GL90" s="4">
        <f t="shared" ref="GL67:GL95" si="18">GI90-GF90</f>
        <v>26</v>
      </c>
      <c r="GM90">
        <f t="shared" ref="GM67:GM95" si="19">GJ90-GG90</f>
        <v>238</v>
      </c>
      <c r="GN90" s="4">
        <f t="shared" ref="GN68:GN95" si="20">GK90-GH90</f>
        <v>278</v>
      </c>
      <c r="GO90" s="4">
        <f t="shared" ref="GO67:GO95" si="21">GC90+EV90</f>
        <v>170</v>
      </c>
      <c r="GP90">
        <f t="shared" ref="GP67:GP95" si="22">GD90+EW90</f>
        <v>370</v>
      </c>
      <c r="GQ90" s="4">
        <f t="shared" ref="GQ67:GQ95" si="23">GE90+EX90</f>
        <v>278</v>
      </c>
      <c r="GR90" t="s">
        <v>326</v>
      </c>
      <c r="GS90" s="4"/>
      <c r="GT90" s="4"/>
      <c r="GV90" s="4"/>
      <c r="GW90" s="4"/>
      <c r="GX90" s="4"/>
      <c r="GZ90" s="4"/>
      <c r="HA90" s="4"/>
      <c r="HB90" s="4"/>
    </row>
    <row r="91" spans="1:210">
      <c r="A91" s="4" t="s">
        <v>90</v>
      </c>
      <c r="B91" s="4">
        <v>65</v>
      </c>
      <c r="C91" s="4">
        <v>0</v>
      </c>
      <c r="D91" s="4">
        <v>10</v>
      </c>
      <c r="E91" s="4">
        <v>10</v>
      </c>
      <c r="F91" s="4">
        <v>30</v>
      </c>
      <c r="G91" s="4">
        <v>30</v>
      </c>
      <c r="H91" s="4">
        <v>20</v>
      </c>
      <c r="I91" s="4" t="s">
        <v>44</v>
      </c>
      <c r="J91" s="4" t="s">
        <v>33</v>
      </c>
      <c r="K91" s="4">
        <v>3</v>
      </c>
      <c r="L91" s="4">
        <v>30</v>
      </c>
      <c r="M91" s="4">
        <v>30</v>
      </c>
      <c r="N91" s="4">
        <v>40</v>
      </c>
      <c r="O91" s="4">
        <v>0</v>
      </c>
      <c r="P91" s="4">
        <v>2</v>
      </c>
      <c r="Q91" s="4">
        <v>1477</v>
      </c>
      <c r="R91" s="4">
        <v>1493</v>
      </c>
      <c r="S91" s="4">
        <v>1600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1477</v>
      </c>
      <c r="AA91" s="4">
        <v>1493</v>
      </c>
      <c r="AB91" s="4">
        <v>1600</v>
      </c>
      <c r="AC91" s="4">
        <v>0</v>
      </c>
      <c r="AD91" s="4">
        <v>0</v>
      </c>
      <c r="AE91" s="4">
        <v>0</v>
      </c>
      <c r="AF91" s="4">
        <v>183</v>
      </c>
      <c r="AG91" s="4">
        <v>177</v>
      </c>
      <c r="AH91" s="4">
        <v>181</v>
      </c>
      <c r="AI91" s="4">
        <v>1294</v>
      </c>
      <c r="AJ91" s="4">
        <v>1315</v>
      </c>
      <c r="AK91" s="4">
        <v>1419</v>
      </c>
      <c r="AL91" s="4">
        <v>0</v>
      </c>
      <c r="AM91" s="4">
        <v>0</v>
      </c>
      <c r="AN91" s="4">
        <v>0</v>
      </c>
      <c r="AO91" s="4">
        <v>1477</v>
      </c>
      <c r="AP91" s="4">
        <v>1493</v>
      </c>
      <c r="AQ91" s="4">
        <v>1600</v>
      </c>
      <c r="AR91" s="4">
        <v>1294</v>
      </c>
      <c r="AS91" s="4">
        <v>1316</v>
      </c>
      <c r="AT91" s="4">
        <v>1418</v>
      </c>
      <c r="AU91" s="4">
        <v>1172</v>
      </c>
      <c r="AV91" s="4">
        <v>1295</v>
      </c>
      <c r="AW91" s="4">
        <v>1316</v>
      </c>
      <c r="AX91" s="4">
        <v>122</v>
      </c>
      <c r="AY91" s="4">
        <v>21</v>
      </c>
      <c r="AZ91" s="4">
        <v>102</v>
      </c>
      <c r="BA91" s="4">
        <v>183</v>
      </c>
      <c r="BB91" s="4">
        <v>177</v>
      </c>
      <c r="BC91" s="4">
        <v>182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183</v>
      </c>
      <c r="BK91" s="4">
        <v>177</v>
      </c>
      <c r="BL91" s="4">
        <v>182</v>
      </c>
      <c r="BM91" s="4">
        <v>0</v>
      </c>
      <c r="BN91" s="4">
        <v>0</v>
      </c>
      <c r="BO91" s="4">
        <v>0</v>
      </c>
      <c r="BP91" s="4">
        <v>904</v>
      </c>
      <c r="BQ91" s="4">
        <v>1241</v>
      </c>
      <c r="BR91" s="4">
        <v>1473</v>
      </c>
      <c r="BS91" s="4">
        <v>253</v>
      </c>
      <c r="BT91" s="4">
        <v>405</v>
      </c>
      <c r="BU91" s="4">
        <v>450</v>
      </c>
      <c r="BV91" s="4">
        <v>531</v>
      </c>
      <c r="BW91" s="4">
        <v>490</v>
      </c>
      <c r="BX91" s="4">
        <v>510</v>
      </c>
      <c r="BY91" s="4">
        <v>55</v>
      </c>
      <c r="BZ91" s="4">
        <v>283</v>
      </c>
      <c r="CA91" s="4">
        <v>445</v>
      </c>
      <c r="CB91" s="4">
        <v>0</v>
      </c>
      <c r="CC91" s="4">
        <v>0</v>
      </c>
      <c r="CD91" s="4">
        <v>0</v>
      </c>
      <c r="CE91" s="4">
        <v>65</v>
      </c>
      <c r="CF91" s="4">
        <v>57</v>
      </c>
      <c r="CG91" s="4">
        <v>60</v>
      </c>
      <c r="CH91" s="4">
        <v>0</v>
      </c>
      <c r="CI91" s="4">
        <v>0</v>
      </c>
      <c r="CJ91" s="4">
        <v>56</v>
      </c>
      <c r="CK91" s="4">
        <v>1</v>
      </c>
      <c r="CL91" s="4">
        <v>7</v>
      </c>
      <c r="CM91" s="4">
        <v>7</v>
      </c>
      <c r="CN91" s="4">
        <v>0</v>
      </c>
      <c r="CO91" s="4">
        <v>0</v>
      </c>
      <c r="CP91" s="4">
        <v>0</v>
      </c>
      <c r="CQ91" s="4">
        <v>8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8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950</v>
      </c>
      <c r="DS91" s="4">
        <v>1154</v>
      </c>
      <c r="DT91" s="4">
        <v>1488</v>
      </c>
      <c r="DU91" s="4">
        <v>64</v>
      </c>
      <c r="DV91" s="4">
        <v>10</v>
      </c>
      <c r="DW91" s="4">
        <v>19</v>
      </c>
      <c r="DX91" s="4">
        <v>0</v>
      </c>
      <c r="DY91" s="4">
        <v>2</v>
      </c>
      <c r="DZ91" s="4">
        <v>2</v>
      </c>
      <c r="EA91" s="233">
        <v>0</v>
      </c>
      <c r="EB91" s="194">
        <v>0</v>
      </c>
      <c r="EC91" s="234">
        <v>0</v>
      </c>
      <c r="ED91" s="4">
        <v>482</v>
      </c>
      <c r="EE91" s="4">
        <v>424</v>
      </c>
      <c r="EF91" s="4">
        <v>408</v>
      </c>
      <c r="EG91" s="4">
        <v>42</v>
      </c>
      <c r="EH91" s="4">
        <v>32</v>
      </c>
      <c r="EI91" s="4">
        <v>47</v>
      </c>
      <c r="EJ91" s="4">
        <v>316</v>
      </c>
      <c r="EK91" s="4">
        <v>268</v>
      </c>
      <c r="EL91" s="4">
        <v>189</v>
      </c>
      <c r="EM91" s="4">
        <v>124</v>
      </c>
      <c r="EN91" s="4">
        <v>123</v>
      </c>
      <c r="EO91" s="4">
        <v>172</v>
      </c>
      <c r="EP91" s="4">
        <v>405</v>
      </c>
      <c r="EQ91" s="4">
        <v>718</v>
      </c>
      <c r="ER91" s="4">
        <v>1059</v>
      </c>
      <c r="ES91" s="4">
        <v>47</v>
      </c>
      <c r="ET91" s="4">
        <v>-88</v>
      </c>
      <c r="EU91" s="4">
        <v>15</v>
      </c>
      <c r="EV91" s="4">
        <v>47</v>
      </c>
      <c r="EW91" s="4">
        <v>-88</v>
      </c>
      <c r="EX91" s="4">
        <v>15</v>
      </c>
      <c r="EY91" s="4">
        <v>83</v>
      </c>
      <c r="EZ91" s="4">
        <v>109</v>
      </c>
      <c r="FA91" s="4">
        <v>88</v>
      </c>
      <c r="FB91" s="4">
        <v>83</v>
      </c>
      <c r="FC91" s="4">
        <v>109</v>
      </c>
      <c r="FD91" s="4">
        <v>88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  <c r="FY91" s="4">
        <v>0</v>
      </c>
      <c r="FZ91" s="4">
        <v>76</v>
      </c>
      <c r="GA91" s="4">
        <v>109</v>
      </c>
      <c r="GB91" s="4">
        <v>88</v>
      </c>
      <c r="GC91" s="4">
        <v>76</v>
      </c>
      <c r="GD91" s="4">
        <v>109</v>
      </c>
      <c r="GE91" s="4">
        <v>88</v>
      </c>
      <c r="GF91" s="4">
        <f t="shared" si="12"/>
        <v>912</v>
      </c>
      <c r="GG91" s="4">
        <f t="shared" si="13"/>
        <v>1241</v>
      </c>
      <c r="GH91" s="4">
        <f t="shared" si="14"/>
        <v>1473</v>
      </c>
      <c r="GI91" s="4">
        <f t="shared" si="15"/>
        <v>1033</v>
      </c>
      <c r="GJ91" s="4">
        <f t="shared" si="16"/>
        <v>1263</v>
      </c>
      <c r="GK91" s="4">
        <f t="shared" si="17"/>
        <v>1576</v>
      </c>
      <c r="GL91" s="4">
        <f t="shared" si="18"/>
        <v>121</v>
      </c>
      <c r="GM91" s="4">
        <f t="shared" si="19"/>
        <v>22</v>
      </c>
      <c r="GN91" s="4">
        <f t="shared" si="20"/>
        <v>103</v>
      </c>
      <c r="GO91" s="4">
        <f t="shared" si="21"/>
        <v>123</v>
      </c>
      <c r="GP91" s="4">
        <f t="shared" si="22"/>
        <v>21</v>
      </c>
      <c r="GQ91" s="4">
        <f t="shared" si="23"/>
        <v>103</v>
      </c>
      <c r="GR91" s="4" t="s">
        <v>326</v>
      </c>
      <c r="GS91" s="4"/>
      <c r="GT91" s="4"/>
      <c r="GV91" s="4"/>
      <c r="GW91" s="4"/>
      <c r="GX91" s="4"/>
      <c r="GZ91" s="4"/>
      <c r="HA91" s="4"/>
      <c r="HB91" s="4"/>
    </row>
    <row r="92" spans="1:210">
      <c r="A92" t="s">
        <v>97</v>
      </c>
      <c r="B92">
        <v>21</v>
      </c>
      <c r="C92">
        <v>0</v>
      </c>
      <c r="D92">
        <v>0</v>
      </c>
      <c r="E92">
        <v>15</v>
      </c>
      <c r="F92">
        <v>20</v>
      </c>
      <c r="G92">
        <v>60</v>
      </c>
      <c r="H92">
        <v>5</v>
      </c>
      <c r="I92" t="s">
        <v>44</v>
      </c>
      <c r="J92" t="s">
        <v>33</v>
      </c>
      <c r="K92">
        <v>1</v>
      </c>
      <c r="L92">
        <v>30</v>
      </c>
      <c r="M92">
        <v>0</v>
      </c>
      <c r="N92">
        <v>70</v>
      </c>
      <c r="O92">
        <v>0</v>
      </c>
      <c r="P92">
        <v>7</v>
      </c>
      <c r="Q92">
        <v>1538</v>
      </c>
      <c r="R92">
        <v>1936</v>
      </c>
      <c r="S92">
        <v>1936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1583</v>
      </c>
      <c r="AA92">
        <v>1936</v>
      </c>
      <c r="AB92">
        <v>1936</v>
      </c>
      <c r="AC92">
        <v>0</v>
      </c>
      <c r="AD92">
        <v>0</v>
      </c>
      <c r="AE92">
        <v>63</v>
      </c>
      <c r="AF92">
        <v>204</v>
      </c>
      <c r="AG92">
        <v>63</v>
      </c>
      <c r="AH92">
        <v>0</v>
      </c>
      <c r="AI92">
        <v>1379</v>
      </c>
      <c r="AJ92">
        <v>1873</v>
      </c>
      <c r="AK92">
        <v>187363</v>
      </c>
      <c r="AL92">
        <v>0</v>
      </c>
      <c r="AM92">
        <v>0</v>
      </c>
      <c r="AN92">
        <v>0</v>
      </c>
      <c r="AO92">
        <v>1538</v>
      </c>
      <c r="AP92">
        <v>1936</v>
      </c>
      <c r="AQ92">
        <v>1936</v>
      </c>
      <c r="AR92">
        <v>1492</v>
      </c>
      <c r="AS92">
        <v>1836</v>
      </c>
      <c r="AT92">
        <v>1836</v>
      </c>
      <c r="AU92">
        <v>1473</v>
      </c>
      <c r="AV92">
        <v>1648</v>
      </c>
      <c r="AW92">
        <v>1648</v>
      </c>
      <c r="AX92">
        <v>19</v>
      </c>
      <c r="AY92">
        <v>188</v>
      </c>
      <c r="AZ92">
        <v>188</v>
      </c>
      <c r="BA92">
        <v>91</v>
      </c>
      <c r="BB92">
        <v>100</v>
      </c>
      <c r="BC92"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91</v>
      </c>
      <c r="BK92">
        <v>100</v>
      </c>
      <c r="BL92">
        <v>100</v>
      </c>
      <c r="BM92">
        <v>0</v>
      </c>
      <c r="BN92">
        <v>0</v>
      </c>
      <c r="BO92">
        <v>0</v>
      </c>
      <c r="BP92">
        <v>1965</v>
      </c>
      <c r="BQ92">
        <v>1814</v>
      </c>
      <c r="BR92">
        <v>2518</v>
      </c>
      <c r="BS92">
        <v>606</v>
      </c>
      <c r="BT92">
        <v>1746</v>
      </c>
      <c r="BU92">
        <v>2298</v>
      </c>
      <c r="BV92">
        <v>1171</v>
      </c>
      <c r="BW92">
        <v>0</v>
      </c>
      <c r="BX92">
        <v>0</v>
      </c>
      <c r="BY92">
        <v>73</v>
      </c>
      <c r="BZ92">
        <v>67</v>
      </c>
      <c r="CA92">
        <v>220</v>
      </c>
      <c r="CB92">
        <v>0</v>
      </c>
      <c r="CC92">
        <v>0</v>
      </c>
      <c r="CD92">
        <v>0</v>
      </c>
      <c r="CE92">
        <v>115</v>
      </c>
      <c r="CF92">
        <v>1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3</v>
      </c>
      <c r="CR92">
        <v>0</v>
      </c>
      <c r="CS92">
        <v>0</v>
      </c>
      <c r="CT92">
        <v>3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1820</v>
      </c>
      <c r="DS92">
        <v>1878</v>
      </c>
      <c r="DT92">
        <v>2295</v>
      </c>
      <c r="DU92">
        <f>747+219+305</f>
        <v>1271</v>
      </c>
      <c r="DV92">
        <v>44</v>
      </c>
      <c r="DW92">
        <v>59</v>
      </c>
      <c r="DX92">
        <v>549</v>
      </c>
      <c r="DY92">
        <v>171</v>
      </c>
      <c r="DZ92">
        <v>71</v>
      </c>
      <c r="EA92" s="183">
        <v>0</v>
      </c>
      <c r="EB92" s="83">
        <v>0</v>
      </c>
      <c r="EC92" s="184">
        <v>0</v>
      </c>
      <c r="ED92">
        <v>0</v>
      </c>
      <c r="EE92">
        <v>1246</v>
      </c>
      <c r="EF92">
        <v>1111</v>
      </c>
      <c r="EG92">
        <v>0</v>
      </c>
      <c r="EH92">
        <v>0</v>
      </c>
      <c r="EI92">
        <v>59</v>
      </c>
      <c r="EJ92">
        <v>0</v>
      </c>
      <c r="EK92">
        <v>0</v>
      </c>
      <c r="EL92">
        <v>73</v>
      </c>
      <c r="EM92">
        <v>0</v>
      </c>
      <c r="EN92">
        <v>1246</v>
      </c>
      <c r="EO92">
        <v>979</v>
      </c>
      <c r="EP92">
        <v>0</v>
      </c>
      <c r="EQ92">
        <v>417</v>
      </c>
      <c r="ER92">
        <v>1054</v>
      </c>
      <c r="ES92">
        <v>-145</v>
      </c>
      <c r="ET92">
        <v>64</v>
      </c>
      <c r="EU92">
        <v>-223</v>
      </c>
      <c r="EV92">
        <v>-145</v>
      </c>
      <c r="EW92">
        <v>64</v>
      </c>
      <c r="EX92">
        <v>-223</v>
      </c>
      <c r="EY92">
        <v>149</v>
      </c>
      <c r="EZ92">
        <v>95</v>
      </c>
      <c r="FA92">
        <v>408</v>
      </c>
      <c r="FB92">
        <v>149</v>
      </c>
      <c r="FC92">
        <v>95</v>
      </c>
      <c r="FD92">
        <v>408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146</v>
      </c>
      <c r="GA92">
        <v>95</v>
      </c>
      <c r="GB92">
        <v>408</v>
      </c>
      <c r="GC92">
        <v>147</v>
      </c>
      <c r="GD92">
        <v>95</v>
      </c>
      <c r="GE92">
        <v>408</v>
      </c>
      <c r="GF92" s="4">
        <f t="shared" si="12"/>
        <v>1968</v>
      </c>
      <c r="GG92">
        <f t="shared" si="13"/>
        <v>1814</v>
      </c>
      <c r="GH92" s="4">
        <f t="shared" si="14"/>
        <v>2518</v>
      </c>
      <c r="GI92" s="4">
        <f t="shared" si="15"/>
        <v>1969</v>
      </c>
      <c r="GJ92">
        <f t="shared" si="16"/>
        <v>1973</v>
      </c>
      <c r="GK92" s="4">
        <f t="shared" si="17"/>
        <v>2703</v>
      </c>
      <c r="GL92" s="4">
        <f t="shared" si="18"/>
        <v>1</v>
      </c>
      <c r="GM92">
        <f t="shared" si="19"/>
        <v>159</v>
      </c>
      <c r="GN92" s="4">
        <f t="shared" si="20"/>
        <v>185</v>
      </c>
      <c r="GO92" s="4">
        <f t="shared" si="21"/>
        <v>2</v>
      </c>
      <c r="GP92">
        <f t="shared" si="22"/>
        <v>159</v>
      </c>
      <c r="GQ92" s="4">
        <f t="shared" si="23"/>
        <v>185</v>
      </c>
      <c r="GS92" s="4"/>
      <c r="GT92" s="4"/>
      <c r="GV92" s="4"/>
      <c r="GW92" s="4"/>
      <c r="GX92" s="4"/>
      <c r="GZ92" s="4"/>
      <c r="HA92" s="4"/>
      <c r="HB92" s="4"/>
    </row>
    <row r="93" spans="1:210">
      <c r="A93" t="s">
        <v>99</v>
      </c>
      <c r="B93">
        <v>217</v>
      </c>
      <c r="C93">
        <v>0</v>
      </c>
      <c r="D93">
        <v>97</v>
      </c>
      <c r="E93">
        <v>0</v>
      </c>
      <c r="F93">
        <v>2</v>
      </c>
      <c r="G93">
        <v>0</v>
      </c>
      <c r="H93">
        <v>1</v>
      </c>
      <c r="I93" t="s">
        <v>44</v>
      </c>
      <c r="J93" t="s">
        <v>32</v>
      </c>
      <c r="K93">
        <v>2</v>
      </c>
      <c r="L93">
        <v>60</v>
      </c>
      <c r="M93">
        <v>40</v>
      </c>
      <c r="N93">
        <v>0</v>
      </c>
      <c r="O93">
        <v>0</v>
      </c>
      <c r="P93">
        <v>5</v>
      </c>
      <c r="Q93">
        <v>52</v>
      </c>
      <c r="R93">
        <v>95</v>
      </c>
      <c r="S93">
        <v>66</v>
      </c>
      <c r="T93">
        <v>25</v>
      </c>
      <c r="U93">
        <v>25</v>
      </c>
      <c r="V93">
        <v>25</v>
      </c>
      <c r="W93">
        <v>0</v>
      </c>
      <c r="X93">
        <v>0</v>
      </c>
      <c r="Y93">
        <v>0</v>
      </c>
      <c r="Z93">
        <v>27</v>
      </c>
      <c r="AA93">
        <v>70</v>
      </c>
      <c r="AB93">
        <v>41</v>
      </c>
      <c r="AC93">
        <v>0</v>
      </c>
      <c r="AD93">
        <v>0</v>
      </c>
      <c r="AE93">
        <v>0</v>
      </c>
      <c r="AF93">
        <v>2</v>
      </c>
      <c r="AG93">
        <v>2</v>
      </c>
      <c r="AH93">
        <v>1</v>
      </c>
      <c r="AI93">
        <v>25</v>
      </c>
      <c r="AJ93">
        <v>68</v>
      </c>
      <c r="AK93">
        <v>40</v>
      </c>
      <c r="AL93">
        <v>0</v>
      </c>
      <c r="AM93">
        <v>0</v>
      </c>
      <c r="AN93">
        <v>0</v>
      </c>
      <c r="AO93">
        <v>52</v>
      </c>
      <c r="AP93">
        <v>95</v>
      </c>
      <c r="AQ93">
        <v>66</v>
      </c>
      <c r="AR93">
        <v>52</v>
      </c>
      <c r="AS93">
        <v>93</v>
      </c>
      <c r="AT93">
        <v>66</v>
      </c>
      <c r="AU93">
        <v>43</v>
      </c>
      <c r="AV93">
        <v>52</v>
      </c>
      <c r="AW93">
        <v>93</v>
      </c>
      <c r="AX93">
        <v>9</v>
      </c>
      <c r="AY93">
        <v>41</v>
      </c>
      <c r="AZ93">
        <v>-27</v>
      </c>
      <c r="BA93">
        <v>0</v>
      </c>
      <c r="BB93">
        <v>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2</v>
      </c>
      <c r="BL93">
        <v>0</v>
      </c>
      <c r="BM93">
        <v>0</v>
      </c>
      <c r="BN93">
        <v>0</v>
      </c>
      <c r="BO93">
        <v>0</v>
      </c>
      <c r="BP93">
        <v>84</v>
      </c>
      <c r="BQ93">
        <v>146</v>
      </c>
      <c r="BR93">
        <v>127</v>
      </c>
      <c r="BS93">
        <v>11</v>
      </c>
      <c r="BT93">
        <v>131</v>
      </c>
      <c r="BU93">
        <v>99</v>
      </c>
      <c r="BV93">
        <v>58</v>
      </c>
      <c r="BW93">
        <v>0</v>
      </c>
      <c r="BX93">
        <v>0</v>
      </c>
      <c r="BY93">
        <v>11</v>
      </c>
      <c r="BZ93">
        <v>12</v>
      </c>
      <c r="CA93">
        <v>15</v>
      </c>
      <c r="CB93">
        <v>0</v>
      </c>
      <c r="CC93">
        <v>0</v>
      </c>
      <c r="CD93">
        <v>0</v>
      </c>
      <c r="CE93">
        <v>4</v>
      </c>
      <c r="CF93">
        <v>3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13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93</v>
      </c>
      <c r="DS93">
        <v>186</v>
      </c>
      <c r="DT93">
        <v>100</v>
      </c>
      <c r="DU93">
        <v>0</v>
      </c>
      <c r="DV93">
        <v>0</v>
      </c>
      <c r="DW93">
        <v>0</v>
      </c>
      <c r="DX93">
        <v>13</v>
      </c>
      <c r="DY93">
        <v>0</v>
      </c>
      <c r="DZ93">
        <v>0</v>
      </c>
      <c r="EA93" s="183">
        <v>0</v>
      </c>
      <c r="EB93" s="83">
        <v>0</v>
      </c>
      <c r="EC93" s="184">
        <v>0</v>
      </c>
      <c r="ED93">
        <v>80</v>
      </c>
      <c r="EE93">
        <v>48</v>
      </c>
      <c r="EF93">
        <v>100</v>
      </c>
      <c r="EG93">
        <v>0</v>
      </c>
      <c r="EH93">
        <v>0</v>
      </c>
      <c r="EI93">
        <v>0</v>
      </c>
      <c r="EJ93">
        <v>54</v>
      </c>
      <c r="EK93">
        <v>15</v>
      </c>
      <c r="EL93">
        <v>67</v>
      </c>
      <c r="EM93">
        <v>26</v>
      </c>
      <c r="EN93">
        <v>33</v>
      </c>
      <c r="EO93">
        <v>33</v>
      </c>
      <c r="EP93">
        <v>0</v>
      </c>
      <c r="EQ93">
        <v>138</v>
      </c>
      <c r="ER93">
        <v>0</v>
      </c>
      <c r="ES93">
        <v>9</v>
      </c>
      <c r="ET93">
        <v>40</v>
      </c>
      <c r="EU93">
        <v>-27</v>
      </c>
      <c r="EV93">
        <v>9</v>
      </c>
      <c r="EW93">
        <v>40</v>
      </c>
      <c r="EX93">
        <v>-27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 s="4">
        <f t="shared" si="12"/>
        <v>84</v>
      </c>
      <c r="GG93">
        <f t="shared" si="13"/>
        <v>146</v>
      </c>
      <c r="GH93" s="4">
        <f t="shared" si="14"/>
        <v>127</v>
      </c>
      <c r="GI93" s="4">
        <f t="shared" si="15"/>
        <v>93</v>
      </c>
      <c r="GJ93">
        <f t="shared" si="16"/>
        <v>186</v>
      </c>
      <c r="GK93" s="4">
        <f t="shared" si="17"/>
        <v>100</v>
      </c>
      <c r="GL93" s="4">
        <f t="shared" si="18"/>
        <v>9</v>
      </c>
      <c r="GM93">
        <f t="shared" si="19"/>
        <v>40</v>
      </c>
      <c r="GN93" s="4">
        <f t="shared" si="20"/>
        <v>-27</v>
      </c>
      <c r="GO93" s="4">
        <f t="shared" si="21"/>
        <v>9</v>
      </c>
      <c r="GP93">
        <f t="shared" si="22"/>
        <v>40</v>
      </c>
      <c r="GQ93" s="4">
        <f t="shared" si="23"/>
        <v>-27</v>
      </c>
      <c r="GS93" s="4"/>
      <c r="GT93" s="4"/>
      <c r="GV93" s="4"/>
      <c r="GW93" s="4"/>
      <c r="GX93" s="4"/>
      <c r="GZ93" s="4"/>
      <c r="HA93" s="4"/>
      <c r="HB93" s="4"/>
    </row>
    <row r="94" spans="1:210">
      <c r="A94" t="s">
        <v>135</v>
      </c>
      <c r="B94">
        <v>269</v>
      </c>
      <c r="C94">
        <v>1</v>
      </c>
      <c r="D94">
        <v>36</v>
      </c>
      <c r="E94">
        <v>15</v>
      </c>
      <c r="F94">
        <v>16</v>
      </c>
      <c r="G94">
        <v>20</v>
      </c>
      <c r="H94">
        <v>12</v>
      </c>
      <c r="I94" t="s">
        <v>44</v>
      </c>
      <c r="J94" t="s">
        <v>32</v>
      </c>
      <c r="K94">
        <v>3</v>
      </c>
      <c r="L94">
        <v>18</v>
      </c>
      <c r="M94">
        <v>49</v>
      </c>
      <c r="N94">
        <v>10</v>
      </c>
      <c r="O94">
        <v>23</v>
      </c>
      <c r="P94">
        <v>3</v>
      </c>
      <c r="Q94">
        <v>4047</v>
      </c>
      <c r="R94">
        <v>4223</v>
      </c>
      <c r="S94">
        <v>4270</v>
      </c>
      <c r="T94">
        <v>3325</v>
      </c>
      <c r="U94">
        <v>3325</v>
      </c>
      <c r="V94">
        <v>3325</v>
      </c>
      <c r="W94">
        <v>0</v>
      </c>
      <c r="X94">
        <v>0</v>
      </c>
      <c r="Y94">
        <v>0</v>
      </c>
      <c r="Z94">
        <v>722</v>
      </c>
      <c r="AA94">
        <v>898</v>
      </c>
      <c r="AB94">
        <v>945</v>
      </c>
      <c r="AC94">
        <v>0</v>
      </c>
      <c r="AD94">
        <v>0</v>
      </c>
      <c r="AE94">
        <v>0</v>
      </c>
      <c r="AF94">
        <v>103</v>
      </c>
      <c r="AG94">
        <v>107</v>
      </c>
      <c r="AH94">
        <v>114</v>
      </c>
      <c r="AI94">
        <v>619</v>
      </c>
      <c r="AJ94">
        <v>791</v>
      </c>
      <c r="AK94">
        <v>831</v>
      </c>
      <c r="AL94">
        <v>0</v>
      </c>
      <c r="AM94">
        <v>0</v>
      </c>
      <c r="AN94">
        <v>0</v>
      </c>
      <c r="AO94">
        <v>4047</v>
      </c>
      <c r="AP94">
        <v>4223</v>
      </c>
      <c r="AQ94">
        <v>4270</v>
      </c>
      <c r="AR94">
        <v>887</v>
      </c>
      <c r="AS94">
        <v>4031</v>
      </c>
      <c r="AT94">
        <v>4090</v>
      </c>
      <c r="AU94">
        <v>3852</v>
      </c>
      <c r="AV94">
        <v>3852</v>
      </c>
      <c r="AW94">
        <v>3853</v>
      </c>
      <c r="AX94">
        <v>35</v>
      </c>
      <c r="AY94">
        <v>179</v>
      </c>
      <c r="AZ94">
        <v>237</v>
      </c>
      <c r="BA94">
        <v>160</v>
      </c>
      <c r="BB94">
        <v>192</v>
      </c>
      <c r="BC94">
        <v>180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93</v>
      </c>
      <c r="BK94">
        <v>125</v>
      </c>
      <c r="BL94">
        <v>114</v>
      </c>
      <c r="BM94">
        <v>42</v>
      </c>
      <c r="BN94">
        <v>67</v>
      </c>
      <c r="BO94">
        <v>66</v>
      </c>
      <c r="BP94">
        <v>1049</v>
      </c>
      <c r="BQ94">
        <v>1018</v>
      </c>
      <c r="BR94">
        <v>1369</v>
      </c>
      <c r="BS94">
        <v>384</v>
      </c>
      <c r="BT94">
        <v>830</v>
      </c>
      <c r="BU94">
        <v>1021</v>
      </c>
      <c r="BV94">
        <v>561</v>
      </c>
      <c r="BW94">
        <v>0</v>
      </c>
      <c r="BX94">
        <v>0</v>
      </c>
      <c r="BY94">
        <v>77</v>
      </c>
      <c r="BZ94">
        <v>169</v>
      </c>
      <c r="CA94">
        <v>278</v>
      </c>
      <c r="CB94">
        <v>0</v>
      </c>
      <c r="CC94">
        <v>0</v>
      </c>
      <c r="CD94">
        <v>0</v>
      </c>
      <c r="CE94">
        <v>19</v>
      </c>
      <c r="CF94">
        <v>19</v>
      </c>
      <c r="CG94">
        <v>60</v>
      </c>
      <c r="CH94">
        <v>0</v>
      </c>
      <c r="CI94">
        <v>0</v>
      </c>
      <c r="CJ94">
        <v>0</v>
      </c>
      <c r="CK94">
        <v>8</v>
      </c>
      <c r="CL94">
        <v>0</v>
      </c>
      <c r="CM94">
        <v>10</v>
      </c>
      <c r="CN94">
        <v>0</v>
      </c>
      <c r="CO94">
        <v>0</v>
      </c>
      <c r="CP94">
        <v>0</v>
      </c>
      <c r="CQ94">
        <v>445</v>
      </c>
      <c r="CR94">
        <v>358</v>
      </c>
      <c r="CS94">
        <v>358</v>
      </c>
      <c r="CT94">
        <v>174</v>
      </c>
      <c r="CU94">
        <v>279</v>
      </c>
      <c r="CV94">
        <v>299</v>
      </c>
      <c r="CW94">
        <v>200</v>
      </c>
      <c r="CX94">
        <v>0</v>
      </c>
      <c r="CY94">
        <v>0</v>
      </c>
      <c r="CZ94">
        <v>60</v>
      </c>
      <c r="DA94">
        <v>59</v>
      </c>
      <c r="DB94">
        <v>59</v>
      </c>
      <c r="DC94">
        <v>0</v>
      </c>
      <c r="DD94">
        <v>0</v>
      </c>
      <c r="DE94">
        <v>0</v>
      </c>
      <c r="DF94">
        <v>11</v>
      </c>
      <c r="DG94">
        <v>11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9</v>
      </c>
      <c r="DN94">
        <v>0</v>
      </c>
      <c r="DO94">
        <v>0</v>
      </c>
      <c r="DP94">
        <v>0</v>
      </c>
      <c r="DQ94">
        <v>0</v>
      </c>
      <c r="DR94">
        <f>765+223</f>
        <v>988</v>
      </c>
      <c r="DS94">
        <v>1109</v>
      </c>
      <c r="DT94">
        <v>1109</v>
      </c>
      <c r="DU94">
        <v>29</v>
      </c>
      <c r="DV94">
        <v>35</v>
      </c>
      <c r="DW94">
        <v>54</v>
      </c>
      <c r="DX94">
        <v>0</v>
      </c>
      <c r="DY94">
        <v>0</v>
      </c>
      <c r="DZ94">
        <v>13</v>
      </c>
      <c r="EA94" s="183">
        <v>0</v>
      </c>
      <c r="EB94" s="83">
        <v>0</v>
      </c>
      <c r="EC94" s="184">
        <v>0</v>
      </c>
      <c r="ED94">
        <f>112+223</f>
        <v>335</v>
      </c>
      <c r="EE94">
        <v>363</v>
      </c>
      <c r="EF94">
        <v>525</v>
      </c>
      <c r="EG94">
        <v>87</v>
      </c>
      <c r="EH94">
        <v>32</v>
      </c>
      <c r="EI94">
        <v>283</v>
      </c>
      <c r="EJ94">
        <v>30</v>
      </c>
      <c r="EK94">
        <v>55</v>
      </c>
      <c r="EL94">
        <v>25</v>
      </c>
      <c r="EM94">
        <v>218</v>
      </c>
      <c r="EN94">
        <v>276</v>
      </c>
      <c r="EO94">
        <v>217</v>
      </c>
      <c r="EP94">
        <v>624</v>
      </c>
      <c r="EQ94">
        <v>711</v>
      </c>
      <c r="ER94">
        <v>517</v>
      </c>
      <c r="ES94">
        <v>-61</v>
      </c>
      <c r="ET94">
        <v>91</v>
      </c>
      <c r="EU94">
        <v>-260</v>
      </c>
      <c r="EV94">
        <v>-61</v>
      </c>
      <c r="EW94">
        <v>91</v>
      </c>
      <c r="EX94">
        <v>-260</v>
      </c>
      <c r="EY94">
        <v>518</v>
      </c>
      <c r="EZ94">
        <v>413</v>
      </c>
      <c r="FA94">
        <v>676</v>
      </c>
      <c r="FB94">
        <v>518</v>
      </c>
      <c r="FC94">
        <v>413</v>
      </c>
      <c r="FD94">
        <v>676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73</v>
      </c>
      <c r="GA94">
        <v>55</v>
      </c>
      <c r="GB94">
        <v>318</v>
      </c>
      <c r="GC94">
        <v>73</v>
      </c>
      <c r="GD94">
        <v>55</v>
      </c>
      <c r="GE94">
        <v>318</v>
      </c>
      <c r="GF94" s="4">
        <f t="shared" si="12"/>
        <v>1494</v>
      </c>
      <c r="GG94">
        <f t="shared" si="13"/>
        <v>1376</v>
      </c>
      <c r="GH94" s="4">
        <f t="shared" si="14"/>
        <v>1727</v>
      </c>
      <c r="GI94" s="4">
        <f t="shared" si="15"/>
        <v>1506</v>
      </c>
      <c r="GJ94">
        <f t="shared" si="16"/>
        <v>1522</v>
      </c>
      <c r="GK94" s="4">
        <f t="shared" si="17"/>
        <v>1785</v>
      </c>
      <c r="GL94" s="4">
        <f t="shared" si="18"/>
        <v>12</v>
      </c>
      <c r="GM94">
        <f t="shared" si="19"/>
        <v>146</v>
      </c>
      <c r="GN94" s="4">
        <f t="shared" si="20"/>
        <v>58</v>
      </c>
      <c r="GO94" s="4">
        <f t="shared" si="21"/>
        <v>12</v>
      </c>
      <c r="GP94">
        <f t="shared" si="22"/>
        <v>146</v>
      </c>
      <c r="GQ94" s="4">
        <f t="shared" si="23"/>
        <v>58</v>
      </c>
      <c r="GR94" t="s">
        <v>326</v>
      </c>
      <c r="GS94" s="4"/>
      <c r="GT94" s="4"/>
      <c r="GV94" s="4"/>
      <c r="GW94" s="4"/>
      <c r="GX94" s="4"/>
      <c r="GZ94" s="4"/>
      <c r="HA94" s="4"/>
      <c r="HB94" s="4"/>
    </row>
    <row r="95" spans="1:210">
      <c r="A95" t="s">
        <v>81</v>
      </c>
      <c r="B95">
        <v>70</v>
      </c>
      <c r="C95">
        <v>5</v>
      </c>
      <c r="D95">
        <v>40</v>
      </c>
      <c r="E95">
        <v>30</v>
      </c>
      <c r="F95">
        <v>10</v>
      </c>
      <c r="G95">
        <v>10</v>
      </c>
      <c r="H95">
        <v>5</v>
      </c>
      <c r="I95" t="s">
        <v>45</v>
      </c>
      <c r="J95" t="s">
        <v>33</v>
      </c>
      <c r="K95">
        <v>6</v>
      </c>
      <c r="L95">
        <v>20</v>
      </c>
      <c r="M95">
        <v>35</v>
      </c>
      <c r="N95">
        <v>35</v>
      </c>
      <c r="O95">
        <v>10</v>
      </c>
      <c r="P95">
        <v>6</v>
      </c>
      <c r="Q95">
        <v>7501</v>
      </c>
      <c r="R95">
        <v>6750</v>
      </c>
      <c r="S95">
        <v>6526</v>
      </c>
      <c r="T95">
        <v>11246</v>
      </c>
      <c r="U95">
        <v>11701</v>
      </c>
      <c r="V95">
        <v>12007</v>
      </c>
      <c r="W95">
        <v>5159</v>
      </c>
      <c r="X95">
        <v>-6016</v>
      </c>
      <c r="Y95">
        <v>-6438</v>
      </c>
      <c r="Z95">
        <v>1414</v>
      </c>
      <c r="AA95">
        <v>1065</v>
      </c>
      <c r="AB95">
        <v>957</v>
      </c>
      <c r="AC95">
        <v>0</v>
      </c>
      <c r="AD95">
        <v>0</v>
      </c>
      <c r="AE95">
        <v>0</v>
      </c>
      <c r="AF95">
        <v>273</v>
      </c>
      <c r="AG95">
        <v>111</v>
      </c>
      <c r="AH95">
        <v>175</v>
      </c>
      <c r="AI95">
        <v>1064</v>
      </c>
      <c r="AJ95">
        <v>851</v>
      </c>
      <c r="AK95">
        <v>680</v>
      </c>
      <c r="AL95">
        <v>77</v>
      </c>
      <c r="AM95">
        <v>103</v>
      </c>
      <c r="AN95">
        <v>102</v>
      </c>
      <c r="AO95">
        <v>7501</v>
      </c>
      <c r="AP95">
        <v>6750</v>
      </c>
      <c r="AQ95">
        <v>6526</v>
      </c>
      <c r="AR95">
        <v>7216</v>
      </c>
      <c r="AS95">
        <v>6135</v>
      </c>
      <c r="AT95">
        <v>6066</v>
      </c>
      <c r="AU95">
        <v>8306</v>
      </c>
      <c r="AV95">
        <v>8306</v>
      </c>
      <c r="AW95">
        <v>8306</v>
      </c>
      <c r="AX95">
        <v>-1090</v>
      </c>
      <c r="AY95">
        <v>-2171</v>
      </c>
      <c r="AZ95">
        <v>-2240</v>
      </c>
      <c r="BA95">
        <v>285</v>
      </c>
      <c r="BB95">
        <v>615</v>
      </c>
      <c r="BC95">
        <v>460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77</v>
      </c>
      <c r="BJ95">
        <v>144</v>
      </c>
      <c r="BK95">
        <v>324</v>
      </c>
      <c r="BL95">
        <v>176</v>
      </c>
      <c r="BM95">
        <v>141</v>
      </c>
      <c r="BN95">
        <v>291</v>
      </c>
      <c r="BO95">
        <v>207</v>
      </c>
      <c r="BP95">
        <v>4321</v>
      </c>
      <c r="BQ95">
        <v>3568</v>
      </c>
      <c r="BR95">
        <v>3621</v>
      </c>
      <c r="BS95">
        <v>591</v>
      </c>
      <c r="BT95">
        <v>2750</v>
      </c>
      <c r="BU95">
        <v>2414</v>
      </c>
      <c r="BV95">
        <v>2920</v>
      </c>
      <c r="BW95">
        <v>0</v>
      </c>
      <c r="BX95">
        <v>0</v>
      </c>
      <c r="BY95">
        <v>293</v>
      </c>
      <c r="BZ95">
        <v>370</v>
      </c>
      <c r="CA95">
        <v>539</v>
      </c>
      <c r="CB95">
        <v>102</v>
      </c>
      <c r="CC95">
        <v>107</v>
      </c>
      <c r="CD95">
        <v>213</v>
      </c>
      <c r="CE95">
        <v>60</v>
      </c>
      <c r="CF95">
        <v>60</v>
      </c>
      <c r="CG95">
        <v>68</v>
      </c>
      <c r="CH95">
        <v>355</v>
      </c>
      <c r="CI95">
        <v>281</v>
      </c>
      <c r="CJ95">
        <v>387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268</v>
      </c>
      <c r="CR95">
        <v>267</v>
      </c>
      <c r="CS95">
        <v>268</v>
      </c>
      <c r="CT95">
        <v>90</v>
      </c>
      <c r="CU95">
        <v>125</v>
      </c>
      <c r="CV95">
        <v>138</v>
      </c>
      <c r="CW95">
        <v>34</v>
      </c>
      <c r="CX95">
        <v>0</v>
      </c>
      <c r="CY95">
        <v>0</v>
      </c>
      <c r="CZ95">
        <v>34</v>
      </c>
      <c r="DA95">
        <v>29</v>
      </c>
      <c r="DB95">
        <v>17</v>
      </c>
      <c r="DC95">
        <v>0</v>
      </c>
      <c r="DD95">
        <v>1</v>
      </c>
      <c r="DE95">
        <v>0</v>
      </c>
      <c r="DF95">
        <v>0</v>
      </c>
      <c r="DG95">
        <v>0</v>
      </c>
      <c r="DH95">
        <v>0</v>
      </c>
      <c r="DI95">
        <v>110</v>
      </c>
      <c r="DJ95">
        <v>112</v>
      </c>
      <c r="DK95">
        <v>113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3355</v>
      </c>
      <c r="DS95">
        <v>2882</v>
      </c>
      <c r="DT95">
        <v>3305</v>
      </c>
      <c r="DU95">
        <v>0</v>
      </c>
      <c r="DV95">
        <v>0</v>
      </c>
      <c r="DW95">
        <v>0</v>
      </c>
      <c r="DX95">
        <v>14</v>
      </c>
      <c r="DY95">
        <v>0</v>
      </c>
      <c r="DZ95">
        <v>471</v>
      </c>
      <c r="EA95" s="183">
        <v>0</v>
      </c>
      <c r="EB95" s="83">
        <v>0</v>
      </c>
      <c r="EC95" s="184">
        <v>0</v>
      </c>
      <c r="ED95">
        <v>2026</v>
      </c>
      <c r="EE95">
        <v>1261</v>
      </c>
      <c r="EF95">
        <v>1145</v>
      </c>
      <c r="EG95">
        <v>0</v>
      </c>
      <c r="EH95">
        <v>0</v>
      </c>
      <c r="EI95">
        <v>0</v>
      </c>
      <c r="EJ95">
        <v>463</v>
      </c>
      <c r="EK95">
        <v>463</v>
      </c>
      <c r="EL95">
        <v>479</v>
      </c>
      <c r="EM95">
        <v>1563</v>
      </c>
      <c r="EN95">
        <f>EE95-EK95</f>
        <v>798</v>
      </c>
      <c r="EO95">
        <v>667</v>
      </c>
      <c r="EP95">
        <v>1315</v>
      </c>
      <c r="EQ95">
        <v>1621</v>
      </c>
      <c r="ER95">
        <v>1688</v>
      </c>
      <c r="ES95">
        <v>-966</v>
      </c>
      <c r="ET95">
        <v>-686</v>
      </c>
      <c r="EU95">
        <v>-316</v>
      </c>
      <c r="EV95">
        <v>-966</v>
      </c>
      <c r="EW95">
        <v>-686</v>
      </c>
      <c r="EX95">
        <v>-316</v>
      </c>
      <c r="EY95">
        <v>546</v>
      </c>
      <c r="EZ95">
        <v>560</v>
      </c>
      <c r="FA95">
        <v>515</v>
      </c>
      <c r="FB95">
        <v>546</v>
      </c>
      <c r="FC95">
        <v>552</v>
      </c>
      <c r="FD95">
        <v>515</v>
      </c>
      <c r="FE95">
        <v>0</v>
      </c>
      <c r="FF95">
        <v>8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278</v>
      </c>
      <c r="GA95">
        <v>293</v>
      </c>
      <c r="GB95">
        <v>247</v>
      </c>
      <c r="GC95">
        <v>278</v>
      </c>
      <c r="GD95">
        <v>293</v>
      </c>
      <c r="GE95">
        <v>247</v>
      </c>
      <c r="GF95" s="4">
        <f t="shared" si="12"/>
        <v>4589</v>
      </c>
      <c r="GG95">
        <f t="shared" si="13"/>
        <v>3835</v>
      </c>
      <c r="GH95" s="4">
        <f t="shared" si="14"/>
        <v>3889</v>
      </c>
      <c r="GI95" s="4">
        <f t="shared" si="15"/>
        <v>3901</v>
      </c>
      <c r="GJ95">
        <f t="shared" si="16"/>
        <v>3442</v>
      </c>
      <c r="GK95" s="4">
        <f t="shared" si="17"/>
        <v>3820</v>
      </c>
      <c r="GL95" s="4">
        <f t="shared" si="18"/>
        <v>-688</v>
      </c>
      <c r="GM95">
        <f t="shared" si="19"/>
        <v>-393</v>
      </c>
      <c r="GN95" s="4">
        <f t="shared" si="20"/>
        <v>-69</v>
      </c>
      <c r="GO95" s="4">
        <f t="shared" si="21"/>
        <v>-688</v>
      </c>
      <c r="GP95">
        <f t="shared" si="22"/>
        <v>-393</v>
      </c>
      <c r="GQ95" s="4">
        <f t="shared" si="23"/>
        <v>-69</v>
      </c>
      <c r="GS95" s="4"/>
      <c r="GT95" s="4"/>
      <c r="GV95" s="4"/>
      <c r="GW95" s="4"/>
      <c r="GX95" s="4"/>
      <c r="GZ95" s="4"/>
      <c r="HA95" s="4"/>
      <c r="HB95" s="4"/>
    </row>
    <row r="100" spans="145:146">
      <c r="EO100" t="s">
        <v>59</v>
      </c>
      <c r="EP100" s="83">
        <f t="shared" ref="EP100:EP146" si="24">IF(EP14,1,0)</f>
        <v>1</v>
      </c>
    </row>
    <row r="101" spans="145:146">
      <c r="EO101" t="s">
        <v>60</v>
      </c>
      <c r="EP101" s="83">
        <f t="shared" si="24"/>
        <v>0</v>
      </c>
    </row>
    <row r="102" spans="145:146">
      <c r="EO102" t="s">
        <v>61</v>
      </c>
      <c r="EP102" s="83">
        <f t="shared" si="24"/>
        <v>1</v>
      </c>
    </row>
    <row r="103" spans="145:146">
      <c r="EO103" t="s">
        <v>62</v>
      </c>
      <c r="EP103" s="83">
        <f t="shared" si="24"/>
        <v>0</v>
      </c>
    </row>
    <row r="104" spans="145:146">
      <c r="EO104" t="s">
        <v>63</v>
      </c>
      <c r="EP104" s="83">
        <f t="shared" si="24"/>
        <v>0</v>
      </c>
    </row>
    <row r="105" spans="145:146">
      <c r="EO105" t="s">
        <v>64</v>
      </c>
      <c r="EP105" s="83">
        <f t="shared" si="24"/>
        <v>0</v>
      </c>
    </row>
    <row r="106" spans="145:146">
      <c r="EO106" t="s">
        <v>65</v>
      </c>
      <c r="EP106" s="83">
        <f t="shared" si="24"/>
        <v>1</v>
      </c>
    </row>
    <row r="107" spans="145:146">
      <c r="EO107" t="s">
        <v>66</v>
      </c>
      <c r="EP107" s="83">
        <f t="shared" si="24"/>
        <v>1</v>
      </c>
    </row>
    <row r="108" spans="145:146">
      <c r="EO108" t="s">
        <v>67</v>
      </c>
      <c r="EP108" s="83">
        <f t="shared" si="24"/>
        <v>1</v>
      </c>
    </row>
    <row r="109" spans="145:146">
      <c r="EO109" t="s">
        <v>68</v>
      </c>
      <c r="EP109" s="83">
        <f t="shared" si="24"/>
        <v>1</v>
      </c>
    </row>
    <row r="110" spans="145:146">
      <c r="EO110" t="s">
        <v>69</v>
      </c>
      <c r="EP110" s="83">
        <f t="shared" si="24"/>
        <v>1</v>
      </c>
    </row>
    <row r="111" spans="145:146">
      <c r="EO111" t="s">
        <v>70</v>
      </c>
      <c r="EP111" s="83">
        <f t="shared" si="24"/>
        <v>0</v>
      </c>
    </row>
    <row r="112" spans="145:146">
      <c r="EO112" t="s">
        <v>71</v>
      </c>
      <c r="EP112" s="83">
        <f t="shared" si="24"/>
        <v>1</v>
      </c>
    </row>
    <row r="113" spans="145:146">
      <c r="EO113" t="s">
        <v>72</v>
      </c>
      <c r="EP113" s="83">
        <f t="shared" si="24"/>
        <v>1</v>
      </c>
    </row>
    <row r="114" spans="145:146">
      <c r="EO114" t="s">
        <v>73</v>
      </c>
      <c r="EP114" s="83">
        <f t="shared" si="24"/>
        <v>1</v>
      </c>
    </row>
    <row r="115" spans="145:146">
      <c r="EO115" t="s">
        <v>74</v>
      </c>
      <c r="EP115" s="83">
        <f t="shared" si="24"/>
        <v>1</v>
      </c>
    </row>
    <row r="116" spans="145:146">
      <c r="EO116" t="s">
        <v>83</v>
      </c>
      <c r="EP116" s="83">
        <f t="shared" si="24"/>
        <v>1</v>
      </c>
    </row>
    <row r="117" spans="145:146">
      <c r="EO117" t="s">
        <v>84</v>
      </c>
      <c r="EP117" s="83">
        <f t="shared" si="24"/>
        <v>1</v>
      </c>
    </row>
    <row r="118" spans="145:146">
      <c r="EO118" t="s">
        <v>85</v>
      </c>
      <c r="EP118" s="83">
        <f t="shared" si="24"/>
        <v>1</v>
      </c>
    </row>
    <row r="119" spans="145:146">
      <c r="EO119" t="s">
        <v>86</v>
      </c>
      <c r="EP119" s="83">
        <f t="shared" si="24"/>
        <v>1</v>
      </c>
    </row>
    <row r="120" spans="145:146">
      <c r="EO120" t="s">
        <v>91</v>
      </c>
      <c r="EP120" s="83">
        <f t="shared" si="24"/>
        <v>1</v>
      </c>
    </row>
    <row r="121" spans="145:146">
      <c r="EO121" t="s">
        <v>95</v>
      </c>
      <c r="EP121" s="83">
        <f t="shared" si="24"/>
        <v>1</v>
      </c>
    </row>
    <row r="122" spans="145:146">
      <c r="EO122" t="s">
        <v>110</v>
      </c>
      <c r="EP122" s="83">
        <f t="shared" si="24"/>
        <v>0</v>
      </c>
    </row>
    <row r="123" spans="145:146">
      <c r="EO123" t="s">
        <v>111</v>
      </c>
      <c r="EP123" s="83">
        <f t="shared" si="24"/>
        <v>1</v>
      </c>
    </row>
    <row r="124" spans="145:146">
      <c r="EO124" t="s">
        <v>112</v>
      </c>
      <c r="EP124" s="83">
        <f t="shared" si="24"/>
        <v>0</v>
      </c>
    </row>
    <row r="125" spans="145:146">
      <c r="EO125" t="s">
        <v>113</v>
      </c>
      <c r="EP125" s="83">
        <f t="shared" si="24"/>
        <v>1</v>
      </c>
    </row>
    <row r="126" spans="145:146">
      <c r="EO126" t="s">
        <v>114</v>
      </c>
      <c r="EP126" s="83">
        <f t="shared" si="24"/>
        <v>1</v>
      </c>
    </row>
    <row r="127" spans="145:146">
      <c r="EO127" t="s">
        <v>115</v>
      </c>
      <c r="EP127" s="83">
        <f t="shared" si="24"/>
        <v>0</v>
      </c>
    </row>
    <row r="128" spans="145:146">
      <c r="EO128" t="s">
        <v>116</v>
      </c>
      <c r="EP128" s="83">
        <f t="shared" si="24"/>
        <v>1</v>
      </c>
    </row>
    <row r="129" spans="145:146">
      <c r="EO129" t="s">
        <v>117</v>
      </c>
      <c r="EP129" s="83">
        <f t="shared" si="24"/>
        <v>1</v>
      </c>
    </row>
    <row r="130" spans="145:146">
      <c r="EO130" t="s">
        <v>118</v>
      </c>
      <c r="EP130" s="83">
        <f t="shared" si="24"/>
        <v>1</v>
      </c>
    </row>
    <row r="131" spans="145:146">
      <c r="EO131" t="s">
        <v>119</v>
      </c>
      <c r="EP131" s="83">
        <f t="shared" si="24"/>
        <v>1</v>
      </c>
    </row>
    <row r="132" spans="145:146">
      <c r="EO132" t="s">
        <v>120</v>
      </c>
      <c r="EP132" s="83">
        <f t="shared" si="24"/>
        <v>0</v>
      </c>
    </row>
    <row r="133" spans="145:146">
      <c r="EO133" t="s">
        <v>121</v>
      </c>
      <c r="EP133" s="83">
        <f t="shared" si="24"/>
        <v>1</v>
      </c>
    </row>
    <row r="134" spans="145:146">
      <c r="EO134" t="s">
        <v>122</v>
      </c>
      <c r="EP134" s="83">
        <f t="shared" si="24"/>
        <v>1</v>
      </c>
    </row>
    <row r="135" spans="145:146">
      <c r="EO135" t="s">
        <v>123</v>
      </c>
      <c r="EP135" s="83">
        <f t="shared" si="24"/>
        <v>1</v>
      </c>
    </row>
    <row r="136" spans="145:146">
      <c r="EO136" t="s">
        <v>124</v>
      </c>
      <c r="EP136" s="83">
        <f t="shared" si="24"/>
        <v>1</v>
      </c>
    </row>
    <row r="137" spans="145:146">
      <c r="EO137" t="s">
        <v>125</v>
      </c>
      <c r="EP137" s="83">
        <f t="shared" si="24"/>
        <v>1</v>
      </c>
    </row>
    <row r="138" spans="145:146">
      <c r="EO138" t="s">
        <v>126</v>
      </c>
      <c r="EP138" s="83">
        <f t="shared" si="24"/>
        <v>0</v>
      </c>
    </row>
    <row r="139" spans="145:146">
      <c r="EO139" t="s">
        <v>127</v>
      </c>
      <c r="EP139" s="83">
        <f t="shared" si="24"/>
        <v>0</v>
      </c>
    </row>
    <row r="140" spans="145:146">
      <c r="EO140" t="s">
        <v>128</v>
      </c>
      <c r="EP140" s="83">
        <f t="shared" si="24"/>
        <v>1</v>
      </c>
    </row>
    <row r="141" spans="145:146">
      <c r="EO141" t="s">
        <v>129</v>
      </c>
      <c r="EP141" s="83">
        <f t="shared" si="24"/>
        <v>0</v>
      </c>
    </row>
    <row r="142" spans="145:146">
      <c r="EO142" t="s">
        <v>130</v>
      </c>
      <c r="EP142" s="83">
        <f t="shared" si="24"/>
        <v>0</v>
      </c>
    </row>
    <row r="143" spans="145:146">
      <c r="EO143" t="s">
        <v>131</v>
      </c>
      <c r="EP143" s="83">
        <f t="shared" si="24"/>
        <v>1</v>
      </c>
    </row>
    <row r="144" spans="145:146">
      <c r="EO144" t="s">
        <v>132</v>
      </c>
      <c r="EP144" s="83">
        <f t="shared" si="24"/>
        <v>1</v>
      </c>
    </row>
    <row r="145" spans="145:148">
      <c r="EO145" t="s">
        <v>137</v>
      </c>
      <c r="EP145" s="83">
        <f t="shared" si="24"/>
        <v>0</v>
      </c>
    </row>
    <row r="146" spans="145:148">
      <c r="EO146" t="s">
        <v>138</v>
      </c>
      <c r="EP146" s="83">
        <f t="shared" si="24"/>
        <v>1</v>
      </c>
      <c r="EQ146" s="83">
        <f>IF(EQ60,1,0)</f>
        <v>1</v>
      </c>
      <c r="ER146" s="83">
        <f>IF(ER60,1,0)</f>
        <v>1</v>
      </c>
    </row>
  </sheetData>
  <autoFilter ref="A2:GR95" xr:uid="{4F7F0A4F-AFB7-9A41-9BE7-6FBA2B03E3F4}">
    <sortState xmlns:xlrd2="http://schemas.microsoft.com/office/spreadsheetml/2017/richdata2" ref="A12:GR89">
      <sortCondition ref="I2:I95"/>
    </sortState>
  </autoFilter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1107-BAE6-CC4F-8ED3-1CAAE3567B2C}">
  <sheetPr>
    <tabColor rgb="FFFFA2B4"/>
  </sheetPr>
  <dimension ref="A1:K150"/>
  <sheetViews>
    <sheetView zoomScale="85" workbookViewId="0">
      <selection activeCell="N2" sqref="N2"/>
    </sheetView>
  </sheetViews>
  <sheetFormatPr baseColWidth="10" defaultColWidth="11" defaultRowHeight="16"/>
  <cols>
    <col min="1" max="1" width="15.33203125" bestFit="1" customWidth="1"/>
    <col min="2" max="2" width="17.83203125" bestFit="1" customWidth="1"/>
    <col min="3" max="4" width="17" bestFit="1" customWidth="1"/>
    <col min="5" max="5" width="15.33203125" bestFit="1" customWidth="1"/>
    <col min="6" max="6" width="17.83203125" bestFit="1" customWidth="1"/>
    <col min="7" max="7" width="15.33203125" bestFit="1" customWidth="1"/>
    <col min="8" max="8" width="10.83203125" customWidth="1"/>
    <col min="9" max="9" width="6.83203125" customWidth="1"/>
    <col min="10" max="10" width="15.83203125" customWidth="1"/>
    <col min="11" max="11" width="12" customWidth="1"/>
    <col min="12" max="13" width="14.33203125" customWidth="1"/>
    <col min="14" max="280" width="46.6640625" bestFit="1" customWidth="1"/>
    <col min="281" max="281" width="48.33203125" bestFit="1" customWidth="1"/>
    <col min="282" max="283" width="48.6640625" bestFit="1" customWidth="1"/>
  </cols>
  <sheetData>
    <row r="1" spans="1:10">
      <c r="A1" s="10"/>
      <c r="B1" s="7"/>
    </row>
    <row r="2" spans="1:10">
      <c r="A2" s="8" t="s">
        <v>377</v>
      </c>
      <c r="B2" s="8">
        <v>2015</v>
      </c>
      <c r="C2" s="8">
        <v>2016</v>
      </c>
      <c r="D2" s="8">
        <v>2017</v>
      </c>
      <c r="F2" t="s">
        <v>408</v>
      </c>
      <c r="G2" s="23" t="s">
        <v>375</v>
      </c>
      <c r="H2" s="23" t="s">
        <v>428</v>
      </c>
      <c r="I2" s="23"/>
      <c r="J2" s="23" t="s">
        <v>429</v>
      </c>
    </row>
    <row r="3" spans="1:10">
      <c r="A3" s="8" t="str">
        <f>Data!A3</f>
        <v>Athletic club Mariánské Lázně, o.s.</v>
      </c>
      <c r="B3">
        <f>IF(0+Data!EP3,1,0)</f>
        <v>1</v>
      </c>
      <c r="C3">
        <f>IF(0+Data!EQ3,1,0)</f>
        <v>1</v>
      </c>
      <c r="D3">
        <f>IF(0+Data!ER3,1,0)</f>
        <v>1</v>
      </c>
      <c r="E3" t="s">
        <v>31</v>
      </c>
      <c r="F3">
        <f>Data!B3</f>
        <v>50</v>
      </c>
      <c r="G3" s="24">
        <f>F96/94</f>
        <v>164.36170212765958</v>
      </c>
      <c r="H3" s="23" t="s">
        <v>414</v>
      </c>
      <c r="I3" s="23">
        <v>50</v>
      </c>
      <c r="J3" s="23">
        <f t="array" ref="J3:J17">FREQUENCY($F$3:$F$95,$I$3:$I$17)</f>
        <v>16</v>
      </c>
    </row>
    <row r="4" spans="1:10">
      <c r="A4" s="8" t="str">
        <f>Data!A4</f>
        <v>AK Chemopetrol Litvínov</v>
      </c>
      <c r="B4">
        <f>IF(0+Data!EP4,1,0)</f>
        <v>1</v>
      </c>
      <c r="C4">
        <f>IF(0+Data!EQ4,1,0)</f>
        <v>1</v>
      </c>
      <c r="D4">
        <f>IF(0+Data!ER4,1,0)</f>
        <v>1</v>
      </c>
      <c r="E4" t="s">
        <v>31</v>
      </c>
      <c r="F4">
        <f>Data!B4</f>
        <v>208</v>
      </c>
      <c r="G4" s="23" t="s">
        <v>409</v>
      </c>
      <c r="H4" s="23" t="s">
        <v>415</v>
      </c>
      <c r="I4" s="23">
        <v>100</v>
      </c>
      <c r="J4" s="23">
        <v>15</v>
      </c>
    </row>
    <row r="5" spans="1:10">
      <c r="A5" s="8" t="str">
        <f>Data!A5</f>
        <v>PSK Olymp Praha</v>
      </c>
      <c r="B5">
        <f>IF(0+Data!EP5,1,0)</f>
        <v>0</v>
      </c>
      <c r="C5">
        <f>IF(0+Data!EQ5,1,0)</f>
        <v>0</v>
      </c>
      <c r="D5">
        <f>IF(0+Data!ER5,1,0)</f>
        <v>1</v>
      </c>
      <c r="E5" t="s">
        <v>31</v>
      </c>
      <c r="F5">
        <f>Data!B5</f>
        <v>350</v>
      </c>
      <c r="G5" s="23">
        <f>MEDIAN(F3:F95)</f>
        <v>130</v>
      </c>
      <c r="H5" s="23" t="s">
        <v>411</v>
      </c>
      <c r="I5" s="23">
        <v>150</v>
      </c>
      <c r="J5" s="23">
        <v>22</v>
      </c>
    </row>
    <row r="6" spans="1:10">
      <c r="A6" s="8" t="str">
        <f>Data!A6</f>
        <v>TJ Sokol Kolín-atletika</v>
      </c>
      <c r="B6">
        <f>IF(0+Data!EP6,1,0)</f>
        <v>0</v>
      </c>
      <c r="C6">
        <f>IF(0+Data!EQ6,1,0)</f>
        <v>1</v>
      </c>
      <c r="D6">
        <f>IF(0+Data!ER6,1,0)</f>
        <v>1</v>
      </c>
      <c r="E6" t="s">
        <v>31</v>
      </c>
      <c r="F6">
        <f>Data!B6</f>
        <v>570</v>
      </c>
      <c r="G6" s="23" t="s">
        <v>410</v>
      </c>
      <c r="H6" s="23" t="s">
        <v>416</v>
      </c>
      <c r="I6" s="23">
        <v>200</v>
      </c>
      <c r="J6" s="23">
        <v>14</v>
      </c>
    </row>
    <row r="7" spans="1:10">
      <c r="A7" s="8" t="str">
        <f>Data!A7</f>
        <v>TJ Vodní stavby Tábor</v>
      </c>
      <c r="B7">
        <f>IF(0+Data!EP7,1,0)</f>
        <v>1</v>
      </c>
      <c r="C7">
        <f>IF(0+Data!EQ7,1,0)</f>
        <v>1</v>
      </c>
      <c r="D7">
        <f>IF(0+Data!ER7,1,0)</f>
        <v>1</v>
      </c>
      <c r="E7" t="s">
        <v>31</v>
      </c>
      <c r="F7">
        <f>Data!B7</f>
        <v>450</v>
      </c>
      <c r="G7" s="23">
        <f>MODE(F3:F95)</f>
        <v>180</v>
      </c>
      <c r="H7" s="23" t="s">
        <v>417</v>
      </c>
      <c r="I7" s="23">
        <v>250</v>
      </c>
      <c r="J7" s="23">
        <v>8</v>
      </c>
    </row>
    <row r="8" spans="1:10">
      <c r="A8" s="8" t="str">
        <f>Data!A8</f>
        <v>AK Šternberk</v>
      </c>
      <c r="B8">
        <f>IF(0+Data!EP8,1,0)</f>
        <v>1</v>
      </c>
      <c r="C8">
        <f>IF(0+Data!EQ8,1,0)</f>
        <v>1</v>
      </c>
      <c r="D8">
        <f>IF(0+Data!ER8,1,0)</f>
        <v>1</v>
      </c>
      <c r="E8" t="s">
        <v>34</v>
      </c>
      <c r="F8">
        <f>Data!B8</f>
        <v>385</v>
      </c>
      <c r="G8" s="23" t="s">
        <v>412</v>
      </c>
      <c r="H8" s="23" t="s">
        <v>418</v>
      </c>
      <c r="I8" s="23">
        <v>300</v>
      </c>
      <c r="J8" s="23">
        <v>7</v>
      </c>
    </row>
    <row r="9" spans="1:10">
      <c r="A9" s="8" t="str">
        <f>Data!A9</f>
        <v>TJ VTŽ Chomutov</v>
      </c>
      <c r="B9">
        <f>IF(0+Data!EP9,1,0)</f>
        <v>1</v>
      </c>
      <c r="C9">
        <f>IF(0+Data!EQ9,1,0)</f>
        <v>1</v>
      </c>
      <c r="D9">
        <f>IF(0+Data!ER9,1,0)</f>
        <v>1</v>
      </c>
      <c r="E9" t="s">
        <v>36</v>
      </c>
      <c r="F9">
        <f>Data!B9</f>
        <v>260</v>
      </c>
      <c r="G9" s="23">
        <f>MIN(F3:F95)</f>
        <v>10</v>
      </c>
      <c r="H9" s="23" t="s">
        <v>419</v>
      </c>
      <c r="I9" s="23">
        <v>350</v>
      </c>
      <c r="J9" s="23">
        <v>3</v>
      </c>
    </row>
    <row r="10" spans="1:10">
      <c r="A10" s="8" t="str">
        <f>Data!A10</f>
        <v>TJ Spartak Přerov</v>
      </c>
      <c r="B10">
        <f>IF(0+Data!EP10,1,0)</f>
        <v>0</v>
      </c>
      <c r="C10">
        <f>IF(0+Data!EQ10,1,0)</f>
        <v>1</v>
      </c>
      <c r="D10">
        <f>IF(0+Data!ER10,1,0)</f>
        <v>1</v>
      </c>
      <c r="E10" t="s">
        <v>37</v>
      </c>
      <c r="F10">
        <f>Data!B10</f>
        <v>10</v>
      </c>
      <c r="G10" s="23" t="s">
        <v>413</v>
      </c>
      <c r="H10" s="23" t="s">
        <v>420</v>
      </c>
      <c r="I10" s="23">
        <v>400</v>
      </c>
      <c r="J10" s="23">
        <v>3</v>
      </c>
    </row>
    <row r="11" spans="1:10">
      <c r="A11" s="8" t="str">
        <f>Data!A11</f>
        <v>TJ Nové Město na Moravě</v>
      </c>
      <c r="B11">
        <f>IF(0+Data!EP11,1,0)</f>
        <v>1</v>
      </c>
      <c r="C11">
        <f>IF(0+Data!EQ11,1,0)</f>
        <v>1</v>
      </c>
      <c r="D11">
        <f>IF(0+Data!ER11,1,0)</f>
        <v>1</v>
      </c>
      <c r="E11" t="s">
        <v>37</v>
      </c>
      <c r="F11">
        <f>Data!B11</f>
        <v>176</v>
      </c>
      <c r="G11" s="23">
        <f>MAX(F3:F95)</f>
        <v>720</v>
      </c>
      <c r="H11" s="23" t="s">
        <v>421</v>
      </c>
      <c r="I11" s="23">
        <v>450</v>
      </c>
      <c r="J11" s="23">
        <v>3</v>
      </c>
    </row>
    <row r="12" spans="1:10">
      <c r="A12" s="8" t="str">
        <f>Data!A12</f>
        <v>Jihočeský klub maratonců</v>
      </c>
      <c r="B12">
        <f>IF(0+Data!EP12,1,0)</f>
        <v>1</v>
      </c>
      <c r="C12">
        <f>IF(0+Data!EQ12,1,0)</f>
        <v>1</v>
      </c>
      <c r="D12">
        <f>IF(0+Data!ER12,1,0)</f>
        <v>1</v>
      </c>
      <c r="E12" t="s">
        <v>37</v>
      </c>
      <c r="F12">
        <f>Data!B12</f>
        <v>117</v>
      </c>
      <c r="G12" s="23"/>
      <c r="H12" s="23" t="s">
        <v>422</v>
      </c>
      <c r="I12" s="23">
        <v>500</v>
      </c>
      <c r="J12" s="23">
        <v>0</v>
      </c>
    </row>
    <row r="13" spans="1:10">
      <c r="A13" s="8" t="str">
        <f>Data!A13</f>
        <v>SKP Nymburk</v>
      </c>
      <c r="B13">
        <f>IF(0+Data!EP13,1,0)</f>
        <v>0</v>
      </c>
      <c r="C13">
        <f>IF(0+Data!EQ13,1,0)</f>
        <v>1</v>
      </c>
      <c r="D13">
        <f>IF(0+Data!ER13,1,0)</f>
        <v>1</v>
      </c>
      <c r="E13" t="s">
        <v>37</v>
      </c>
      <c r="F13">
        <f>Data!B13</f>
        <v>720</v>
      </c>
      <c r="G13" s="23"/>
      <c r="H13" s="23" t="s">
        <v>423</v>
      </c>
      <c r="I13" s="23">
        <v>550</v>
      </c>
      <c r="J13" s="23">
        <v>0</v>
      </c>
    </row>
    <row r="14" spans="1:10">
      <c r="A14" s="8" t="str">
        <f>Data!A14</f>
        <v>TJ Kralupy</v>
      </c>
      <c r="B14">
        <f>IF(0+Data!EP14,1,0)</f>
        <v>1</v>
      </c>
      <c r="C14">
        <f>IF(0+Data!EQ14,1,0)</f>
        <v>1</v>
      </c>
      <c r="D14">
        <f>IF(0+Data!ER14,1,0)</f>
        <v>1</v>
      </c>
      <c r="E14" t="s">
        <v>38</v>
      </c>
      <c r="F14">
        <f>Data!B14</f>
        <v>25</v>
      </c>
      <c r="G14" s="23"/>
      <c r="H14" s="23" t="s">
        <v>424</v>
      </c>
      <c r="I14" s="23">
        <v>600</v>
      </c>
      <c r="J14" s="23">
        <v>1</v>
      </c>
    </row>
    <row r="15" spans="1:10">
      <c r="A15" s="8" t="str">
        <f>Data!A15</f>
        <v>SKP NYMBURK</v>
      </c>
      <c r="B15">
        <f>IF(0+Data!EP15,1,0)</f>
        <v>0</v>
      </c>
      <c r="C15">
        <f>IF(0+Data!EQ15,1,0)</f>
        <v>1</v>
      </c>
      <c r="D15">
        <f>IF(0+Data!ER15,1,0)</f>
        <v>1</v>
      </c>
      <c r="E15" t="s">
        <v>38</v>
      </c>
      <c r="F15">
        <f>Data!B15</f>
        <v>300</v>
      </c>
      <c r="G15" s="23"/>
      <c r="H15" s="23" t="s">
        <v>425</v>
      </c>
      <c r="I15" s="23">
        <v>650</v>
      </c>
      <c r="J15" s="23">
        <v>0</v>
      </c>
    </row>
    <row r="16" spans="1:10">
      <c r="A16" s="8" t="str">
        <f>Data!A16</f>
        <v>KB Vyškov</v>
      </c>
      <c r="B16">
        <f>IF(0+Data!EP16,1,0)</f>
        <v>1</v>
      </c>
      <c r="C16">
        <f>IF(0+Data!EQ16,1,0)</f>
        <v>1</v>
      </c>
      <c r="D16">
        <f>IF(0+Data!ER16,1,0)</f>
        <v>1</v>
      </c>
      <c r="E16" t="s">
        <v>38</v>
      </c>
      <c r="F16">
        <f>Data!B16</f>
        <v>11</v>
      </c>
      <c r="G16" s="23"/>
      <c r="H16" s="23" t="s">
        <v>426</v>
      </c>
      <c r="I16" s="23">
        <v>700</v>
      </c>
      <c r="J16" s="23">
        <v>0</v>
      </c>
    </row>
    <row r="17" spans="1:10">
      <c r="A17" s="8" t="str">
        <f>Data!A17</f>
        <v>KB Střelka Brno</v>
      </c>
      <c r="B17">
        <f>IF(0+Data!EP17,1,0)</f>
        <v>0</v>
      </c>
      <c r="C17">
        <f>IF(0+Data!EQ17,1,0)</f>
        <v>1</v>
      </c>
      <c r="D17">
        <f>IF(0+Data!ER17,1,0)</f>
        <v>1</v>
      </c>
      <c r="E17" t="s">
        <v>38</v>
      </c>
      <c r="F17">
        <f>Data!B17</f>
        <v>50</v>
      </c>
      <c r="G17" s="23"/>
      <c r="H17" s="23" t="s">
        <v>427</v>
      </c>
      <c r="I17" s="23"/>
      <c r="J17" s="23">
        <v>1</v>
      </c>
    </row>
    <row r="18" spans="1:10">
      <c r="A18" s="8" t="str">
        <f>Data!A18</f>
        <v>CC RIPER</v>
      </c>
      <c r="B18">
        <f>IF(0+Data!EP18,1,0)</f>
        <v>0</v>
      </c>
      <c r="C18">
        <f>IF(0+Data!EQ18,1,0)</f>
        <v>0</v>
      </c>
      <c r="D18">
        <f>IF(0+Data!ER18,1,0)</f>
        <v>0</v>
      </c>
      <c r="E18" t="s">
        <v>38</v>
      </c>
      <c r="F18">
        <f>Data!B18</f>
        <v>21</v>
      </c>
    </row>
    <row r="19" spans="1:10">
      <c r="A19" s="8" t="str">
        <f>Data!A19</f>
        <v>Black Angels</v>
      </c>
      <c r="B19">
        <f>IF(0+Data!EP19,1,0)</f>
        <v>0</v>
      </c>
      <c r="C19">
        <f>IF(0+Data!EQ19,1,0)</f>
        <v>1</v>
      </c>
      <c r="D19">
        <f>IF(0+Data!ER19,1,0)</f>
        <v>1</v>
      </c>
      <c r="E19" t="s">
        <v>38</v>
      </c>
      <c r="F19">
        <f>Data!B19</f>
        <v>450</v>
      </c>
    </row>
    <row r="20" spans="1:10">
      <c r="A20" s="8" t="str">
        <f>Data!A20</f>
        <v>FBK Kobra Tatran Hostinné</v>
      </c>
      <c r="B20">
        <f>IF(0+Data!EP20,1,0)</f>
        <v>1</v>
      </c>
      <c r="C20">
        <f>IF(0+Data!EQ20,1,0)</f>
        <v>1</v>
      </c>
      <c r="D20">
        <f>IF(0+Data!ER20,1,0)</f>
        <v>1</v>
      </c>
      <c r="E20" t="s">
        <v>38</v>
      </c>
      <c r="F20">
        <f>Data!B20</f>
        <v>80</v>
      </c>
    </row>
    <row r="21" spans="1:10">
      <c r="A21" s="8" t="str">
        <f>Data!A21</f>
        <v>SK Bivoj Litvínov</v>
      </c>
      <c r="B21">
        <f>IF(0+Data!EP21,1,0)</f>
        <v>1</v>
      </c>
      <c r="C21">
        <f>IF(0+Data!EQ21,1,0)</f>
        <v>1</v>
      </c>
      <c r="D21">
        <f>IF(0+Data!ER21,1,0)</f>
        <v>1</v>
      </c>
      <c r="E21" t="s">
        <v>38</v>
      </c>
      <c r="F21">
        <f>Data!B21</f>
        <v>366</v>
      </c>
    </row>
    <row r="22" spans="1:10">
      <c r="A22" s="8" t="str">
        <f>Data!A22</f>
        <v>Hippos Žďár n/S.</v>
      </c>
      <c r="B22">
        <f>IF(0+Data!EP22,1,0)</f>
        <v>1</v>
      </c>
      <c r="C22">
        <f>IF(0+Data!EQ22,1,0)</f>
        <v>1</v>
      </c>
      <c r="D22">
        <f>IF(0+Data!ER22,1,0)</f>
        <v>1</v>
      </c>
      <c r="E22" t="s">
        <v>38</v>
      </c>
      <c r="F22">
        <f>Data!B22</f>
        <v>200</v>
      </c>
    </row>
    <row r="23" spans="1:10">
      <c r="A23" s="8" t="str">
        <f>Data!A23</f>
        <v>FBC Lutín</v>
      </c>
      <c r="B23">
        <f>IF(0+Data!EP23,1,0)</f>
        <v>1</v>
      </c>
      <c r="C23">
        <f>IF(0+Data!EQ23,1,0)</f>
        <v>1</v>
      </c>
      <c r="D23">
        <f>IF(0+Data!ER23,1,0)</f>
        <v>1</v>
      </c>
      <c r="E23" t="s">
        <v>38</v>
      </c>
      <c r="F23">
        <f>Data!B23</f>
        <v>30</v>
      </c>
    </row>
    <row r="24" spans="1:10">
      <c r="A24" s="8" t="str">
        <f>Data!A24</f>
        <v>TJ Šumavan Vimperk</v>
      </c>
      <c r="B24">
        <f>IF(0+Data!EP24,1,0)</f>
        <v>1</v>
      </c>
      <c r="C24">
        <f>IF(0+Data!EQ24,1,0)</f>
        <v>1</v>
      </c>
      <c r="D24">
        <f>IF(0+Data!ER24,1,0)</f>
        <v>1</v>
      </c>
      <c r="E24" t="s">
        <v>38</v>
      </c>
      <c r="F24">
        <f>Data!B24</f>
        <v>19</v>
      </c>
    </row>
    <row r="25" spans="1:10">
      <c r="A25" s="8" t="str">
        <f>Data!A25</f>
        <v>FBC Slavia Praha</v>
      </c>
      <c r="B25">
        <f>IF(0+Data!EP25,1,0)</f>
        <v>0</v>
      </c>
      <c r="C25">
        <f>IF(0+Data!EQ25,1,0)</f>
        <v>0</v>
      </c>
      <c r="D25">
        <f>IF(0+Data!ER25,1,0)</f>
        <v>1</v>
      </c>
      <c r="E25" t="s">
        <v>38</v>
      </c>
      <c r="F25">
        <f>Data!B25</f>
        <v>70</v>
      </c>
    </row>
    <row r="26" spans="1:10">
      <c r="A26" s="8" t="str">
        <f>Data!A26</f>
        <v>Fbc Orel Nové Město na Moravě</v>
      </c>
      <c r="B26">
        <f>IF(0+Data!EP26,1,0)</f>
        <v>1</v>
      </c>
      <c r="C26">
        <f>IF(0+Data!EQ26,1,0)</f>
        <v>1</v>
      </c>
      <c r="D26">
        <f>IF(0+Data!ER26,1,0)</f>
        <v>1</v>
      </c>
      <c r="E26" t="s">
        <v>38</v>
      </c>
      <c r="F26">
        <f>Data!B26</f>
        <v>160</v>
      </c>
    </row>
    <row r="27" spans="1:10">
      <c r="A27" s="8" t="str">
        <f>Data!A27</f>
        <v>FBC Vipers Most</v>
      </c>
      <c r="B27">
        <f>IF(0+Data!EP27,1,0)</f>
        <v>1</v>
      </c>
      <c r="C27">
        <f>IF(0+Data!EQ27,1,0)</f>
        <v>0</v>
      </c>
      <c r="D27">
        <f>IF(0+Data!ER27,1,0)</f>
        <v>0</v>
      </c>
      <c r="E27" t="s">
        <v>38</v>
      </c>
      <c r="F27">
        <f>Data!B27</f>
        <v>150</v>
      </c>
    </row>
    <row r="28" spans="1:10">
      <c r="A28" s="8" t="str">
        <f>Data!A28</f>
        <v>T.B.C. Králův Dvůr</v>
      </c>
      <c r="B28">
        <f>IF(0+Data!EP28,1,0)</f>
        <v>1</v>
      </c>
      <c r="C28">
        <f>IF(0+Data!EQ28,1,0)</f>
        <v>1</v>
      </c>
      <c r="D28">
        <f>IF(0+Data!ER28,1,0)</f>
        <v>1</v>
      </c>
      <c r="E28" t="s">
        <v>38</v>
      </c>
      <c r="F28">
        <f>Data!B28</f>
        <v>230</v>
      </c>
    </row>
    <row r="29" spans="1:10">
      <c r="A29" s="8" t="str">
        <f>Data!A29</f>
        <v>TJ Slavoj Dubá</v>
      </c>
      <c r="B29">
        <f>IF(0+Data!EP29,1,0)</f>
        <v>1</v>
      </c>
      <c r="C29">
        <f>IF(0+Data!EQ29,1,0)</f>
        <v>1</v>
      </c>
      <c r="D29">
        <f>IF(0+Data!ER29,1,0)</f>
        <v>1</v>
      </c>
      <c r="E29" t="s">
        <v>38</v>
      </c>
      <c r="F29">
        <f>Data!B29</f>
        <v>121</v>
      </c>
    </row>
    <row r="30" spans="1:10">
      <c r="A30" s="8" t="str">
        <f>Data!A30</f>
        <v>FOTBALOVÝ KLUB LETY</v>
      </c>
      <c r="B30">
        <f>IF(0+Data!EP30,1,0)</f>
        <v>1</v>
      </c>
      <c r="C30">
        <f>IF(0+Data!EQ30,1,0)</f>
        <v>1</v>
      </c>
      <c r="D30">
        <f>IF(0+Data!ER30,1,0)</f>
        <v>1</v>
      </c>
      <c r="E30" t="s">
        <v>40</v>
      </c>
      <c r="F30">
        <f>Data!B30</f>
        <v>105</v>
      </c>
    </row>
    <row r="31" spans="1:10">
      <c r="A31" s="8" t="str">
        <f>Data!A31</f>
        <v>Sportovní klub OTAVA Katovice o.s.</v>
      </c>
      <c r="B31">
        <f>IF(0+Data!EP31,1,0)</f>
        <v>1</v>
      </c>
      <c r="C31">
        <f>IF(0+Data!EQ31,1,0)</f>
        <v>1</v>
      </c>
      <c r="D31">
        <f>IF(0+Data!ER31,1,0)</f>
        <v>1</v>
      </c>
      <c r="E31" t="s">
        <v>41</v>
      </c>
      <c r="F31">
        <f>Data!B31</f>
        <v>180</v>
      </c>
    </row>
    <row r="32" spans="1:10">
      <c r="A32" s="8" t="str">
        <f>Data!A32</f>
        <v>KMS JUVENTUS Bruntál, o.s.</v>
      </c>
      <c r="B32">
        <f>IF(0+Data!EP32,1,0)</f>
        <v>1</v>
      </c>
      <c r="C32">
        <f>IF(0+Data!EQ32,1,0)</f>
        <v>1</v>
      </c>
      <c r="D32">
        <f>IF(0+Data!ER32,1,0)</f>
        <v>1</v>
      </c>
      <c r="E32" t="s">
        <v>43</v>
      </c>
      <c r="F32">
        <f>Data!B32</f>
        <v>296</v>
      </c>
    </row>
    <row r="33" spans="1:7">
      <c r="A33" s="8" t="str">
        <f>Data!A33</f>
        <v>FK Jakartovice</v>
      </c>
      <c r="B33">
        <f>IF(0+Data!EP33,1,0)</f>
        <v>1</v>
      </c>
      <c r="C33">
        <f>IF(0+Data!EQ33,1,0)</f>
        <v>1</v>
      </c>
      <c r="D33">
        <f>IF(0+Data!ER33,1,0)</f>
        <v>1</v>
      </c>
      <c r="E33" t="s">
        <v>44</v>
      </c>
      <c r="F33">
        <f>Data!B33</f>
        <v>79</v>
      </c>
    </row>
    <row r="34" spans="1:7">
      <c r="A34" s="8" t="str">
        <f>Data!A34</f>
        <v>FC Odra Petřkovice</v>
      </c>
      <c r="B34">
        <f>IF(0+Data!EP34,1,0)</f>
        <v>1</v>
      </c>
      <c r="C34">
        <f>IF(0+Data!EQ34,1,0)</f>
        <v>1</v>
      </c>
      <c r="D34">
        <f>IF(0+Data!ER34,1,0)</f>
        <v>1</v>
      </c>
      <c r="E34" t="s">
        <v>41</v>
      </c>
      <c r="F34">
        <f>Data!B34</f>
        <v>250</v>
      </c>
    </row>
    <row r="35" spans="1:7">
      <c r="A35" s="8" t="str">
        <f>Data!A35</f>
        <v>SK Slavia Jesenice</v>
      </c>
      <c r="B35">
        <f>IF(0+Data!EP35,1,0)</f>
        <v>1</v>
      </c>
      <c r="C35">
        <f>IF(0+Data!EQ35,1,0)</f>
        <v>1</v>
      </c>
      <c r="D35">
        <f>IF(0+Data!ER35,1,0)</f>
        <v>1</v>
      </c>
      <c r="E35" t="s">
        <v>44</v>
      </c>
      <c r="F35">
        <f>Data!B35</f>
        <v>148</v>
      </c>
    </row>
    <row r="36" spans="1:7">
      <c r="A36" s="8" t="str">
        <f>Data!A36</f>
        <v>FK Český lev Těchlovice</v>
      </c>
      <c r="B36">
        <f>IF(0+Data!EP36,1,0)</f>
        <v>0</v>
      </c>
      <c r="C36">
        <f>IF(0+Data!EQ36,1,0)</f>
        <v>1</v>
      </c>
      <c r="D36">
        <f>IF(0+Data!ER36,1,0)</f>
        <v>1</v>
      </c>
      <c r="E36" t="s">
        <v>45</v>
      </c>
      <c r="F36">
        <f>Data!B36</f>
        <v>47</v>
      </c>
    </row>
    <row r="37" spans="1:7">
      <c r="A37" s="8" t="str">
        <f>Data!A37</f>
        <v>SK Řetězárna</v>
      </c>
      <c r="B37">
        <f>IF(0+Data!EP37,1,0)</f>
        <v>1</v>
      </c>
      <c r="C37">
        <f>IF(0+Data!EQ37,1,0)</f>
        <v>1</v>
      </c>
      <c r="D37">
        <f>IF(0+Data!ER37,1,0)</f>
        <v>1</v>
      </c>
      <c r="E37" t="s">
        <v>37</v>
      </c>
      <c r="F37">
        <f>Data!B37</f>
        <v>351</v>
      </c>
    </row>
    <row r="38" spans="1:7">
      <c r="A38" s="8" t="str">
        <f>Data!A38</f>
        <v>Tělovýchovná jednota TJ KLIMKOVICE</v>
      </c>
      <c r="B38">
        <f>IF(0+Data!EP38,1,0)</f>
        <v>0</v>
      </c>
      <c r="C38">
        <f>IF(0+Data!EQ38,1,0)</f>
        <v>1</v>
      </c>
      <c r="D38">
        <f>IF(0+Data!ER38,1,0)</f>
        <v>1</v>
      </c>
      <c r="E38" t="s">
        <v>38</v>
      </c>
      <c r="F38">
        <f>Data!B38</f>
        <v>175</v>
      </c>
    </row>
    <row r="39" spans="1:7">
      <c r="A39" s="8" t="str">
        <f>Data!A39</f>
        <v>Tělocvičná jednota Sokol Klášterec nad Orlicí</v>
      </c>
      <c r="B39">
        <f>IF(0+Data!EP39,1,0)</f>
        <v>1</v>
      </c>
      <c r="C39">
        <f>IF(0+Data!EQ39,1,0)</f>
        <v>1</v>
      </c>
      <c r="D39">
        <f>IF(0+Data!ER39,1,0)</f>
        <v>1</v>
      </c>
      <c r="E39" t="s">
        <v>38</v>
      </c>
      <c r="F39">
        <f>Data!B39</f>
        <v>190</v>
      </c>
    </row>
    <row r="40" spans="1:7">
      <c r="A40" s="8" t="str">
        <f>Data!A40</f>
        <v>Tělovýchovná jednota Poličná</v>
      </c>
      <c r="B40">
        <f>IF(0+Data!EP40,1,0)</f>
        <v>1</v>
      </c>
      <c r="C40">
        <f>IF(0+Data!EQ40,1,0)</f>
        <v>1</v>
      </c>
      <c r="D40">
        <f>IF(0+Data!ER40,1,0)</f>
        <v>1</v>
      </c>
      <c r="E40" t="s">
        <v>38</v>
      </c>
      <c r="F40">
        <f>Data!B40</f>
        <v>169</v>
      </c>
    </row>
    <row r="41" spans="1:7">
      <c r="A41" s="8" t="str">
        <f>Data!A41</f>
        <v>Tělovýchovná jednota SOKOL Klecany</v>
      </c>
      <c r="B41">
        <f>IF(0+Data!EP41,1,0)</f>
        <v>0</v>
      </c>
      <c r="C41">
        <f>IF(0+Data!EQ41,1,0)</f>
        <v>0</v>
      </c>
      <c r="D41">
        <f>IF(0+Data!ER41,1,0)</f>
        <v>0</v>
      </c>
      <c r="E41" t="s">
        <v>38</v>
      </c>
      <c r="F41">
        <f>Data!B41</f>
        <v>180</v>
      </c>
    </row>
    <row r="42" spans="1:7">
      <c r="A42" s="8" t="str">
        <f>Data!A42</f>
        <v>FC Sporting Mladá Boleslav</v>
      </c>
      <c r="B42">
        <f>IF(0+Data!EP42,1,0)</f>
        <v>1</v>
      </c>
      <c r="C42">
        <f>IF(0+Data!EQ42,1,0)</f>
        <v>1</v>
      </c>
      <c r="D42">
        <f>IF(0+Data!ER42,1,0)</f>
        <v>1</v>
      </c>
      <c r="E42" t="s">
        <v>41</v>
      </c>
      <c r="F42">
        <f>Data!B42</f>
        <v>225</v>
      </c>
    </row>
    <row r="43" spans="1:7">
      <c r="A43" s="8" t="str">
        <f>Data!A43</f>
        <v>Tělovýchovná jednota Svitavy</v>
      </c>
      <c r="B43">
        <f>IF(0+Data!EP43,1,0)</f>
        <v>1</v>
      </c>
      <c r="C43">
        <f>IF(0+Data!EQ43,1,0)</f>
        <v>1</v>
      </c>
      <c r="D43">
        <f>IF(0+Data!ER43,1,0)</f>
        <v>1</v>
      </c>
      <c r="E43" t="s">
        <v>34</v>
      </c>
      <c r="F43">
        <f>Data!B43</f>
        <v>285</v>
      </c>
    </row>
    <row r="44" spans="1:7">
      <c r="A44" s="8" t="str">
        <f>Data!A44</f>
        <v>Tělovýchovná jednota Tatran Míčov</v>
      </c>
      <c r="B44">
        <f>IF(0+Data!EP44,1,0)</f>
        <v>1</v>
      </c>
      <c r="C44">
        <f>IF(0+Data!EQ44,1,0)</f>
        <v>0</v>
      </c>
      <c r="D44">
        <f>IF(0+Data!ER44,1,0)</f>
        <v>0</v>
      </c>
      <c r="E44" t="s">
        <v>44</v>
      </c>
      <c r="F44">
        <f>Data!B44</f>
        <v>100</v>
      </c>
    </row>
    <row r="45" spans="1:7">
      <c r="A45" s="8" t="str">
        <f>Data!A45</f>
        <v>SK Chrlice</v>
      </c>
      <c r="B45">
        <f>IF(0+Data!EP45,1,0)</f>
        <v>1</v>
      </c>
      <c r="C45">
        <f>IF(0+Data!EQ45,1,0)</f>
        <v>1</v>
      </c>
      <c r="D45">
        <f>IF(0+Data!ER45,1,0)</f>
        <v>1</v>
      </c>
      <c r="E45" s="4" t="s">
        <v>44</v>
      </c>
      <c r="F45">
        <f>Data!B45</f>
        <v>180</v>
      </c>
      <c r="G45" s="4"/>
    </row>
    <row r="46" spans="1:7">
      <c r="A46" s="8" t="str">
        <f>Data!A46</f>
        <v>Tělovýchovná jednota Žichovice</v>
      </c>
      <c r="B46">
        <f>IF(0+Data!EP46,1,0)</f>
        <v>0</v>
      </c>
      <c r="C46">
        <f>IF(0+Data!EQ46,1,0)</f>
        <v>1</v>
      </c>
      <c r="D46">
        <f>IF(0+Data!ER46,1,0)</f>
        <v>1</v>
      </c>
      <c r="E46" t="s">
        <v>38</v>
      </c>
      <c r="F46">
        <f>Data!B46</f>
        <v>90</v>
      </c>
    </row>
    <row r="47" spans="1:7">
      <c r="A47" s="8" t="str">
        <f>Data!A47</f>
        <v>TJ Sokol Zdíkov, o.s.</v>
      </c>
      <c r="B47">
        <f>IF(0+Data!EP47,1,0)</f>
        <v>1</v>
      </c>
      <c r="C47">
        <f>IF(0+Data!EQ47,1,0)</f>
        <v>1</v>
      </c>
      <c r="D47">
        <f>IF(0+Data!ER47,1,0)</f>
        <v>1</v>
      </c>
      <c r="E47" t="s">
        <v>31</v>
      </c>
      <c r="F47">
        <f>Data!B47</f>
        <v>80</v>
      </c>
    </row>
    <row r="48" spans="1:7">
      <c r="A48" s="8" t="str">
        <f>Data!A48</f>
        <v>SK Lišany</v>
      </c>
      <c r="B48">
        <f>IF(0+Data!EP48,1,0)</f>
        <v>1</v>
      </c>
      <c r="C48">
        <f>IF(0+Data!EQ48,1,0)</f>
        <v>1</v>
      </c>
      <c r="D48">
        <f>IF(0+Data!ER48,1,0)</f>
        <v>1</v>
      </c>
      <c r="E48" t="s">
        <v>31</v>
      </c>
      <c r="F48">
        <f>Data!B48</f>
        <v>50</v>
      </c>
    </row>
    <row r="49" spans="1:6">
      <c r="A49" s="8" t="str">
        <f>Data!A49</f>
        <v>Tělovýchovná jednota AFK Hořín</v>
      </c>
      <c r="B49">
        <f>IF(0+Data!EP49,1,0)</f>
        <v>1</v>
      </c>
      <c r="C49">
        <f>IF(0+Data!EQ49,1,0)</f>
        <v>1</v>
      </c>
      <c r="D49">
        <f>IF(0+Data!ER49,1,0)</f>
        <v>1</v>
      </c>
      <c r="E49" t="s">
        <v>36</v>
      </c>
      <c r="F49">
        <f>Data!B49</f>
        <v>70</v>
      </c>
    </row>
    <row r="50" spans="1:6">
      <c r="A50" s="8" t="str">
        <f>Data!A50</f>
        <v>Tělovýchovná jednota Sokol Dolní Počernice</v>
      </c>
      <c r="B50">
        <f>IF(0+Data!EP50,1,0)</f>
        <v>1</v>
      </c>
      <c r="C50">
        <f>IF(0+Data!EQ50,1,0)</f>
        <v>1</v>
      </c>
      <c r="D50">
        <f>IF(0+Data!ER50,1,0)</f>
        <v>1</v>
      </c>
      <c r="E50" t="s">
        <v>38</v>
      </c>
      <c r="F50">
        <f>Data!B50</f>
        <v>255</v>
      </c>
    </row>
    <row r="51" spans="1:6">
      <c r="A51" s="8" t="str">
        <f>Data!A51</f>
        <v>Tělovýchovná jednota sportovní klub Hřebeč</v>
      </c>
      <c r="B51">
        <f>IF(0+Data!EP51,1,0)</f>
        <v>1</v>
      </c>
      <c r="C51">
        <f>IF(0+Data!EQ51,1,0)</f>
        <v>1</v>
      </c>
      <c r="D51">
        <f>IF(0+Data!ER51,1,0)</f>
        <v>1</v>
      </c>
      <c r="E51" t="s">
        <v>42</v>
      </c>
      <c r="F51">
        <f>Data!B51</f>
        <v>230</v>
      </c>
    </row>
    <row r="52" spans="1:6">
      <c r="A52" s="8" t="str">
        <f>Data!A52</f>
        <v>FK SVATÁ</v>
      </c>
      <c r="B52">
        <f>IF(0+Data!EP52,1,0)</f>
        <v>0</v>
      </c>
      <c r="C52">
        <f>IF(0+Data!EQ52,1,0)</f>
        <v>0</v>
      </c>
      <c r="D52">
        <f>IF(0+Data!ER52,1,0)</f>
        <v>1</v>
      </c>
      <c r="E52" t="s">
        <v>44</v>
      </c>
      <c r="F52">
        <f>Data!B52</f>
        <v>420</v>
      </c>
    </row>
    <row r="53" spans="1:6">
      <c r="A53" s="8" t="str">
        <f>Data!A53</f>
        <v>SPORTOVNÍ KLUBY PRAHA 4</v>
      </c>
      <c r="B53">
        <f>IF(0+Data!EP53,1,0)</f>
        <v>0</v>
      </c>
      <c r="C53">
        <f>IF(0+Data!EQ53,1,0)</f>
        <v>1</v>
      </c>
      <c r="D53">
        <f>IF(0+Data!ER53,1,0)</f>
        <v>1</v>
      </c>
      <c r="E53" t="s">
        <v>41</v>
      </c>
      <c r="F53">
        <f>Data!B53</f>
        <v>125</v>
      </c>
    </row>
    <row r="54" spans="1:6">
      <c r="A54" s="8" t="str">
        <f>Data!A54</f>
        <v>TJ Sokol Daleké Dušníky</v>
      </c>
      <c r="B54">
        <f>IF(0+Data!EP54,1,0)</f>
        <v>1</v>
      </c>
      <c r="C54">
        <f>IF(0+Data!EQ54,1,0)</f>
        <v>1</v>
      </c>
      <c r="D54">
        <f>IF(0+Data!ER54,1,0)</f>
        <v>1</v>
      </c>
      <c r="E54" t="s">
        <v>44</v>
      </c>
      <c r="F54">
        <f>Data!B54</f>
        <v>100</v>
      </c>
    </row>
    <row r="55" spans="1:6">
      <c r="A55" s="8" t="str">
        <f>Data!A55</f>
        <v>SK Lhota</v>
      </c>
      <c r="B55">
        <f>IF(0+Data!EP55,1,0)</f>
        <v>0</v>
      </c>
      <c r="C55">
        <f>IF(0+Data!EQ55,1,0)</f>
        <v>0</v>
      </c>
      <c r="D55">
        <f>IF(0+Data!ER55,1,0)</f>
        <v>1</v>
      </c>
      <c r="E55" t="s">
        <v>31</v>
      </c>
      <c r="F55">
        <f>Data!B55</f>
        <v>195</v>
      </c>
    </row>
    <row r="56" spans="1:6">
      <c r="A56" s="8" t="str">
        <f>Data!A56</f>
        <v>Sportovní klub Nepoměřice</v>
      </c>
      <c r="B56">
        <f>IF(0+Data!EP56,1,0)</f>
        <v>0</v>
      </c>
      <c r="C56">
        <f>IF(0+Data!EQ56,1,0)</f>
        <v>0</v>
      </c>
      <c r="D56">
        <f>IF(0+Data!ER56,1,0)</f>
        <v>0</v>
      </c>
      <c r="E56" t="s">
        <v>31</v>
      </c>
      <c r="F56">
        <f>Data!B56</f>
        <v>112</v>
      </c>
    </row>
    <row r="57" spans="1:6">
      <c r="A57" s="8" t="str">
        <f>Data!A57</f>
        <v>TJ Sokol Hvozdná</v>
      </c>
      <c r="B57">
        <f>IF(0+Data!EP57,1,0)</f>
        <v>1</v>
      </c>
      <c r="C57">
        <f>IF(0+Data!EQ57,1,0)</f>
        <v>1</v>
      </c>
      <c r="D57">
        <f>IF(0+Data!ER57,1,0)</f>
        <v>1</v>
      </c>
      <c r="E57" t="s">
        <v>31</v>
      </c>
      <c r="F57">
        <f>Data!B57</f>
        <v>130</v>
      </c>
    </row>
    <row r="58" spans="1:6">
      <c r="A58" s="8" t="str">
        <f>Data!A58</f>
        <v>Tělovýchovná jednota Sokol Štěpánkovice</v>
      </c>
      <c r="B58">
        <f>IF(0+Data!EP58,1,0)</f>
        <v>1</v>
      </c>
      <c r="C58">
        <f>IF(0+Data!EQ58,1,0)</f>
        <v>1</v>
      </c>
      <c r="D58">
        <f>IF(0+Data!ER58,1,0)</f>
        <v>1</v>
      </c>
      <c r="E58" t="s">
        <v>31</v>
      </c>
      <c r="F58">
        <f>Data!B58</f>
        <v>187</v>
      </c>
    </row>
    <row r="59" spans="1:6">
      <c r="A59" s="8" t="str">
        <f>Data!A59</f>
        <v>Tělovýchovná jednota Dolany u Jaroměře /o.Náchod/</v>
      </c>
      <c r="B59">
        <f>IF(0+Data!EP59,1,0)</f>
        <v>0</v>
      </c>
      <c r="C59">
        <f>IF(0+Data!EQ59,1,0)</f>
        <v>1</v>
      </c>
      <c r="D59">
        <f>IF(0+Data!ER59,1,0)</f>
        <v>1</v>
      </c>
      <c r="E59" t="s">
        <v>31</v>
      </c>
      <c r="F59">
        <f>Data!B59</f>
        <v>55</v>
      </c>
    </row>
    <row r="60" spans="1:6">
      <c r="A60" s="8" t="str">
        <f>Data!A60</f>
        <v>Sportovní klub Slaný</v>
      </c>
      <c r="B60">
        <f>IF(0+Data!EP60,1,0)</f>
        <v>1</v>
      </c>
      <c r="C60">
        <f>IF(0+Data!EQ60,1,0)</f>
        <v>1</v>
      </c>
      <c r="D60">
        <f>IF(0+Data!ER60,1,0)</f>
        <v>1</v>
      </c>
      <c r="E60" t="s">
        <v>46</v>
      </c>
      <c r="F60">
        <f>Data!B60</f>
        <v>336</v>
      </c>
    </row>
    <row r="61" spans="1:6">
      <c r="A61" s="8" t="str">
        <f>Data!A61</f>
        <v>Tělovýchovná jednota Sokol Březová n.Svit.</v>
      </c>
      <c r="B61">
        <f>IF(0+Data!EP61,1,0)</f>
        <v>1</v>
      </c>
      <c r="C61">
        <f>IF(0+Data!EQ61,1,0)</f>
        <v>0</v>
      </c>
      <c r="D61">
        <f>IF(0+Data!ER61,1,0)</f>
        <v>1</v>
      </c>
      <c r="E61" t="s">
        <v>37</v>
      </c>
      <c r="F61">
        <f>Data!B61</f>
        <v>104</v>
      </c>
    </row>
    <row r="62" spans="1:6">
      <c r="A62" s="8" t="str">
        <f>Data!A62</f>
        <v>Sportovní klub Doubravan Újezd</v>
      </c>
      <c r="B62">
        <f>IF(0+Data!EP62,1,0)</f>
        <v>1</v>
      </c>
      <c r="C62">
        <f>IF(0+Data!EQ62,1,0)</f>
        <v>1</v>
      </c>
      <c r="D62">
        <f>IF(0+Data!ER62,1,0)</f>
        <v>1</v>
      </c>
      <c r="E62" t="s">
        <v>37</v>
      </c>
      <c r="F62">
        <f>Data!B62</f>
        <v>127</v>
      </c>
    </row>
    <row r="63" spans="1:6">
      <c r="A63" s="8" t="str">
        <f>Data!A63</f>
        <v>Tělovýchovná jednota Sokol Čistá</v>
      </c>
      <c r="B63">
        <f>IF(0+Data!EP63,1,0)</f>
        <v>1</v>
      </c>
      <c r="C63">
        <f>IF(0+Data!EQ63,1,0)</f>
        <v>1</v>
      </c>
      <c r="D63">
        <f>IF(0+Data!ER63,1,0)</f>
        <v>1</v>
      </c>
      <c r="E63" t="s">
        <v>37</v>
      </c>
      <c r="F63">
        <f>Data!B63</f>
        <v>147</v>
      </c>
    </row>
    <row r="64" spans="1:6">
      <c r="A64" s="8" t="str">
        <f>Data!A64</f>
        <v>TJ Sokol Žilina</v>
      </c>
      <c r="B64">
        <f>IF(0+Data!EP64,1,0)</f>
        <v>1</v>
      </c>
      <c r="C64">
        <f>IF(0+Data!EQ64,1,0)</f>
        <v>1</v>
      </c>
      <c r="D64">
        <f>IF(0+Data!ER64,1,0)</f>
        <v>1</v>
      </c>
      <c r="E64" t="s">
        <v>37</v>
      </c>
      <c r="F64">
        <f>Data!B64</f>
        <v>45</v>
      </c>
    </row>
    <row r="65" spans="1:6">
      <c r="A65" s="8" t="str">
        <f>Data!A65</f>
        <v>TJ TIS, o.s.</v>
      </c>
      <c r="B65">
        <f>IF(0+Data!EP65,1,0)</f>
        <v>0</v>
      </c>
      <c r="C65">
        <f>IF(0+Data!EQ65,1,0)</f>
        <v>1</v>
      </c>
      <c r="D65">
        <f>IF(0+Data!ER65,1,0)</f>
        <v>1</v>
      </c>
      <c r="E65" t="s">
        <v>38</v>
      </c>
      <c r="F65">
        <f>Data!B65</f>
        <v>120</v>
      </c>
    </row>
    <row r="66" spans="1:6">
      <c r="A66" s="8" t="str">
        <f>Data!A66</f>
        <v>Tělovýchovná jednota Police</v>
      </c>
      <c r="B66">
        <f>IF(0+Data!EP66,1,0)</f>
        <v>1</v>
      </c>
      <c r="C66">
        <f>IF(0+Data!EQ66,1,0)</f>
        <v>1</v>
      </c>
      <c r="D66">
        <f>IF(0+Data!ER66,1,0)</f>
        <v>1</v>
      </c>
      <c r="E66" t="s">
        <v>38</v>
      </c>
      <c r="F66">
        <f>Data!B66</f>
        <v>110</v>
      </c>
    </row>
    <row r="67" spans="1:6">
      <c r="A67" s="8" t="str">
        <f>Data!A67</f>
        <v>Sportovní klub MFC Svoboda</v>
      </c>
      <c r="B67">
        <f>IF(0+Data!EP67,1,0)</f>
        <v>1</v>
      </c>
      <c r="C67">
        <f>IF(0+Data!EQ67,1,0)</f>
        <v>1</v>
      </c>
      <c r="D67">
        <f>IF(0+Data!ER67,1,0)</f>
        <v>1</v>
      </c>
      <c r="E67" t="s">
        <v>38</v>
      </c>
      <c r="F67">
        <f>Data!B67</f>
        <v>76</v>
      </c>
    </row>
    <row r="68" spans="1:6">
      <c r="A68" s="8" t="str">
        <f>Data!A68</f>
        <v>SK Velké Přítočno</v>
      </c>
      <c r="B68">
        <f>IF(0+Data!EP68,1,0)</f>
        <v>1</v>
      </c>
      <c r="C68">
        <f>IF(0+Data!EQ68,1,0)</f>
        <v>1</v>
      </c>
      <c r="D68">
        <f>IF(0+Data!ER68,1,0)</f>
        <v>1</v>
      </c>
      <c r="E68" t="s">
        <v>38</v>
      </c>
      <c r="F68">
        <f>Data!B68</f>
        <v>111</v>
      </c>
    </row>
    <row r="69" spans="1:6">
      <c r="A69" s="8" t="str">
        <f>Data!A69</f>
        <v>Tělovýchovná jednota SLAVOJ ÚŠTĚK</v>
      </c>
      <c r="B69">
        <f>IF(0+Data!EP69,1,0)</f>
        <v>1</v>
      </c>
      <c r="C69">
        <f>IF(0+Data!EQ69,1,0)</f>
        <v>1</v>
      </c>
      <c r="D69">
        <f>IF(0+Data!ER69,1,0)</f>
        <v>1</v>
      </c>
      <c r="E69" t="s">
        <v>38</v>
      </c>
      <c r="F69">
        <f>Data!B69</f>
        <v>105</v>
      </c>
    </row>
    <row r="70" spans="1:6">
      <c r="A70" s="8" t="str">
        <f>Data!A70</f>
        <v>Atleticko-Fotbalový Klub Loděnice</v>
      </c>
      <c r="B70">
        <f>IF(0+Data!EP70,1,0)</f>
        <v>1</v>
      </c>
      <c r="C70">
        <f>IF(0+Data!EQ70,1,0)</f>
        <v>1</v>
      </c>
      <c r="D70">
        <f>IF(0+Data!ER70,1,0)</f>
        <v>0</v>
      </c>
      <c r="E70" t="s">
        <v>38</v>
      </c>
      <c r="F70">
        <f>Data!B70</f>
        <v>278</v>
      </c>
    </row>
    <row r="71" spans="1:6">
      <c r="A71" s="8" t="str">
        <f>Data!A71</f>
        <v>Sportovní fotbalový klub Meziboří</v>
      </c>
      <c r="B71">
        <f>IF(0+Data!EP71,1,0)</f>
        <v>1</v>
      </c>
      <c r="C71">
        <f>IF(0+Data!EQ71,1,0)</f>
        <v>1</v>
      </c>
      <c r="D71">
        <f>IF(0+Data!ER71,1,0)</f>
        <v>1</v>
      </c>
      <c r="E71" t="s">
        <v>38</v>
      </c>
      <c r="F71">
        <f>Data!B71</f>
        <v>138</v>
      </c>
    </row>
    <row r="72" spans="1:6">
      <c r="A72" s="8" t="str">
        <f>Data!A72</f>
        <v>TJ Union Děčín, o.s.</v>
      </c>
      <c r="B72">
        <f>IF(0+Data!EP72,1,0)</f>
        <v>1</v>
      </c>
      <c r="C72">
        <f>IF(0+Data!EQ72,1,0)</f>
        <v>1</v>
      </c>
      <c r="D72">
        <f>IF(0+Data!ER72,1,0)</f>
        <v>1</v>
      </c>
      <c r="E72" t="s">
        <v>38</v>
      </c>
      <c r="F72">
        <f>Data!B72</f>
        <v>105</v>
      </c>
    </row>
    <row r="73" spans="1:6">
      <c r="A73" s="8" t="str">
        <f>Data!A73</f>
        <v>TJ Sokol Srbeč</v>
      </c>
      <c r="B73">
        <f>IF(0+Data!EP73,1,0)</f>
        <v>1</v>
      </c>
      <c r="C73">
        <f>IF(0+Data!EQ73,1,0)</f>
        <v>1</v>
      </c>
      <c r="D73">
        <f>IF(0+Data!ER73,1,0)</f>
        <v>1</v>
      </c>
      <c r="E73" t="s">
        <v>38</v>
      </c>
      <c r="F73">
        <f>Data!B73</f>
        <v>124</v>
      </c>
    </row>
    <row r="74" spans="1:6">
      <c r="A74" s="8" t="str">
        <f>Data!A74</f>
        <v>SK Lipová - lázně</v>
      </c>
      <c r="B74">
        <f>IF(0+Data!EP74,1,0)</f>
        <v>1</v>
      </c>
      <c r="C74">
        <f>IF(0+Data!EQ74,1,0)</f>
        <v>1</v>
      </c>
      <c r="D74">
        <f>IF(0+Data!ER74,1,0)</f>
        <v>1</v>
      </c>
      <c r="E74" t="s">
        <v>38</v>
      </c>
      <c r="F74">
        <f>Data!B74</f>
        <v>138</v>
      </c>
    </row>
    <row r="75" spans="1:6">
      <c r="A75" s="8" t="str">
        <f>Data!A75</f>
        <v>Tělovýchovná jednota Sokol  M a r t i n i c e</v>
      </c>
      <c r="B75">
        <f>IF(0+Data!EP75,1,0)</f>
        <v>1</v>
      </c>
      <c r="C75">
        <f>IF(0+Data!EQ75,1,0)</f>
        <v>1</v>
      </c>
      <c r="D75">
        <f>IF(0+Data!ER75,1,0)</f>
        <v>1</v>
      </c>
      <c r="E75" t="s">
        <v>38</v>
      </c>
      <c r="F75">
        <f>Data!B75</f>
        <v>85</v>
      </c>
    </row>
    <row r="76" spans="1:6">
      <c r="A76" s="8" t="str">
        <f>Data!A76</f>
        <v>HO Atlas Opava</v>
      </c>
      <c r="B76">
        <f>IF(0+Data!EP76,1,0)</f>
        <v>1</v>
      </c>
      <c r="C76">
        <f>IF(0+Data!EQ76,1,0)</f>
        <v>1</v>
      </c>
      <c r="D76">
        <f>IF(0+Data!ER76,1,0)</f>
        <v>1</v>
      </c>
      <c r="E76" t="s">
        <v>38</v>
      </c>
      <c r="F76">
        <f>Data!B76</f>
        <v>95</v>
      </c>
    </row>
    <row r="77" spans="1:6">
      <c r="A77" s="8" t="str">
        <f>Data!A77</f>
        <v>Jezd.stáj Wagrann-Dita Harvanová</v>
      </c>
      <c r="B77">
        <f>IF(0+Data!EP77,1,0)</f>
        <v>0</v>
      </c>
      <c r="C77">
        <f>IF(0+Data!EQ77,1,0)</f>
        <v>0</v>
      </c>
      <c r="D77">
        <f>IF(0+Data!ER77,1,0)</f>
        <v>0</v>
      </c>
      <c r="E77" t="s">
        <v>38</v>
      </c>
      <c r="F77">
        <f>Data!B77</f>
        <v>50</v>
      </c>
    </row>
    <row r="78" spans="1:6">
      <c r="A78" s="8" t="str">
        <f>Data!A78</f>
        <v>Loko Trutnov</v>
      </c>
      <c r="B78">
        <f>IF(0+Data!EP78,1,0)</f>
        <v>1</v>
      </c>
      <c r="C78">
        <f>IF(0+Data!EQ78,1,0)</f>
        <v>1</v>
      </c>
      <c r="D78">
        <f>IF(0+Data!ER78,1,0)</f>
        <v>1</v>
      </c>
      <c r="E78" t="s">
        <v>38</v>
      </c>
      <c r="F78">
        <f>Data!B78</f>
        <v>40</v>
      </c>
    </row>
    <row r="79" spans="1:6">
      <c r="A79" s="8" t="str">
        <f>Data!A79</f>
        <v>Otava Strakonice</v>
      </c>
      <c r="B79">
        <f>IF(0+Data!EP79,1,0)</f>
        <v>1</v>
      </c>
      <c r="C79">
        <f>IF(0+Data!EQ79,1,0)</f>
        <v>1</v>
      </c>
      <c r="D79">
        <f>IF(0+Data!ER79,1,0)</f>
        <v>1</v>
      </c>
      <c r="E79" t="s">
        <v>38</v>
      </c>
      <c r="F79">
        <f>Data!B79</f>
        <v>30</v>
      </c>
    </row>
    <row r="80" spans="1:6">
      <c r="A80" s="8" t="str">
        <f>Data!A80</f>
        <v>TJ Kaplice</v>
      </c>
      <c r="B80">
        <f>IF(0+Data!EP80,1,0)</f>
        <v>1</v>
      </c>
      <c r="C80">
        <f>IF(0+Data!EQ80,1,0)</f>
        <v>1</v>
      </c>
      <c r="D80">
        <f>IF(0+Data!ER80,1,0)</f>
        <v>1</v>
      </c>
      <c r="E80" t="s">
        <v>38</v>
      </c>
      <c r="F80">
        <f>Data!B80</f>
        <v>120</v>
      </c>
    </row>
    <row r="81" spans="1:6">
      <c r="A81" s="8" t="str">
        <f>Data!A81</f>
        <v>SK Veselí nad Moravou</v>
      </c>
      <c r="B81">
        <f>IF(0+Data!EP81,1,0)</f>
        <v>1</v>
      </c>
      <c r="C81">
        <f>IF(0+Data!EQ81,1,0)</f>
        <v>1</v>
      </c>
      <c r="D81">
        <f>IF(0+Data!ER81,1,0)</f>
        <v>1</v>
      </c>
      <c r="E81" t="s">
        <v>38</v>
      </c>
      <c r="F81">
        <f>Data!B81</f>
        <v>31</v>
      </c>
    </row>
    <row r="82" spans="1:6">
      <c r="A82" s="8" t="str">
        <f>Data!A82</f>
        <v>TJ Dukla Praha</v>
      </c>
      <c r="B82">
        <f>IF(0+Data!EP82,1,0)</f>
        <v>1</v>
      </c>
      <c r="C82">
        <f>IF(0+Data!EQ82,1,0)</f>
        <v>1</v>
      </c>
      <c r="D82">
        <f>IF(0+Data!ER82,1,0)</f>
        <v>1</v>
      </c>
      <c r="E82" t="s">
        <v>38</v>
      </c>
      <c r="F82">
        <f>Data!B82</f>
        <v>140</v>
      </c>
    </row>
    <row r="83" spans="1:6">
      <c r="A83" s="8" t="str">
        <f>Data!A83</f>
        <v>SK Slavia Praha</v>
      </c>
      <c r="B83">
        <f>IF(0+Data!EP83,1,0)</f>
        <v>1</v>
      </c>
      <c r="C83">
        <f>IF(0+Data!EQ83,1,0)</f>
        <v>1</v>
      </c>
      <c r="D83">
        <f>IF(0+Data!ER83,1,0)</f>
        <v>1</v>
      </c>
      <c r="E83" t="s">
        <v>38</v>
      </c>
      <c r="F83">
        <f>Data!B83</f>
        <v>180</v>
      </c>
    </row>
    <row r="84" spans="1:6">
      <c r="A84" s="8" t="str">
        <f>Data!A84</f>
        <v>Klub plav.sportů Ostrava</v>
      </c>
      <c r="B84">
        <f>IF(0+Data!EP84,1,0)</f>
        <v>1</v>
      </c>
      <c r="C84">
        <f>IF(0+Data!EQ84,1,0)</f>
        <v>1</v>
      </c>
      <c r="D84">
        <f>IF(0+Data!ER84,1,0)</f>
        <v>1</v>
      </c>
      <c r="E84" t="s">
        <v>38</v>
      </c>
      <c r="F84">
        <f>Data!B84</f>
        <v>350</v>
      </c>
    </row>
    <row r="85" spans="1:6">
      <c r="A85" s="8" t="str">
        <f>Data!A85</f>
        <v>Sport.plavecký klub Liberec</v>
      </c>
      <c r="B85">
        <f>IF(0+Data!EP85,1,0)</f>
        <v>1</v>
      </c>
      <c r="C85">
        <f>IF(0+Data!EQ85,1,0)</f>
        <v>1</v>
      </c>
      <c r="D85">
        <f>IF(0+Data!ER85,1,0)</f>
        <v>1</v>
      </c>
      <c r="E85" t="s">
        <v>38</v>
      </c>
      <c r="F85">
        <f>Data!B85</f>
        <v>210</v>
      </c>
    </row>
    <row r="86" spans="1:6">
      <c r="A86" s="8" t="str">
        <f>Data!A86</f>
        <v>Tri Club Vajgar Jindřichův Hradec</v>
      </c>
      <c r="B86">
        <f>IF(0+Data!EP86,1,0)</f>
        <v>1</v>
      </c>
      <c r="C86">
        <f>IF(0+Data!EQ86,1,0)</f>
        <v>1</v>
      </c>
      <c r="D86">
        <f>IF(0+Data!ER86,1,0)</f>
        <v>1</v>
      </c>
      <c r="E86" t="s">
        <v>38</v>
      </c>
      <c r="F86">
        <f>Data!B86</f>
        <v>92</v>
      </c>
    </row>
    <row r="87" spans="1:6">
      <c r="A87" s="8" t="str">
        <f>Data!A87</f>
        <v>Veslařský klub Přerov</v>
      </c>
      <c r="B87">
        <f>IF(0+Data!EP87,1,0)</f>
        <v>1</v>
      </c>
      <c r="C87">
        <f>IF(0+Data!EQ87,1,0)</f>
        <v>1</v>
      </c>
      <c r="D87">
        <f>IF(0+Data!ER87,1,0)</f>
        <v>1</v>
      </c>
      <c r="E87" t="s">
        <v>38</v>
      </c>
      <c r="F87">
        <f>Data!B87</f>
        <v>105</v>
      </c>
    </row>
    <row r="88" spans="1:6">
      <c r="A88" s="8" t="str">
        <f>Data!A88</f>
        <v>SK Volejbal Kolín</v>
      </c>
      <c r="B88">
        <f>IF(0+Data!EP88,1,0)</f>
        <v>0</v>
      </c>
      <c r="C88">
        <f>IF(0+Data!EQ88,1,0)</f>
        <v>0</v>
      </c>
      <c r="D88">
        <f>IF(0+Data!ER88,1,0)</f>
        <v>1</v>
      </c>
      <c r="E88" t="s">
        <v>39</v>
      </c>
      <c r="F88">
        <f>Data!B88</f>
        <v>203</v>
      </c>
    </row>
    <row r="89" spans="1:6">
      <c r="A89" s="8" t="str">
        <f>Data!A89</f>
        <v>TJ Sokol Dědice</v>
      </c>
      <c r="B89">
        <f>IF(0+Data!EP89,1,0)</f>
        <v>1</v>
      </c>
      <c r="C89">
        <f>IF(0+Data!EQ89,1,0)</f>
        <v>1</v>
      </c>
      <c r="D89">
        <f>IF(0+Data!ER89,1,0)</f>
        <v>1</v>
      </c>
      <c r="E89" t="s">
        <v>31</v>
      </c>
      <c r="F89">
        <f>Data!B89</f>
        <v>180</v>
      </c>
    </row>
    <row r="90" spans="1:6">
      <c r="A90" s="8" t="str">
        <f>Data!A90</f>
        <v>SK Volejbal Ústí nad Labem</v>
      </c>
      <c r="B90">
        <f>IF(0+Data!EP90,1,0)</f>
        <v>1</v>
      </c>
      <c r="C90">
        <f>IF(0+Data!EQ90,1,0)</f>
        <v>1</v>
      </c>
      <c r="D90">
        <f>IF(0+Data!ER90,1,0)</f>
        <v>1</v>
      </c>
      <c r="E90" t="s">
        <v>44</v>
      </c>
      <c r="F90">
        <f>Data!B90</f>
        <v>195</v>
      </c>
    </row>
    <row r="91" spans="1:6">
      <c r="A91" s="8" t="str">
        <f>Data!A91</f>
        <v>TJ Spartak Kaplice</v>
      </c>
      <c r="B91">
        <f>IF(0+Data!EP91,1,0)</f>
        <v>1</v>
      </c>
      <c r="C91">
        <f>IF(0+Data!EQ91,1,0)</f>
        <v>1</v>
      </c>
      <c r="D91">
        <f>IF(0+Data!ER91,1,0)</f>
        <v>1</v>
      </c>
      <c r="E91" t="s">
        <v>37</v>
      </c>
      <c r="F91">
        <f>Data!B91</f>
        <v>65</v>
      </c>
    </row>
    <row r="92" spans="1:6">
      <c r="A92" s="8" t="str">
        <f>Data!A92</f>
        <v>TJ Sokol Chrudim</v>
      </c>
      <c r="B92">
        <f>IF(0+Data!EP92,1,0)</f>
        <v>0</v>
      </c>
      <c r="C92">
        <f>IF(0+Data!EQ92,1,0)</f>
        <v>1</v>
      </c>
      <c r="D92">
        <f>IF(0+Data!ER92,1,0)</f>
        <v>1</v>
      </c>
      <c r="E92" t="s">
        <v>38</v>
      </c>
      <c r="F92">
        <f>Data!B92</f>
        <v>21</v>
      </c>
    </row>
    <row r="93" spans="1:6">
      <c r="A93" s="8" t="str">
        <f>Data!A93</f>
        <v>TJ Sokol Plotiště nad Labem</v>
      </c>
      <c r="B93">
        <f>IF(0+Data!EP93,1,0)</f>
        <v>0</v>
      </c>
      <c r="C93">
        <f>IF(0+Data!EQ93,1,0)</f>
        <v>1</v>
      </c>
      <c r="D93">
        <f>IF(0+Data!ER93,1,0)</f>
        <v>0</v>
      </c>
      <c r="E93" t="s">
        <v>38</v>
      </c>
      <c r="F93">
        <f>Data!B93</f>
        <v>217</v>
      </c>
    </row>
    <row r="94" spans="1:6">
      <c r="A94" s="8" t="str">
        <f>Data!A94</f>
        <v>SPORT KLUB Náchod</v>
      </c>
      <c r="B94">
        <f>IF(0+Data!EP94,1,0)</f>
        <v>1</v>
      </c>
      <c r="C94">
        <f>IF(0+Data!EQ94,1,0)</f>
        <v>1</v>
      </c>
      <c r="D94">
        <f>IF(0+Data!ER94,1,0)</f>
        <v>1</v>
      </c>
      <c r="E94" t="s">
        <v>34</v>
      </c>
      <c r="F94">
        <f>Data!B94</f>
        <v>269</v>
      </c>
    </row>
    <row r="95" spans="1:6">
      <c r="A95" s="8" t="str">
        <f>Data!A95</f>
        <v>T.J. Sokol Vítkovice</v>
      </c>
      <c r="B95">
        <f>IF(0+Data!EP95,1,0)</f>
        <v>1</v>
      </c>
      <c r="C95">
        <f>IF(0+Data!EQ95,1,0)</f>
        <v>1</v>
      </c>
      <c r="D95">
        <f>IF(0+Data!ER95,1,0)</f>
        <v>1</v>
      </c>
      <c r="E95" t="s">
        <v>34</v>
      </c>
      <c r="F95">
        <f>Data!B95</f>
        <v>70</v>
      </c>
    </row>
    <row r="96" spans="1:6">
      <c r="A96" s="8" t="s">
        <v>376</v>
      </c>
      <c r="B96" s="8">
        <f>SUM(B3:B95)</f>
        <v>70</v>
      </c>
      <c r="C96" s="8">
        <f>SUM(C3:C95)</f>
        <v>81</v>
      </c>
      <c r="D96" s="8">
        <f>SUM(D3:D95)</f>
        <v>85</v>
      </c>
      <c r="F96">
        <f>SUM(F3:F95)</f>
        <v>15450</v>
      </c>
    </row>
    <row r="97" spans="1:8">
      <c r="F97" s="11"/>
      <c r="G97" s="11"/>
      <c r="H97" s="11"/>
    </row>
    <row r="101" spans="1:8" ht="94" customHeight="1">
      <c r="A101" s="1"/>
      <c r="B101" s="1"/>
    </row>
    <row r="102" spans="1:8">
      <c r="A102" t="s">
        <v>374</v>
      </c>
      <c r="C102" s="194"/>
      <c r="D102" s="194"/>
      <c r="E102" s="194"/>
      <c r="F102" s="194"/>
      <c r="G102" s="194"/>
      <c r="H102" s="194"/>
    </row>
    <row r="103" spans="1:8">
      <c r="A103" s="9" t="s">
        <v>370</v>
      </c>
      <c r="B103" t="s">
        <v>373</v>
      </c>
      <c r="C103" s="195"/>
      <c r="D103" s="195"/>
      <c r="E103" s="195"/>
      <c r="F103" s="195"/>
      <c r="G103" s="195"/>
      <c r="H103" s="195"/>
    </row>
    <row r="104" spans="1:8">
      <c r="A104" s="10" t="s">
        <v>31</v>
      </c>
      <c r="B104" s="7">
        <v>13</v>
      </c>
      <c r="C104" s="194"/>
      <c r="D104" s="194"/>
      <c r="E104" s="194"/>
      <c r="F104" s="196"/>
      <c r="G104" s="196"/>
      <c r="H104" s="196"/>
    </row>
    <row r="105" spans="1:8">
      <c r="A105" s="10" t="s">
        <v>36</v>
      </c>
      <c r="B105" s="7">
        <v>2</v>
      </c>
      <c r="C105" s="194"/>
      <c r="D105" s="194"/>
      <c r="E105" s="194"/>
      <c r="F105" s="194"/>
      <c r="G105" s="194"/>
      <c r="H105" s="194"/>
    </row>
    <row r="106" spans="1:8">
      <c r="A106" s="10" t="s">
        <v>46</v>
      </c>
      <c r="B106" s="7">
        <v>1</v>
      </c>
      <c r="C106" s="194"/>
      <c r="D106" s="194"/>
      <c r="E106" s="194"/>
      <c r="F106" s="194"/>
      <c r="G106" s="194"/>
      <c r="H106" s="194"/>
    </row>
    <row r="107" spans="1:8">
      <c r="A107" s="10" t="s">
        <v>37</v>
      </c>
      <c r="B107" s="7">
        <v>10</v>
      </c>
      <c r="C107" s="194"/>
      <c r="D107" s="194"/>
      <c r="E107" s="194"/>
      <c r="F107" s="196"/>
      <c r="G107" s="196"/>
      <c r="H107" s="196"/>
    </row>
    <row r="108" spans="1:8">
      <c r="A108" s="10" t="s">
        <v>38</v>
      </c>
      <c r="B108" s="7">
        <v>47</v>
      </c>
      <c r="C108" s="194"/>
      <c r="D108" s="194"/>
      <c r="E108" s="194"/>
      <c r="F108" s="196"/>
      <c r="G108" s="196"/>
      <c r="H108" s="196"/>
    </row>
    <row r="109" spans="1:8">
      <c r="A109" s="10" t="s">
        <v>39</v>
      </c>
      <c r="B109" s="7">
        <v>1</v>
      </c>
      <c r="C109" s="194"/>
      <c r="D109" s="194"/>
      <c r="E109" s="194"/>
      <c r="F109" s="194"/>
      <c r="G109" s="194"/>
      <c r="H109" s="194"/>
    </row>
    <row r="110" spans="1:8">
      <c r="A110" s="10" t="s">
        <v>40</v>
      </c>
      <c r="B110" s="7">
        <v>1</v>
      </c>
      <c r="C110" s="194"/>
      <c r="D110" s="194"/>
      <c r="E110" s="194"/>
      <c r="F110" s="194"/>
      <c r="G110" s="194"/>
      <c r="H110" s="194"/>
    </row>
    <row r="111" spans="1:8">
      <c r="A111" s="10" t="s">
        <v>41</v>
      </c>
      <c r="B111" s="7">
        <v>4</v>
      </c>
      <c r="C111" s="194"/>
      <c r="D111" s="194"/>
      <c r="E111" s="194"/>
      <c r="F111" s="196"/>
      <c r="G111" s="196"/>
      <c r="H111" s="196"/>
    </row>
    <row r="112" spans="1:8">
      <c r="A112" s="10" t="s">
        <v>34</v>
      </c>
      <c r="B112" s="7">
        <v>4</v>
      </c>
      <c r="C112" s="194"/>
      <c r="D112" s="194"/>
      <c r="E112" s="194"/>
      <c r="F112" s="196"/>
      <c r="G112" s="196"/>
      <c r="H112" s="196"/>
    </row>
    <row r="113" spans="1:11">
      <c r="A113" s="10" t="s">
        <v>42</v>
      </c>
      <c r="B113" s="7">
        <v>1</v>
      </c>
      <c r="C113" s="194"/>
      <c r="D113" s="194"/>
      <c r="E113" s="194"/>
      <c r="F113" s="194"/>
      <c r="G113" s="194"/>
      <c r="H113" s="194"/>
    </row>
    <row r="114" spans="1:11">
      <c r="A114" s="10" t="s">
        <v>43</v>
      </c>
      <c r="B114" s="7">
        <v>1</v>
      </c>
      <c r="C114" s="194"/>
      <c r="D114" s="194"/>
      <c r="E114" s="194"/>
      <c r="F114" s="194"/>
      <c r="G114" s="194"/>
      <c r="H114" s="194"/>
    </row>
    <row r="115" spans="1:11">
      <c r="A115" s="10" t="s">
        <v>44</v>
      </c>
      <c r="B115" s="7">
        <v>7</v>
      </c>
      <c r="C115" s="194"/>
      <c r="D115" s="194"/>
      <c r="E115" s="194"/>
      <c r="F115" s="196"/>
      <c r="G115" s="196"/>
      <c r="H115" s="196"/>
    </row>
    <row r="116" spans="1:11">
      <c r="A116" s="10" t="s">
        <v>45</v>
      </c>
      <c r="B116" s="7">
        <v>1</v>
      </c>
      <c r="C116" s="194"/>
      <c r="D116" s="194"/>
      <c r="E116" s="194"/>
      <c r="F116" s="194"/>
      <c r="G116" s="194"/>
      <c r="H116" s="194"/>
    </row>
    <row r="117" spans="1:11">
      <c r="A117" s="10" t="s">
        <v>371</v>
      </c>
      <c r="B117" s="7">
        <v>93</v>
      </c>
      <c r="C117" s="197"/>
      <c r="D117" s="197"/>
      <c r="E117" s="197"/>
      <c r="F117" s="194"/>
      <c r="G117" s="194"/>
      <c r="H117" s="194"/>
    </row>
    <row r="118" spans="1:11">
      <c r="C118" s="197"/>
      <c r="D118" s="197"/>
      <c r="E118" s="197"/>
      <c r="F118" s="194"/>
      <c r="G118" s="194"/>
      <c r="H118" s="194"/>
    </row>
    <row r="123" spans="1:11">
      <c r="J123" s="14"/>
      <c r="K123" s="22"/>
    </row>
    <row r="124" spans="1:11">
      <c r="A124" t="s">
        <v>402</v>
      </c>
      <c r="B124" t="s">
        <v>405</v>
      </c>
      <c r="C124" t="s">
        <v>404</v>
      </c>
      <c r="D124" t="s">
        <v>406</v>
      </c>
      <c r="E124" t="s">
        <v>407</v>
      </c>
      <c r="F124" t="s">
        <v>401</v>
      </c>
    </row>
    <row r="125" spans="1:11">
      <c r="A125" t="s">
        <v>47</v>
      </c>
      <c r="B125">
        <v>1</v>
      </c>
      <c r="C125" s="6">
        <f t="shared" ref="C125:C143" si="0">(B125/$B$143)*100</f>
        <v>0.30120481927710846</v>
      </c>
      <c r="D125">
        <v>0</v>
      </c>
      <c r="E125" s="6">
        <f t="shared" ref="E125:E143" si="1">(D125/$D$143)*100</f>
        <v>0</v>
      </c>
      <c r="F125" s="6">
        <f t="shared" ref="F125:F143" si="2">E125-C125</f>
        <v>-0.30120481927710846</v>
      </c>
    </row>
    <row r="126" spans="1:11">
      <c r="A126" t="s">
        <v>31</v>
      </c>
      <c r="B126">
        <v>38</v>
      </c>
      <c r="C126" s="6">
        <f t="shared" si="0"/>
        <v>11.445783132530121</v>
      </c>
      <c r="D126">
        <v>13</v>
      </c>
      <c r="E126" s="6">
        <f t="shared" si="1"/>
        <v>13.978494623655912</v>
      </c>
      <c r="F126" s="6">
        <f t="shared" si="2"/>
        <v>2.5327114911257915</v>
      </c>
    </row>
    <row r="127" spans="1:11">
      <c r="A127" t="s">
        <v>391</v>
      </c>
      <c r="B127">
        <v>4</v>
      </c>
      <c r="C127" s="6">
        <f t="shared" si="0"/>
        <v>1.2048192771084338</v>
      </c>
      <c r="D127">
        <v>0</v>
      </c>
      <c r="E127" s="6">
        <f t="shared" si="1"/>
        <v>0</v>
      </c>
      <c r="F127" s="6">
        <f t="shared" si="2"/>
        <v>-1.2048192771084338</v>
      </c>
    </row>
    <row r="128" spans="1:11">
      <c r="A128" t="s">
        <v>36</v>
      </c>
      <c r="B128">
        <v>5</v>
      </c>
      <c r="C128" s="6">
        <f t="shared" si="0"/>
        <v>1.5060240963855422</v>
      </c>
      <c r="D128">
        <v>2</v>
      </c>
      <c r="E128" s="6">
        <f t="shared" si="1"/>
        <v>2.1505376344086025</v>
      </c>
      <c r="F128" s="6">
        <f t="shared" si="2"/>
        <v>0.64451353802306022</v>
      </c>
    </row>
    <row r="129" spans="1:6">
      <c r="A129" t="s">
        <v>46</v>
      </c>
      <c r="B129">
        <v>1</v>
      </c>
      <c r="C129" s="6">
        <f t="shared" si="0"/>
        <v>0.30120481927710846</v>
      </c>
      <c r="D129">
        <v>1</v>
      </c>
      <c r="E129" s="6">
        <f t="shared" si="1"/>
        <v>1.0752688172043012</v>
      </c>
      <c r="F129" s="6">
        <f t="shared" si="2"/>
        <v>0.77406399792719283</v>
      </c>
    </row>
    <row r="130" spans="1:6">
      <c r="A130" t="s">
        <v>37</v>
      </c>
      <c r="B130">
        <v>34</v>
      </c>
      <c r="C130" s="6">
        <f t="shared" si="0"/>
        <v>10.240963855421686</v>
      </c>
      <c r="D130">
        <v>10</v>
      </c>
      <c r="E130" s="6">
        <f t="shared" si="1"/>
        <v>10.75268817204301</v>
      </c>
      <c r="F130" s="6">
        <f t="shared" si="2"/>
        <v>0.51172431662132389</v>
      </c>
    </row>
    <row r="131" spans="1:6">
      <c r="A131" t="s">
        <v>38</v>
      </c>
      <c r="B131">
        <v>153</v>
      </c>
      <c r="C131" s="6">
        <f t="shared" si="0"/>
        <v>46.084337349397593</v>
      </c>
      <c r="D131">
        <v>47</v>
      </c>
      <c r="E131" s="6">
        <f t="shared" si="1"/>
        <v>50.537634408602152</v>
      </c>
      <c r="F131" s="16">
        <f t="shared" si="2"/>
        <v>4.4532970592045586</v>
      </c>
    </row>
    <row r="132" spans="1:6">
      <c r="A132" t="s">
        <v>39</v>
      </c>
      <c r="B132">
        <v>3</v>
      </c>
      <c r="C132" s="6">
        <f t="shared" si="0"/>
        <v>0.90361445783132521</v>
      </c>
      <c r="D132">
        <v>1</v>
      </c>
      <c r="E132" s="6">
        <f t="shared" si="1"/>
        <v>1.0752688172043012</v>
      </c>
      <c r="F132" s="6">
        <f t="shared" si="2"/>
        <v>0.17165435937297602</v>
      </c>
    </row>
    <row r="133" spans="1:6">
      <c r="A133" t="s">
        <v>40</v>
      </c>
      <c r="B133">
        <v>33</v>
      </c>
      <c r="C133" s="6">
        <f t="shared" si="0"/>
        <v>9.9397590361445776</v>
      </c>
      <c r="D133">
        <v>1</v>
      </c>
      <c r="E133" s="6">
        <f t="shared" si="1"/>
        <v>1.0752688172043012</v>
      </c>
      <c r="F133" s="17">
        <f t="shared" si="2"/>
        <v>-8.8644902189402757</v>
      </c>
    </row>
    <row r="134" spans="1:6">
      <c r="A134" t="s">
        <v>41</v>
      </c>
      <c r="B134">
        <v>7</v>
      </c>
      <c r="C134" s="6">
        <f t="shared" si="0"/>
        <v>2.1084337349397591</v>
      </c>
      <c r="D134">
        <v>4</v>
      </c>
      <c r="E134" s="6">
        <f t="shared" si="1"/>
        <v>4.3010752688172049</v>
      </c>
      <c r="F134" s="6">
        <f t="shared" si="2"/>
        <v>2.1926415338774459</v>
      </c>
    </row>
    <row r="135" spans="1:6">
      <c r="A135" t="s">
        <v>392</v>
      </c>
      <c r="B135">
        <v>1</v>
      </c>
      <c r="C135" s="6">
        <f t="shared" si="0"/>
        <v>0.30120481927710846</v>
      </c>
      <c r="D135">
        <v>0</v>
      </c>
      <c r="E135" s="6">
        <f t="shared" si="1"/>
        <v>0</v>
      </c>
      <c r="F135" s="6">
        <f t="shared" si="2"/>
        <v>-0.30120481927710846</v>
      </c>
    </row>
    <row r="136" spans="1:6">
      <c r="A136" t="s">
        <v>34</v>
      </c>
      <c r="B136">
        <v>9</v>
      </c>
      <c r="C136" s="6">
        <f t="shared" si="0"/>
        <v>2.7108433734939759</v>
      </c>
      <c r="D136">
        <v>4</v>
      </c>
      <c r="E136" s="6">
        <f t="shared" si="1"/>
        <v>4.3010752688172049</v>
      </c>
      <c r="F136" s="6">
        <f t="shared" si="2"/>
        <v>1.5902318953232291</v>
      </c>
    </row>
    <row r="137" spans="1:6">
      <c r="A137" t="s">
        <v>393</v>
      </c>
      <c r="B137">
        <v>2</v>
      </c>
      <c r="C137" s="6">
        <f t="shared" si="0"/>
        <v>0.60240963855421692</v>
      </c>
      <c r="D137">
        <v>0</v>
      </c>
      <c r="E137" s="6">
        <f t="shared" si="1"/>
        <v>0</v>
      </c>
      <c r="F137" s="6">
        <f t="shared" si="2"/>
        <v>-0.60240963855421692</v>
      </c>
    </row>
    <row r="138" spans="1:6">
      <c r="A138" t="s">
        <v>394</v>
      </c>
      <c r="B138">
        <v>3</v>
      </c>
      <c r="C138" s="6">
        <f t="shared" si="0"/>
        <v>0.90361445783132521</v>
      </c>
      <c r="D138">
        <v>0</v>
      </c>
      <c r="E138" s="6">
        <f t="shared" si="1"/>
        <v>0</v>
      </c>
      <c r="F138" s="6">
        <f t="shared" si="2"/>
        <v>-0.90361445783132521</v>
      </c>
    </row>
    <row r="139" spans="1:6">
      <c r="A139" t="s">
        <v>42</v>
      </c>
      <c r="B139">
        <v>3</v>
      </c>
      <c r="C139" s="6">
        <f t="shared" si="0"/>
        <v>0.90361445783132521</v>
      </c>
      <c r="D139">
        <v>1</v>
      </c>
      <c r="E139" s="6">
        <f t="shared" si="1"/>
        <v>1.0752688172043012</v>
      </c>
      <c r="F139" s="6">
        <f t="shared" si="2"/>
        <v>0.17165435937297602</v>
      </c>
    </row>
    <row r="140" spans="1:6">
      <c r="A140" t="s">
        <v>43</v>
      </c>
      <c r="B140">
        <v>3</v>
      </c>
      <c r="C140" s="6">
        <f t="shared" si="0"/>
        <v>0.90361445783132521</v>
      </c>
      <c r="D140">
        <v>1</v>
      </c>
      <c r="E140" s="6">
        <f t="shared" si="1"/>
        <v>1.0752688172043012</v>
      </c>
      <c r="F140" s="6">
        <f t="shared" si="2"/>
        <v>0.17165435937297602</v>
      </c>
    </row>
    <row r="141" spans="1:6">
      <c r="A141" t="s">
        <v>44</v>
      </c>
      <c r="B141">
        <v>30</v>
      </c>
      <c r="C141" s="6">
        <f t="shared" si="0"/>
        <v>9.0361445783132535</v>
      </c>
      <c r="D141">
        <v>7</v>
      </c>
      <c r="E141" s="6">
        <f t="shared" si="1"/>
        <v>7.5268817204301079</v>
      </c>
      <c r="F141" s="6">
        <f t="shared" si="2"/>
        <v>-1.5092628578831455</v>
      </c>
    </row>
    <row r="142" spans="1:6">
      <c r="A142" t="s">
        <v>45</v>
      </c>
      <c r="B142">
        <v>2</v>
      </c>
      <c r="C142" s="6">
        <f t="shared" si="0"/>
        <v>0.60240963855421692</v>
      </c>
      <c r="D142">
        <v>1</v>
      </c>
      <c r="E142" s="6">
        <f t="shared" si="1"/>
        <v>1.0752688172043012</v>
      </c>
      <c r="F142" s="6">
        <f t="shared" si="2"/>
        <v>0.47285917865008431</v>
      </c>
    </row>
    <row r="143" spans="1:6">
      <c r="A143" t="s">
        <v>371</v>
      </c>
      <c r="B143">
        <v>332</v>
      </c>
      <c r="C143" s="6">
        <f t="shared" si="0"/>
        <v>100</v>
      </c>
      <c r="D143">
        <f>SUM(D126:D142)</f>
        <v>93</v>
      </c>
      <c r="E143" s="6">
        <f t="shared" si="1"/>
        <v>100</v>
      </c>
      <c r="F143" s="6">
        <f t="shared" si="2"/>
        <v>0</v>
      </c>
    </row>
    <row r="145" spans="1:7">
      <c r="A145" t="s">
        <v>376</v>
      </c>
      <c r="B145" t="s">
        <v>399</v>
      </c>
      <c r="C145" t="s">
        <v>395</v>
      </c>
      <c r="D145" t="s">
        <v>397</v>
      </c>
      <c r="E145" t="s">
        <v>396</v>
      </c>
      <c r="F145" t="s">
        <v>398</v>
      </c>
      <c r="G145" t="s">
        <v>400</v>
      </c>
    </row>
    <row r="146" spans="1:7">
      <c r="A146">
        <v>332</v>
      </c>
      <c r="B146">
        <f>A146-C146</f>
        <v>107</v>
      </c>
      <c r="C146">
        <v>225</v>
      </c>
      <c r="D146">
        <v>14</v>
      </c>
      <c r="E146">
        <v>21</v>
      </c>
      <c r="F146">
        <f>C146-D146-E146</f>
        <v>190</v>
      </c>
      <c r="G146">
        <v>93</v>
      </c>
    </row>
    <row r="147" spans="1:7">
      <c r="B147" s="20">
        <f>B146/$A$146</f>
        <v>0.32228915662650603</v>
      </c>
      <c r="C147" s="20">
        <f>C146/$A$146</f>
        <v>0.67771084337349397</v>
      </c>
      <c r="D147" s="20">
        <f>D146/$A$146</f>
        <v>4.2168674698795178E-2</v>
      </c>
      <c r="E147" s="20">
        <f>E146/$A$146</f>
        <v>6.3253012048192767E-2</v>
      </c>
      <c r="F147" s="20">
        <f>F146/$A$146</f>
        <v>0.57228915662650603</v>
      </c>
      <c r="G147" s="20">
        <f t="shared" ref="G147" si="3">G146/$A$146</f>
        <v>0.28012048192771083</v>
      </c>
    </row>
    <row r="148" spans="1:7">
      <c r="C148" s="20">
        <f>C146/$C$146</f>
        <v>1</v>
      </c>
      <c r="D148" s="20">
        <f>D146/$C$146</f>
        <v>6.222222222222222E-2</v>
      </c>
      <c r="E148" s="20">
        <f>E146/$C$146</f>
        <v>9.3333333333333338E-2</v>
      </c>
      <c r="F148" s="20">
        <f>F146/$C$146</f>
        <v>0.84444444444444444</v>
      </c>
    </row>
    <row r="149" spans="1:7">
      <c r="B149" s="6"/>
      <c r="C149" s="21">
        <f>C148-F148</f>
        <v>0.15555555555555556</v>
      </c>
      <c r="D149" s="6"/>
      <c r="E149" s="6"/>
      <c r="F149" s="6"/>
      <c r="G149" s="6"/>
    </row>
    <row r="150" spans="1:7">
      <c r="C150" s="18"/>
    </row>
  </sheetData>
  <phoneticPr fontId="3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5C9A7-3EFC-4C4D-B7F1-B639D39A1F81}">
  <sheetPr>
    <tabColor rgb="FF92D050"/>
  </sheetPr>
  <dimension ref="A2:XFD167"/>
  <sheetViews>
    <sheetView topLeftCell="A116" zoomScale="50" workbookViewId="0">
      <selection activeCell="A143" sqref="A143:F147"/>
    </sheetView>
  </sheetViews>
  <sheetFormatPr baseColWidth="10" defaultColWidth="11" defaultRowHeight="16"/>
  <cols>
    <col min="1" max="1" width="18.33203125" bestFit="1" customWidth="1"/>
    <col min="2" max="2" width="19.5" bestFit="1" customWidth="1"/>
    <col min="3" max="3" width="17.1640625" bestFit="1" customWidth="1"/>
    <col min="4" max="4" width="27.5" bestFit="1" customWidth="1"/>
    <col min="5" max="6" width="13.83203125" bestFit="1" customWidth="1"/>
    <col min="7" max="7" width="19" customWidth="1"/>
    <col min="8" max="8" width="28.5" bestFit="1" customWidth="1"/>
    <col min="9" max="9" width="18.6640625" customWidth="1"/>
    <col min="10" max="10" width="19.33203125" customWidth="1"/>
    <col min="11" max="11" width="17.83203125" customWidth="1"/>
    <col min="12" max="12" width="15" customWidth="1"/>
    <col min="13" max="13" width="18.6640625" customWidth="1"/>
    <col min="14" max="14" width="17.1640625" customWidth="1"/>
    <col min="15" max="15" width="20.1640625" customWidth="1"/>
    <col min="16" max="16" width="19.1640625" customWidth="1"/>
    <col min="17" max="17" width="17.83203125" bestFit="1" customWidth="1"/>
    <col min="18" max="28" width="28.5" bestFit="1" customWidth="1"/>
    <col min="29" max="29" width="35.5" bestFit="1" customWidth="1"/>
    <col min="30" max="30" width="25.1640625" bestFit="1" customWidth="1"/>
    <col min="35" max="35" width="17.5" bestFit="1" customWidth="1"/>
  </cols>
  <sheetData>
    <row r="2" spans="1:22" ht="153">
      <c r="A2" t="s">
        <v>434</v>
      </c>
      <c r="B2" s="1" t="s">
        <v>16</v>
      </c>
      <c r="C2" s="1" t="s">
        <v>17</v>
      </c>
      <c r="D2" s="1" t="s">
        <v>18</v>
      </c>
      <c r="E2" s="1" t="s">
        <v>19</v>
      </c>
      <c r="F2" s="1" t="s">
        <v>20</v>
      </c>
      <c r="G2" s="1" t="s">
        <v>21</v>
      </c>
      <c r="H2" s="1" t="s">
        <v>22</v>
      </c>
      <c r="I2" s="1" t="s">
        <v>23</v>
      </c>
      <c r="J2" s="1" t="s">
        <v>24</v>
      </c>
      <c r="K2" s="1" t="s">
        <v>17</v>
      </c>
      <c r="L2" s="1" t="s">
        <v>18</v>
      </c>
      <c r="M2" s="1" t="s">
        <v>19</v>
      </c>
      <c r="N2" s="1" t="s">
        <v>20</v>
      </c>
      <c r="O2" s="1" t="s">
        <v>21</v>
      </c>
      <c r="P2" s="1" t="s">
        <v>22</v>
      </c>
      <c r="R2" s="1" t="s">
        <v>447</v>
      </c>
      <c r="S2" s="1" t="s">
        <v>450</v>
      </c>
      <c r="T2" s="1" t="s">
        <v>453</v>
      </c>
    </row>
    <row r="3" spans="1:22" s="28" customFormat="1">
      <c r="A3" s="28" t="s">
        <v>48</v>
      </c>
      <c r="B3" s="28">
        <v>50</v>
      </c>
      <c r="C3" s="28">
        <v>40</v>
      </c>
      <c r="D3" s="28">
        <v>45</v>
      </c>
      <c r="E3" s="28">
        <v>0</v>
      </c>
      <c r="F3" s="28">
        <v>5</v>
      </c>
      <c r="G3" s="28">
        <v>10</v>
      </c>
      <c r="H3" s="28">
        <v>0</v>
      </c>
      <c r="I3" s="28" t="s">
        <v>31</v>
      </c>
      <c r="J3" s="28" t="s">
        <v>32</v>
      </c>
      <c r="K3" s="29">
        <f>($B3/100)*C3</f>
        <v>20</v>
      </c>
      <c r="L3" s="29">
        <f t="shared" ref="L3:P3" si="0">($B3/100)*D3</f>
        <v>22.5</v>
      </c>
      <c r="M3" s="29">
        <f t="shared" si="0"/>
        <v>0</v>
      </c>
      <c r="N3" s="29">
        <f t="shared" si="0"/>
        <v>2.5</v>
      </c>
      <c r="O3" s="29">
        <f t="shared" si="0"/>
        <v>5</v>
      </c>
      <c r="P3" s="29">
        <f t="shared" si="0"/>
        <v>0</v>
      </c>
      <c r="Q3" s="29">
        <f>SUM(K3:P3)</f>
        <v>50</v>
      </c>
      <c r="R3" s="29">
        <f>SUM(K3:M3)</f>
        <v>42.5</v>
      </c>
      <c r="S3" s="29">
        <f>($U$126-R3)^2</f>
        <v>20166.840100000005</v>
      </c>
      <c r="T3" s="29">
        <f t="shared" ref="T3:T41" si="1">SUM(N3:P3)</f>
        <v>7.5</v>
      </c>
      <c r="U3" s="29">
        <f>B3-Q3</f>
        <v>0</v>
      </c>
      <c r="V3" s="29"/>
    </row>
    <row r="4" spans="1:22" s="28" customFormat="1">
      <c r="A4" s="28" t="s">
        <v>49</v>
      </c>
      <c r="B4" s="28">
        <v>208</v>
      </c>
      <c r="C4" s="28">
        <v>0</v>
      </c>
      <c r="D4" s="28">
        <v>46</v>
      </c>
      <c r="E4" s="28">
        <v>10</v>
      </c>
      <c r="F4" s="28">
        <v>11</v>
      </c>
      <c r="G4" s="28">
        <v>25</v>
      </c>
      <c r="H4" s="28">
        <v>8</v>
      </c>
      <c r="I4" s="28" t="s">
        <v>31</v>
      </c>
      <c r="J4" s="28" t="s">
        <v>32</v>
      </c>
      <c r="K4" s="29">
        <f t="shared" ref="K4:K17" si="2">($B4/100)*C4</f>
        <v>0</v>
      </c>
      <c r="L4" s="29">
        <f t="shared" ref="L4:L17" si="3">($B4/100)*D4</f>
        <v>95.68</v>
      </c>
      <c r="M4" s="29">
        <f t="shared" ref="M4:M17" si="4">($B4/100)*E4</f>
        <v>20.8</v>
      </c>
      <c r="N4" s="29">
        <f t="shared" ref="N4:N17" si="5">($B4/100)*F4</f>
        <v>22.880000000000003</v>
      </c>
      <c r="O4" s="29">
        <f t="shared" ref="O4:O17" si="6">($B4/100)*G4</f>
        <v>52</v>
      </c>
      <c r="P4" s="29">
        <f t="shared" ref="P4:P17" si="7">($B4/100)*H4</f>
        <v>16.64</v>
      </c>
      <c r="Q4" s="29">
        <f t="shared" ref="Q4:Q7" si="8">SUM(K4:P4)</f>
        <v>208</v>
      </c>
      <c r="R4" s="29">
        <f>SUM(K4:M4)</f>
        <v>116.48</v>
      </c>
      <c r="S4" s="29">
        <f t="shared" ref="S4:S15" si="9">($U$126-R4)^2</f>
        <v>4628.0809000000017</v>
      </c>
      <c r="T4" s="29">
        <f t="shared" si="1"/>
        <v>91.52</v>
      </c>
    </row>
    <row r="5" spans="1:22" s="28" customFormat="1">
      <c r="A5" s="28" t="s">
        <v>50</v>
      </c>
      <c r="B5" s="28">
        <v>350</v>
      </c>
      <c r="C5" s="28">
        <v>0</v>
      </c>
      <c r="D5" s="28">
        <v>20</v>
      </c>
      <c r="E5" s="28">
        <v>20</v>
      </c>
      <c r="F5" s="28">
        <v>30</v>
      </c>
      <c r="G5" s="28">
        <v>20</v>
      </c>
      <c r="H5" s="28">
        <v>10</v>
      </c>
      <c r="I5" s="28" t="s">
        <v>31</v>
      </c>
      <c r="J5" s="28" t="s">
        <v>33</v>
      </c>
      <c r="K5" s="29">
        <f t="shared" si="2"/>
        <v>0</v>
      </c>
      <c r="L5" s="29">
        <f t="shared" si="3"/>
        <v>70</v>
      </c>
      <c r="M5" s="29">
        <f t="shared" si="4"/>
        <v>70</v>
      </c>
      <c r="N5" s="29">
        <f t="shared" si="5"/>
        <v>105</v>
      </c>
      <c r="O5" s="29">
        <f t="shared" si="6"/>
        <v>70</v>
      </c>
      <c r="P5" s="29">
        <f t="shared" si="7"/>
        <v>35</v>
      </c>
      <c r="Q5" s="29">
        <f t="shared" si="8"/>
        <v>350</v>
      </c>
      <c r="R5" s="29">
        <f>SUM(K5:M5)</f>
        <v>140</v>
      </c>
      <c r="S5" s="29">
        <f t="shared" si="9"/>
        <v>1981.1401000000017</v>
      </c>
      <c r="T5" s="29">
        <f t="shared" si="1"/>
        <v>210</v>
      </c>
    </row>
    <row r="6" spans="1:22" s="28" customFormat="1">
      <c r="A6" s="28" t="s">
        <v>51</v>
      </c>
      <c r="B6" s="28">
        <v>570</v>
      </c>
      <c r="C6" s="28">
        <v>5</v>
      </c>
      <c r="D6" s="28">
        <v>65</v>
      </c>
      <c r="E6" s="28">
        <v>10</v>
      </c>
      <c r="F6" s="28">
        <v>10</v>
      </c>
      <c r="G6" s="28">
        <v>5</v>
      </c>
      <c r="H6" s="28">
        <v>5</v>
      </c>
      <c r="I6" s="28" t="s">
        <v>31</v>
      </c>
      <c r="J6" s="28" t="s">
        <v>33</v>
      </c>
      <c r="K6" s="29">
        <f t="shared" si="2"/>
        <v>28.5</v>
      </c>
      <c r="L6" s="29">
        <f t="shared" si="3"/>
        <v>370.5</v>
      </c>
      <c r="M6" s="29">
        <f t="shared" si="4"/>
        <v>57</v>
      </c>
      <c r="N6" s="29">
        <f t="shared" si="5"/>
        <v>57</v>
      </c>
      <c r="O6" s="29">
        <f t="shared" si="6"/>
        <v>28.5</v>
      </c>
      <c r="P6" s="29">
        <f t="shared" si="7"/>
        <v>28.5</v>
      </c>
      <c r="Q6" s="29">
        <f t="shared" si="8"/>
        <v>570</v>
      </c>
      <c r="R6" s="29">
        <f t="shared" ref="R6:R17" si="10">SUM(K6:M6)</f>
        <v>456</v>
      </c>
      <c r="S6" s="29">
        <f t="shared" si="9"/>
        <v>73706.820100000012</v>
      </c>
      <c r="T6" s="29">
        <f t="shared" si="1"/>
        <v>114</v>
      </c>
    </row>
    <row r="7" spans="1:22" s="28" customFormat="1">
      <c r="A7" s="28" t="s">
        <v>52</v>
      </c>
      <c r="B7" s="28">
        <v>450</v>
      </c>
      <c r="C7" s="28">
        <v>5</v>
      </c>
      <c r="D7" s="28">
        <v>60</v>
      </c>
      <c r="E7" s="28">
        <v>17</v>
      </c>
      <c r="F7" s="28">
        <v>10</v>
      </c>
      <c r="G7" s="28">
        <v>6</v>
      </c>
      <c r="H7" s="28">
        <v>2</v>
      </c>
      <c r="I7" s="28" t="s">
        <v>31</v>
      </c>
      <c r="J7" s="28" t="s">
        <v>33</v>
      </c>
      <c r="K7" s="29">
        <f t="shared" si="2"/>
        <v>22.5</v>
      </c>
      <c r="L7" s="29">
        <f t="shared" si="3"/>
        <v>270</v>
      </c>
      <c r="M7" s="29">
        <f t="shared" si="4"/>
        <v>76.5</v>
      </c>
      <c r="N7" s="29">
        <f t="shared" si="5"/>
        <v>45</v>
      </c>
      <c r="O7" s="29">
        <f t="shared" si="6"/>
        <v>27</v>
      </c>
      <c r="P7" s="29">
        <f t="shared" si="7"/>
        <v>9</v>
      </c>
      <c r="Q7" s="29">
        <f t="shared" si="8"/>
        <v>450</v>
      </c>
      <c r="R7" s="29">
        <f t="shared" si="10"/>
        <v>369</v>
      </c>
      <c r="S7" s="29">
        <f t="shared" si="9"/>
        <v>34036.560099999995</v>
      </c>
      <c r="T7" s="29">
        <f t="shared" si="1"/>
        <v>81</v>
      </c>
    </row>
    <row r="8" spans="1:22" s="28" customFormat="1">
      <c r="A8" s="28" t="s">
        <v>92</v>
      </c>
      <c r="B8" s="28">
        <v>385</v>
      </c>
      <c r="C8" s="28">
        <v>25</v>
      </c>
      <c r="D8" s="28">
        <v>45</v>
      </c>
      <c r="E8" s="28">
        <v>15</v>
      </c>
      <c r="F8" s="28">
        <v>8</v>
      </c>
      <c r="G8" s="28">
        <v>5</v>
      </c>
      <c r="H8" s="28">
        <v>2</v>
      </c>
      <c r="I8" s="28" t="s">
        <v>31</v>
      </c>
      <c r="J8" s="28" t="s">
        <v>33</v>
      </c>
      <c r="K8" s="29">
        <f t="shared" si="2"/>
        <v>96.25</v>
      </c>
      <c r="L8" s="29">
        <f t="shared" si="3"/>
        <v>173.25</v>
      </c>
      <c r="M8" s="29">
        <f t="shared" si="4"/>
        <v>57.75</v>
      </c>
      <c r="N8" s="29">
        <f t="shared" si="5"/>
        <v>30.8</v>
      </c>
      <c r="O8" s="29">
        <f t="shared" si="6"/>
        <v>19.25</v>
      </c>
      <c r="P8" s="29">
        <f t="shared" si="7"/>
        <v>7.7</v>
      </c>
      <c r="Q8" s="29">
        <f t="shared" ref="Q8:Q52" si="11">SUM(K8:P8)</f>
        <v>385</v>
      </c>
      <c r="R8" s="29">
        <f t="shared" si="10"/>
        <v>327.25</v>
      </c>
      <c r="S8" s="29">
        <f t="shared" si="9"/>
        <v>20374.707599999994</v>
      </c>
      <c r="T8" s="29">
        <f t="shared" si="1"/>
        <v>57.75</v>
      </c>
    </row>
    <row r="9" spans="1:22" s="28" customFormat="1">
      <c r="A9" s="28" t="s">
        <v>93</v>
      </c>
      <c r="B9" s="28">
        <v>260</v>
      </c>
      <c r="C9" s="28">
        <v>1</v>
      </c>
      <c r="D9" s="28">
        <v>89</v>
      </c>
      <c r="E9" s="28">
        <v>7</v>
      </c>
      <c r="F9" s="28">
        <v>2</v>
      </c>
      <c r="G9" s="28">
        <v>1</v>
      </c>
      <c r="H9" s="28">
        <v>0</v>
      </c>
      <c r="I9" s="28" t="s">
        <v>31</v>
      </c>
      <c r="J9" s="28" t="s">
        <v>32</v>
      </c>
      <c r="K9" s="29">
        <f t="shared" si="2"/>
        <v>2.6</v>
      </c>
      <c r="L9" s="29">
        <f t="shared" si="3"/>
        <v>231.4</v>
      </c>
      <c r="M9" s="29">
        <f t="shared" si="4"/>
        <v>18.2</v>
      </c>
      <c r="N9" s="29">
        <f t="shared" si="5"/>
        <v>5.2</v>
      </c>
      <c r="O9" s="29">
        <f t="shared" si="6"/>
        <v>2.6</v>
      </c>
      <c r="P9" s="29">
        <f t="shared" si="7"/>
        <v>0</v>
      </c>
      <c r="Q9" s="29">
        <f t="shared" si="11"/>
        <v>260</v>
      </c>
      <c r="R9" s="29">
        <f t="shared" si="10"/>
        <v>252.2</v>
      </c>
      <c r="S9" s="29">
        <f t="shared" si="9"/>
        <v>4581.9360999999963</v>
      </c>
      <c r="T9" s="29">
        <f t="shared" si="1"/>
        <v>7.8000000000000007</v>
      </c>
    </row>
    <row r="10" spans="1:22" s="28" customFormat="1">
      <c r="A10" s="28" t="s">
        <v>100</v>
      </c>
      <c r="B10" s="28">
        <v>10</v>
      </c>
      <c r="C10" s="28">
        <v>0</v>
      </c>
      <c r="D10" s="28">
        <v>30</v>
      </c>
      <c r="E10" s="28">
        <v>0</v>
      </c>
      <c r="F10" s="28">
        <v>20</v>
      </c>
      <c r="G10" s="28">
        <v>10</v>
      </c>
      <c r="H10" s="28">
        <v>40</v>
      </c>
      <c r="I10" s="28" t="s">
        <v>31</v>
      </c>
      <c r="J10" s="28" t="s">
        <v>33</v>
      </c>
      <c r="K10" s="29">
        <f t="shared" si="2"/>
        <v>0</v>
      </c>
      <c r="L10" s="29">
        <f t="shared" si="3"/>
        <v>3</v>
      </c>
      <c r="M10" s="29">
        <f t="shared" si="4"/>
        <v>0</v>
      </c>
      <c r="N10" s="29">
        <f t="shared" si="5"/>
        <v>2</v>
      </c>
      <c r="O10" s="29">
        <f t="shared" si="6"/>
        <v>1</v>
      </c>
      <c r="P10" s="29">
        <f t="shared" si="7"/>
        <v>4</v>
      </c>
      <c r="Q10" s="29">
        <f t="shared" si="11"/>
        <v>10</v>
      </c>
      <c r="R10" s="29">
        <f t="shared" si="10"/>
        <v>3</v>
      </c>
      <c r="S10" s="29">
        <f t="shared" si="9"/>
        <v>32945.880100000009</v>
      </c>
      <c r="T10" s="29">
        <f t="shared" si="1"/>
        <v>7</v>
      </c>
    </row>
    <row r="11" spans="1:22" s="28" customFormat="1">
      <c r="A11" s="28" t="s">
        <v>101</v>
      </c>
      <c r="B11" s="28">
        <v>176</v>
      </c>
      <c r="C11" s="28">
        <v>4</v>
      </c>
      <c r="D11" s="28">
        <v>59</v>
      </c>
      <c r="E11" s="28">
        <v>17</v>
      </c>
      <c r="F11" s="28">
        <v>12</v>
      </c>
      <c r="G11" s="28">
        <v>6</v>
      </c>
      <c r="H11" s="28">
        <v>2</v>
      </c>
      <c r="I11" s="28" t="s">
        <v>31</v>
      </c>
      <c r="J11" s="28" t="s">
        <v>32</v>
      </c>
      <c r="K11" s="29">
        <f t="shared" si="2"/>
        <v>7.04</v>
      </c>
      <c r="L11" s="29">
        <f t="shared" si="3"/>
        <v>103.84</v>
      </c>
      <c r="M11" s="29">
        <f t="shared" si="4"/>
        <v>29.92</v>
      </c>
      <c r="N11" s="29">
        <f t="shared" si="5"/>
        <v>21.12</v>
      </c>
      <c r="O11" s="29">
        <f t="shared" si="6"/>
        <v>10.56</v>
      </c>
      <c r="P11" s="29">
        <f t="shared" si="7"/>
        <v>3.52</v>
      </c>
      <c r="Q11" s="29">
        <f t="shared" si="11"/>
        <v>176.00000000000003</v>
      </c>
      <c r="R11" s="29">
        <f t="shared" si="10"/>
        <v>140.80000000000001</v>
      </c>
      <c r="S11" s="29">
        <f t="shared" si="9"/>
        <v>1910.5641000000007</v>
      </c>
      <c r="T11" s="29">
        <f t="shared" si="1"/>
        <v>35.200000000000003</v>
      </c>
    </row>
    <row r="12" spans="1:22" s="28" customFormat="1">
      <c r="A12" s="28" t="s">
        <v>102</v>
      </c>
      <c r="B12" s="28">
        <v>117</v>
      </c>
      <c r="C12" s="28">
        <v>0</v>
      </c>
      <c r="D12" s="28">
        <v>0</v>
      </c>
      <c r="E12" s="28">
        <v>5</v>
      </c>
      <c r="F12" s="28">
        <v>40</v>
      </c>
      <c r="G12" s="28">
        <v>40</v>
      </c>
      <c r="H12" s="28">
        <v>15</v>
      </c>
      <c r="I12" s="28" t="s">
        <v>31</v>
      </c>
      <c r="J12" s="28" t="s">
        <v>35</v>
      </c>
      <c r="K12" s="29">
        <f t="shared" si="2"/>
        <v>0</v>
      </c>
      <c r="L12" s="29">
        <f t="shared" si="3"/>
        <v>0</v>
      </c>
      <c r="M12" s="29">
        <f t="shared" si="4"/>
        <v>5.85</v>
      </c>
      <c r="N12" s="29">
        <f t="shared" si="5"/>
        <v>46.8</v>
      </c>
      <c r="O12" s="29">
        <f t="shared" si="6"/>
        <v>46.8</v>
      </c>
      <c r="P12" s="29">
        <f t="shared" si="7"/>
        <v>17.549999999999997</v>
      </c>
      <c r="Q12" s="29">
        <f t="shared" si="11"/>
        <v>116.99999999999999</v>
      </c>
      <c r="R12" s="29">
        <f t="shared" si="10"/>
        <v>5.85</v>
      </c>
      <c r="S12" s="29">
        <f t="shared" si="9"/>
        <v>31919.395600000011</v>
      </c>
      <c r="T12" s="29">
        <f t="shared" si="1"/>
        <v>111.14999999999999</v>
      </c>
    </row>
    <row r="13" spans="1:22" s="28" customFormat="1">
      <c r="A13" s="28" t="s">
        <v>103</v>
      </c>
      <c r="B13" s="28">
        <v>720</v>
      </c>
      <c r="C13" s="28">
        <v>1</v>
      </c>
      <c r="D13" s="28">
        <v>37</v>
      </c>
      <c r="E13" s="28">
        <v>6</v>
      </c>
      <c r="F13" s="28">
        <v>6</v>
      </c>
      <c r="G13" s="28">
        <v>22</v>
      </c>
      <c r="H13" s="28">
        <v>28</v>
      </c>
      <c r="I13" s="28" t="s">
        <v>31</v>
      </c>
      <c r="J13" s="28" t="s">
        <v>32</v>
      </c>
      <c r="K13" s="29">
        <f t="shared" si="2"/>
        <v>7.2</v>
      </c>
      <c r="L13" s="29">
        <f t="shared" si="3"/>
        <v>266.40000000000003</v>
      </c>
      <c r="M13" s="29">
        <f t="shared" si="4"/>
        <v>43.2</v>
      </c>
      <c r="N13" s="29">
        <f t="shared" si="5"/>
        <v>43.2</v>
      </c>
      <c r="O13" s="29">
        <f t="shared" si="6"/>
        <v>158.4</v>
      </c>
      <c r="P13" s="29">
        <f t="shared" si="7"/>
        <v>201.6</v>
      </c>
      <c r="Q13" s="29">
        <f t="shared" si="11"/>
        <v>720</v>
      </c>
      <c r="R13" s="29">
        <f t="shared" si="10"/>
        <v>316.8</v>
      </c>
      <c r="S13" s="29">
        <f t="shared" si="9"/>
        <v>17500.644099999998</v>
      </c>
      <c r="T13" s="29">
        <f t="shared" si="1"/>
        <v>403.20000000000005</v>
      </c>
    </row>
    <row r="14" spans="1:22" s="28" customFormat="1">
      <c r="A14" s="28" t="s">
        <v>104</v>
      </c>
      <c r="B14" s="28">
        <v>25</v>
      </c>
      <c r="C14" s="28">
        <v>0</v>
      </c>
      <c r="D14" s="28">
        <v>0</v>
      </c>
      <c r="E14" s="28">
        <v>15</v>
      </c>
      <c r="F14" s="28">
        <v>70</v>
      </c>
      <c r="G14" s="28">
        <v>8</v>
      </c>
      <c r="H14" s="28">
        <v>7</v>
      </c>
      <c r="I14" s="28" t="s">
        <v>31</v>
      </c>
      <c r="J14" s="28" t="s">
        <v>33</v>
      </c>
      <c r="K14" s="29">
        <f t="shared" si="2"/>
        <v>0</v>
      </c>
      <c r="L14" s="29">
        <f t="shared" si="3"/>
        <v>0</v>
      </c>
      <c r="M14" s="29">
        <f t="shared" si="4"/>
        <v>3.75</v>
      </c>
      <c r="N14" s="29">
        <f t="shared" si="5"/>
        <v>17.5</v>
      </c>
      <c r="O14" s="29">
        <f t="shared" si="6"/>
        <v>2</v>
      </c>
      <c r="P14" s="29">
        <f t="shared" si="7"/>
        <v>1.75</v>
      </c>
      <c r="Q14" s="29">
        <f t="shared" si="11"/>
        <v>25</v>
      </c>
      <c r="R14" s="29">
        <f t="shared" si="10"/>
        <v>3.75</v>
      </c>
      <c r="S14" s="29">
        <f t="shared" si="9"/>
        <v>32674.177600000006</v>
      </c>
      <c r="T14" s="29">
        <f t="shared" si="1"/>
        <v>21.25</v>
      </c>
    </row>
    <row r="15" spans="1:22" s="28" customFormat="1">
      <c r="A15" s="28" t="s">
        <v>134</v>
      </c>
      <c r="B15" s="28">
        <v>300</v>
      </c>
      <c r="C15" s="28">
        <v>5</v>
      </c>
      <c r="D15" s="28">
        <v>60</v>
      </c>
      <c r="E15" s="28">
        <v>10</v>
      </c>
      <c r="F15" s="28">
        <v>10</v>
      </c>
      <c r="G15" s="28">
        <v>8</v>
      </c>
      <c r="H15" s="28">
        <v>7</v>
      </c>
      <c r="I15" s="28" t="s">
        <v>31</v>
      </c>
      <c r="J15" s="28" t="s">
        <v>35</v>
      </c>
      <c r="K15" s="29">
        <f t="shared" si="2"/>
        <v>15</v>
      </c>
      <c r="L15" s="29">
        <f t="shared" si="3"/>
        <v>180</v>
      </c>
      <c r="M15" s="29">
        <f t="shared" si="4"/>
        <v>30</v>
      </c>
      <c r="N15" s="29">
        <f t="shared" si="5"/>
        <v>30</v>
      </c>
      <c r="O15" s="29">
        <f t="shared" si="6"/>
        <v>24</v>
      </c>
      <c r="P15" s="29">
        <f t="shared" si="7"/>
        <v>21</v>
      </c>
      <c r="Q15" s="29">
        <f t="shared" si="11"/>
        <v>300</v>
      </c>
      <c r="R15" s="29">
        <f t="shared" si="10"/>
        <v>225</v>
      </c>
      <c r="S15" s="29">
        <f t="shared" si="9"/>
        <v>1639.4400999999984</v>
      </c>
      <c r="T15" s="29">
        <f t="shared" si="1"/>
        <v>75</v>
      </c>
    </row>
    <row r="16" spans="1:22" s="30" customFormat="1">
      <c r="A16" s="30" t="s">
        <v>54</v>
      </c>
      <c r="B16" s="30">
        <v>11</v>
      </c>
      <c r="C16" s="30">
        <v>0</v>
      </c>
      <c r="D16" s="30">
        <v>30</v>
      </c>
      <c r="E16" s="30">
        <v>35</v>
      </c>
      <c r="F16" s="30">
        <v>20</v>
      </c>
      <c r="G16" s="30">
        <v>15</v>
      </c>
      <c r="H16" s="30">
        <v>0</v>
      </c>
      <c r="I16" s="30" t="s">
        <v>36</v>
      </c>
      <c r="J16" s="30" t="s">
        <v>35</v>
      </c>
      <c r="K16" s="31">
        <f t="shared" si="2"/>
        <v>0</v>
      </c>
      <c r="L16" s="31">
        <f t="shared" si="3"/>
        <v>3.3</v>
      </c>
      <c r="M16" s="31">
        <f t="shared" si="4"/>
        <v>3.85</v>
      </c>
      <c r="N16" s="31">
        <f t="shared" si="5"/>
        <v>2.2000000000000002</v>
      </c>
      <c r="O16" s="31">
        <f t="shared" si="6"/>
        <v>1.65</v>
      </c>
      <c r="P16" s="30">
        <f t="shared" si="7"/>
        <v>0</v>
      </c>
      <c r="Q16" s="31">
        <f t="shared" si="11"/>
        <v>11.000000000000002</v>
      </c>
      <c r="R16" s="31">
        <f t="shared" si="10"/>
        <v>7.15</v>
      </c>
      <c r="S16" s="31">
        <f>($U$127-R16)^2</f>
        <v>339.48062499999992</v>
      </c>
      <c r="T16" s="31">
        <f t="shared" si="1"/>
        <v>3.85</v>
      </c>
    </row>
    <row r="17" spans="1:20" s="30" customFormat="1">
      <c r="A17" s="30" t="s">
        <v>94</v>
      </c>
      <c r="B17" s="30">
        <v>50</v>
      </c>
      <c r="C17" s="30">
        <v>0</v>
      </c>
      <c r="D17" s="30">
        <v>74</v>
      </c>
      <c r="E17" s="30">
        <v>14</v>
      </c>
      <c r="F17" s="30">
        <v>5</v>
      </c>
      <c r="G17" s="30">
        <v>5</v>
      </c>
      <c r="H17" s="30">
        <v>2</v>
      </c>
      <c r="I17" s="30" t="s">
        <v>36</v>
      </c>
      <c r="J17" s="30" t="s">
        <v>32</v>
      </c>
      <c r="K17" s="31">
        <f t="shared" si="2"/>
        <v>0</v>
      </c>
      <c r="L17" s="31">
        <f t="shared" si="3"/>
        <v>37</v>
      </c>
      <c r="M17" s="31">
        <f t="shared" si="4"/>
        <v>7</v>
      </c>
      <c r="N17" s="31">
        <f t="shared" si="5"/>
        <v>2.5</v>
      </c>
      <c r="O17" s="31">
        <f t="shared" si="6"/>
        <v>2.5</v>
      </c>
      <c r="P17" s="30">
        <f t="shared" si="7"/>
        <v>1</v>
      </c>
      <c r="Q17" s="31">
        <f t="shared" si="11"/>
        <v>50</v>
      </c>
      <c r="R17" s="31">
        <f t="shared" si="10"/>
        <v>44</v>
      </c>
      <c r="S17" s="31">
        <f>($U$127-R17)^2</f>
        <v>339.48062500000003</v>
      </c>
      <c r="T17" s="31">
        <f t="shared" si="1"/>
        <v>6</v>
      </c>
    </row>
    <row r="18" spans="1:20" s="32" customFormat="1">
      <c r="A18" s="32" t="s">
        <v>105</v>
      </c>
      <c r="B18" s="32">
        <v>21</v>
      </c>
      <c r="C18" s="32">
        <v>0</v>
      </c>
      <c r="D18" s="32">
        <v>10</v>
      </c>
      <c r="E18" s="32">
        <v>20</v>
      </c>
      <c r="F18" s="32">
        <v>30</v>
      </c>
      <c r="G18" s="32">
        <v>40</v>
      </c>
      <c r="H18" s="32">
        <v>0</v>
      </c>
      <c r="I18" s="32" t="s">
        <v>46</v>
      </c>
      <c r="J18" s="32" t="s">
        <v>35</v>
      </c>
      <c r="K18" s="33">
        <f t="shared" ref="K18:K29" si="12">($B18/100)*C18</f>
        <v>0</v>
      </c>
      <c r="L18" s="33">
        <f t="shared" ref="L18:L29" si="13">($B18/100)*D18</f>
        <v>2.1</v>
      </c>
      <c r="M18" s="33">
        <f t="shared" ref="M18:M29" si="14">($B18/100)*E18</f>
        <v>4.2</v>
      </c>
      <c r="N18" s="33">
        <f t="shared" ref="N18:N29" si="15">($B18/100)*F18</f>
        <v>6.3</v>
      </c>
      <c r="O18" s="33">
        <f t="shared" ref="O18:O29" si="16">($B18/100)*G18</f>
        <v>8.4</v>
      </c>
      <c r="P18" s="33">
        <f t="shared" ref="P18:P29" si="17">($B18/100)*H18</f>
        <v>0</v>
      </c>
      <c r="Q18" s="33">
        <f t="shared" si="11"/>
        <v>21</v>
      </c>
      <c r="R18" s="33">
        <f t="shared" ref="R18:R49" si="18">SUM(K18:M18)</f>
        <v>6.3000000000000007</v>
      </c>
      <c r="S18" s="33">
        <f>($U$128-R18)^2</f>
        <v>0</v>
      </c>
      <c r="T18" s="33">
        <f t="shared" si="1"/>
        <v>14.7</v>
      </c>
    </row>
    <row r="19" spans="1:20" s="34" customFormat="1">
      <c r="A19" s="34" t="s">
        <v>55</v>
      </c>
      <c r="B19" s="34">
        <v>450</v>
      </c>
      <c r="C19" s="34">
        <v>5</v>
      </c>
      <c r="D19" s="34">
        <v>45</v>
      </c>
      <c r="E19" s="34">
        <v>30</v>
      </c>
      <c r="F19" s="34">
        <v>15</v>
      </c>
      <c r="G19" s="34">
        <v>5</v>
      </c>
      <c r="H19" s="34">
        <v>0</v>
      </c>
      <c r="I19" s="34" t="s">
        <v>37</v>
      </c>
      <c r="J19" s="34" t="s">
        <v>33</v>
      </c>
      <c r="K19" s="35">
        <f t="shared" si="12"/>
        <v>22.5</v>
      </c>
      <c r="L19" s="35">
        <f t="shared" si="13"/>
        <v>202.5</v>
      </c>
      <c r="M19" s="35">
        <f t="shared" si="14"/>
        <v>135</v>
      </c>
      <c r="N19" s="35">
        <f t="shared" si="15"/>
        <v>67.5</v>
      </c>
      <c r="O19" s="35">
        <f t="shared" si="16"/>
        <v>22.5</v>
      </c>
      <c r="P19" s="35">
        <f t="shared" si="17"/>
        <v>0</v>
      </c>
      <c r="Q19" s="35">
        <f t="shared" si="11"/>
        <v>450</v>
      </c>
      <c r="R19" s="35">
        <f t="shared" si="18"/>
        <v>360</v>
      </c>
      <c r="S19" s="35">
        <f t="shared" ref="S19:S28" si="19">($U$129-R19)^2</f>
        <v>54348.198129000004</v>
      </c>
      <c r="T19" s="35">
        <f t="shared" si="1"/>
        <v>90</v>
      </c>
    </row>
    <row r="20" spans="1:20" s="34" customFormat="1">
      <c r="A20" s="34" t="s">
        <v>56</v>
      </c>
      <c r="B20" s="34">
        <v>80</v>
      </c>
      <c r="C20" s="34">
        <v>10</v>
      </c>
      <c r="D20" s="34">
        <v>50</v>
      </c>
      <c r="E20" s="34">
        <v>15</v>
      </c>
      <c r="F20" s="34">
        <v>10</v>
      </c>
      <c r="G20" s="34">
        <v>15</v>
      </c>
      <c r="H20" s="34">
        <v>0</v>
      </c>
      <c r="I20" s="34" t="s">
        <v>37</v>
      </c>
      <c r="J20" s="34" t="s">
        <v>32</v>
      </c>
      <c r="K20" s="35">
        <f t="shared" si="12"/>
        <v>8</v>
      </c>
      <c r="L20" s="35">
        <f t="shared" si="13"/>
        <v>40</v>
      </c>
      <c r="M20" s="35">
        <f t="shared" si="14"/>
        <v>12</v>
      </c>
      <c r="N20" s="35">
        <f t="shared" si="15"/>
        <v>8</v>
      </c>
      <c r="O20" s="35">
        <f t="shared" si="16"/>
        <v>12</v>
      </c>
      <c r="P20" s="35">
        <f t="shared" si="17"/>
        <v>0</v>
      </c>
      <c r="Q20" s="35">
        <f t="shared" si="11"/>
        <v>80</v>
      </c>
      <c r="R20" s="35">
        <f t="shared" si="18"/>
        <v>60</v>
      </c>
      <c r="S20" s="35">
        <f t="shared" si="19"/>
        <v>4471.9981290000005</v>
      </c>
      <c r="T20" s="35">
        <f t="shared" si="1"/>
        <v>20</v>
      </c>
    </row>
    <row r="21" spans="1:20" s="34" customFormat="1">
      <c r="A21" s="34" t="s">
        <v>57</v>
      </c>
      <c r="B21" s="34">
        <v>366</v>
      </c>
      <c r="C21" s="34">
        <v>10</v>
      </c>
      <c r="D21" s="34">
        <v>43</v>
      </c>
      <c r="E21" s="34">
        <v>20</v>
      </c>
      <c r="F21" s="34">
        <v>20</v>
      </c>
      <c r="G21" s="34">
        <v>6</v>
      </c>
      <c r="H21" s="34">
        <v>1</v>
      </c>
      <c r="I21" s="34" t="s">
        <v>37</v>
      </c>
      <c r="J21" s="34" t="s">
        <v>32</v>
      </c>
      <c r="K21" s="35">
        <f t="shared" si="12"/>
        <v>36.6</v>
      </c>
      <c r="L21" s="35">
        <f t="shared" si="13"/>
        <v>157.38</v>
      </c>
      <c r="M21" s="35">
        <f t="shared" si="14"/>
        <v>73.2</v>
      </c>
      <c r="N21" s="35">
        <f t="shared" si="15"/>
        <v>73.2</v>
      </c>
      <c r="O21" s="35">
        <f t="shared" si="16"/>
        <v>21.96</v>
      </c>
      <c r="P21" s="35">
        <f t="shared" si="17"/>
        <v>3.66</v>
      </c>
      <c r="Q21" s="35">
        <f t="shared" si="11"/>
        <v>366</v>
      </c>
      <c r="R21" s="35">
        <f t="shared" si="18"/>
        <v>267.18</v>
      </c>
      <c r="S21" s="35">
        <f t="shared" si="19"/>
        <v>19686.054249000004</v>
      </c>
      <c r="T21" s="35">
        <f t="shared" si="1"/>
        <v>98.82</v>
      </c>
    </row>
    <row r="22" spans="1:20" s="34" customFormat="1" ht="16" customHeight="1">
      <c r="A22" s="34" t="s">
        <v>58</v>
      </c>
      <c r="B22" s="34">
        <v>200</v>
      </c>
      <c r="C22" s="34">
        <v>0</v>
      </c>
      <c r="D22" s="34">
        <v>60</v>
      </c>
      <c r="E22" s="34">
        <v>10</v>
      </c>
      <c r="F22" s="34">
        <v>25</v>
      </c>
      <c r="G22" s="34">
        <v>5</v>
      </c>
      <c r="H22" s="34">
        <v>0</v>
      </c>
      <c r="I22" s="34" t="s">
        <v>37</v>
      </c>
      <c r="J22" s="34" t="s">
        <v>32</v>
      </c>
      <c r="K22" s="35">
        <f t="shared" si="12"/>
        <v>0</v>
      </c>
      <c r="L22" s="35">
        <f t="shared" si="13"/>
        <v>120</v>
      </c>
      <c r="M22" s="35">
        <f t="shared" si="14"/>
        <v>20</v>
      </c>
      <c r="N22" s="35">
        <f t="shared" si="15"/>
        <v>50</v>
      </c>
      <c r="O22" s="35">
        <f t="shared" si="16"/>
        <v>10</v>
      </c>
      <c r="P22" s="35">
        <f t="shared" si="17"/>
        <v>0</v>
      </c>
      <c r="Q22" s="35">
        <f t="shared" si="11"/>
        <v>200</v>
      </c>
      <c r="R22" s="35">
        <f t="shared" si="18"/>
        <v>140</v>
      </c>
      <c r="S22" s="35">
        <f t="shared" si="19"/>
        <v>172.31812899999989</v>
      </c>
      <c r="T22" s="35">
        <f t="shared" si="1"/>
        <v>60</v>
      </c>
    </row>
    <row r="23" spans="1:20" s="34" customFormat="1">
      <c r="A23" s="34" t="s">
        <v>82</v>
      </c>
      <c r="B23" s="34">
        <v>30</v>
      </c>
      <c r="C23" s="34">
        <v>0</v>
      </c>
      <c r="D23" s="34">
        <v>100</v>
      </c>
      <c r="E23" s="34">
        <v>0</v>
      </c>
      <c r="F23" s="34">
        <v>0</v>
      </c>
      <c r="G23" s="34">
        <v>0</v>
      </c>
      <c r="H23" s="34">
        <v>0</v>
      </c>
      <c r="I23" s="34" t="s">
        <v>37</v>
      </c>
      <c r="J23" s="34" t="s">
        <v>32</v>
      </c>
      <c r="K23" s="35">
        <f t="shared" si="12"/>
        <v>0</v>
      </c>
      <c r="L23" s="35">
        <f t="shared" si="13"/>
        <v>30</v>
      </c>
      <c r="M23" s="35">
        <f t="shared" si="14"/>
        <v>0</v>
      </c>
      <c r="N23" s="35">
        <f t="shared" si="15"/>
        <v>0</v>
      </c>
      <c r="O23" s="35">
        <f t="shared" si="16"/>
        <v>0</v>
      </c>
      <c r="P23" s="35">
        <f t="shared" si="17"/>
        <v>0</v>
      </c>
      <c r="Q23" s="35">
        <f t="shared" si="11"/>
        <v>30</v>
      </c>
      <c r="R23" s="35">
        <f t="shared" si="18"/>
        <v>30</v>
      </c>
      <c r="S23" s="35">
        <f t="shared" si="19"/>
        <v>9384.3781290000006</v>
      </c>
      <c r="T23" s="35">
        <f t="shared" si="1"/>
        <v>0</v>
      </c>
    </row>
    <row r="24" spans="1:20" s="34" customFormat="1">
      <c r="A24" s="34" t="s">
        <v>106</v>
      </c>
      <c r="B24" s="34">
        <v>19</v>
      </c>
      <c r="C24" s="34">
        <v>0</v>
      </c>
      <c r="D24" s="34">
        <v>0</v>
      </c>
      <c r="E24" s="34">
        <v>15</v>
      </c>
      <c r="F24" s="34">
        <v>60</v>
      </c>
      <c r="G24" s="34">
        <v>20</v>
      </c>
      <c r="H24" s="34">
        <v>5</v>
      </c>
      <c r="I24" s="34" t="s">
        <v>37</v>
      </c>
      <c r="J24" s="34" t="s">
        <v>35</v>
      </c>
      <c r="K24" s="35">
        <f t="shared" si="12"/>
        <v>0</v>
      </c>
      <c r="L24" s="35">
        <f t="shared" si="13"/>
        <v>0</v>
      </c>
      <c r="M24" s="35">
        <f t="shared" si="14"/>
        <v>2.85</v>
      </c>
      <c r="N24" s="35">
        <f t="shared" si="15"/>
        <v>11.4</v>
      </c>
      <c r="O24" s="35">
        <f t="shared" si="16"/>
        <v>3.8</v>
      </c>
      <c r="P24" s="35">
        <f t="shared" si="17"/>
        <v>0.95</v>
      </c>
      <c r="Q24" s="35">
        <f t="shared" si="11"/>
        <v>19</v>
      </c>
      <c r="R24" s="35">
        <f t="shared" si="18"/>
        <v>2.85</v>
      </c>
      <c r="S24" s="35">
        <f t="shared" si="19"/>
        <v>15381.704529000002</v>
      </c>
      <c r="T24" s="35">
        <f t="shared" si="1"/>
        <v>16.149999999999999</v>
      </c>
    </row>
    <row r="25" spans="1:20" s="34" customFormat="1">
      <c r="A25" s="34" t="s">
        <v>107</v>
      </c>
      <c r="B25" s="34">
        <v>70</v>
      </c>
      <c r="C25" s="34">
        <v>5</v>
      </c>
      <c r="D25" s="34">
        <v>10</v>
      </c>
      <c r="E25" s="34">
        <v>25</v>
      </c>
      <c r="F25" s="34">
        <v>59</v>
      </c>
      <c r="G25" s="34">
        <v>1</v>
      </c>
      <c r="H25" s="34">
        <v>0</v>
      </c>
      <c r="I25" s="34" t="s">
        <v>37</v>
      </c>
      <c r="J25" s="34" t="s">
        <v>33</v>
      </c>
      <c r="K25" s="35">
        <f t="shared" si="12"/>
        <v>3.5</v>
      </c>
      <c r="L25" s="35">
        <f t="shared" si="13"/>
        <v>7</v>
      </c>
      <c r="M25" s="35">
        <f t="shared" si="14"/>
        <v>17.5</v>
      </c>
      <c r="N25" s="35">
        <f t="shared" si="15"/>
        <v>41.3</v>
      </c>
      <c r="O25" s="35">
        <f t="shared" si="16"/>
        <v>0.7</v>
      </c>
      <c r="P25" s="35">
        <f t="shared" si="17"/>
        <v>0</v>
      </c>
      <c r="Q25" s="35">
        <f t="shared" si="11"/>
        <v>70</v>
      </c>
      <c r="R25" s="35">
        <f t="shared" si="18"/>
        <v>28</v>
      </c>
      <c r="S25" s="35">
        <f t="shared" si="19"/>
        <v>9775.8701290000008</v>
      </c>
      <c r="T25" s="35">
        <f t="shared" si="1"/>
        <v>42</v>
      </c>
    </row>
    <row r="26" spans="1:20" s="34" customFormat="1">
      <c r="A26" s="34" t="s">
        <v>108</v>
      </c>
      <c r="B26" s="34">
        <v>160</v>
      </c>
      <c r="C26" s="34">
        <v>0</v>
      </c>
      <c r="D26" s="34">
        <v>42</v>
      </c>
      <c r="E26" s="34">
        <v>7</v>
      </c>
      <c r="F26" s="34">
        <v>18</v>
      </c>
      <c r="G26" s="34">
        <v>21</v>
      </c>
      <c r="H26" s="34">
        <v>12</v>
      </c>
      <c r="I26" s="34" t="s">
        <v>37</v>
      </c>
      <c r="J26" s="34" t="s">
        <v>35</v>
      </c>
      <c r="K26" s="35">
        <f t="shared" si="12"/>
        <v>0</v>
      </c>
      <c r="L26" s="35">
        <f t="shared" si="13"/>
        <v>67.2</v>
      </c>
      <c r="M26" s="35">
        <f t="shared" si="14"/>
        <v>11.200000000000001</v>
      </c>
      <c r="N26" s="35">
        <f t="shared" si="15"/>
        <v>28.8</v>
      </c>
      <c r="O26" s="35">
        <f t="shared" si="16"/>
        <v>33.6</v>
      </c>
      <c r="P26" s="35">
        <f t="shared" si="17"/>
        <v>19.200000000000003</v>
      </c>
      <c r="Q26" s="35">
        <f t="shared" si="11"/>
        <v>160</v>
      </c>
      <c r="R26" s="35">
        <f t="shared" si="18"/>
        <v>78.400000000000006</v>
      </c>
      <c r="S26" s="35">
        <f t="shared" si="19"/>
        <v>2349.6317289999997</v>
      </c>
      <c r="T26" s="35">
        <f t="shared" si="1"/>
        <v>81.600000000000009</v>
      </c>
    </row>
    <row r="27" spans="1:20" s="34" customFormat="1">
      <c r="A27" s="34" t="s">
        <v>109</v>
      </c>
      <c r="B27" s="34">
        <v>150</v>
      </c>
      <c r="C27" s="34">
        <v>5</v>
      </c>
      <c r="D27" s="34">
        <v>60</v>
      </c>
      <c r="E27" s="34">
        <v>20</v>
      </c>
      <c r="F27" s="34">
        <v>10</v>
      </c>
      <c r="G27" s="34">
        <v>5</v>
      </c>
      <c r="H27" s="34">
        <v>0</v>
      </c>
      <c r="I27" s="34" t="s">
        <v>37</v>
      </c>
      <c r="J27" s="34" t="s">
        <v>32</v>
      </c>
      <c r="K27" s="35">
        <f t="shared" si="12"/>
        <v>7.5</v>
      </c>
      <c r="L27" s="35">
        <f t="shared" si="13"/>
        <v>90</v>
      </c>
      <c r="M27" s="35">
        <f t="shared" si="14"/>
        <v>30</v>
      </c>
      <c r="N27" s="35">
        <f t="shared" si="15"/>
        <v>15</v>
      </c>
      <c r="O27" s="35">
        <f t="shared" si="16"/>
        <v>7.5</v>
      </c>
      <c r="P27" s="35">
        <f t="shared" si="17"/>
        <v>0</v>
      </c>
      <c r="Q27" s="35">
        <f t="shared" si="11"/>
        <v>150</v>
      </c>
      <c r="R27" s="35">
        <f t="shared" si="18"/>
        <v>127.5</v>
      </c>
      <c r="S27" s="35">
        <f t="shared" si="19"/>
        <v>0.39312899999999418</v>
      </c>
      <c r="T27" s="35">
        <f t="shared" si="1"/>
        <v>22.5</v>
      </c>
    </row>
    <row r="28" spans="1:20" s="34" customFormat="1">
      <c r="A28" s="34" t="s">
        <v>136</v>
      </c>
      <c r="B28" s="34">
        <v>230</v>
      </c>
      <c r="C28" s="34">
        <v>15</v>
      </c>
      <c r="D28" s="34">
        <v>38</v>
      </c>
      <c r="E28" s="34">
        <v>23</v>
      </c>
      <c r="F28" s="34">
        <v>14</v>
      </c>
      <c r="G28" s="34">
        <v>10</v>
      </c>
      <c r="H28" s="34">
        <v>0</v>
      </c>
      <c r="I28" s="34" t="s">
        <v>37</v>
      </c>
      <c r="J28" s="34" t="s">
        <v>32</v>
      </c>
      <c r="K28" s="35">
        <f t="shared" si="12"/>
        <v>34.5</v>
      </c>
      <c r="L28" s="35">
        <f t="shared" si="13"/>
        <v>87.399999999999991</v>
      </c>
      <c r="M28" s="35">
        <f t="shared" si="14"/>
        <v>52.9</v>
      </c>
      <c r="N28" s="35">
        <f t="shared" si="15"/>
        <v>32.199999999999996</v>
      </c>
      <c r="O28" s="35">
        <f t="shared" si="16"/>
        <v>23</v>
      </c>
      <c r="P28" s="35">
        <f t="shared" si="17"/>
        <v>0</v>
      </c>
      <c r="Q28" s="35">
        <f t="shared" si="11"/>
        <v>229.99999999999997</v>
      </c>
      <c r="R28" s="35">
        <f t="shared" si="18"/>
        <v>174.79999999999998</v>
      </c>
      <c r="S28" s="35">
        <f t="shared" si="19"/>
        <v>2296.997328999998</v>
      </c>
      <c r="T28" s="35">
        <f t="shared" si="1"/>
        <v>55.199999999999996</v>
      </c>
    </row>
    <row r="29" spans="1:20" s="36" customFormat="1">
      <c r="A29" s="36" t="s">
        <v>59</v>
      </c>
      <c r="B29" s="36">
        <v>121</v>
      </c>
      <c r="C29" s="36">
        <v>0</v>
      </c>
      <c r="D29" s="36">
        <v>33</v>
      </c>
      <c r="E29" s="36">
        <v>12</v>
      </c>
      <c r="F29" s="36">
        <v>29</v>
      </c>
      <c r="G29" s="36">
        <v>19</v>
      </c>
      <c r="H29" s="36">
        <v>7</v>
      </c>
      <c r="I29" s="36" t="s">
        <v>38</v>
      </c>
      <c r="J29" s="36" t="s">
        <v>35</v>
      </c>
      <c r="K29" s="37">
        <f t="shared" si="12"/>
        <v>0</v>
      </c>
      <c r="L29" s="37">
        <f t="shared" si="13"/>
        <v>39.93</v>
      </c>
      <c r="M29" s="37">
        <f t="shared" si="14"/>
        <v>14.52</v>
      </c>
      <c r="N29" s="37">
        <f t="shared" si="15"/>
        <v>35.089999999999996</v>
      </c>
      <c r="O29" s="37">
        <f t="shared" si="16"/>
        <v>22.99</v>
      </c>
      <c r="P29" s="37">
        <f t="shared" si="17"/>
        <v>8.4699999999999989</v>
      </c>
      <c r="Q29" s="37">
        <f t="shared" si="11"/>
        <v>120.99999999999999</v>
      </c>
      <c r="R29" s="37">
        <f t="shared" si="18"/>
        <v>54.45</v>
      </c>
      <c r="S29" s="37">
        <f t="shared" ref="S29:S75" si="20">($U$130-R29)^2</f>
        <v>452.06631066047959</v>
      </c>
      <c r="T29" s="37">
        <f t="shared" si="1"/>
        <v>66.55</v>
      </c>
    </row>
    <row r="30" spans="1:20" s="36" customFormat="1">
      <c r="A30" s="36" t="s">
        <v>60</v>
      </c>
      <c r="B30" s="36">
        <v>105</v>
      </c>
      <c r="C30" s="36">
        <v>0</v>
      </c>
      <c r="D30" s="36">
        <v>35</v>
      </c>
      <c r="E30" s="36">
        <v>10</v>
      </c>
      <c r="F30" s="36">
        <v>25</v>
      </c>
      <c r="G30" s="36">
        <v>25</v>
      </c>
      <c r="H30" s="36">
        <v>5</v>
      </c>
      <c r="I30" s="36" t="s">
        <v>38</v>
      </c>
      <c r="J30" s="36" t="s">
        <v>32</v>
      </c>
      <c r="K30" s="37">
        <f t="shared" ref="K30:K93" si="21">($B30/100)*C30</f>
        <v>0</v>
      </c>
      <c r="L30" s="37">
        <f t="shared" ref="L30:L93" si="22">($B30/100)*D30</f>
        <v>36.75</v>
      </c>
      <c r="M30" s="37">
        <f t="shared" ref="M30:M93" si="23">($B30/100)*E30</f>
        <v>10.5</v>
      </c>
      <c r="N30" s="37">
        <f t="shared" ref="N30:N93" si="24">($B30/100)*F30</f>
        <v>26.25</v>
      </c>
      <c r="O30" s="37">
        <f t="shared" ref="O30:O93" si="25">($B30/100)*G30</f>
        <v>26.25</v>
      </c>
      <c r="P30" s="37">
        <f t="shared" ref="P30:P93" si="26">($B30/100)*H30</f>
        <v>5.25</v>
      </c>
      <c r="Q30" s="37">
        <f t="shared" si="11"/>
        <v>105</v>
      </c>
      <c r="R30" s="37">
        <f t="shared" si="18"/>
        <v>47.25</v>
      </c>
      <c r="S30" s="37">
        <f t="shared" si="20"/>
        <v>810.07696597962854</v>
      </c>
      <c r="T30" s="37">
        <f t="shared" si="1"/>
        <v>57.75</v>
      </c>
    </row>
    <row r="31" spans="1:20" s="36" customFormat="1">
      <c r="A31" s="36" t="s">
        <v>61</v>
      </c>
      <c r="B31" s="36">
        <v>180</v>
      </c>
      <c r="C31" s="36">
        <v>0</v>
      </c>
      <c r="D31" s="36">
        <v>35</v>
      </c>
      <c r="E31" s="36">
        <v>10</v>
      </c>
      <c r="F31" s="36">
        <v>15</v>
      </c>
      <c r="G31" s="36">
        <v>20</v>
      </c>
      <c r="H31" s="36">
        <v>20</v>
      </c>
      <c r="I31" s="36" t="s">
        <v>38</v>
      </c>
      <c r="J31" s="36" t="s">
        <v>33</v>
      </c>
      <c r="K31" s="37">
        <f t="shared" si="21"/>
        <v>0</v>
      </c>
      <c r="L31" s="37">
        <f t="shared" si="22"/>
        <v>63</v>
      </c>
      <c r="M31" s="37">
        <f t="shared" si="23"/>
        <v>18</v>
      </c>
      <c r="N31" s="37">
        <f t="shared" si="24"/>
        <v>27</v>
      </c>
      <c r="O31" s="37">
        <f t="shared" si="25"/>
        <v>36</v>
      </c>
      <c r="P31" s="37">
        <f t="shared" si="26"/>
        <v>36</v>
      </c>
      <c r="Q31" s="37">
        <f t="shared" si="11"/>
        <v>180</v>
      </c>
      <c r="R31" s="37">
        <f t="shared" si="18"/>
        <v>81</v>
      </c>
      <c r="S31" s="37">
        <f t="shared" si="20"/>
        <v>27.964519171118194</v>
      </c>
      <c r="T31" s="37">
        <f t="shared" si="1"/>
        <v>99</v>
      </c>
    </row>
    <row r="32" spans="1:20" s="36" customFormat="1">
      <c r="A32" s="36" t="s">
        <v>62</v>
      </c>
      <c r="B32" s="36">
        <v>296</v>
      </c>
      <c r="C32" s="36">
        <v>5</v>
      </c>
      <c r="D32" s="36">
        <v>70</v>
      </c>
      <c r="E32" s="36">
        <v>20</v>
      </c>
      <c r="F32" s="36">
        <v>3</v>
      </c>
      <c r="G32" s="36">
        <v>1</v>
      </c>
      <c r="H32" s="36">
        <v>1</v>
      </c>
      <c r="I32" s="36" t="s">
        <v>38</v>
      </c>
      <c r="J32" s="36" t="s">
        <v>32</v>
      </c>
      <c r="K32" s="37">
        <f t="shared" si="21"/>
        <v>14.8</v>
      </c>
      <c r="L32" s="37">
        <f t="shared" si="22"/>
        <v>207.2</v>
      </c>
      <c r="M32" s="37">
        <f t="shared" si="23"/>
        <v>59.2</v>
      </c>
      <c r="N32" s="37">
        <f t="shared" si="24"/>
        <v>8.879999999999999</v>
      </c>
      <c r="O32" s="37">
        <f t="shared" si="25"/>
        <v>2.96</v>
      </c>
      <c r="P32" s="37">
        <f t="shared" si="26"/>
        <v>2.96</v>
      </c>
      <c r="Q32" s="37">
        <f t="shared" si="11"/>
        <v>295.99999999999994</v>
      </c>
      <c r="R32" s="37">
        <f t="shared" si="18"/>
        <v>281.2</v>
      </c>
      <c r="S32" s="37">
        <f t="shared" si="20"/>
        <v>42225.37935321367</v>
      </c>
      <c r="T32" s="37">
        <f t="shared" si="1"/>
        <v>14.8</v>
      </c>
    </row>
    <row r="33" spans="1:21" s="36" customFormat="1">
      <c r="A33" s="36" t="s">
        <v>63</v>
      </c>
      <c r="B33" s="36">
        <v>79</v>
      </c>
      <c r="C33" s="36">
        <v>4</v>
      </c>
      <c r="D33" s="36">
        <v>15</v>
      </c>
      <c r="E33" s="36">
        <v>15</v>
      </c>
      <c r="F33" s="36">
        <v>28</v>
      </c>
      <c r="G33" s="36">
        <v>22</v>
      </c>
      <c r="H33" s="36">
        <v>16</v>
      </c>
      <c r="I33" s="36" t="s">
        <v>38</v>
      </c>
      <c r="J33" s="36" t="s">
        <v>32</v>
      </c>
      <c r="K33" s="37">
        <f t="shared" si="21"/>
        <v>3.16</v>
      </c>
      <c r="L33" s="37">
        <f t="shared" si="22"/>
        <v>11.850000000000001</v>
      </c>
      <c r="M33" s="37">
        <f t="shared" si="23"/>
        <v>11.850000000000001</v>
      </c>
      <c r="N33" s="37">
        <f t="shared" si="24"/>
        <v>22.12</v>
      </c>
      <c r="O33" s="37">
        <f t="shared" si="25"/>
        <v>17.380000000000003</v>
      </c>
      <c r="P33" s="37">
        <f t="shared" si="26"/>
        <v>12.64</v>
      </c>
      <c r="Q33" s="37">
        <f t="shared" si="11"/>
        <v>79.000000000000014</v>
      </c>
      <c r="R33" s="37">
        <f t="shared" si="18"/>
        <v>26.860000000000003</v>
      </c>
      <c r="S33" s="37">
        <f t="shared" si="20"/>
        <v>2386.5033523626071</v>
      </c>
      <c r="T33" s="37">
        <f t="shared" si="1"/>
        <v>52.14</v>
      </c>
    </row>
    <row r="34" spans="1:21" s="36" customFormat="1">
      <c r="A34" s="36" t="s">
        <v>64</v>
      </c>
      <c r="B34" s="36">
        <v>250</v>
      </c>
      <c r="C34" s="36">
        <v>5</v>
      </c>
      <c r="D34" s="36">
        <v>65</v>
      </c>
      <c r="E34" s="36">
        <v>12</v>
      </c>
      <c r="F34" s="36">
        <v>8</v>
      </c>
      <c r="G34" s="36">
        <v>8</v>
      </c>
      <c r="H34" s="36">
        <v>2</v>
      </c>
      <c r="I34" s="36" t="s">
        <v>38</v>
      </c>
      <c r="J34" s="36" t="s">
        <v>32</v>
      </c>
      <c r="K34" s="37">
        <f t="shared" si="21"/>
        <v>12.5</v>
      </c>
      <c r="L34" s="37">
        <f t="shared" si="22"/>
        <v>162.5</v>
      </c>
      <c r="M34" s="37">
        <f t="shared" si="23"/>
        <v>30</v>
      </c>
      <c r="N34" s="37">
        <f t="shared" si="24"/>
        <v>20</v>
      </c>
      <c r="O34" s="37">
        <f t="shared" si="25"/>
        <v>20</v>
      </c>
      <c r="P34" s="37">
        <f t="shared" si="26"/>
        <v>5</v>
      </c>
      <c r="Q34" s="37">
        <f t="shared" si="11"/>
        <v>250</v>
      </c>
      <c r="R34" s="37">
        <f t="shared" si="18"/>
        <v>205</v>
      </c>
      <c r="S34" s="37">
        <f t="shared" si="20"/>
        <v>16715.42545534133</v>
      </c>
      <c r="T34" s="37">
        <f t="shared" si="1"/>
        <v>45</v>
      </c>
    </row>
    <row r="35" spans="1:21" s="36" customFormat="1">
      <c r="A35" s="36" t="s">
        <v>65</v>
      </c>
      <c r="B35" s="36">
        <v>148</v>
      </c>
      <c r="C35" s="36">
        <v>1</v>
      </c>
      <c r="D35" s="36">
        <v>53</v>
      </c>
      <c r="E35" s="36">
        <v>4</v>
      </c>
      <c r="F35" s="36">
        <v>22</v>
      </c>
      <c r="G35" s="36">
        <v>19</v>
      </c>
      <c r="H35" s="36">
        <v>1</v>
      </c>
      <c r="I35" s="36" t="s">
        <v>38</v>
      </c>
      <c r="J35" s="36" t="s">
        <v>33</v>
      </c>
      <c r="K35" s="37">
        <f t="shared" si="21"/>
        <v>1.48</v>
      </c>
      <c r="L35" s="37">
        <f t="shared" si="22"/>
        <v>78.44</v>
      </c>
      <c r="M35" s="37">
        <f t="shared" si="23"/>
        <v>5.92</v>
      </c>
      <c r="N35" s="37">
        <f t="shared" si="24"/>
        <v>32.56</v>
      </c>
      <c r="O35" s="37">
        <f t="shared" si="25"/>
        <v>28.12</v>
      </c>
      <c r="P35" s="37">
        <f t="shared" si="26"/>
        <v>1.48</v>
      </c>
      <c r="Q35" s="37">
        <f t="shared" si="11"/>
        <v>148</v>
      </c>
      <c r="R35" s="37">
        <f t="shared" si="18"/>
        <v>85.84</v>
      </c>
      <c r="S35" s="37">
        <f t="shared" si="20"/>
        <v>102.57940087324596</v>
      </c>
      <c r="T35" s="37">
        <f t="shared" si="1"/>
        <v>62.160000000000004</v>
      </c>
    </row>
    <row r="36" spans="1:21" s="36" customFormat="1">
      <c r="A36" s="36" t="s">
        <v>66</v>
      </c>
      <c r="B36" s="36">
        <v>47</v>
      </c>
      <c r="C36" s="36">
        <v>0</v>
      </c>
      <c r="D36" s="36">
        <v>0</v>
      </c>
      <c r="E36" s="36">
        <v>0</v>
      </c>
      <c r="F36" s="36">
        <v>10</v>
      </c>
      <c r="G36" s="36">
        <v>80</v>
      </c>
      <c r="H36" s="36">
        <v>10</v>
      </c>
      <c r="I36" s="36" t="s">
        <v>38</v>
      </c>
      <c r="J36" s="36" t="s">
        <v>35</v>
      </c>
      <c r="K36" s="37">
        <f t="shared" si="21"/>
        <v>0</v>
      </c>
      <c r="L36" s="37">
        <f t="shared" si="22"/>
        <v>0</v>
      </c>
      <c r="M36" s="37">
        <f t="shared" si="23"/>
        <v>0</v>
      </c>
      <c r="N36" s="37">
        <f t="shared" si="24"/>
        <v>4.6999999999999993</v>
      </c>
      <c r="O36" s="37">
        <f t="shared" si="25"/>
        <v>37.599999999999994</v>
      </c>
      <c r="P36" s="37">
        <f t="shared" si="26"/>
        <v>4.6999999999999993</v>
      </c>
      <c r="Q36" s="37">
        <f t="shared" si="11"/>
        <v>47</v>
      </c>
      <c r="R36" s="37">
        <f t="shared" si="18"/>
        <v>0</v>
      </c>
      <c r="S36" s="37">
        <f t="shared" si="20"/>
        <v>5732.2843915115427</v>
      </c>
      <c r="T36" s="37">
        <f t="shared" si="1"/>
        <v>47</v>
      </c>
    </row>
    <row r="37" spans="1:21" s="36" customFormat="1">
      <c r="A37" s="36" t="s">
        <v>67</v>
      </c>
      <c r="B37" s="36">
        <v>351</v>
      </c>
      <c r="C37" s="36">
        <v>20</v>
      </c>
      <c r="D37" s="36">
        <v>18</v>
      </c>
      <c r="E37" s="36">
        <v>12</v>
      </c>
      <c r="F37" s="36">
        <v>25</v>
      </c>
      <c r="G37" s="36">
        <v>15</v>
      </c>
      <c r="H37" s="36">
        <v>10</v>
      </c>
      <c r="I37" s="36" t="s">
        <v>38</v>
      </c>
      <c r="J37" s="36" t="s">
        <v>35</v>
      </c>
      <c r="K37" s="37">
        <f t="shared" si="21"/>
        <v>70.199999999999989</v>
      </c>
      <c r="L37" s="37">
        <f t="shared" si="22"/>
        <v>63.179999999999993</v>
      </c>
      <c r="M37" s="37">
        <f t="shared" si="23"/>
        <v>42.12</v>
      </c>
      <c r="N37" s="37">
        <f t="shared" si="24"/>
        <v>87.75</v>
      </c>
      <c r="O37" s="37">
        <f t="shared" si="25"/>
        <v>52.65</v>
      </c>
      <c r="P37" s="37">
        <f t="shared" si="26"/>
        <v>35.099999999999994</v>
      </c>
      <c r="Q37" s="37">
        <f t="shared" si="11"/>
        <v>351</v>
      </c>
      <c r="R37" s="37">
        <f t="shared" si="18"/>
        <v>175.5</v>
      </c>
      <c r="S37" s="37">
        <f t="shared" si="20"/>
        <v>9957.6746681072891</v>
      </c>
      <c r="T37" s="37">
        <f t="shared" si="1"/>
        <v>175.5</v>
      </c>
    </row>
    <row r="38" spans="1:21" s="36" customFormat="1">
      <c r="A38" s="36" t="s">
        <v>68</v>
      </c>
      <c r="B38" s="36">
        <v>175</v>
      </c>
      <c r="C38" s="36">
        <v>5</v>
      </c>
      <c r="D38" s="36">
        <v>25</v>
      </c>
      <c r="E38" s="36">
        <v>25</v>
      </c>
      <c r="F38" s="36">
        <v>30</v>
      </c>
      <c r="G38" s="36">
        <v>10</v>
      </c>
      <c r="H38" s="36">
        <v>5</v>
      </c>
      <c r="I38" s="36" t="s">
        <v>38</v>
      </c>
      <c r="J38" s="36" t="s">
        <v>32</v>
      </c>
      <c r="K38" s="37">
        <f t="shared" si="21"/>
        <v>8.75</v>
      </c>
      <c r="L38" s="37">
        <f t="shared" si="22"/>
        <v>43.75</v>
      </c>
      <c r="M38" s="37">
        <f t="shared" si="23"/>
        <v>43.75</v>
      </c>
      <c r="N38" s="37">
        <f t="shared" si="24"/>
        <v>52.5</v>
      </c>
      <c r="O38" s="37">
        <f t="shared" si="25"/>
        <v>17.5</v>
      </c>
      <c r="P38" s="37">
        <f t="shared" si="26"/>
        <v>8.75</v>
      </c>
      <c r="Q38" s="37">
        <f t="shared" si="11"/>
        <v>175</v>
      </c>
      <c r="R38" s="37">
        <f t="shared" si="18"/>
        <v>96.25</v>
      </c>
      <c r="S38" s="37">
        <f t="shared" si="20"/>
        <v>421.81556172430982</v>
      </c>
      <c r="T38" s="37">
        <f t="shared" si="1"/>
        <v>78.75</v>
      </c>
    </row>
    <row r="39" spans="1:21" s="36" customFormat="1">
      <c r="A39" s="36" t="s">
        <v>69</v>
      </c>
      <c r="B39" s="36">
        <v>190</v>
      </c>
      <c r="C39" s="36">
        <v>0</v>
      </c>
      <c r="D39" s="36">
        <v>40</v>
      </c>
      <c r="E39" s="36">
        <v>10</v>
      </c>
      <c r="F39" s="36">
        <v>25</v>
      </c>
      <c r="G39" s="36">
        <v>20</v>
      </c>
      <c r="H39" s="36">
        <v>5</v>
      </c>
      <c r="I39" s="36" t="s">
        <v>38</v>
      </c>
      <c r="J39" s="36" t="s">
        <v>35</v>
      </c>
      <c r="K39" s="37">
        <f t="shared" si="21"/>
        <v>0</v>
      </c>
      <c r="L39" s="37">
        <f t="shared" si="22"/>
        <v>76</v>
      </c>
      <c r="M39" s="37">
        <f t="shared" si="23"/>
        <v>19</v>
      </c>
      <c r="N39" s="37">
        <f t="shared" si="24"/>
        <v>47.5</v>
      </c>
      <c r="O39" s="37">
        <f t="shared" si="25"/>
        <v>38</v>
      </c>
      <c r="P39" s="37">
        <f t="shared" si="26"/>
        <v>9.5</v>
      </c>
      <c r="Q39" s="37">
        <f t="shared" si="11"/>
        <v>190</v>
      </c>
      <c r="R39" s="37">
        <f t="shared" si="18"/>
        <v>95</v>
      </c>
      <c r="S39" s="37">
        <f t="shared" si="20"/>
        <v>372.03268938388425</v>
      </c>
      <c r="T39" s="37">
        <f t="shared" si="1"/>
        <v>95</v>
      </c>
    </row>
    <row r="40" spans="1:21" s="36" customFormat="1">
      <c r="A40" s="36" t="s">
        <v>70</v>
      </c>
      <c r="B40" s="36">
        <v>169</v>
      </c>
      <c r="C40" s="36">
        <v>5</v>
      </c>
      <c r="D40" s="36">
        <v>10</v>
      </c>
      <c r="E40" s="36">
        <v>10</v>
      </c>
      <c r="F40" s="36">
        <v>15</v>
      </c>
      <c r="G40" s="36">
        <v>45</v>
      </c>
      <c r="H40" s="36">
        <v>15</v>
      </c>
      <c r="I40" s="36" t="s">
        <v>38</v>
      </c>
      <c r="J40" s="36" t="s">
        <v>32</v>
      </c>
      <c r="K40" s="37">
        <f t="shared" si="21"/>
        <v>8.4499999999999993</v>
      </c>
      <c r="L40" s="37">
        <f t="shared" si="22"/>
        <v>16.899999999999999</v>
      </c>
      <c r="M40" s="37">
        <f t="shared" si="23"/>
        <v>16.899999999999999</v>
      </c>
      <c r="N40" s="37">
        <f t="shared" si="24"/>
        <v>25.349999999999998</v>
      </c>
      <c r="O40" s="37">
        <f t="shared" si="25"/>
        <v>76.05</v>
      </c>
      <c r="P40" s="37">
        <f t="shared" si="26"/>
        <v>25.349999999999998</v>
      </c>
      <c r="Q40" s="37">
        <f t="shared" si="11"/>
        <v>168.99999999999997</v>
      </c>
      <c r="R40" s="37">
        <f t="shared" si="18"/>
        <v>42.25</v>
      </c>
      <c r="S40" s="37">
        <f t="shared" si="20"/>
        <v>1119.6954766179265</v>
      </c>
      <c r="T40" s="37">
        <f t="shared" si="1"/>
        <v>126.74999999999999</v>
      </c>
      <c r="U40" s="37"/>
    </row>
    <row r="41" spans="1:21" s="36" customFormat="1">
      <c r="A41" s="36" t="s">
        <v>71</v>
      </c>
      <c r="B41" s="36">
        <v>180</v>
      </c>
      <c r="C41" s="36">
        <v>20</v>
      </c>
      <c r="D41" s="36">
        <v>20</v>
      </c>
      <c r="E41" s="36">
        <v>20</v>
      </c>
      <c r="F41" s="36">
        <v>30</v>
      </c>
      <c r="G41" s="36">
        <v>9</v>
      </c>
      <c r="H41" s="36">
        <v>1</v>
      </c>
      <c r="I41" s="36" t="s">
        <v>38</v>
      </c>
      <c r="J41" s="36" t="s">
        <v>32</v>
      </c>
      <c r="K41" s="37">
        <f t="shared" si="21"/>
        <v>36</v>
      </c>
      <c r="L41" s="37">
        <f t="shared" si="22"/>
        <v>36</v>
      </c>
      <c r="M41" s="37">
        <f t="shared" si="23"/>
        <v>36</v>
      </c>
      <c r="N41" s="37">
        <f t="shared" si="24"/>
        <v>54</v>
      </c>
      <c r="O41" s="37">
        <f t="shared" si="25"/>
        <v>16.2</v>
      </c>
      <c r="P41" s="37">
        <f t="shared" si="26"/>
        <v>1.8</v>
      </c>
      <c r="Q41" s="37">
        <f t="shared" si="11"/>
        <v>180</v>
      </c>
      <c r="R41" s="37">
        <f t="shared" si="18"/>
        <v>108</v>
      </c>
      <c r="S41" s="37">
        <f t="shared" si="20"/>
        <v>1042.5245617243099</v>
      </c>
      <c r="T41" s="37">
        <f t="shared" si="1"/>
        <v>72</v>
      </c>
      <c r="U41" s="37"/>
    </row>
    <row r="42" spans="1:21" s="36" customFormat="1">
      <c r="A42" s="36" t="s">
        <v>72</v>
      </c>
      <c r="B42" s="36">
        <v>225</v>
      </c>
      <c r="C42" s="36">
        <v>10</v>
      </c>
      <c r="D42" s="36">
        <v>55</v>
      </c>
      <c r="E42" s="36">
        <v>15</v>
      </c>
      <c r="F42" s="36">
        <v>15</v>
      </c>
      <c r="G42" s="36">
        <v>5</v>
      </c>
      <c r="H42" s="36">
        <v>0</v>
      </c>
      <c r="I42" s="36" t="s">
        <v>38</v>
      </c>
      <c r="J42" s="36" t="s">
        <v>32</v>
      </c>
      <c r="K42" s="37">
        <f t="shared" si="21"/>
        <v>22.5</v>
      </c>
      <c r="L42" s="37">
        <f t="shared" si="22"/>
        <v>123.75</v>
      </c>
      <c r="M42" s="37">
        <f t="shared" si="23"/>
        <v>33.75</v>
      </c>
      <c r="N42" s="37">
        <f t="shared" si="24"/>
        <v>33.75</v>
      </c>
      <c r="O42" s="37">
        <f t="shared" si="25"/>
        <v>11.25</v>
      </c>
      <c r="P42" s="37">
        <f t="shared" si="26"/>
        <v>0</v>
      </c>
      <c r="Q42" s="37">
        <f t="shared" si="11"/>
        <v>225</v>
      </c>
      <c r="R42" s="37">
        <f t="shared" si="18"/>
        <v>180</v>
      </c>
      <c r="S42" s="37">
        <f t="shared" si="20"/>
        <v>10876.018008532821</v>
      </c>
      <c r="T42" s="37">
        <f>N42+O42+P42</f>
        <v>45</v>
      </c>
      <c r="U42" s="37"/>
    </row>
    <row r="43" spans="1:21" s="36" customFormat="1">
      <c r="A43" s="36" t="s">
        <v>73</v>
      </c>
      <c r="B43" s="36">
        <v>285</v>
      </c>
      <c r="C43" s="36">
        <v>11</v>
      </c>
      <c r="D43" s="36">
        <v>41</v>
      </c>
      <c r="E43" s="36">
        <v>16</v>
      </c>
      <c r="F43" s="36">
        <v>10</v>
      </c>
      <c r="G43" s="36">
        <v>18</v>
      </c>
      <c r="H43" s="36">
        <v>4</v>
      </c>
      <c r="I43" s="36" t="s">
        <v>38</v>
      </c>
      <c r="J43" s="36" t="s">
        <v>32</v>
      </c>
      <c r="K43" s="37">
        <f t="shared" si="21"/>
        <v>31.35</v>
      </c>
      <c r="L43" s="37">
        <f t="shared" si="22"/>
        <v>116.85000000000001</v>
      </c>
      <c r="M43" s="37">
        <f t="shared" si="23"/>
        <v>45.6</v>
      </c>
      <c r="N43" s="37">
        <f t="shared" si="24"/>
        <v>28.5</v>
      </c>
      <c r="O43" s="37">
        <f t="shared" si="25"/>
        <v>51.300000000000004</v>
      </c>
      <c r="P43" s="37">
        <f t="shared" si="26"/>
        <v>11.4</v>
      </c>
      <c r="Q43" s="37">
        <f t="shared" si="11"/>
        <v>285</v>
      </c>
      <c r="R43" s="37">
        <f t="shared" si="18"/>
        <v>193.8</v>
      </c>
      <c r="S43" s="37">
        <f t="shared" si="20"/>
        <v>13944.810919171121</v>
      </c>
      <c r="T43" s="37">
        <f t="shared" ref="T43:T95" si="27">N43+O43+P43</f>
        <v>91.200000000000017</v>
      </c>
      <c r="U43" s="37"/>
    </row>
    <row r="44" spans="1:21" s="36" customFormat="1">
      <c r="A44" s="36" t="s">
        <v>74</v>
      </c>
      <c r="B44" s="36">
        <v>100</v>
      </c>
      <c r="C44" s="36">
        <v>5</v>
      </c>
      <c r="D44" s="36">
        <v>6</v>
      </c>
      <c r="E44" s="36">
        <v>9</v>
      </c>
      <c r="F44" s="36">
        <v>15</v>
      </c>
      <c r="G44" s="36">
        <v>30</v>
      </c>
      <c r="H44" s="36">
        <v>35</v>
      </c>
      <c r="I44" s="36" t="s">
        <v>38</v>
      </c>
      <c r="J44" s="36" t="s">
        <v>35</v>
      </c>
      <c r="K44" s="37">
        <f t="shared" si="21"/>
        <v>5</v>
      </c>
      <c r="L44" s="37">
        <f t="shared" si="22"/>
        <v>6</v>
      </c>
      <c r="M44" s="37">
        <f t="shared" si="23"/>
        <v>9</v>
      </c>
      <c r="N44" s="37">
        <f t="shared" si="24"/>
        <v>15</v>
      </c>
      <c r="O44" s="37">
        <f t="shared" si="25"/>
        <v>30</v>
      </c>
      <c r="P44" s="37">
        <f t="shared" si="26"/>
        <v>35</v>
      </c>
      <c r="Q44" s="37">
        <f t="shared" si="11"/>
        <v>100</v>
      </c>
      <c r="R44" s="37">
        <f t="shared" si="18"/>
        <v>20</v>
      </c>
      <c r="S44" s="37">
        <f t="shared" si="20"/>
        <v>3103.8103489583518</v>
      </c>
      <c r="T44" s="37">
        <f t="shared" si="27"/>
        <v>80</v>
      </c>
      <c r="U44" s="37"/>
    </row>
    <row r="45" spans="1:21" s="36" customFormat="1">
      <c r="A45" s="36" t="s">
        <v>83</v>
      </c>
      <c r="B45" s="36">
        <v>180</v>
      </c>
      <c r="C45" s="36">
        <v>10</v>
      </c>
      <c r="D45" s="36">
        <v>25</v>
      </c>
      <c r="E45" s="36">
        <v>10</v>
      </c>
      <c r="F45" s="36">
        <v>30</v>
      </c>
      <c r="G45" s="36">
        <v>15</v>
      </c>
      <c r="H45" s="36">
        <v>10</v>
      </c>
      <c r="I45" s="36" t="s">
        <v>38</v>
      </c>
      <c r="J45" s="36" t="s">
        <v>32</v>
      </c>
      <c r="K45" s="37">
        <f t="shared" si="21"/>
        <v>18</v>
      </c>
      <c r="L45" s="37">
        <f t="shared" si="22"/>
        <v>45</v>
      </c>
      <c r="M45" s="37">
        <f t="shared" si="23"/>
        <v>18</v>
      </c>
      <c r="N45" s="37">
        <f t="shared" si="24"/>
        <v>54</v>
      </c>
      <c r="O45" s="37">
        <f t="shared" si="25"/>
        <v>27</v>
      </c>
      <c r="P45" s="37">
        <f t="shared" si="26"/>
        <v>18</v>
      </c>
      <c r="Q45" s="37">
        <f t="shared" si="11"/>
        <v>180</v>
      </c>
      <c r="R45" s="37">
        <f t="shared" si="18"/>
        <v>81</v>
      </c>
      <c r="S45" s="37">
        <f t="shared" si="20"/>
        <v>27.964519171118194</v>
      </c>
      <c r="T45" s="37">
        <f t="shared" si="27"/>
        <v>99</v>
      </c>
      <c r="U45" s="37"/>
    </row>
    <row r="46" spans="1:21" s="36" customFormat="1">
      <c r="A46" s="36" t="s">
        <v>84</v>
      </c>
      <c r="B46" s="36">
        <v>90</v>
      </c>
      <c r="C46" s="36">
        <v>0</v>
      </c>
      <c r="D46" s="36">
        <v>30</v>
      </c>
      <c r="E46" s="36">
        <v>10</v>
      </c>
      <c r="F46" s="36">
        <v>30</v>
      </c>
      <c r="G46" s="36">
        <v>25</v>
      </c>
      <c r="H46" s="36">
        <v>5</v>
      </c>
      <c r="I46" s="36" t="s">
        <v>38</v>
      </c>
      <c r="J46" s="36" t="s">
        <v>33</v>
      </c>
      <c r="K46" s="37">
        <f t="shared" si="21"/>
        <v>0</v>
      </c>
      <c r="L46" s="37">
        <f t="shared" si="22"/>
        <v>27</v>
      </c>
      <c r="M46" s="37">
        <f t="shared" si="23"/>
        <v>9</v>
      </c>
      <c r="N46" s="37">
        <f t="shared" si="24"/>
        <v>27</v>
      </c>
      <c r="O46" s="37">
        <f t="shared" si="25"/>
        <v>22.5</v>
      </c>
      <c r="P46" s="37">
        <f t="shared" si="26"/>
        <v>4.5</v>
      </c>
      <c r="Q46" s="37">
        <f t="shared" si="11"/>
        <v>90</v>
      </c>
      <c r="R46" s="37">
        <f t="shared" si="18"/>
        <v>36</v>
      </c>
      <c r="S46" s="37">
        <f t="shared" si="20"/>
        <v>1577.0311149157988</v>
      </c>
      <c r="T46" s="37">
        <f t="shared" si="27"/>
        <v>54</v>
      </c>
      <c r="U46" s="37"/>
    </row>
    <row r="47" spans="1:21" s="36" customFormat="1">
      <c r="A47" s="36" t="s">
        <v>85</v>
      </c>
      <c r="B47" s="36">
        <v>80</v>
      </c>
      <c r="C47" s="36">
        <v>9</v>
      </c>
      <c r="D47" s="36">
        <v>21</v>
      </c>
      <c r="E47" s="36">
        <v>20</v>
      </c>
      <c r="F47" s="36">
        <v>15</v>
      </c>
      <c r="G47" s="36">
        <v>25</v>
      </c>
      <c r="H47" s="36">
        <v>10</v>
      </c>
      <c r="I47" s="36" t="s">
        <v>38</v>
      </c>
      <c r="J47" s="36" t="s">
        <v>35</v>
      </c>
      <c r="K47" s="37">
        <f t="shared" si="21"/>
        <v>7.2</v>
      </c>
      <c r="L47" s="37">
        <f t="shared" si="22"/>
        <v>16.8</v>
      </c>
      <c r="M47" s="37">
        <f t="shared" si="23"/>
        <v>16</v>
      </c>
      <c r="N47" s="37">
        <f t="shared" si="24"/>
        <v>12</v>
      </c>
      <c r="O47" s="37">
        <f t="shared" si="25"/>
        <v>20</v>
      </c>
      <c r="P47" s="37">
        <f t="shared" si="26"/>
        <v>8</v>
      </c>
      <c r="Q47" s="37">
        <f t="shared" si="11"/>
        <v>80</v>
      </c>
      <c r="R47" s="37">
        <f t="shared" si="18"/>
        <v>40</v>
      </c>
      <c r="S47" s="37">
        <f t="shared" si="20"/>
        <v>1275.3363064051605</v>
      </c>
      <c r="T47" s="37">
        <f t="shared" si="27"/>
        <v>40</v>
      </c>
    </row>
    <row r="48" spans="1:21" s="36" customFormat="1">
      <c r="A48" s="36" t="s">
        <v>86</v>
      </c>
      <c r="B48" s="36">
        <v>50</v>
      </c>
      <c r="C48" s="36">
        <v>0</v>
      </c>
      <c r="D48" s="36">
        <v>23</v>
      </c>
      <c r="E48" s="36">
        <v>2</v>
      </c>
      <c r="F48" s="36">
        <v>34</v>
      </c>
      <c r="G48" s="36">
        <v>28</v>
      </c>
      <c r="H48" s="36">
        <v>13</v>
      </c>
      <c r="I48" s="36" t="s">
        <v>38</v>
      </c>
      <c r="J48" s="36" t="s">
        <v>33</v>
      </c>
      <c r="K48" s="37">
        <f t="shared" si="21"/>
        <v>0</v>
      </c>
      <c r="L48" s="37">
        <f t="shared" si="22"/>
        <v>11.5</v>
      </c>
      <c r="M48" s="37">
        <f t="shared" si="23"/>
        <v>1</v>
      </c>
      <c r="N48" s="37">
        <f t="shared" si="24"/>
        <v>17</v>
      </c>
      <c r="O48" s="37">
        <f t="shared" si="25"/>
        <v>14</v>
      </c>
      <c r="P48" s="37">
        <f t="shared" si="26"/>
        <v>6.5</v>
      </c>
      <c r="Q48" s="37">
        <f t="shared" si="11"/>
        <v>50</v>
      </c>
      <c r="R48" s="37">
        <f t="shared" si="18"/>
        <v>12.5</v>
      </c>
      <c r="S48" s="37">
        <f t="shared" si="20"/>
        <v>3995.7381149157986</v>
      </c>
      <c r="T48" s="37">
        <f t="shared" si="27"/>
        <v>37.5</v>
      </c>
    </row>
    <row r="49" spans="1:20" s="36" customFormat="1">
      <c r="A49" s="36" t="s">
        <v>91</v>
      </c>
      <c r="B49" s="36">
        <v>70</v>
      </c>
      <c r="C49" s="36">
        <v>0</v>
      </c>
      <c r="D49" s="36">
        <v>15</v>
      </c>
      <c r="E49" s="36">
        <v>10</v>
      </c>
      <c r="F49" s="36">
        <v>30</v>
      </c>
      <c r="G49" s="36">
        <v>35</v>
      </c>
      <c r="H49" s="36">
        <v>10</v>
      </c>
      <c r="I49" s="36" t="s">
        <v>38</v>
      </c>
      <c r="J49" s="36" t="s">
        <v>35</v>
      </c>
      <c r="K49" s="37">
        <f t="shared" si="21"/>
        <v>0</v>
      </c>
      <c r="L49" s="37">
        <f t="shared" si="22"/>
        <v>10.5</v>
      </c>
      <c r="M49" s="37">
        <f t="shared" si="23"/>
        <v>7</v>
      </c>
      <c r="N49" s="37">
        <f t="shared" si="24"/>
        <v>21</v>
      </c>
      <c r="O49" s="37">
        <f t="shared" si="25"/>
        <v>24.5</v>
      </c>
      <c r="P49" s="37">
        <f t="shared" si="26"/>
        <v>7</v>
      </c>
      <c r="Q49" s="37">
        <f t="shared" si="11"/>
        <v>70</v>
      </c>
      <c r="R49" s="37">
        <f t="shared" si="18"/>
        <v>17.5</v>
      </c>
      <c r="S49" s="37">
        <f t="shared" si="20"/>
        <v>3388.6196042775009</v>
      </c>
      <c r="T49" s="37">
        <f t="shared" si="27"/>
        <v>52.5</v>
      </c>
    </row>
    <row r="50" spans="1:20" s="36" customFormat="1">
      <c r="A50" s="36" t="s">
        <v>95</v>
      </c>
      <c r="B50" s="36">
        <v>255</v>
      </c>
      <c r="C50" s="36">
        <v>10</v>
      </c>
      <c r="D50" s="36">
        <v>50</v>
      </c>
      <c r="E50" s="36">
        <v>0</v>
      </c>
      <c r="F50" s="36">
        <v>20</v>
      </c>
      <c r="G50" s="36">
        <v>15</v>
      </c>
      <c r="H50" s="36">
        <v>5</v>
      </c>
      <c r="I50" s="36" t="s">
        <v>38</v>
      </c>
      <c r="J50" s="36" t="s">
        <v>35</v>
      </c>
      <c r="K50" s="37">
        <f t="shared" si="21"/>
        <v>25.5</v>
      </c>
      <c r="L50" s="37">
        <f t="shared" si="22"/>
        <v>127.49999999999999</v>
      </c>
      <c r="M50" s="37">
        <f t="shared" si="23"/>
        <v>0</v>
      </c>
      <c r="N50" s="37">
        <f t="shared" si="24"/>
        <v>51</v>
      </c>
      <c r="O50" s="37">
        <f t="shared" si="25"/>
        <v>38.25</v>
      </c>
      <c r="P50" s="37">
        <f t="shared" si="26"/>
        <v>12.75</v>
      </c>
      <c r="Q50" s="37">
        <f t="shared" si="11"/>
        <v>255</v>
      </c>
      <c r="R50" s="37">
        <f t="shared" ref="R50:R81" si="28">SUM(K50:M50)</f>
        <v>153</v>
      </c>
      <c r="S50" s="37">
        <f t="shared" si="20"/>
        <v>5973.4579659796291</v>
      </c>
      <c r="T50" s="37">
        <f t="shared" si="27"/>
        <v>102</v>
      </c>
    </row>
    <row r="51" spans="1:20" s="36" customFormat="1">
      <c r="A51" s="36" t="s">
        <v>110</v>
      </c>
      <c r="B51" s="36">
        <v>230</v>
      </c>
      <c r="C51" s="36">
        <v>5</v>
      </c>
      <c r="D51" s="36">
        <v>35</v>
      </c>
      <c r="E51" s="36">
        <v>10</v>
      </c>
      <c r="F51" s="36">
        <v>15</v>
      </c>
      <c r="G51" s="36">
        <v>25</v>
      </c>
      <c r="H51" s="36">
        <v>10</v>
      </c>
      <c r="I51" s="36" t="s">
        <v>38</v>
      </c>
      <c r="J51" s="36" t="s">
        <v>32</v>
      </c>
      <c r="K51" s="37">
        <f t="shared" si="21"/>
        <v>11.5</v>
      </c>
      <c r="L51" s="37">
        <f t="shared" si="22"/>
        <v>80.5</v>
      </c>
      <c r="M51" s="37">
        <f t="shared" si="23"/>
        <v>23</v>
      </c>
      <c r="N51" s="37">
        <f t="shared" si="24"/>
        <v>34.5</v>
      </c>
      <c r="O51" s="37">
        <f t="shared" si="25"/>
        <v>57.499999999999993</v>
      </c>
      <c r="P51" s="37">
        <f t="shared" si="26"/>
        <v>23</v>
      </c>
      <c r="Q51" s="37">
        <f t="shared" si="11"/>
        <v>230</v>
      </c>
      <c r="R51" s="37">
        <f t="shared" si="28"/>
        <v>115</v>
      </c>
      <c r="S51" s="37">
        <f t="shared" si="20"/>
        <v>1543.5586468306929</v>
      </c>
      <c r="T51" s="37">
        <f t="shared" si="27"/>
        <v>115</v>
      </c>
    </row>
    <row r="52" spans="1:20" s="36" customFormat="1">
      <c r="A52" s="36" t="s">
        <v>111</v>
      </c>
      <c r="B52" s="36">
        <v>420</v>
      </c>
      <c r="C52" s="36">
        <v>0</v>
      </c>
      <c r="D52" s="36">
        <v>15</v>
      </c>
      <c r="E52" s="36">
        <v>20</v>
      </c>
      <c r="F52" s="36">
        <v>25</v>
      </c>
      <c r="G52" s="36">
        <v>30</v>
      </c>
      <c r="H52" s="36">
        <v>10</v>
      </c>
      <c r="I52" s="36" t="s">
        <v>38</v>
      </c>
      <c r="J52" s="36" t="s">
        <v>35</v>
      </c>
      <c r="K52" s="37">
        <f t="shared" si="21"/>
        <v>0</v>
      </c>
      <c r="L52" s="37">
        <f t="shared" si="22"/>
        <v>63</v>
      </c>
      <c r="M52" s="37">
        <f t="shared" si="23"/>
        <v>84</v>
      </c>
      <c r="N52" s="37">
        <f t="shared" si="24"/>
        <v>105</v>
      </c>
      <c r="O52" s="37">
        <f t="shared" si="25"/>
        <v>126</v>
      </c>
      <c r="P52" s="37">
        <f t="shared" si="26"/>
        <v>42</v>
      </c>
      <c r="Q52" s="37">
        <f t="shared" si="11"/>
        <v>420</v>
      </c>
      <c r="R52" s="37">
        <f t="shared" si="28"/>
        <v>147</v>
      </c>
      <c r="S52" s="37">
        <f t="shared" si="20"/>
        <v>5082.0001787455867</v>
      </c>
      <c r="T52" s="37">
        <f t="shared" si="27"/>
        <v>273</v>
      </c>
    </row>
    <row r="53" spans="1:20" s="36" customFormat="1">
      <c r="A53" s="36" t="s">
        <v>112</v>
      </c>
      <c r="B53" s="36">
        <v>125</v>
      </c>
      <c r="C53" s="36">
        <v>0</v>
      </c>
      <c r="D53" s="36">
        <v>29</v>
      </c>
      <c r="E53" s="36">
        <v>1</v>
      </c>
      <c r="F53" s="36">
        <v>20</v>
      </c>
      <c r="G53" s="36">
        <v>30</v>
      </c>
      <c r="H53" s="36">
        <v>20</v>
      </c>
      <c r="I53" s="36" t="s">
        <v>38</v>
      </c>
      <c r="J53" s="36" t="s">
        <v>35</v>
      </c>
      <c r="K53" s="37">
        <f t="shared" si="21"/>
        <v>0</v>
      </c>
      <c r="L53" s="37">
        <f t="shared" si="22"/>
        <v>36.25</v>
      </c>
      <c r="M53" s="37">
        <f t="shared" si="23"/>
        <v>1.25</v>
      </c>
      <c r="N53" s="37">
        <f t="shared" si="24"/>
        <v>25</v>
      </c>
      <c r="O53" s="37">
        <f t="shared" si="25"/>
        <v>37.5</v>
      </c>
      <c r="P53" s="37">
        <f t="shared" si="26"/>
        <v>25</v>
      </c>
      <c r="Q53" s="37">
        <f>SUM(K53:P53)</f>
        <v>125</v>
      </c>
      <c r="R53" s="37">
        <f t="shared" si="28"/>
        <v>37.5</v>
      </c>
      <c r="S53" s="37">
        <f t="shared" si="20"/>
        <v>1460.1455617243093</v>
      </c>
      <c r="T53" s="37">
        <f t="shared" si="27"/>
        <v>87.5</v>
      </c>
    </row>
    <row r="54" spans="1:20" s="36" customFormat="1">
      <c r="A54" s="36" t="s">
        <v>113</v>
      </c>
      <c r="B54" s="36">
        <v>100</v>
      </c>
      <c r="C54" s="36">
        <v>0</v>
      </c>
      <c r="D54" s="36">
        <v>36</v>
      </c>
      <c r="E54" s="36">
        <v>11</v>
      </c>
      <c r="F54" s="36">
        <v>21</v>
      </c>
      <c r="G54" s="36">
        <v>25</v>
      </c>
      <c r="H54" s="36">
        <v>7</v>
      </c>
      <c r="I54" s="36" t="s">
        <v>38</v>
      </c>
      <c r="J54" s="36" t="s">
        <v>35</v>
      </c>
      <c r="K54" s="37">
        <f t="shared" si="21"/>
        <v>0</v>
      </c>
      <c r="L54" s="37">
        <f t="shared" si="22"/>
        <v>36</v>
      </c>
      <c r="M54" s="37">
        <f t="shared" si="23"/>
        <v>11</v>
      </c>
      <c r="N54" s="37">
        <f t="shared" si="24"/>
        <v>21</v>
      </c>
      <c r="O54" s="37">
        <f t="shared" si="25"/>
        <v>25</v>
      </c>
      <c r="P54" s="37">
        <f t="shared" si="26"/>
        <v>7</v>
      </c>
      <c r="Q54" s="37">
        <f t="shared" ref="Q54:Q73" si="29">SUM(K54:P54)</f>
        <v>100</v>
      </c>
      <c r="R54" s="37">
        <f t="shared" si="28"/>
        <v>47</v>
      </c>
      <c r="S54" s="37">
        <f t="shared" si="20"/>
        <v>824.37039151154352</v>
      </c>
      <c r="T54" s="37">
        <f t="shared" si="27"/>
        <v>53</v>
      </c>
    </row>
    <row r="55" spans="1:20" s="36" customFormat="1">
      <c r="A55" s="36" t="s">
        <v>114</v>
      </c>
      <c r="B55" s="36">
        <v>195</v>
      </c>
      <c r="C55" s="36">
        <v>0</v>
      </c>
      <c r="D55" s="36">
        <v>25</v>
      </c>
      <c r="E55" s="36">
        <v>2</v>
      </c>
      <c r="F55" s="36">
        <v>25</v>
      </c>
      <c r="G55" s="36">
        <v>25</v>
      </c>
      <c r="H55" s="36">
        <v>23</v>
      </c>
      <c r="I55" s="36" t="s">
        <v>38</v>
      </c>
      <c r="J55" s="36" t="s">
        <v>33</v>
      </c>
      <c r="K55" s="37">
        <f t="shared" si="21"/>
        <v>0</v>
      </c>
      <c r="L55" s="37">
        <f t="shared" si="22"/>
        <v>48.75</v>
      </c>
      <c r="M55" s="37">
        <f t="shared" si="23"/>
        <v>3.9</v>
      </c>
      <c r="N55" s="37">
        <f t="shared" si="24"/>
        <v>48.75</v>
      </c>
      <c r="O55" s="37">
        <f t="shared" si="25"/>
        <v>48.75</v>
      </c>
      <c r="P55" s="37">
        <f t="shared" si="26"/>
        <v>44.85</v>
      </c>
      <c r="Q55" s="37">
        <f t="shared" si="29"/>
        <v>195</v>
      </c>
      <c r="R55" s="37">
        <f t="shared" si="28"/>
        <v>52.65</v>
      </c>
      <c r="S55" s="37">
        <f t="shared" si="20"/>
        <v>531.84897449026698</v>
      </c>
      <c r="T55" s="37">
        <f t="shared" si="27"/>
        <v>142.35</v>
      </c>
    </row>
    <row r="56" spans="1:20" s="36" customFormat="1">
      <c r="A56" s="36" t="s">
        <v>115</v>
      </c>
      <c r="B56" s="36">
        <v>112</v>
      </c>
      <c r="C56" s="36">
        <v>0</v>
      </c>
      <c r="D56" s="36">
        <v>3</v>
      </c>
      <c r="E56" s="36">
        <v>3</v>
      </c>
      <c r="F56" s="36">
        <v>10</v>
      </c>
      <c r="G56" s="36">
        <v>50</v>
      </c>
      <c r="H56" s="36">
        <v>34</v>
      </c>
      <c r="I56" s="36" t="s">
        <v>38</v>
      </c>
      <c r="J56" s="36" t="s">
        <v>35</v>
      </c>
      <c r="K56" s="37">
        <f t="shared" si="21"/>
        <v>0</v>
      </c>
      <c r="L56" s="37">
        <f t="shared" si="22"/>
        <v>3.3600000000000003</v>
      </c>
      <c r="M56" s="37">
        <f t="shared" si="23"/>
        <v>3.3600000000000003</v>
      </c>
      <c r="N56" s="37">
        <f t="shared" si="24"/>
        <v>11.200000000000001</v>
      </c>
      <c r="O56" s="37">
        <f t="shared" si="25"/>
        <v>56.000000000000007</v>
      </c>
      <c r="P56" s="37">
        <f t="shared" si="26"/>
        <v>38.080000000000005</v>
      </c>
      <c r="Q56" s="37">
        <f t="shared" si="29"/>
        <v>112.00000000000003</v>
      </c>
      <c r="R56" s="37">
        <f t="shared" si="28"/>
        <v>6.7200000000000006</v>
      </c>
      <c r="S56" s="37">
        <f t="shared" si="20"/>
        <v>4759.8755132136712</v>
      </c>
      <c r="T56" s="37">
        <f t="shared" si="27"/>
        <v>105.28</v>
      </c>
    </row>
    <row r="57" spans="1:20" s="36" customFormat="1">
      <c r="A57" s="36" t="s">
        <v>116</v>
      </c>
      <c r="B57" s="36">
        <v>130</v>
      </c>
      <c r="C57" s="36">
        <v>15</v>
      </c>
      <c r="D57" s="36">
        <v>30</v>
      </c>
      <c r="E57" s="36">
        <v>10</v>
      </c>
      <c r="F57" s="36">
        <v>15</v>
      </c>
      <c r="G57" s="36">
        <v>25</v>
      </c>
      <c r="H57" s="36">
        <v>5</v>
      </c>
      <c r="I57" s="36" t="s">
        <v>38</v>
      </c>
      <c r="J57" s="36" t="s">
        <v>33</v>
      </c>
      <c r="K57" s="37">
        <f t="shared" si="21"/>
        <v>19.5</v>
      </c>
      <c r="L57" s="37">
        <f t="shared" si="22"/>
        <v>39</v>
      </c>
      <c r="M57" s="37">
        <f t="shared" si="23"/>
        <v>13</v>
      </c>
      <c r="N57" s="37">
        <f t="shared" si="24"/>
        <v>19.5</v>
      </c>
      <c r="O57" s="37">
        <f t="shared" si="25"/>
        <v>32.5</v>
      </c>
      <c r="P57" s="37">
        <f t="shared" si="26"/>
        <v>6.5</v>
      </c>
      <c r="Q57" s="37">
        <f t="shared" si="29"/>
        <v>130</v>
      </c>
      <c r="R57" s="37">
        <f t="shared" si="28"/>
        <v>71.5</v>
      </c>
      <c r="S57" s="37">
        <f t="shared" si="20"/>
        <v>17.73968938388408</v>
      </c>
      <c r="T57" s="37">
        <f t="shared" si="27"/>
        <v>58.5</v>
      </c>
    </row>
    <row r="58" spans="1:20" s="36" customFormat="1">
      <c r="A58" s="36" t="s">
        <v>117</v>
      </c>
      <c r="B58" s="36">
        <v>187</v>
      </c>
      <c r="C58" s="36">
        <v>2</v>
      </c>
      <c r="D58" s="36">
        <v>30</v>
      </c>
      <c r="E58" s="36">
        <v>15</v>
      </c>
      <c r="F58" s="36">
        <v>15</v>
      </c>
      <c r="G58" s="36">
        <v>26</v>
      </c>
      <c r="H58" s="36">
        <v>12</v>
      </c>
      <c r="I58" s="36" t="s">
        <v>38</v>
      </c>
      <c r="J58" s="36" t="s">
        <v>32</v>
      </c>
      <c r="K58" s="37">
        <f t="shared" si="21"/>
        <v>3.74</v>
      </c>
      <c r="L58" s="37">
        <f t="shared" si="22"/>
        <v>56.1</v>
      </c>
      <c r="M58" s="37">
        <f t="shared" si="23"/>
        <v>28.05</v>
      </c>
      <c r="N58" s="37">
        <f t="shared" si="24"/>
        <v>28.05</v>
      </c>
      <c r="O58" s="37">
        <f t="shared" si="25"/>
        <v>48.620000000000005</v>
      </c>
      <c r="P58" s="37">
        <f t="shared" si="26"/>
        <v>22.44</v>
      </c>
      <c r="Q58" s="37">
        <f t="shared" si="29"/>
        <v>187</v>
      </c>
      <c r="R58" s="37">
        <f t="shared" si="28"/>
        <v>87.89</v>
      </c>
      <c r="S58" s="37">
        <f t="shared" si="20"/>
        <v>148.30731151154379</v>
      </c>
      <c r="T58" s="37">
        <f t="shared" si="27"/>
        <v>99.11</v>
      </c>
    </row>
    <row r="59" spans="1:20" s="36" customFormat="1">
      <c r="A59" s="36" t="s">
        <v>118</v>
      </c>
      <c r="B59" s="36">
        <v>55</v>
      </c>
      <c r="C59" s="36">
        <v>0</v>
      </c>
      <c r="D59" s="36">
        <v>40</v>
      </c>
      <c r="E59" s="36">
        <v>5</v>
      </c>
      <c r="F59" s="36">
        <v>35</v>
      </c>
      <c r="G59" s="36">
        <v>15</v>
      </c>
      <c r="H59" s="36">
        <v>5</v>
      </c>
      <c r="I59" s="36" t="s">
        <v>38</v>
      </c>
      <c r="J59" s="36" t="s">
        <v>35</v>
      </c>
      <c r="K59" s="37">
        <f t="shared" si="21"/>
        <v>0</v>
      </c>
      <c r="L59" s="37">
        <f t="shared" si="22"/>
        <v>22</v>
      </c>
      <c r="M59" s="37">
        <f t="shared" si="23"/>
        <v>2.75</v>
      </c>
      <c r="N59" s="37">
        <f t="shared" si="24"/>
        <v>19.25</v>
      </c>
      <c r="O59" s="37">
        <f t="shared" si="25"/>
        <v>8.25</v>
      </c>
      <c r="P59" s="37">
        <f t="shared" si="26"/>
        <v>2.75</v>
      </c>
      <c r="Q59" s="37">
        <f t="shared" si="29"/>
        <v>55</v>
      </c>
      <c r="R59" s="37">
        <f t="shared" si="28"/>
        <v>24.75</v>
      </c>
      <c r="S59" s="37">
        <f t="shared" si="20"/>
        <v>2597.1102638519687</v>
      </c>
      <c r="T59" s="37">
        <f t="shared" si="27"/>
        <v>30.25</v>
      </c>
    </row>
    <row r="60" spans="1:20" s="36" customFormat="1">
      <c r="A60" s="36" t="s">
        <v>119</v>
      </c>
      <c r="B60" s="36">
        <v>336</v>
      </c>
      <c r="C60" s="36">
        <v>0.5</v>
      </c>
      <c r="D60" s="36">
        <v>35</v>
      </c>
      <c r="E60" s="36">
        <v>12</v>
      </c>
      <c r="F60" s="36">
        <v>19</v>
      </c>
      <c r="G60" s="36">
        <v>21</v>
      </c>
      <c r="H60" s="36">
        <v>12.5</v>
      </c>
      <c r="I60" s="36" t="s">
        <v>38</v>
      </c>
      <c r="J60" s="36" t="s">
        <v>32</v>
      </c>
      <c r="K60" s="37">
        <f t="shared" si="21"/>
        <v>1.68</v>
      </c>
      <c r="L60" s="37">
        <f t="shared" si="22"/>
        <v>117.6</v>
      </c>
      <c r="M60" s="37">
        <f t="shared" si="23"/>
        <v>40.32</v>
      </c>
      <c r="N60" s="37">
        <f t="shared" si="24"/>
        <v>63.839999999999996</v>
      </c>
      <c r="O60" s="37">
        <f t="shared" si="25"/>
        <v>70.56</v>
      </c>
      <c r="P60" s="37">
        <f t="shared" si="26"/>
        <v>42</v>
      </c>
      <c r="Q60" s="37">
        <f t="shared" si="29"/>
        <v>336</v>
      </c>
      <c r="R60" s="37">
        <f t="shared" si="28"/>
        <v>159.6</v>
      </c>
      <c r="S60" s="37">
        <f t="shared" si="20"/>
        <v>7037.2215319370753</v>
      </c>
      <c r="T60" s="37">
        <f t="shared" si="27"/>
        <v>176.4</v>
      </c>
    </row>
    <row r="61" spans="1:20" s="36" customFormat="1">
      <c r="A61" s="36" t="s">
        <v>120</v>
      </c>
      <c r="B61" s="36">
        <v>104</v>
      </c>
      <c r="C61" s="36">
        <v>5</v>
      </c>
      <c r="D61" s="36">
        <v>35</v>
      </c>
      <c r="E61" s="36">
        <v>15</v>
      </c>
      <c r="F61" s="36">
        <v>20</v>
      </c>
      <c r="G61" s="36">
        <v>20</v>
      </c>
      <c r="H61" s="36">
        <v>5</v>
      </c>
      <c r="I61" s="36" t="s">
        <v>38</v>
      </c>
      <c r="J61" s="36" t="s">
        <v>32</v>
      </c>
      <c r="K61" s="37">
        <f t="shared" si="21"/>
        <v>5.2</v>
      </c>
      <c r="L61" s="37">
        <f t="shared" si="22"/>
        <v>36.4</v>
      </c>
      <c r="M61" s="37">
        <f t="shared" si="23"/>
        <v>15.600000000000001</v>
      </c>
      <c r="N61" s="37">
        <f t="shared" si="24"/>
        <v>20.8</v>
      </c>
      <c r="O61" s="37">
        <f t="shared" si="25"/>
        <v>20.8</v>
      </c>
      <c r="P61" s="37">
        <f t="shared" si="26"/>
        <v>5.2</v>
      </c>
      <c r="Q61" s="37">
        <f t="shared" si="29"/>
        <v>104</v>
      </c>
      <c r="R61" s="37">
        <f t="shared" si="28"/>
        <v>57.2</v>
      </c>
      <c r="S61" s="37">
        <f t="shared" si="20"/>
        <v>342.68862980941577</v>
      </c>
      <c r="T61" s="37">
        <f t="shared" si="27"/>
        <v>46.800000000000004</v>
      </c>
    </row>
    <row r="62" spans="1:20" s="36" customFormat="1">
      <c r="A62" s="36" t="s">
        <v>121</v>
      </c>
      <c r="B62" s="36">
        <v>127</v>
      </c>
      <c r="C62" s="36">
        <v>5</v>
      </c>
      <c r="D62" s="36">
        <v>10</v>
      </c>
      <c r="E62" s="36">
        <v>10</v>
      </c>
      <c r="F62" s="36">
        <v>20</v>
      </c>
      <c r="G62" s="36">
        <v>30</v>
      </c>
      <c r="H62" s="36">
        <v>25</v>
      </c>
      <c r="I62" s="36" t="s">
        <v>38</v>
      </c>
      <c r="J62" s="36" t="s">
        <v>35</v>
      </c>
      <c r="K62" s="37">
        <f t="shared" si="21"/>
        <v>6.35</v>
      </c>
      <c r="L62" s="37">
        <f t="shared" si="22"/>
        <v>12.7</v>
      </c>
      <c r="M62" s="37">
        <f t="shared" si="23"/>
        <v>12.7</v>
      </c>
      <c r="N62" s="37">
        <f t="shared" si="24"/>
        <v>25.4</v>
      </c>
      <c r="O62" s="37">
        <f t="shared" si="25"/>
        <v>38.1</v>
      </c>
      <c r="P62" s="37">
        <f t="shared" si="26"/>
        <v>31.75</v>
      </c>
      <c r="Q62" s="37">
        <f t="shared" si="29"/>
        <v>127</v>
      </c>
      <c r="R62" s="37">
        <f t="shared" si="28"/>
        <v>31.749999999999996</v>
      </c>
      <c r="S62" s="37">
        <f t="shared" si="20"/>
        <v>1932.6443489583519</v>
      </c>
      <c r="T62" s="37">
        <f t="shared" si="27"/>
        <v>95.25</v>
      </c>
    </row>
    <row r="63" spans="1:20" s="36" customFormat="1">
      <c r="A63" s="36" t="s">
        <v>122</v>
      </c>
      <c r="B63" s="36">
        <v>147</v>
      </c>
      <c r="C63" s="36">
        <v>2</v>
      </c>
      <c r="D63" s="36">
        <v>34</v>
      </c>
      <c r="E63" s="36">
        <v>10</v>
      </c>
      <c r="F63" s="36">
        <v>26</v>
      </c>
      <c r="G63" s="36">
        <v>26</v>
      </c>
      <c r="H63" s="36">
        <v>2</v>
      </c>
      <c r="I63" s="36" t="s">
        <v>38</v>
      </c>
      <c r="J63" s="36" t="s">
        <v>35</v>
      </c>
      <c r="K63" s="37">
        <f t="shared" si="21"/>
        <v>2.94</v>
      </c>
      <c r="L63" s="37">
        <f t="shared" si="22"/>
        <v>49.98</v>
      </c>
      <c r="M63" s="37">
        <f t="shared" si="23"/>
        <v>14.7</v>
      </c>
      <c r="N63" s="37">
        <f t="shared" si="24"/>
        <v>38.22</v>
      </c>
      <c r="O63" s="37">
        <f t="shared" si="25"/>
        <v>38.22</v>
      </c>
      <c r="P63" s="37">
        <f t="shared" si="26"/>
        <v>2.94</v>
      </c>
      <c r="Q63" s="37">
        <f t="shared" si="29"/>
        <v>147</v>
      </c>
      <c r="R63" s="37">
        <f t="shared" si="28"/>
        <v>67.61999999999999</v>
      </c>
      <c r="S63" s="37">
        <f t="shared" si="20"/>
        <v>65.478053639203353</v>
      </c>
      <c r="T63" s="37">
        <f t="shared" si="27"/>
        <v>79.38</v>
      </c>
    </row>
    <row r="64" spans="1:20" s="36" customFormat="1">
      <c r="A64" s="36" t="s">
        <v>123</v>
      </c>
      <c r="B64" s="36">
        <v>45</v>
      </c>
      <c r="C64" s="36">
        <v>0</v>
      </c>
      <c r="D64" s="36">
        <v>37.78</v>
      </c>
      <c r="E64" s="36">
        <v>0</v>
      </c>
      <c r="F64" s="36">
        <v>13.33</v>
      </c>
      <c r="G64" s="36">
        <v>42.22</v>
      </c>
      <c r="H64" s="36">
        <v>6.67</v>
      </c>
      <c r="I64" s="36" t="s">
        <v>38</v>
      </c>
      <c r="J64" s="36" t="s">
        <v>35</v>
      </c>
      <c r="K64" s="37">
        <f t="shared" si="21"/>
        <v>0</v>
      </c>
      <c r="L64" s="37">
        <f t="shared" si="22"/>
        <v>17.001000000000001</v>
      </c>
      <c r="M64" s="37">
        <f t="shared" si="23"/>
        <v>0</v>
      </c>
      <c r="N64" s="37">
        <f t="shared" si="24"/>
        <v>5.9984999999999999</v>
      </c>
      <c r="O64" s="37">
        <f t="shared" si="25"/>
        <v>18.998999999999999</v>
      </c>
      <c r="P64" s="37">
        <f t="shared" si="26"/>
        <v>3.0015000000000001</v>
      </c>
      <c r="Q64" s="37">
        <f t="shared" si="29"/>
        <v>45</v>
      </c>
      <c r="R64" s="37">
        <f t="shared" si="28"/>
        <v>17.001000000000001</v>
      </c>
      <c r="S64" s="37">
        <f t="shared" si="20"/>
        <v>3446.9640326392023</v>
      </c>
      <c r="T64" s="37">
        <f t="shared" si="27"/>
        <v>27.998999999999999</v>
      </c>
    </row>
    <row r="65" spans="1:20" s="36" customFormat="1">
      <c r="A65" s="36" t="s">
        <v>124</v>
      </c>
      <c r="B65" s="36">
        <v>120</v>
      </c>
      <c r="C65" s="36">
        <v>10</v>
      </c>
      <c r="D65" s="36">
        <v>20</v>
      </c>
      <c r="E65" s="36">
        <v>20</v>
      </c>
      <c r="F65" s="36">
        <v>30</v>
      </c>
      <c r="G65" s="36">
        <v>15</v>
      </c>
      <c r="H65" s="36">
        <v>5</v>
      </c>
      <c r="I65" s="36" t="s">
        <v>38</v>
      </c>
      <c r="J65" s="36" t="s">
        <v>35</v>
      </c>
      <c r="K65" s="37">
        <f t="shared" si="21"/>
        <v>12</v>
      </c>
      <c r="L65" s="37">
        <f t="shared" si="22"/>
        <v>24</v>
      </c>
      <c r="M65" s="37">
        <f t="shared" si="23"/>
        <v>24</v>
      </c>
      <c r="N65" s="37">
        <f t="shared" si="24"/>
        <v>36</v>
      </c>
      <c r="O65" s="37">
        <f t="shared" si="25"/>
        <v>18</v>
      </c>
      <c r="P65" s="37">
        <f t="shared" si="26"/>
        <v>6</v>
      </c>
      <c r="Q65" s="37">
        <f t="shared" si="29"/>
        <v>120</v>
      </c>
      <c r="R65" s="37">
        <f t="shared" si="28"/>
        <v>60</v>
      </c>
      <c r="S65" s="37">
        <f t="shared" si="20"/>
        <v>246.86226385196909</v>
      </c>
      <c r="T65" s="37">
        <f t="shared" si="27"/>
        <v>60</v>
      </c>
    </row>
    <row r="66" spans="1:20" s="36" customFormat="1">
      <c r="A66" s="36" t="s">
        <v>125</v>
      </c>
      <c r="B66" s="36">
        <v>110</v>
      </c>
      <c r="C66" s="36">
        <v>3</v>
      </c>
      <c r="D66" s="36">
        <v>10</v>
      </c>
      <c r="E66" s="36">
        <v>10</v>
      </c>
      <c r="F66" s="36">
        <v>35</v>
      </c>
      <c r="G66" s="36">
        <v>22</v>
      </c>
      <c r="H66" s="36">
        <v>20</v>
      </c>
      <c r="I66" s="36" t="s">
        <v>38</v>
      </c>
      <c r="J66" s="36" t="s">
        <v>35</v>
      </c>
      <c r="K66" s="37">
        <f t="shared" si="21"/>
        <v>3.3000000000000003</v>
      </c>
      <c r="L66" s="37">
        <f t="shared" si="22"/>
        <v>11</v>
      </c>
      <c r="M66" s="37">
        <f t="shared" si="23"/>
        <v>11</v>
      </c>
      <c r="N66" s="37">
        <f t="shared" si="24"/>
        <v>38.5</v>
      </c>
      <c r="O66" s="37">
        <f t="shared" si="25"/>
        <v>24.200000000000003</v>
      </c>
      <c r="P66" s="37">
        <f t="shared" si="26"/>
        <v>22</v>
      </c>
      <c r="Q66" s="37">
        <f t="shared" si="29"/>
        <v>110</v>
      </c>
      <c r="R66" s="37">
        <f t="shared" si="28"/>
        <v>25.3</v>
      </c>
      <c r="S66" s="37">
        <f t="shared" si="20"/>
        <v>2541.3547276817562</v>
      </c>
      <c r="T66" s="37">
        <f t="shared" si="27"/>
        <v>84.7</v>
      </c>
    </row>
    <row r="67" spans="1:20" s="36" customFormat="1">
      <c r="A67" s="36" t="s">
        <v>126</v>
      </c>
      <c r="B67" s="36">
        <v>76</v>
      </c>
      <c r="C67" s="36">
        <v>0</v>
      </c>
      <c r="D67" s="36">
        <v>30</v>
      </c>
      <c r="E67" s="36">
        <v>0</v>
      </c>
      <c r="F67" s="36">
        <v>5</v>
      </c>
      <c r="G67" s="36">
        <v>55</v>
      </c>
      <c r="H67" s="36">
        <v>10</v>
      </c>
      <c r="I67" s="36" t="s">
        <v>38</v>
      </c>
      <c r="J67" s="36" t="s">
        <v>33</v>
      </c>
      <c r="K67" s="37">
        <f t="shared" si="21"/>
        <v>0</v>
      </c>
      <c r="L67" s="37">
        <f t="shared" si="22"/>
        <v>22.8</v>
      </c>
      <c r="M67" s="37">
        <f t="shared" si="23"/>
        <v>0</v>
      </c>
      <c r="N67" s="37">
        <f t="shared" si="24"/>
        <v>3.8</v>
      </c>
      <c r="O67" s="37">
        <f t="shared" si="25"/>
        <v>41.8</v>
      </c>
      <c r="P67" s="37">
        <f t="shared" si="26"/>
        <v>7.6</v>
      </c>
      <c r="Q67" s="37">
        <f t="shared" si="29"/>
        <v>76</v>
      </c>
      <c r="R67" s="37">
        <f t="shared" si="28"/>
        <v>22.8</v>
      </c>
      <c r="S67" s="37">
        <f t="shared" si="20"/>
        <v>2799.6639830009053</v>
      </c>
      <c r="T67" s="37">
        <f t="shared" si="27"/>
        <v>53.199999999999996</v>
      </c>
    </row>
    <row r="68" spans="1:20" s="36" customFormat="1">
      <c r="A68" s="36" t="s">
        <v>127</v>
      </c>
      <c r="B68" s="36">
        <v>111</v>
      </c>
      <c r="C68" s="36">
        <v>15</v>
      </c>
      <c r="D68" s="36">
        <v>20</v>
      </c>
      <c r="E68" s="36">
        <v>1</v>
      </c>
      <c r="F68" s="36">
        <v>30</v>
      </c>
      <c r="G68" s="36">
        <v>30</v>
      </c>
      <c r="H68" s="36">
        <v>4</v>
      </c>
      <c r="I68" s="36" t="s">
        <v>38</v>
      </c>
      <c r="J68" s="36" t="s">
        <v>35</v>
      </c>
      <c r="K68" s="37">
        <f t="shared" si="21"/>
        <v>16.650000000000002</v>
      </c>
      <c r="L68" s="37">
        <f t="shared" si="22"/>
        <v>22.200000000000003</v>
      </c>
      <c r="M68" s="37">
        <f t="shared" si="23"/>
        <v>1.1100000000000001</v>
      </c>
      <c r="N68" s="37">
        <f t="shared" si="24"/>
        <v>33.300000000000004</v>
      </c>
      <c r="O68" s="37">
        <f t="shared" si="25"/>
        <v>33.300000000000004</v>
      </c>
      <c r="P68" s="37">
        <f t="shared" si="26"/>
        <v>4.4400000000000004</v>
      </c>
      <c r="Q68" s="37">
        <f t="shared" si="29"/>
        <v>111.00000000000003</v>
      </c>
      <c r="R68" s="37">
        <f t="shared" si="28"/>
        <v>39.960000000000008</v>
      </c>
      <c r="S68" s="37">
        <f t="shared" si="20"/>
        <v>1278.1948544902662</v>
      </c>
      <c r="T68" s="37">
        <f t="shared" si="27"/>
        <v>71.040000000000006</v>
      </c>
    </row>
    <row r="69" spans="1:20" s="36" customFormat="1">
      <c r="A69" s="36" t="s">
        <v>128</v>
      </c>
      <c r="B69" s="36">
        <v>105</v>
      </c>
      <c r="C69" s="36">
        <v>15</v>
      </c>
      <c r="D69" s="36">
        <v>20</v>
      </c>
      <c r="E69" s="36">
        <v>20</v>
      </c>
      <c r="F69" s="36">
        <v>25</v>
      </c>
      <c r="G69" s="36">
        <v>15</v>
      </c>
      <c r="H69" s="36">
        <v>5</v>
      </c>
      <c r="I69" s="36" t="s">
        <v>38</v>
      </c>
      <c r="J69" s="36" t="s">
        <v>35</v>
      </c>
      <c r="K69" s="37">
        <f t="shared" si="21"/>
        <v>15.75</v>
      </c>
      <c r="L69" s="37">
        <f t="shared" si="22"/>
        <v>21</v>
      </c>
      <c r="M69" s="37">
        <f t="shared" si="23"/>
        <v>21</v>
      </c>
      <c r="N69" s="37">
        <f t="shared" si="24"/>
        <v>26.25</v>
      </c>
      <c r="O69" s="37">
        <f t="shared" si="25"/>
        <v>15.75</v>
      </c>
      <c r="P69" s="37">
        <f t="shared" si="26"/>
        <v>5.25</v>
      </c>
      <c r="Q69" s="37">
        <f t="shared" si="29"/>
        <v>105</v>
      </c>
      <c r="R69" s="37">
        <f t="shared" si="28"/>
        <v>57.75</v>
      </c>
      <c r="S69" s="37">
        <f t="shared" si="20"/>
        <v>322.62809363920314</v>
      </c>
      <c r="T69" s="37">
        <f t="shared" si="27"/>
        <v>47.25</v>
      </c>
    </row>
    <row r="70" spans="1:20" s="36" customFormat="1">
      <c r="A70" s="36" t="s">
        <v>129</v>
      </c>
      <c r="B70" s="36">
        <v>278</v>
      </c>
      <c r="C70" s="36">
        <v>1.8</v>
      </c>
      <c r="D70" s="36">
        <v>29.9</v>
      </c>
      <c r="E70" s="36">
        <v>15.5</v>
      </c>
      <c r="F70" s="36">
        <v>20.5</v>
      </c>
      <c r="G70" s="36">
        <v>19.399999999999999</v>
      </c>
      <c r="H70" s="36">
        <v>12.9</v>
      </c>
      <c r="I70" s="36" t="s">
        <v>38</v>
      </c>
      <c r="J70" s="36" t="s">
        <v>33</v>
      </c>
      <c r="K70" s="37">
        <f t="shared" si="21"/>
        <v>5.0039999999999996</v>
      </c>
      <c r="L70" s="37">
        <f t="shared" si="22"/>
        <v>83.121999999999986</v>
      </c>
      <c r="M70" s="37">
        <f t="shared" si="23"/>
        <v>43.089999999999996</v>
      </c>
      <c r="N70" s="37">
        <f t="shared" si="24"/>
        <v>56.989999999999995</v>
      </c>
      <c r="O70" s="37">
        <f t="shared" si="25"/>
        <v>53.931999999999995</v>
      </c>
      <c r="P70" s="37">
        <f t="shared" si="26"/>
        <v>35.862000000000002</v>
      </c>
      <c r="Q70" s="37">
        <f t="shared" si="29"/>
        <v>277.99999999999994</v>
      </c>
      <c r="R70" s="37">
        <f t="shared" si="28"/>
        <v>131.21599999999998</v>
      </c>
      <c r="S70" s="37">
        <f t="shared" si="20"/>
        <v>3080.7105491285633</v>
      </c>
      <c r="T70" s="37">
        <f t="shared" si="27"/>
        <v>146.78399999999999</v>
      </c>
    </row>
    <row r="71" spans="1:20" s="36" customFormat="1">
      <c r="A71" s="36" t="s">
        <v>130</v>
      </c>
      <c r="B71" s="36">
        <v>138</v>
      </c>
      <c r="C71" s="36">
        <v>18</v>
      </c>
      <c r="D71" s="36">
        <v>31</v>
      </c>
      <c r="E71" s="36">
        <v>11</v>
      </c>
      <c r="F71" s="36">
        <v>20</v>
      </c>
      <c r="G71" s="36">
        <v>10</v>
      </c>
      <c r="H71" s="36">
        <v>10</v>
      </c>
      <c r="I71" s="36" t="s">
        <v>38</v>
      </c>
      <c r="J71" s="36" t="s">
        <v>32</v>
      </c>
      <c r="K71" s="37">
        <f t="shared" si="21"/>
        <v>24.839999999999996</v>
      </c>
      <c r="L71" s="37">
        <f t="shared" si="22"/>
        <v>42.779999999999994</v>
      </c>
      <c r="M71" s="37">
        <f t="shared" si="23"/>
        <v>15.18</v>
      </c>
      <c r="N71" s="37">
        <f t="shared" si="24"/>
        <v>27.599999999999998</v>
      </c>
      <c r="O71" s="37">
        <f t="shared" si="25"/>
        <v>13.799999999999999</v>
      </c>
      <c r="P71" s="37">
        <f t="shared" si="26"/>
        <v>13.799999999999999</v>
      </c>
      <c r="Q71" s="37">
        <f t="shared" si="29"/>
        <v>137.99999999999997</v>
      </c>
      <c r="R71" s="37">
        <f t="shared" si="28"/>
        <v>82.799999999999983</v>
      </c>
      <c r="S71" s="37">
        <f t="shared" si="20"/>
        <v>50.241855341330734</v>
      </c>
      <c r="T71" s="37">
        <f t="shared" si="27"/>
        <v>55.199999999999996</v>
      </c>
    </row>
    <row r="72" spans="1:20" s="36" customFormat="1">
      <c r="A72" s="36" t="s">
        <v>131</v>
      </c>
      <c r="B72" s="36">
        <v>105</v>
      </c>
      <c r="C72" s="36">
        <v>2</v>
      </c>
      <c r="D72" s="36">
        <v>38</v>
      </c>
      <c r="E72" s="36">
        <v>5</v>
      </c>
      <c r="F72" s="36">
        <v>20</v>
      </c>
      <c r="G72" s="36">
        <v>20</v>
      </c>
      <c r="H72" s="36">
        <v>15</v>
      </c>
      <c r="I72" s="36" t="s">
        <v>38</v>
      </c>
      <c r="J72" s="36" t="s">
        <v>35</v>
      </c>
      <c r="K72" s="37">
        <f t="shared" si="21"/>
        <v>2.1</v>
      </c>
      <c r="L72" s="37">
        <f t="shared" si="22"/>
        <v>39.9</v>
      </c>
      <c r="M72" s="37">
        <f t="shared" si="23"/>
        <v>5.25</v>
      </c>
      <c r="N72" s="37">
        <f t="shared" si="24"/>
        <v>21</v>
      </c>
      <c r="O72" s="37">
        <f t="shared" si="25"/>
        <v>21</v>
      </c>
      <c r="P72" s="37">
        <f t="shared" si="26"/>
        <v>15.75</v>
      </c>
      <c r="Q72" s="37">
        <f t="shared" si="29"/>
        <v>105</v>
      </c>
      <c r="R72" s="37">
        <f t="shared" si="28"/>
        <v>47.25</v>
      </c>
      <c r="S72" s="37">
        <f t="shared" si="20"/>
        <v>810.07696597962854</v>
      </c>
      <c r="T72" s="37">
        <f t="shared" si="27"/>
        <v>57.75</v>
      </c>
    </row>
    <row r="73" spans="1:20" s="36" customFormat="1">
      <c r="A73" s="36" t="s">
        <v>132</v>
      </c>
      <c r="B73" s="36">
        <v>124</v>
      </c>
      <c r="C73" s="36">
        <v>5</v>
      </c>
      <c r="D73" s="36">
        <v>15</v>
      </c>
      <c r="E73" s="36">
        <v>15</v>
      </c>
      <c r="F73" s="36">
        <v>20</v>
      </c>
      <c r="G73" s="36">
        <v>30</v>
      </c>
      <c r="H73" s="36">
        <v>15</v>
      </c>
      <c r="I73" s="36" t="s">
        <v>38</v>
      </c>
      <c r="J73" s="36" t="s">
        <v>33</v>
      </c>
      <c r="K73" s="37">
        <f t="shared" si="21"/>
        <v>6.2</v>
      </c>
      <c r="L73" s="37">
        <f t="shared" si="22"/>
        <v>18.600000000000001</v>
      </c>
      <c r="M73" s="37">
        <f t="shared" si="23"/>
        <v>18.600000000000001</v>
      </c>
      <c r="N73" s="37">
        <f t="shared" si="24"/>
        <v>24.8</v>
      </c>
      <c r="O73" s="37">
        <f t="shared" si="25"/>
        <v>37.200000000000003</v>
      </c>
      <c r="P73" s="37">
        <f t="shared" si="26"/>
        <v>18.600000000000001</v>
      </c>
      <c r="Q73" s="37">
        <f t="shared" si="29"/>
        <v>124</v>
      </c>
      <c r="R73" s="37">
        <f t="shared" si="28"/>
        <v>43.400000000000006</v>
      </c>
      <c r="S73" s="37">
        <f t="shared" si="20"/>
        <v>1044.0557191711175</v>
      </c>
      <c r="T73" s="37">
        <f t="shared" si="27"/>
        <v>80.599999999999994</v>
      </c>
    </row>
    <row r="74" spans="1:20" s="36" customFormat="1">
      <c r="A74" s="36" t="s">
        <v>137</v>
      </c>
      <c r="B74" s="36">
        <v>138</v>
      </c>
      <c r="C74" s="36">
        <v>2</v>
      </c>
      <c r="D74" s="36">
        <v>25</v>
      </c>
      <c r="E74" s="36">
        <v>3</v>
      </c>
      <c r="F74" s="36">
        <v>14</v>
      </c>
      <c r="G74" s="36">
        <v>30</v>
      </c>
      <c r="H74" s="36">
        <v>26</v>
      </c>
      <c r="I74" s="36" t="s">
        <v>38</v>
      </c>
      <c r="J74" s="36" t="s">
        <v>32</v>
      </c>
      <c r="K74" s="37">
        <f t="shared" si="21"/>
        <v>2.76</v>
      </c>
      <c r="L74" s="37">
        <f t="shared" si="22"/>
        <v>34.5</v>
      </c>
      <c r="M74" s="37">
        <f t="shared" si="23"/>
        <v>4.1399999999999997</v>
      </c>
      <c r="N74" s="37">
        <f t="shared" si="24"/>
        <v>19.32</v>
      </c>
      <c r="O74" s="37">
        <f t="shared" si="25"/>
        <v>41.4</v>
      </c>
      <c r="P74" s="37">
        <f t="shared" si="26"/>
        <v>35.879999999999995</v>
      </c>
      <c r="Q74" s="37">
        <f>SUM(K74:P74)</f>
        <v>138</v>
      </c>
      <c r="R74" s="37">
        <f t="shared" si="28"/>
        <v>41.4</v>
      </c>
      <c r="S74" s="37">
        <f t="shared" si="20"/>
        <v>1177.3031234264372</v>
      </c>
      <c r="T74" s="37">
        <f t="shared" si="27"/>
        <v>96.6</v>
      </c>
    </row>
    <row r="75" spans="1:20" s="36" customFormat="1">
      <c r="A75" s="36" t="s">
        <v>138</v>
      </c>
      <c r="B75" s="36">
        <v>85</v>
      </c>
      <c r="C75" s="36">
        <v>15</v>
      </c>
      <c r="D75" s="36">
        <v>25</v>
      </c>
      <c r="E75" s="36">
        <v>20</v>
      </c>
      <c r="F75" s="36">
        <v>25</v>
      </c>
      <c r="G75" s="36">
        <v>10</v>
      </c>
      <c r="H75" s="36">
        <v>5</v>
      </c>
      <c r="I75" s="36" t="s">
        <v>38</v>
      </c>
      <c r="J75" s="36" t="s">
        <v>32</v>
      </c>
      <c r="K75" s="37">
        <f t="shared" si="21"/>
        <v>12.75</v>
      </c>
      <c r="L75" s="37">
        <f t="shared" si="22"/>
        <v>21.25</v>
      </c>
      <c r="M75" s="37">
        <f t="shared" si="23"/>
        <v>17</v>
      </c>
      <c r="N75" s="37">
        <f t="shared" si="24"/>
        <v>21.25</v>
      </c>
      <c r="O75" s="37">
        <f t="shared" si="25"/>
        <v>8.5</v>
      </c>
      <c r="P75" s="37">
        <f t="shared" si="26"/>
        <v>4.25</v>
      </c>
      <c r="Q75" s="37">
        <f t="shared" ref="Q75:Q95" si="30">SUM(K75:P75)</f>
        <v>85</v>
      </c>
      <c r="R75" s="37">
        <f t="shared" si="28"/>
        <v>51</v>
      </c>
      <c r="S75" s="37">
        <f t="shared" si="20"/>
        <v>610.67558300090525</v>
      </c>
      <c r="T75" s="37">
        <f t="shared" si="27"/>
        <v>34</v>
      </c>
    </row>
    <row r="76" spans="1:20" s="38" customFormat="1">
      <c r="A76" s="38" t="s">
        <v>133</v>
      </c>
      <c r="B76" s="38">
        <v>95</v>
      </c>
      <c r="C76" s="38">
        <v>10</v>
      </c>
      <c r="D76" s="38">
        <v>25</v>
      </c>
      <c r="E76" s="38">
        <v>25</v>
      </c>
      <c r="F76" s="38">
        <v>20</v>
      </c>
      <c r="G76" s="38">
        <v>15</v>
      </c>
      <c r="H76" s="38">
        <v>5</v>
      </c>
      <c r="I76" s="38" t="s">
        <v>39</v>
      </c>
      <c r="J76" s="38" t="s">
        <v>32</v>
      </c>
      <c r="K76" s="39">
        <f t="shared" si="21"/>
        <v>9.5</v>
      </c>
      <c r="L76" s="39">
        <f t="shared" si="22"/>
        <v>23.75</v>
      </c>
      <c r="M76" s="39">
        <f t="shared" si="23"/>
        <v>23.75</v>
      </c>
      <c r="N76" s="39">
        <f t="shared" si="24"/>
        <v>19</v>
      </c>
      <c r="O76" s="39">
        <f t="shared" si="25"/>
        <v>14.25</v>
      </c>
      <c r="P76" s="39">
        <f t="shared" si="26"/>
        <v>4.75</v>
      </c>
      <c r="Q76" s="39">
        <f t="shared" si="30"/>
        <v>95</v>
      </c>
      <c r="R76" s="39">
        <f t="shared" si="28"/>
        <v>57</v>
      </c>
      <c r="S76" s="39">
        <f>($U$131-R76)^2</f>
        <v>0</v>
      </c>
      <c r="T76" s="39">
        <f t="shared" si="27"/>
        <v>38</v>
      </c>
    </row>
    <row r="77" spans="1:20">
      <c r="A77" t="s">
        <v>75</v>
      </c>
      <c r="B77">
        <v>50</v>
      </c>
      <c r="C77">
        <v>30</v>
      </c>
      <c r="D77">
        <v>35</v>
      </c>
      <c r="E77">
        <v>15</v>
      </c>
      <c r="F77">
        <v>0</v>
      </c>
      <c r="G77">
        <v>10</v>
      </c>
      <c r="H77">
        <v>10</v>
      </c>
      <c r="I77" t="s">
        <v>40</v>
      </c>
      <c r="J77" t="s">
        <v>35</v>
      </c>
      <c r="K77" s="11">
        <f t="shared" si="21"/>
        <v>15</v>
      </c>
      <c r="L77" s="11">
        <f t="shared" si="22"/>
        <v>17.5</v>
      </c>
      <c r="M77" s="11">
        <f t="shared" si="23"/>
        <v>7.5</v>
      </c>
      <c r="N77" s="11">
        <f t="shared" si="24"/>
        <v>0</v>
      </c>
      <c r="O77" s="11">
        <f t="shared" si="25"/>
        <v>5</v>
      </c>
      <c r="P77" s="11">
        <f t="shared" si="26"/>
        <v>5</v>
      </c>
      <c r="Q77" s="11">
        <f t="shared" si="30"/>
        <v>50</v>
      </c>
      <c r="R77" s="11">
        <f t="shared" si="28"/>
        <v>40</v>
      </c>
      <c r="S77" s="11">
        <f>($U$132-R77)^2</f>
        <v>0</v>
      </c>
      <c r="T77" s="11">
        <f t="shared" si="27"/>
        <v>10</v>
      </c>
    </row>
    <row r="78" spans="1:20" s="40" customFormat="1">
      <c r="A78" s="40" t="s">
        <v>76</v>
      </c>
      <c r="B78" s="40">
        <v>40</v>
      </c>
      <c r="C78" s="40">
        <v>0</v>
      </c>
      <c r="D78" s="40">
        <v>25</v>
      </c>
      <c r="E78" s="40">
        <v>15</v>
      </c>
      <c r="F78" s="40">
        <v>15</v>
      </c>
      <c r="G78" s="40">
        <v>35</v>
      </c>
      <c r="H78" s="40">
        <v>10</v>
      </c>
      <c r="I78" s="40" t="s">
        <v>41</v>
      </c>
      <c r="J78" s="40" t="s">
        <v>33</v>
      </c>
      <c r="K78" s="41">
        <f t="shared" si="21"/>
        <v>0</v>
      </c>
      <c r="L78" s="41">
        <f t="shared" si="22"/>
        <v>10</v>
      </c>
      <c r="M78" s="41">
        <f t="shared" si="23"/>
        <v>6</v>
      </c>
      <c r="N78" s="41">
        <f t="shared" si="24"/>
        <v>6</v>
      </c>
      <c r="O78" s="41">
        <f t="shared" si="25"/>
        <v>14</v>
      </c>
      <c r="P78" s="41">
        <f t="shared" si="26"/>
        <v>4</v>
      </c>
      <c r="Q78" s="41">
        <f t="shared" si="30"/>
        <v>40</v>
      </c>
      <c r="R78" s="41">
        <f t="shared" si="28"/>
        <v>16</v>
      </c>
      <c r="S78" s="41">
        <f>($U$133-R78)^2</f>
        <v>47.093906250000011</v>
      </c>
      <c r="T78" s="41">
        <f t="shared" si="27"/>
        <v>24</v>
      </c>
    </row>
    <row r="79" spans="1:20" s="40" customFormat="1">
      <c r="A79" s="40" t="s">
        <v>79</v>
      </c>
      <c r="B79" s="40">
        <v>30</v>
      </c>
      <c r="C79" s="40">
        <v>5</v>
      </c>
      <c r="D79" s="40">
        <v>40</v>
      </c>
      <c r="E79" s="40">
        <v>0</v>
      </c>
      <c r="F79" s="40">
        <v>5</v>
      </c>
      <c r="G79" s="40">
        <v>30</v>
      </c>
      <c r="H79" s="40">
        <v>20</v>
      </c>
      <c r="I79" s="40" t="s">
        <v>41</v>
      </c>
      <c r="J79" s="40" t="s">
        <v>33</v>
      </c>
      <c r="K79" s="41">
        <f t="shared" si="21"/>
        <v>1.5</v>
      </c>
      <c r="L79" s="41">
        <f t="shared" si="22"/>
        <v>12</v>
      </c>
      <c r="M79" s="41">
        <f t="shared" si="23"/>
        <v>0</v>
      </c>
      <c r="N79" s="41">
        <f t="shared" si="24"/>
        <v>1.5</v>
      </c>
      <c r="O79" s="41">
        <f t="shared" si="25"/>
        <v>9</v>
      </c>
      <c r="P79" s="41">
        <f t="shared" si="26"/>
        <v>6</v>
      </c>
      <c r="Q79" s="41">
        <f t="shared" si="30"/>
        <v>30</v>
      </c>
      <c r="R79" s="41">
        <f t="shared" si="28"/>
        <v>13.5</v>
      </c>
      <c r="S79" s="41">
        <f>($U$133-R79)^2</f>
        <v>87.656406250000018</v>
      </c>
      <c r="T79" s="41">
        <f t="shared" si="27"/>
        <v>16.5</v>
      </c>
    </row>
    <row r="80" spans="1:20" s="40" customFormat="1">
      <c r="A80" s="40" t="s">
        <v>87</v>
      </c>
      <c r="B80" s="40">
        <v>120</v>
      </c>
      <c r="C80" s="40">
        <v>5</v>
      </c>
      <c r="D80" s="40">
        <v>25</v>
      </c>
      <c r="E80" s="40">
        <v>10</v>
      </c>
      <c r="F80" s="40">
        <v>20</v>
      </c>
      <c r="G80" s="40">
        <v>30</v>
      </c>
      <c r="H80" s="40">
        <v>10</v>
      </c>
      <c r="I80" s="40" t="s">
        <v>41</v>
      </c>
      <c r="J80" s="40" t="s">
        <v>35</v>
      </c>
      <c r="K80" s="41">
        <f t="shared" si="21"/>
        <v>6</v>
      </c>
      <c r="L80" s="41">
        <f t="shared" si="22"/>
        <v>30</v>
      </c>
      <c r="M80" s="41">
        <f t="shared" si="23"/>
        <v>12</v>
      </c>
      <c r="N80" s="41">
        <f t="shared" si="24"/>
        <v>24</v>
      </c>
      <c r="O80" s="41">
        <f t="shared" si="25"/>
        <v>36</v>
      </c>
      <c r="P80" s="41">
        <f t="shared" si="26"/>
        <v>12</v>
      </c>
      <c r="Q80" s="41">
        <f t="shared" si="30"/>
        <v>120</v>
      </c>
      <c r="R80" s="41">
        <f t="shared" si="28"/>
        <v>48</v>
      </c>
      <c r="S80" s="41">
        <f>($U$133-R80)^2</f>
        <v>631.89390624999999</v>
      </c>
      <c r="T80" s="41">
        <f t="shared" si="27"/>
        <v>72</v>
      </c>
    </row>
    <row r="81" spans="1:20" s="40" customFormat="1">
      <c r="A81" s="40" t="s">
        <v>98</v>
      </c>
      <c r="B81" s="40">
        <v>31</v>
      </c>
      <c r="C81" s="40">
        <v>5</v>
      </c>
      <c r="D81" s="40">
        <v>30</v>
      </c>
      <c r="E81" s="40">
        <v>10</v>
      </c>
      <c r="F81" s="40">
        <v>15</v>
      </c>
      <c r="G81" s="40">
        <v>20</v>
      </c>
      <c r="H81" s="40">
        <v>20</v>
      </c>
      <c r="I81" s="40" t="s">
        <v>41</v>
      </c>
      <c r="J81" s="40" t="s">
        <v>32</v>
      </c>
      <c r="K81" s="41">
        <f t="shared" si="21"/>
        <v>1.55</v>
      </c>
      <c r="L81" s="41">
        <f t="shared" si="22"/>
        <v>9.3000000000000007</v>
      </c>
      <c r="M81" s="41">
        <f t="shared" si="23"/>
        <v>3.1</v>
      </c>
      <c r="N81" s="41">
        <f t="shared" si="24"/>
        <v>4.6500000000000004</v>
      </c>
      <c r="O81" s="41">
        <f t="shared" si="25"/>
        <v>6.2</v>
      </c>
      <c r="P81" s="41">
        <f t="shared" si="26"/>
        <v>6.2</v>
      </c>
      <c r="Q81" s="41">
        <f t="shared" si="30"/>
        <v>31</v>
      </c>
      <c r="R81" s="41">
        <f t="shared" si="28"/>
        <v>13.950000000000001</v>
      </c>
      <c r="S81" s="41">
        <f>($U$133-R81)^2</f>
        <v>79.432656249999994</v>
      </c>
      <c r="T81" s="41">
        <f t="shared" si="27"/>
        <v>17.05</v>
      </c>
    </row>
    <row r="82" spans="1:20" s="12" customFormat="1">
      <c r="A82" s="12" t="s">
        <v>53</v>
      </c>
      <c r="B82" s="12">
        <v>140</v>
      </c>
      <c r="C82" s="12">
        <v>0</v>
      </c>
      <c r="D82" s="12">
        <v>90</v>
      </c>
      <c r="E82" s="12">
        <v>3</v>
      </c>
      <c r="F82" s="12">
        <v>3</v>
      </c>
      <c r="G82" s="12">
        <v>4</v>
      </c>
      <c r="H82" s="12">
        <v>0</v>
      </c>
      <c r="I82" s="12" t="s">
        <v>34</v>
      </c>
      <c r="J82" s="12" t="s">
        <v>32</v>
      </c>
      <c r="K82" s="42">
        <f t="shared" si="21"/>
        <v>0</v>
      </c>
      <c r="L82" s="42">
        <f t="shared" si="22"/>
        <v>125.99999999999999</v>
      </c>
      <c r="M82" s="42">
        <f t="shared" si="23"/>
        <v>4.1999999999999993</v>
      </c>
      <c r="N82" s="42">
        <f t="shared" si="24"/>
        <v>4.1999999999999993</v>
      </c>
      <c r="O82" s="42">
        <f t="shared" si="25"/>
        <v>5.6</v>
      </c>
      <c r="P82" s="42">
        <f t="shared" si="26"/>
        <v>0</v>
      </c>
      <c r="Q82" s="42">
        <f t="shared" si="30"/>
        <v>139.99999999999997</v>
      </c>
      <c r="R82" s="42">
        <f t="shared" ref="R82:R95" si="31">SUM(K82:M82)</f>
        <v>130.19999999999999</v>
      </c>
      <c r="S82" s="42">
        <f>($U$134-R82)^2</f>
        <v>3531.3306250000014</v>
      </c>
      <c r="T82" s="42">
        <f t="shared" si="27"/>
        <v>9.7999999999999989</v>
      </c>
    </row>
    <row r="83" spans="1:20" s="12" customFormat="1">
      <c r="A83" s="12" t="s">
        <v>88</v>
      </c>
      <c r="B83" s="12">
        <v>180</v>
      </c>
      <c r="C83" s="12">
        <v>3</v>
      </c>
      <c r="D83" s="12">
        <v>45</v>
      </c>
      <c r="E83" s="12">
        <v>30</v>
      </c>
      <c r="F83" s="12">
        <v>10</v>
      </c>
      <c r="G83" s="12">
        <v>10</v>
      </c>
      <c r="H83" s="12">
        <v>2</v>
      </c>
      <c r="I83" s="12" t="s">
        <v>34</v>
      </c>
      <c r="J83" s="12" t="s">
        <v>33</v>
      </c>
      <c r="K83" s="42">
        <f t="shared" si="21"/>
        <v>5.4</v>
      </c>
      <c r="L83" s="42">
        <f t="shared" si="22"/>
        <v>81</v>
      </c>
      <c r="M83" s="42">
        <f t="shared" si="23"/>
        <v>54</v>
      </c>
      <c r="N83" s="42">
        <f t="shared" si="24"/>
        <v>18</v>
      </c>
      <c r="O83" s="42">
        <f t="shared" si="25"/>
        <v>18</v>
      </c>
      <c r="P83" s="42">
        <f t="shared" si="26"/>
        <v>3.6</v>
      </c>
      <c r="Q83" s="42">
        <f t="shared" si="30"/>
        <v>180</v>
      </c>
      <c r="R83" s="42">
        <f t="shared" si="31"/>
        <v>140.4</v>
      </c>
      <c r="S83" s="42">
        <f>($U$134-R83)^2</f>
        <v>2423.1006249999996</v>
      </c>
      <c r="T83" s="42">
        <f t="shared" si="27"/>
        <v>39.6</v>
      </c>
    </row>
    <row r="84" spans="1:20" s="12" customFormat="1">
      <c r="A84" s="12" t="s">
        <v>139</v>
      </c>
      <c r="B84" s="12">
        <v>350</v>
      </c>
      <c r="C84" s="12">
        <v>10</v>
      </c>
      <c r="D84" s="12">
        <v>63</v>
      </c>
      <c r="E84" s="12">
        <v>13</v>
      </c>
      <c r="F84" s="12">
        <v>7</v>
      </c>
      <c r="G84" s="12">
        <v>5</v>
      </c>
      <c r="H84" s="12">
        <v>2</v>
      </c>
      <c r="I84" s="12" t="s">
        <v>34</v>
      </c>
      <c r="J84" s="12" t="s">
        <v>33</v>
      </c>
      <c r="K84" s="42">
        <f t="shared" si="21"/>
        <v>35</v>
      </c>
      <c r="L84" s="42">
        <f t="shared" si="22"/>
        <v>220.5</v>
      </c>
      <c r="M84" s="42">
        <f t="shared" si="23"/>
        <v>45.5</v>
      </c>
      <c r="N84" s="42">
        <f t="shared" si="24"/>
        <v>24.5</v>
      </c>
      <c r="O84" s="42">
        <f t="shared" si="25"/>
        <v>17.5</v>
      </c>
      <c r="P84" s="42">
        <f t="shared" si="26"/>
        <v>7</v>
      </c>
      <c r="Q84" s="42">
        <f t="shared" si="30"/>
        <v>350</v>
      </c>
      <c r="R84" s="42">
        <f t="shared" si="31"/>
        <v>301</v>
      </c>
      <c r="S84" s="42">
        <f>($U$134-R84)^2</f>
        <v>12404.390625</v>
      </c>
      <c r="T84" s="42">
        <f t="shared" si="27"/>
        <v>49</v>
      </c>
    </row>
    <row r="85" spans="1:20" s="12" customFormat="1">
      <c r="A85" s="12" t="s">
        <v>140</v>
      </c>
      <c r="B85" s="12">
        <v>210</v>
      </c>
      <c r="C85" s="12">
        <v>4</v>
      </c>
      <c r="D85" s="12">
        <v>70</v>
      </c>
      <c r="E85" s="12">
        <v>15</v>
      </c>
      <c r="F85" s="12">
        <v>5</v>
      </c>
      <c r="G85" s="12">
        <v>4</v>
      </c>
      <c r="H85" s="12">
        <v>2</v>
      </c>
      <c r="I85" s="12" t="s">
        <v>34</v>
      </c>
      <c r="J85" s="12" t="s">
        <v>33</v>
      </c>
      <c r="K85" s="42">
        <f t="shared" si="21"/>
        <v>8.4</v>
      </c>
      <c r="L85" s="42">
        <f t="shared" si="22"/>
        <v>147</v>
      </c>
      <c r="M85" s="42">
        <f t="shared" si="23"/>
        <v>31.5</v>
      </c>
      <c r="N85" s="42">
        <f t="shared" si="24"/>
        <v>10.5</v>
      </c>
      <c r="O85" s="42">
        <f t="shared" si="25"/>
        <v>8.4</v>
      </c>
      <c r="P85" s="42">
        <f t="shared" si="26"/>
        <v>4.2</v>
      </c>
      <c r="Q85" s="42">
        <f t="shared" si="30"/>
        <v>210</v>
      </c>
      <c r="R85" s="42">
        <f t="shared" si="31"/>
        <v>186.9</v>
      </c>
      <c r="S85" s="42">
        <f>($U$134-R85)^2</f>
        <v>7.4256249999999691</v>
      </c>
      <c r="T85" s="42">
        <f t="shared" si="27"/>
        <v>23.099999999999998</v>
      </c>
    </row>
    <row r="86" spans="1:20" s="43" customFormat="1">
      <c r="A86" s="43" t="s">
        <v>96</v>
      </c>
      <c r="B86" s="43">
        <v>92</v>
      </c>
      <c r="C86" s="43">
        <v>3</v>
      </c>
      <c r="D86" s="43">
        <v>50</v>
      </c>
      <c r="E86" s="43">
        <v>15</v>
      </c>
      <c r="F86" s="43">
        <v>14</v>
      </c>
      <c r="G86" s="43">
        <v>17</v>
      </c>
      <c r="H86" s="43">
        <v>1</v>
      </c>
      <c r="I86" s="43" t="s">
        <v>42</v>
      </c>
      <c r="J86" s="43" t="s">
        <v>32</v>
      </c>
      <c r="K86" s="44">
        <f t="shared" si="21"/>
        <v>2.7600000000000002</v>
      </c>
      <c r="L86" s="44">
        <f t="shared" si="22"/>
        <v>46</v>
      </c>
      <c r="M86" s="44">
        <f t="shared" si="23"/>
        <v>13.8</v>
      </c>
      <c r="N86" s="44">
        <f t="shared" si="24"/>
        <v>12.88</v>
      </c>
      <c r="O86" s="44">
        <f t="shared" si="25"/>
        <v>15.64</v>
      </c>
      <c r="P86" s="44">
        <f t="shared" si="26"/>
        <v>0.92</v>
      </c>
      <c r="Q86" s="44">
        <f t="shared" si="30"/>
        <v>92</v>
      </c>
      <c r="R86" s="44">
        <f t="shared" si="31"/>
        <v>62.56</v>
      </c>
      <c r="S86" s="44">
        <f>($U$135-R86)^2</f>
        <v>0</v>
      </c>
      <c r="T86" s="44">
        <f t="shared" si="27"/>
        <v>29.440000000000005</v>
      </c>
    </row>
    <row r="87" spans="1:20">
      <c r="A87" t="s">
        <v>77</v>
      </c>
      <c r="B87">
        <v>105</v>
      </c>
      <c r="C87">
        <v>0</v>
      </c>
      <c r="D87">
        <v>40</v>
      </c>
      <c r="E87">
        <v>30</v>
      </c>
      <c r="F87">
        <v>5</v>
      </c>
      <c r="G87">
        <v>5</v>
      </c>
      <c r="H87">
        <v>20</v>
      </c>
      <c r="I87" t="s">
        <v>43</v>
      </c>
      <c r="J87" t="s">
        <v>33</v>
      </c>
      <c r="K87" s="11">
        <f t="shared" si="21"/>
        <v>0</v>
      </c>
      <c r="L87" s="11">
        <f t="shared" si="22"/>
        <v>42</v>
      </c>
      <c r="M87" s="11">
        <f t="shared" si="23"/>
        <v>31.5</v>
      </c>
      <c r="N87" s="11">
        <f t="shared" si="24"/>
        <v>5.25</v>
      </c>
      <c r="O87" s="11">
        <f t="shared" si="25"/>
        <v>5.25</v>
      </c>
      <c r="P87" s="11">
        <f t="shared" si="26"/>
        <v>21</v>
      </c>
      <c r="Q87" s="11">
        <f t="shared" si="30"/>
        <v>105</v>
      </c>
      <c r="R87" s="11">
        <f t="shared" si="31"/>
        <v>73.5</v>
      </c>
      <c r="S87" s="11">
        <f>($U$136-R87)^2</f>
        <v>0</v>
      </c>
      <c r="T87" s="11">
        <f t="shared" si="27"/>
        <v>31.5</v>
      </c>
    </row>
    <row r="88" spans="1:20" s="45" customFormat="1">
      <c r="A88" s="45" t="s">
        <v>78</v>
      </c>
      <c r="B88" s="45">
        <v>203</v>
      </c>
      <c r="C88" s="45">
        <v>2</v>
      </c>
      <c r="D88" s="45">
        <v>70</v>
      </c>
      <c r="E88" s="45">
        <v>10</v>
      </c>
      <c r="F88" s="45">
        <v>10</v>
      </c>
      <c r="G88" s="45">
        <v>4</v>
      </c>
      <c r="H88" s="45">
        <v>4</v>
      </c>
      <c r="I88" s="45" t="s">
        <v>44</v>
      </c>
      <c r="J88" s="45" t="s">
        <v>35</v>
      </c>
      <c r="K88" s="46">
        <f t="shared" si="21"/>
        <v>4.0599999999999996</v>
      </c>
      <c r="L88" s="46">
        <f t="shared" si="22"/>
        <v>142.1</v>
      </c>
      <c r="M88" s="46">
        <f t="shared" si="23"/>
        <v>20.299999999999997</v>
      </c>
      <c r="N88" s="46">
        <f t="shared" si="24"/>
        <v>20.299999999999997</v>
      </c>
      <c r="O88" s="46">
        <f t="shared" si="25"/>
        <v>8.1199999999999992</v>
      </c>
      <c r="P88" s="46">
        <f t="shared" si="26"/>
        <v>8.1199999999999992</v>
      </c>
      <c r="Q88" s="46">
        <f t="shared" si="30"/>
        <v>203</v>
      </c>
      <c r="R88" s="46">
        <f t="shared" si="31"/>
        <v>166.45999999999998</v>
      </c>
      <c r="S88" s="46">
        <f t="shared" ref="S88:S94" si="32">($U$137-R88)^2</f>
        <v>3579.2870224489784</v>
      </c>
      <c r="T88" s="46">
        <f t="shared" si="27"/>
        <v>36.539999999999992</v>
      </c>
    </row>
    <row r="89" spans="1:20" s="45" customFormat="1">
      <c r="A89" s="45" t="s">
        <v>80</v>
      </c>
      <c r="B89" s="45">
        <v>180</v>
      </c>
      <c r="C89" s="45">
        <v>10</v>
      </c>
      <c r="D89" s="45">
        <v>0</v>
      </c>
      <c r="E89" s="45">
        <v>10</v>
      </c>
      <c r="F89" s="45">
        <v>20</v>
      </c>
      <c r="G89" s="45">
        <v>40</v>
      </c>
      <c r="H89" s="45">
        <v>20</v>
      </c>
      <c r="I89" s="45" t="s">
        <v>44</v>
      </c>
      <c r="J89" s="45" t="s">
        <v>35</v>
      </c>
      <c r="K89" s="46">
        <f t="shared" si="21"/>
        <v>18</v>
      </c>
      <c r="L89" s="46">
        <f t="shared" si="22"/>
        <v>0</v>
      </c>
      <c r="M89" s="46">
        <f t="shared" si="23"/>
        <v>18</v>
      </c>
      <c r="N89" s="46">
        <f t="shared" si="24"/>
        <v>36</v>
      </c>
      <c r="O89" s="46">
        <f t="shared" si="25"/>
        <v>72</v>
      </c>
      <c r="P89" s="46">
        <f t="shared" si="26"/>
        <v>36</v>
      </c>
      <c r="Q89" s="46">
        <f t="shared" si="30"/>
        <v>180</v>
      </c>
      <c r="R89" s="46">
        <f t="shared" si="31"/>
        <v>36</v>
      </c>
      <c r="S89" s="46">
        <f t="shared" si="32"/>
        <v>4989.0005081632644</v>
      </c>
      <c r="T89" s="46">
        <f t="shared" si="27"/>
        <v>144</v>
      </c>
    </row>
    <row r="90" spans="1:20" s="45" customFormat="1">
      <c r="A90" s="45" t="s">
        <v>89</v>
      </c>
      <c r="B90" s="45">
        <v>195</v>
      </c>
      <c r="C90" s="45">
        <v>1</v>
      </c>
      <c r="D90" s="45">
        <v>70</v>
      </c>
      <c r="E90" s="45">
        <v>20</v>
      </c>
      <c r="F90" s="45">
        <v>5</v>
      </c>
      <c r="G90" s="45">
        <v>2</v>
      </c>
      <c r="H90" s="45">
        <v>2</v>
      </c>
      <c r="I90" s="45" t="s">
        <v>44</v>
      </c>
      <c r="J90" s="45" t="s">
        <v>32</v>
      </c>
      <c r="K90" s="46">
        <f t="shared" si="21"/>
        <v>1.95</v>
      </c>
      <c r="L90" s="46">
        <f t="shared" si="22"/>
        <v>136.5</v>
      </c>
      <c r="M90" s="46">
        <f t="shared" si="23"/>
        <v>39</v>
      </c>
      <c r="N90" s="46">
        <f t="shared" si="24"/>
        <v>9.75</v>
      </c>
      <c r="O90" s="46">
        <f t="shared" si="25"/>
        <v>3.9</v>
      </c>
      <c r="P90" s="46">
        <f t="shared" si="26"/>
        <v>3.9</v>
      </c>
      <c r="Q90" s="46">
        <f t="shared" si="30"/>
        <v>195</v>
      </c>
      <c r="R90" s="46">
        <f t="shared" si="31"/>
        <v>177.45</v>
      </c>
      <c r="S90" s="46">
        <f t="shared" si="32"/>
        <v>5015.0677224489791</v>
      </c>
      <c r="T90" s="46">
        <f t="shared" si="27"/>
        <v>17.55</v>
      </c>
    </row>
    <row r="91" spans="1:20" s="45" customFormat="1">
      <c r="A91" s="45" t="s">
        <v>90</v>
      </c>
      <c r="B91" s="45">
        <v>65</v>
      </c>
      <c r="C91" s="45">
        <v>0</v>
      </c>
      <c r="D91" s="45">
        <v>10</v>
      </c>
      <c r="E91" s="45">
        <v>10</v>
      </c>
      <c r="F91" s="45">
        <v>30</v>
      </c>
      <c r="G91" s="45">
        <v>30</v>
      </c>
      <c r="H91" s="45">
        <v>20</v>
      </c>
      <c r="I91" s="45" t="s">
        <v>44</v>
      </c>
      <c r="J91" s="45" t="s">
        <v>33</v>
      </c>
      <c r="K91" s="46">
        <f t="shared" si="21"/>
        <v>0</v>
      </c>
      <c r="L91" s="46">
        <f t="shared" si="22"/>
        <v>6.5</v>
      </c>
      <c r="M91" s="46">
        <f t="shared" si="23"/>
        <v>6.5</v>
      </c>
      <c r="N91" s="46">
        <f t="shared" si="24"/>
        <v>19.5</v>
      </c>
      <c r="O91" s="46">
        <f t="shared" si="25"/>
        <v>19.5</v>
      </c>
      <c r="P91" s="46">
        <f t="shared" si="26"/>
        <v>13</v>
      </c>
      <c r="Q91" s="46">
        <f t="shared" si="30"/>
        <v>65</v>
      </c>
      <c r="R91" s="46">
        <f t="shared" si="31"/>
        <v>13</v>
      </c>
      <c r="S91" s="46">
        <f t="shared" si="32"/>
        <v>8767.1119367346928</v>
      </c>
      <c r="T91" s="46">
        <f t="shared" si="27"/>
        <v>52</v>
      </c>
    </row>
    <row r="92" spans="1:20" s="45" customFormat="1">
      <c r="A92" s="45" t="s">
        <v>97</v>
      </c>
      <c r="B92" s="45">
        <v>21</v>
      </c>
      <c r="C92" s="45">
        <v>0</v>
      </c>
      <c r="D92" s="45">
        <v>0</v>
      </c>
      <c r="E92" s="45">
        <v>15</v>
      </c>
      <c r="F92" s="45">
        <v>20</v>
      </c>
      <c r="G92" s="45">
        <v>60</v>
      </c>
      <c r="H92" s="45">
        <v>5</v>
      </c>
      <c r="I92" s="45" t="s">
        <v>44</v>
      </c>
      <c r="J92" s="45" t="s">
        <v>33</v>
      </c>
      <c r="K92" s="46">
        <f t="shared" si="21"/>
        <v>0</v>
      </c>
      <c r="L92" s="46">
        <f t="shared" si="22"/>
        <v>0</v>
      </c>
      <c r="M92" s="46">
        <f t="shared" si="23"/>
        <v>3.15</v>
      </c>
      <c r="N92" s="46">
        <f t="shared" si="24"/>
        <v>4.2</v>
      </c>
      <c r="O92" s="46">
        <f t="shared" si="25"/>
        <v>12.6</v>
      </c>
      <c r="P92" s="46">
        <f t="shared" si="26"/>
        <v>1.05</v>
      </c>
      <c r="Q92" s="46">
        <f t="shared" si="30"/>
        <v>21</v>
      </c>
      <c r="R92" s="46">
        <f t="shared" si="31"/>
        <v>3.15</v>
      </c>
      <c r="S92" s="46">
        <f t="shared" si="32"/>
        <v>10708.701722448977</v>
      </c>
      <c r="T92" s="46">
        <f t="shared" si="27"/>
        <v>17.850000000000001</v>
      </c>
    </row>
    <row r="93" spans="1:20" s="45" customFormat="1">
      <c r="A93" s="45" t="s">
        <v>99</v>
      </c>
      <c r="B93" s="45">
        <v>217</v>
      </c>
      <c r="C93" s="45">
        <v>0</v>
      </c>
      <c r="D93" s="45">
        <v>97</v>
      </c>
      <c r="E93" s="45">
        <v>0</v>
      </c>
      <c r="F93" s="45">
        <v>2</v>
      </c>
      <c r="G93" s="45">
        <v>0</v>
      </c>
      <c r="H93" s="45">
        <v>1</v>
      </c>
      <c r="I93" s="45" t="s">
        <v>44</v>
      </c>
      <c r="J93" s="45" t="s">
        <v>32</v>
      </c>
      <c r="K93" s="46">
        <f t="shared" si="21"/>
        <v>0</v>
      </c>
      <c r="L93" s="46">
        <f t="shared" si="22"/>
        <v>210.48999999999998</v>
      </c>
      <c r="M93" s="46">
        <f t="shared" si="23"/>
        <v>0</v>
      </c>
      <c r="N93" s="46">
        <f t="shared" si="24"/>
        <v>4.34</v>
      </c>
      <c r="O93" s="46">
        <f t="shared" si="25"/>
        <v>0</v>
      </c>
      <c r="P93" s="46">
        <f t="shared" si="26"/>
        <v>2.17</v>
      </c>
      <c r="Q93" s="46">
        <f t="shared" si="30"/>
        <v>216.99999999999997</v>
      </c>
      <c r="R93" s="46">
        <f t="shared" si="31"/>
        <v>210.48999999999998</v>
      </c>
      <c r="S93" s="46">
        <f t="shared" si="32"/>
        <v>10786.306122448977</v>
      </c>
      <c r="T93" s="46">
        <f t="shared" si="27"/>
        <v>6.51</v>
      </c>
    </row>
    <row r="94" spans="1:20" s="45" customFormat="1">
      <c r="A94" s="45" t="s">
        <v>135</v>
      </c>
      <c r="B94" s="45">
        <v>269</v>
      </c>
      <c r="C94" s="45">
        <v>1</v>
      </c>
      <c r="D94" s="45">
        <v>36</v>
      </c>
      <c r="E94" s="45">
        <v>15</v>
      </c>
      <c r="F94" s="45">
        <v>16</v>
      </c>
      <c r="G94" s="45">
        <v>20</v>
      </c>
      <c r="H94" s="45">
        <v>12</v>
      </c>
      <c r="I94" s="45" t="s">
        <v>44</v>
      </c>
      <c r="J94" s="45" t="s">
        <v>32</v>
      </c>
      <c r="K94" s="46">
        <f t="shared" ref="K94:K95" si="33">($B94/100)*C94</f>
        <v>2.69</v>
      </c>
      <c r="L94" s="46">
        <f t="shared" ref="L94:L95" si="34">($B94/100)*D94</f>
        <v>96.84</v>
      </c>
      <c r="M94" s="46">
        <f t="shared" ref="M94:M95" si="35">($B94/100)*E94</f>
        <v>40.35</v>
      </c>
      <c r="N94" s="46">
        <f t="shared" ref="N94:N95" si="36">($B94/100)*F94</f>
        <v>43.04</v>
      </c>
      <c r="O94" s="46">
        <f t="shared" ref="O94:O95" si="37">($B94/100)*G94</f>
        <v>53.8</v>
      </c>
      <c r="P94" s="46">
        <f t="shared" ref="P94:P95" si="38">($B94/100)*H94</f>
        <v>32.28</v>
      </c>
      <c r="Q94" s="46">
        <f t="shared" si="30"/>
        <v>269</v>
      </c>
      <c r="R94" s="46">
        <f t="shared" si="31"/>
        <v>139.88</v>
      </c>
      <c r="S94" s="46">
        <f t="shared" si="32"/>
        <v>1105.3725081632656</v>
      </c>
      <c r="T94" s="46">
        <f t="shared" si="27"/>
        <v>129.12</v>
      </c>
    </row>
    <row r="95" spans="1:20" s="47" customFormat="1">
      <c r="A95" s="47" t="s">
        <v>81</v>
      </c>
      <c r="B95" s="47">
        <v>70</v>
      </c>
      <c r="C95" s="47">
        <v>5</v>
      </c>
      <c r="D95" s="47">
        <v>40</v>
      </c>
      <c r="E95" s="47">
        <v>30</v>
      </c>
      <c r="F95" s="47">
        <v>10</v>
      </c>
      <c r="G95" s="47">
        <v>10</v>
      </c>
      <c r="H95" s="47">
        <v>5</v>
      </c>
      <c r="I95" s="47" t="s">
        <v>45</v>
      </c>
      <c r="J95" s="47" t="s">
        <v>33</v>
      </c>
      <c r="K95" s="48">
        <f t="shared" si="33"/>
        <v>3.5</v>
      </c>
      <c r="L95" s="48">
        <f t="shared" si="34"/>
        <v>28</v>
      </c>
      <c r="M95" s="48">
        <f t="shared" si="35"/>
        <v>21</v>
      </c>
      <c r="N95" s="48">
        <f t="shared" si="36"/>
        <v>7</v>
      </c>
      <c r="O95" s="48">
        <f t="shared" si="37"/>
        <v>7</v>
      </c>
      <c r="P95" s="48">
        <f t="shared" si="38"/>
        <v>3.5</v>
      </c>
      <c r="Q95" s="48">
        <f t="shared" si="30"/>
        <v>70</v>
      </c>
      <c r="R95" s="48">
        <f t="shared" si="31"/>
        <v>52.5</v>
      </c>
      <c r="S95" s="48">
        <f>($U$138-R95)^2</f>
        <v>0</v>
      </c>
      <c r="T95" s="48">
        <f t="shared" si="27"/>
        <v>17.5</v>
      </c>
    </row>
    <row r="96" spans="1:20">
      <c r="L96" s="11"/>
      <c r="N96" s="11"/>
    </row>
    <row r="97" spans="1:8">
      <c r="B97" s="11"/>
      <c r="C97" s="11"/>
      <c r="D97" s="11"/>
      <c r="E97" s="11"/>
      <c r="F97" s="11"/>
      <c r="G97" s="11"/>
      <c r="H97" s="11"/>
    </row>
    <row r="105" spans="1:8">
      <c r="A105" s="23" t="s">
        <v>428</v>
      </c>
      <c r="B105" s="23" t="s">
        <v>443</v>
      </c>
      <c r="C105" s="27" t="s">
        <v>444</v>
      </c>
    </row>
    <row r="106" spans="1:8">
      <c r="A106" s="23" t="s">
        <v>414</v>
      </c>
      <c r="B106" s="23">
        <v>50</v>
      </c>
      <c r="C106" s="27">
        <f t="array" ref="C106:C120">FREQUENCY($B$3:$B$95,$B$106:$B$120)</f>
        <v>16</v>
      </c>
      <c r="D106">
        <f>SUM(C106:C109)</f>
        <v>67</v>
      </c>
      <c r="E106" s="19">
        <f>D106/93</f>
        <v>0.72043010752688175</v>
      </c>
    </row>
    <row r="107" spans="1:8">
      <c r="A107" s="23" t="s">
        <v>415</v>
      </c>
      <c r="B107" s="23">
        <v>100</v>
      </c>
      <c r="C107" s="27">
        <v>15</v>
      </c>
      <c r="D107">
        <f>SUM(C110:C120)</f>
        <v>26</v>
      </c>
      <c r="E107" s="19">
        <f>D107/93</f>
        <v>0.27956989247311825</v>
      </c>
    </row>
    <row r="108" spans="1:8">
      <c r="A108" s="23" t="s">
        <v>411</v>
      </c>
      <c r="B108" s="23">
        <v>150</v>
      </c>
      <c r="C108" s="27">
        <v>22</v>
      </c>
    </row>
    <row r="109" spans="1:8">
      <c r="A109" s="23" t="s">
        <v>416</v>
      </c>
      <c r="B109" s="23">
        <v>200</v>
      </c>
      <c r="C109" s="27">
        <v>14</v>
      </c>
    </row>
    <row r="110" spans="1:8">
      <c r="A110" s="23" t="s">
        <v>417</v>
      </c>
      <c r="B110" s="23">
        <v>250</v>
      </c>
      <c r="C110" s="27">
        <v>8</v>
      </c>
    </row>
    <row r="111" spans="1:8">
      <c r="A111" s="23" t="s">
        <v>418</v>
      </c>
      <c r="B111" s="23">
        <v>300</v>
      </c>
      <c r="C111" s="27">
        <v>7</v>
      </c>
    </row>
    <row r="112" spans="1:8">
      <c r="A112" s="23" t="s">
        <v>419</v>
      </c>
      <c r="B112" s="23">
        <v>350</v>
      </c>
      <c r="C112" s="27">
        <v>3</v>
      </c>
    </row>
    <row r="113" spans="1:37 16384:16384">
      <c r="A113" s="23" t="s">
        <v>420</v>
      </c>
      <c r="B113" s="23">
        <v>400</v>
      </c>
      <c r="C113" s="27">
        <v>3</v>
      </c>
    </row>
    <row r="114" spans="1:37 16384:16384">
      <c r="A114" s="23" t="s">
        <v>421</v>
      </c>
      <c r="B114" s="23">
        <v>450</v>
      </c>
      <c r="C114" s="27">
        <v>3</v>
      </c>
    </row>
    <row r="115" spans="1:37 16384:16384">
      <c r="A115" s="23" t="s">
        <v>422</v>
      </c>
      <c r="B115" s="23">
        <v>500</v>
      </c>
      <c r="C115" s="27">
        <v>0</v>
      </c>
    </row>
    <row r="116" spans="1:37 16384:16384">
      <c r="A116" s="23" t="s">
        <v>423</v>
      </c>
      <c r="B116" s="23">
        <v>550</v>
      </c>
      <c r="C116" s="27">
        <v>0</v>
      </c>
    </row>
    <row r="117" spans="1:37 16384:16384">
      <c r="A117" s="23" t="s">
        <v>424</v>
      </c>
      <c r="B117" s="23">
        <v>600</v>
      </c>
      <c r="C117" s="27">
        <v>1</v>
      </c>
    </row>
    <row r="118" spans="1:37 16384:16384">
      <c r="A118" s="23" t="s">
        <v>425</v>
      </c>
      <c r="B118" s="23">
        <v>650</v>
      </c>
      <c r="C118" s="27">
        <v>0</v>
      </c>
    </row>
    <row r="119" spans="1:37 16384:16384">
      <c r="A119" s="23" t="s">
        <v>426</v>
      </c>
      <c r="B119" s="23">
        <v>700</v>
      </c>
      <c r="C119" s="27">
        <v>0</v>
      </c>
    </row>
    <row r="120" spans="1:37 16384:16384">
      <c r="A120" s="23" t="s">
        <v>427</v>
      </c>
      <c r="B120" s="23"/>
      <c r="C120" s="27">
        <v>1</v>
      </c>
    </row>
    <row r="124" spans="1:37 16384:16384" ht="16" customHeight="1">
      <c r="A124" t="s">
        <v>374</v>
      </c>
      <c r="C124" s="399" t="s">
        <v>433</v>
      </c>
      <c r="D124" s="399"/>
      <c r="E124" s="399"/>
      <c r="F124" s="399"/>
      <c r="G124" s="399"/>
      <c r="H124" s="399"/>
      <c r="J124" s="25"/>
      <c r="K124" s="25"/>
      <c r="L124" s="25"/>
      <c r="M124" s="25" t="s">
        <v>439</v>
      </c>
      <c r="N124" s="25"/>
      <c r="O124" s="25"/>
      <c r="P124" s="25"/>
      <c r="Q124" s="25"/>
      <c r="R124" s="25"/>
    </row>
    <row r="125" spans="1:37 16384:16384">
      <c r="A125" s="9" t="s">
        <v>370</v>
      </c>
      <c r="B125" t="s">
        <v>432</v>
      </c>
      <c r="C125" s="27" t="s">
        <v>376</v>
      </c>
      <c r="D125" s="27" t="s">
        <v>442</v>
      </c>
      <c r="E125" s="27" t="s">
        <v>430</v>
      </c>
      <c r="F125" s="27" t="s">
        <v>413</v>
      </c>
      <c r="G125" s="27" t="s">
        <v>448</v>
      </c>
      <c r="H125" s="27" t="s">
        <v>431</v>
      </c>
      <c r="I125" s="27" t="s">
        <v>410</v>
      </c>
      <c r="J125" t="s">
        <v>449</v>
      </c>
      <c r="K125" t="s">
        <v>441</v>
      </c>
      <c r="M125" t="s">
        <v>376</v>
      </c>
      <c r="N125" t="s">
        <v>445</v>
      </c>
      <c r="O125" s="27" t="s">
        <v>446</v>
      </c>
      <c r="P125" t="s">
        <v>430</v>
      </c>
      <c r="Q125" t="s">
        <v>413</v>
      </c>
      <c r="R125" t="s">
        <v>448</v>
      </c>
      <c r="S125" t="s">
        <v>431</v>
      </c>
      <c r="T125" t="s">
        <v>410</v>
      </c>
      <c r="U125" t="s">
        <v>449</v>
      </c>
      <c r="V125" t="s">
        <v>441</v>
      </c>
      <c r="W125" t="s">
        <v>451</v>
      </c>
      <c r="X125" t="s">
        <v>403</v>
      </c>
      <c r="Y125" t="s">
        <v>440</v>
      </c>
      <c r="Z125" t="s">
        <v>452</v>
      </c>
      <c r="AB125" s="27" t="s">
        <v>376</v>
      </c>
      <c r="AC125" s="27" t="s">
        <v>445</v>
      </c>
      <c r="AD125" s="27" t="s">
        <v>446</v>
      </c>
      <c r="AE125" s="27" t="s">
        <v>430</v>
      </c>
      <c r="AF125" s="27" t="s">
        <v>413</v>
      </c>
      <c r="AG125" s="27" t="s">
        <v>448</v>
      </c>
      <c r="AH125" s="27" t="s">
        <v>431</v>
      </c>
      <c r="AI125" s="27" t="s">
        <v>410</v>
      </c>
      <c r="AJ125" t="s">
        <v>449</v>
      </c>
      <c r="AK125" t="s">
        <v>441</v>
      </c>
    </row>
    <row r="126" spans="1:37 16384:16384">
      <c r="A126" s="10" t="s">
        <v>31</v>
      </c>
      <c r="B126" s="7">
        <v>13</v>
      </c>
      <c r="C126" s="27">
        <f>SUM(B3:B15)</f>
        <v>3621</v>
      </c>
      <c r="D126" s="49">
        <f>C126/GETPIVOTDATA("Název klubu",$A$125,"V jakém sportovním odvětví působí váš klub-","Atletika")</f>
        <v>278.53846153846155</v>
      </c>
      <c r="E126" s="27">
        <f>MIN(B3:B15)</f>
        <v>10</v>
      </c>
      <c r="F126" s="27">
        <f>MAX(B3:B15)</f>
        <v>720</v>
      </c>
      <c r="G126">
        <f>F126-E126</f>
        <v>710</v>
      </c>
      <c r="H126" s="27">
        <f>MEDIAN(B3:B15)</f>
        <v>260</v>
      </c>
      <c r="I126" s="27" t="s">
        <v>437</v>
      </c>
      <c r="J126" s="11">
        <f>AVERAGEA(B3:B15)</f>
        <v>278.53846153846155</v>
      </c>
      <c r="K126" s="11">
        <f>STDEVA(B3:B15)</f>
        <v>215.3855517378914</v>
      </c>
      <c r="M126" s="11">
        <f>SUM(K3:M15)</f>
        <v>2398.6299999999997</v>
      </c>
      <c r="N126" s="11">
        <f>M126/GETPIVOTDATA("Název klubu",$A$125,"V jakém sportovním odvětví působí váš klub-","Atletika")</f>
        <v>184.50999999999996</v>
      </c>
      <c r="O126" s="20">
        <f t="shared" ref="O126:O139" si="39">M126/C126</f>
        <v>0.66242198287765797</v>
      </c>
      <c r="P126" s="11">
        <f>MIN(R3:R15)</f>
        <v>3</v>
      </c>
      <c r="Q126" s="11">
        <f>MAX(R3:R15)</f>
        <v>456</v>
      </c>
      <c r="R126" s="11">
        <f>Q126-P126</f>
        <v>453</v>
      </c>
      <c r="S126" s="11">
        <f>MEDIAN(R3:R15)</f>
        <v>140.80000000000001</v>
      </c>
      <c r="T126" t="s">
        <v>437</v>
      </c>
      <c r="U126" s="11">
        <f>AVERAGEA(R3:R15)</f>
        <v>184.51000000000002</v>
      </c>
      <c r="V126" s="11">
        <f>STDEVA(R3:R15)</f>
        <v>152.22411838032323</v>
      </c>
      <c r="W126" s="11">
        <f>SUM(S3:S15)</f>
        <v>278066.18660000002</v>
      </c>
      <c r="X126">
        <v>13</v>
      </c>
      <c r="Y126" s="6">
        <f>W126/X126</f>
        <v>21389.706661538461</v>
      </c>
      <c r="Z126" s="6">
        <f>SQRT(Y126)</f>
        <v>146.25220224508917</v>
      </c>
      <c r="AB126" s="49">
        <f>SUM(T3:T15)</f>
        <v>1222.3699999999999</v>
      </c>
      <c r="AC126" s="49">
        <f>AB126/X126</f>
        <v>94.028461538461528</v>
      </c>
      <c r="AD126" s="56">
        <f>AB126/C126</f>
        <v>0.33757801712234187</v>
      </c>
      <c r="AE126" s="49">
        <f>MIN(T3:T15)</f>
        <v>7</v>
      </c>
      <c r="AF126" s="49">
        <f>MAX(T3:T15)</f>
        <v>403.20000000000005</v>
      </c>
      <c r="AG126" s="49">
        <f>AF126-AE126</f>
        <v>396.20000000000005</v>
      </c>
      <c r="AH126" s="49">
        <f>MEDIAN(T3:T15)</f>
        <v>75</v>
      </c>
      <c r="AI126" s="27" t="s">
        <v>437</v>
      </c>
      <c r="AJ126" s="11">
        <f>AVERAGEA(T3:T15)</f>
        <v>94.028461538461528</v>
      </c>
      <c r="AK126" s="11">
        <f>STDEVA(T3:T15)</f>
        <v>109.10112181260665</v>
      </c>
      <c r="XFD126" s="11">
        <f>SUM(M126:XFC126)</f>
        <v>305989.74762705353</v>
      </c>
    </row>
    <row r="127" spans="1:37 16384:16384">
      <c r="A127" s="10" t="s">
        <v>36</v>
      </c>
      <c r="B127" s="7">
        <v>2</v>
      </c>
      <c r="C127" s="27">
        <f>SUM(B16:B17)</f>
        <v>61</v>
      </c>
      <c r="D127" s="49">
        <f>C127/GETPIVOTDATA("Název klubu",$A$125,"V jakém sportovním odvětví působí váš klub-","Biatlon")</f>
        <v>30.5</v>
      </c>
      <c r="E127" s="27">
        <f>MIN(B16:B17)</f>
        <v>11</v>
      </c>
      <c r="F127" s="27">
        <f>MAX(B16:B17)</f>
        <v>50</v>
      </c>
      <c r="G127">
        <f t="shared" ref="G127:G139" si="40">F127-E127</f>
        <v>39</v>
      </c>
      <c r="H127" s="27">
        <f>MEDIAN(B16:B17)</f>
        <v>30.5</v>
      </c>
      <c r="I127" s="27" t="s">
        <v>437</v>
      </c>
      <c r="J127" s="11">
        <f>AVERAGEA(B16:B17)</f>
        <v>30.5</v>
      </c>
      <c r="K127" s="11">
        <f>STDEVA(B16:B17)</f>
        <v>27.577164466275352</v>
      </c>
      <c r="M127" s="11">
        <f>SUM(K16:M17)</f>
        <v>51.15</v>
      </c>
      <c r="N127" s="11">
        <f>M127/GETPIVOTDATA("Název klubu",$A$125,"V jakém sportovním odvětví působí váš klub-","Biatlon")</f>
        <v>25.574999999999999</v>
      </c>
      <c r="O127" s="20">
        <f t="shared" si="39"/>
        <v>0.83852459016393444</v>
      </c>
      <c r="P127" s="11">
        <f>MIN(R16:R17)</f>
        <v>7.15</v>
      </c>
      <c r="Q127" s="11">
        <f>MAX(R16:R17)</f>
        <v>44</v>
      </c>
      <c r="R127" s="11">
        <f t="shared" ref="R127:R139" si="41">Q127-P127</f>
        <v>36.85</v>
      </c>
      <c r="S127" s="11">
        <f>MEDIAN(R16:R17)</f>
        <v>25.575000000000003</v>
      </c>
      <c r="T127" t="s">
        <v>437</v>
      </c>
      <c r="U127" s="11">
        <f>AVERAGEA(R16:R17)</f>
        <v>25.574999999999999</v>
      </c>
      <c r="V127" s="11">
        <f>STDEVA(R16:R17)</f>
        <v>26.056884886724276</v>
      </c>
      <c r="W127" s="11">
        <f>SUM(S16:S17)</f>
        <v>678.96124999999995</v>
      </c>
      <c r="X127">
        <v>2</v>
      </c>
      <c r="Y127" s="6">
        <f t="shared" ref="Y127:Y139" si="42">W127/X127</f>
        <v>339.48062499999997</v>
      </c>
      <c r="Z127" s="6">
        <f t="shared" ref="Z127:Z139" si="43">SQRT(Y127)</f>
        <v>18.425000000000001</v>
      </c>
      <c r="AB127" s="49">
        <f>SUM(T16:T17)</f>
        <v>9.85</v>
      </c>
      <c r="AC127" s="49">
        <f t="shared" ref="AC127:AC138" si="44">AB127/X127</f>
        <v>4.9249999999999998</v>
      </c>
      <c r="AD127" s="56">
        <f t="shared" ref="AD127:AD139" si="45">AB127/C127</f>
        <v>0.16147540983606556</v>
      </c>
      <c r="AE127" s="49">
        <f>MIN(T16:T17)</f>
        <v>3.85</v>
      </c>
      <c r="AF127" s="49">
        <f>MAX(T16:T17)</f>
        <v>6</v>
      </c>
      <c r="AG127" s="49">
        <f t="shared" ref="AG127:AG139" si="46">AF127-AE127</f>
        <v>2.15</v>
      </c>
      <c r="AH127" s="49">
        <f>MEDIAN(T16:T17)</f>
        <v>4.9249999999999998</v>
      </c>
      <c r="AI127" s="27" t="s">
        <v>437</v>
      </c>
      <c r="AJ127" s="11">
        <f>AVERAGEA(T16:T17)</f>
        <v>4.9249999999999998</v>
      </c>
      <c r="AK127" s="11">
        <f>STDEVA(T16:T17)</f>
        <v>1.52027957955108</v>
      </c>
    </row>
    <row r="128" spans="1:37 16384:16384">
      <c r="A128" s="10" t="s">
        <v>46</v>
      </c>
      <c r="B128" s="7">
        <v>1</v>
      </c>
      <c r="C128" s="27">
        <f>SUM(B18)</f>
        <v>21</v>
      </c>
      <c r="D128" s="27">
        <v>21</v>
      </c>
      <c r="E128" s="27">
        <f>MIN(B18)</f>
        <v>21</v>
      </c>
      <c r="F128" s="27">
        <f>MAX(B18)</f>
        <v>21</v>
      </c>
      <c r="G128">
        <f t="shared" si="40"/>
        <v>0</v>
      </c>
      <c r="H128" s="27">
        <f>MEDIAN(B18)</f>
        <v>21</v>
      </c>
      <c r="I128" s="27" t="s">
        <v>437</v>
      </c>
      <c r="J128" s="11">
        <f>AVERAGEA(B18)</f>
        <v>21</v>
      </c>
      <c r="K128" s="11">
        <f>STDEVPA(B18)</f>
        <v>0</v>
      </c>
      <c r="M128" s="11">
        <f>SUM(K18:M18)</f>
        <v>6.3000000000000007</v>
      </c>
      <c r="N128" s="11">
        <f>M128/GETPIVOTDATA("Název klubu",$A$125,"V jakém sportovním odvětví působí váš klub-","Curling")</f>
        <v>6.3000000000000007</v>
      </c>
      <c r="O128" s="20">
        <f t="shared" si="39"/>
        <v>0.30000000000000004</v>
      </c>
      <c r="P128" s="11">
        <f>MIN(R18)</f>
        <v>6.3000000000000007</v>
      </c>
      <c r="Q128" s="11">
        <f>MAX(R18)</f>
        <v>6.3000000000000007</v>
      </c>
      <c r="R128" s="11">
        <f t="shared" si="41"/>
        <v>0</v>
      </c>
      <c r="S128" s="11">
        <f>MEDIAN(R18)</f>
        <v>6.3000000000000007</v>
      </c>
      <c r="T128" t="s">
        <v>437</v>
      </c>
      <c r="U128" s="11">
        <f>AVERAGEA(R18)</f>
        <v>6.3000000000000007</v>
      </c>
      <c r="V128" s="11">
        <f>STDEVPA(R18)</f>
        <v>0</v>
      </c>
      <c r="W128" s="11">
        <f>SUM(S18)</f>
        <v>0</v>
      </c>
      <c r="X128">
        <v>1</v>
      </c>
      <c r="Y128" s="6">
        <f t="shared" si="42"/>
        <v>0</v>
      </c>
      <c r="Z128" s="6">
        <f t="shared" si="43"/>
        <v>0</v>
      </c>
      <c r="AB128" s="49">
        <f>SUM(T18)</f>
        <v>14.7</v>
      </c>
      <c r="AC128" s="49">
        <f t="shared" si="44"/>
        <v>14.7</v>
      </c>
      <c r="AD128" s="56">
        <f t="shared" si="45"/>
        <v>0.7</v>
      </c>
      <c r="AE128" s="49">
        <f>MIN(T18)</f>
        <v>14.7</v>
      </c>
      <c r="AF128" s="49">
        <f>MAX(T18)</f>
        <v>14.7</v>
      </c>
      <c r="AG128" s="49">
        <f t="shared" si="46"/>
        <v>0</v>
      </c>
      <c r="AH128" s="49">
        <f>MEDIAN(T18)</f>
        <v>14.7</v>
      </c>
      <c r="AI128" s="27" t="s">
        <v>437</v>
      </c>
      <c r="AJ128" s="11">
        <f>AVERAGEA(T18)</f>
        <v>14.7</v>
      </c>
      <c r="AK128" s="11">
        <f>STDEVPA(T18)</f>
        <v>0</v>
      </c>
    </row>
    <row r="129" spans="1:37">
      <c r="A129" s="10" t="s">
        <v>37</v>
      </c>
      <c r="B129" s="7">
        <v>10</v>
      </c>
      <c r="C129" s="27">
        <f>SUM(B19:B28)</f>
        <v>1755</v>
      </c>
      <c r="D129" s="49">
        <f>C129/GETPIVOTDATA("Název klubu",$A$125,"V jakém sportovním odvětví působí váš klub-","Florbal")</f>
        <v>175.5</v>
      </c>
      <c r="E129" s="27">
        <f>MIN(B19:B28)</f>
        <v>19</v>
      </c>
      <c r="F129" s="27">
        <f>MAX(B19:B28)</f>
        <v>450</v>
      </c>
      <c r="G129">
        <f t="shared" si="40"/>
        <v>431</v>
      </c>
      <c r="H129" s="27">
        <f>MEDIAN(B19:B28)</f>
        <v>155</v>
      </c>
      <c r="I129" s="27" t="s">
        <v>437</v>
      </c>
      <c r="J129" s="11">
        <f>AVERAGEA(B19:B28)</f>
        <v>175.5</v>
      </c>
      <c r="K129" s="11">
        <f>STDEVA(B19:B28)</f>
        <v>142.2105246925604</v>
      </c>
      <c r="M129" s="11">
        <f>SUM(K19:M28)</f>
        <v>1268.7300000000005</v>
      </c>
      <c r="N129" s="11">
        <f>M129/GETPIVOTDATA("Název klubu",$A$125,"V jakém sportovním odvětví působí váš klub-","Florbal")</f>
        <v>126.87300000000005</v>
      </c>
      <c r="O129" s="20">
        <f t="shared" si="39"/>
        <v>0.72292307692307722</v>
      </c>
      <c r="P129" s="11">
        <f>MIN(R19:R28)</f>
        <v>2.85</v>
      </c>
      <c r="Q129" s="11">
        <f>MAX(R19:R28)</f>
        <v>360</v>
      </c>
      <c r="R129" s="11">
        <f t="shared" si="41"/>
        <v>357.15</v>
      </c>
      <c r="S129" s="11">
        <f>MEDIAN(R19:R28)</f>
        <v>102.95</v>
      </c>
      <c r="T129" t="s">
        <v>437</v>
      </c>
      <c r="U129" s="11">
        <f>AVERAGEA(R19:R28)</f>
        <v>126.873</v>
      </c>
      <c r="V129" s="11">
        <f>STDEVA(R19:R28)</f>
        <v>114.43947629399763</v>
      </c>
      <c r="W129" s="11">
        <f>SUM(S19:S28)</f>
        <v>117867.54361000002</v>
      </c>
      <c r="X129">
        <v>10</v>
      </c>
      <c r="Y129" s="6">
        <f t="shared" si="42"/>
        <v>11786.754361000003</v>
      </c>
      <c r="Z129" s="6">
        <f t="shared" si="43"/>
        <v>108.56681979776327</v>
      </c>
      <c r="AB129" s="49">
        <f>SUM(T19:T28)</f>
        <v>486.27</v>
      </c>
      <c r="AC129" s="49">
        <f t="shared" si="44"/>
        <v>48.626999999999995</v>
      </c>
      <c r="AD129" s="56">
        <f t="shared" si="45"/>
        <v>0.27707692307692305</v>
      </c>
      <c r="AE129" s="49">
        <f>MIN(T19:T28)</f>
        <v>0</v>
      </c>
      <c r="AF129" s="49">
        <f>MAX(T19:T28)</f>
        <v>98.82</v>
      </c>
      <c r="AG129" s="49">
        <f t="shared" si="46"/>
        <v>98.82</v>
      </c>
      <c r="AH129" s="49">
        <f>MEDIAN(T19:T28)</f>
        <v>48.599999999999994</v>
      </c>
      <c r="AI129" s="27" t="s">
        <v>437</v>
      </c>
      <c r="AJ129" s="11">
        <f>AVERAGEA(T19:T28)</f>
        <v>48.626999999999995</v>
      </c>
      <c r="AK129" s="11">
        <f>STDEVA(T19:T28)</f>
        <v>34.085209581609178</v>
      </c>
    </row>
    <row r="130" spans="1:37">
      <c r="A130" s="10" t="s">
        <v>38</v>
      </c>
      <c r="B130" s="7">
        <v>47</v>
      </c>
      <c r="C130" s="27">
        <f>SUM(B29:B75)</f>
        <v>7329</v>
      </c>
      <c r="D130" s="49">
        <f>C130/GETPIVOTDATA("Název klubu",$A$125,"V jakém sportovním odvětví působí váš klub-","Fotbal")</f>
        <v>155.93617021276594</v>
      </c>
      <c r="E130" s="27">
        <f>MIN(B29:B75)</f>
        <v>45</v>
      </c>
      <c r="F130" s="27">
        <f>MAX(B29:B75)</f>
        <v>420</v>
      </c>
      <c r="G130">
        <f t="shared" si="40"/>
        <v>375</v>
      </c>
      <c r="H130" s="27">
        <f>MEDIAN(B29:B75)</f>
        <v>127</v>
      </c>
      <c r="I130" s="27">
        <f>MODE(B29:B75)</f>
        <v>105</v>
      </c>
      <c r="J130" s="11">
        <f>AVERAGEA(B29:B75)</f>
        <v>155.93617021276594</v>
      </c>
      <c r="K130" s="11">
        <f>STDEVPA(B29:B75)</f>
        <v>84.579662626506021</v>
      </c>
      <c r="M130" s="11">
        <f>SUM(K29:M75)</f>
        <v>3558.4569999999994</v>
      </c>
      <c r="N130" s="11">
        <f>M130/GETPIVOTDATA("Název klubu",$A$125,"V jakém sportovním odvětví působí váš klub-","Fotbal")</f>
        <v>75.711851063829769</v>
      </c>
      <c r="O130" s="20">
        <f t="shared" si="39"/>
        <v>0.48553104106972295</v>
      </c>
      <c r="P130" s="11">
        <f>MIN(R29:R75)</f>
        <v>0</v>
      </c>
      <c r="Q130" s="11">
        <f>MAX(R29:R75)</f>
        <v>281.2</v>
      </c>
      <c r="R130" s="11">
        <f t="shared" si="41"/>
        <v>281.2</v>
      </c>
      <c r="S130" s="11">
        <f>MEDIAN(R29:R75)</f>
        <v>54.45</v>
      </c>
      <c r="T130">
        <f>MODE(R29:R75)</f>
        <v>47.25</v>
      </c>
      <c r="U130" s="11">
        <f>AVERAGEA(R29:R75)</f>
        <v>75.711851063829783</v>
      </c>
      <c r="V130" s="11">
        <f>STDEVA(R29:R75)</f>
        <v>60.663098599158708</v>
      </c>
      <c r="W130" s="11">
        <f>SUM(S29:S75)</f>
        <v>169280.53045595743</v>
      </c>
      <c r="X130">
        <v>47</v>
      </c>
      <c r="Y130" s="6">
        <f t="shared" si="42"/>
        <v>3601.713413956541</v>
      </c>
      <c r="Z130" s="6">
        <f t="shared" si="43"/>
        <v>60.014276751090996</v>
      </c>
      <c r="AB130" s="49">
        <f>SUM(T29:T75)</f>
        <v>3770.5430000000001</v>
      </c>
      <c r="AC130" s="49">
        <f t="shared" si="44"/>
        <v>80.224319148936175</v>
      </c>
      <c r="AD130" s="56">
        <f t="shared" si="45"/>
        <v>0.514468958930277</v>
      </c>
      <c r="AE130" s="49">
        <f>MIN(T29:T75)</f>
        <v>14.8</v>
      </c>
      <c r="AF130" s="49">
        <f>MAX(T29:T75)</f>
        <v>273</v>
      </c>
      <c r="AG130" s="49">
        <f t="shared" si="46"/>
        <v>258.2</v>
      </c>
      <c r="AH130" s="49">
        <f>MEDIAN(T29:T75)</f>
        <v>71.040000000000006</v>
      </c>
      <c r="AI130" s="27" t="s">
        <v>437</v>
      </c>
      <c r="AJ130" s="11">
        <f>AVERAGEA(T29:T75)</f>
        <v>80.224319148936175</v>
      </c>
      <c r="AK130" s="11">
        <f>STDEVA(T29:T75)</f>
        <v>46.156705165596009</v>
      </c>
    </row>
    <row r="131" spans="1:37">
      <c r="A131" s="10" t="s">
        <v>39</v>
      </c>
      <c r="B131" s="7">
        <v>1</v>
      </c>
      <c r="C131" s="27">
        <f>SUM(B76)</f>
        <v>95</v>
      </c>
      <c r="D131" s="49">
        <f>C131/GETPIVOTDATA("Název klubu",$A$125,"V jakém sportovním odvětví působí váš klub-","Horolozectví")</f>
        <v>95</v>
      </c>
      <c r="E131" s="27">
        <f>MIN(B76)</f>
        <v>95</v>
      </c>
      <c r="F131" s="27">
        <f>MAX(B76)</f>
        <v>95</v>
      </c>
      <c r="G131">
        <f t="shared" si="40"/>
        <v>0</v>
      </c>
      <c r="H131" s="27">
        <f>MEDIAN(B76)</f>
        <v>95</v>
      </c>
      <c r="I131" s="27" t="s">
        <v>437</v>
      </c>
      <c r="J131" s="11">
        <f>AVERAGEA(B76)</f>
        <v>95</v>
      </c>
      <c r="K131" s="11">
        <f>STDEVPA(B76)</f>
        <v>0</v>
      </c>
      <c r="M131" s="11">
        <f>SUM(K76:M76)</f>
        <v>57</v>
      </c>
      <c r="N131" s="11">
        <f>M131/GETPIVOTDATA("Název klubu",$A$125,"V jakém sportovním odvětví působí váš klub-","Horolozectví")</f>
        <v>57</v>
      </c>
      <c r="O131" s="20">
        <f t="shared" si="39"/>
        <v>0.6</v>
      </c>
      <c r="P131" s="11">
        <f>MIN(R76)</f>
        <v>57</v>
      </c>
      <c r="Q131" s="11">
        <f>MAX(R76)</f>
        <v>57</v>
      </c>
      <c r="R131" s="11">
        <f t="shared" si="41"/>
        <v>0</v>
      </c>
      <c r="S131" s="11">
        <f>MEDIAN(R76)</f>
        <v>57</v>
      </c>
      <c r="T131" t="s">
        <v>437</v>
      </c>
      <c r="U131" s="11">
        <f>AVERAGEA(R76)</f>
        <v>57</v>
      </c>
      <c r="V131" s="11">
        <f>STDEVPA(R76)</f>
        <v>0</v>
      </c>
      <c r="W131" s="11">
        <f>SUM(S76)</f>
        <v>0</v>
      </c>
      <c r="X131">
        <v>1</v>
      </c>
      <c r="Y131" s="6">
        <f t="shared" si="42"/>
        <v>0</v>
      </c>
      <c r="Z131" s="6">
        <f t="shared" si="43"/>
        <v>0</v>
      </c>
      <c r="AB131" s="49">
        <f>SUM(T76)</f>
        <v>38</v>
      </c>
      <c r="AC131" s="49">
        <f t="shared" si="44"/>
        <v>38</v>
      </c>
      <c r="AD131" s="56">
        <f t="shared" si="45"/>
        <v>0.4</v>
      </c>
      <c r="AE131" s="49">
        <f>MIN(T76)</f>
        <v>38</v>
      </c>
      <c r="AF131" s="49">
        <f>MAX(T76)</f>
        <v>38</v>
      </c>
      <c r="AG131" s="49">
        <f t="shared" si="46"/>
        <v>0</v>
      </c>
      <c r="AH131" s="49">
        <f>MEDIAN(T76)</f>
        <v>38</v>
      </c>
      <c r="AI131" s="27" t="s">
        <v>437</v>
      </c>
      <c r="AJ131" s="11">
        <f>AVERAGEA(T76)</f>
        <v>38</v>
      </c>
      <c r="AK131" s="11">
        <f>STDEVPA(T76)</f>
        <v>0</v>
      </c>
    </row>
    <row r="132" spans="1:37">
      <c r="A132" s="10" t="s">
        <v>40</v>
      </c>
      <c r="B132" s="7">
        <v>1</v>
      </c>
      <c r="C132" s="27">
        <f>SUM(B77)</f>
        <v>50</v>
      </c>
      <c r="D132" s="27">
        <v>50</v>
      </c>
      <c r="E132" s="27">
        <f>MIN(B77)</f>
        <v>50</v>
      </c>
      <c r="F132" s="27">
        <f>MAX(B77)</f>
        <v>50</v>
      </c>
      <c r="G132">
        <f t="shared" si="40"/>
        <v>0</v>
      </c>
      <c r="H132" s="27">
        <f>MEDIAN(B77)</f>
        <v>50</v>
      </c>
      <c r="I132" s="27" t="s">
        <v>437</v>
      </c>
      <c r="J132" s="11">
        <f>AVERAGEA(B77)</f>
        <v>50</v>
      </c>
      <c r="K132" s="11">
        <f>STDEVPA(B77)</f>
        <v>0</v>
      </c>
      <c r="M132" s="11">
        <f>SUM(K77:M77)</f>
        <v>40</v>
      </c>
      <c r="N132" s="11">
        <f>M132/GETPIVOTDATA("Název klubu",$A$125,"V jakém sportovním odvětví působí váš klub-","Jezdectví")</f>
        <v>40</v>
      </c>
      <c r="O132" s="20">
        <f t="shared" si="39"/>
        <v>0.8</v>
      </c>
      <c r="P132" s="11">
        <f>MIN(R77)</f>
        <v>40</v>
      </c>
      <c r="Q132" s="11">
        <f>MAX(R77)</f>
        <v>40</v>
      </c>
      <c r="R132" s="11">
        <f t="shared" si="41"/>
        <v>0</v>
      </c>
      <c r="S132" s="11">
        <f>MEDIAN(R77)</f>
        <v>40</v>
      </c>
      <c r="T132" t="s">
        <v>437</v>
      </c>
      <c r="U132" s="11">
        <f>AVERAGEA(R77)</f>
        <v>40</v>
      </c>
      <c r="V132" s="11">
        <f>STDEVPA(R77)</f>
        <v>0</v>
      </c>
      <c r="W132" s="11">
        <f>SUM(S77)</f>
        <v>0</v>
      </c>
      <c r="X132">
        <v>1</v>
      </c>
      <c r="Y132" s="6">
        <f t="shared" si="42"/>
        <v>0</v>
      </c>
      <c r="Z132" s="6">
        <f t="shared" si="43"/>
        <v>0</v>
      </c>
      <c r="AB132" s="49">
        <f>SUM(T77)</f>
        <v>10</v>
      </c>
      <c r="AC132" s="49">
        <f t="shared" si="44"/>
        <v>10</v>
      </c>
      <c r="AD132" s="56">
        <f t="shared" si="45"/>
        <v>0.2</v>
      </c>
      <c r="AE132" s="49">
        <f>MIN(T77)</f>
        <v>10</v>
      </c>
      <c r="AF132" s="49">
        <f>MAX(T77)</f>
        <v>10</v>
      </c>
      <c r="AG132" s="49">
        <f t="shared" si="46"/>
        <v>0</v>
      </c>
      <c r="AH132" s="49">
        <f>MEDIAN(T77)</f>
        <v>10</v>
      </c>
      <c r="AI132" s="27" t="s">
        <v>437</v>
      </c>
      <c r="AJ132" s="11">
        <f>AVERAGEA(T77)</f>
        <v>10</v>
      </c>
      <c r="AK132" s="11">
        <f>STDEVPA(T77)</f>
        <v>0</v>
      </c>
    </row>
    <row r="133" spans="1:37">
      <c r="A133" s="10" t="s">
        <v>41</v>
      </c>
      <c r="B133" s="7">
        <v>4</v>
      </c>
      <c r="C133" s="27">
        <f>SUM(B78:B81)</f>
        <v>221</v>
      </c>
      <c r="D133" s="49">
        <f>C133/GETPIVOTDATA("Název klubu",$A$125,"V jakém sportovním odvětví působí váš klub-","Kanoistika")</f>
        <v>55.25</v>
      </c>
      <c r="E133" s="27">
        <f>MIN(B78:B81)</f>
        <v>30</v>
      </c>
      <c r="F133" s="27">
        <f>MAX(B78:B81)</f>
        <v>120</v>
      </c>
      <c r="G133">
        <f t="shared" si="40"/>
        <v>90</v>
      </c>
      <c r="H133" s="27">
        <f>MEDIAN(B78:B81)</f>
        <v>35.5</v>
      </c>
      <c r="I133" s="27" t="s">
        <v>437</v>
      </c>
      <c r="J133" s="11">
        <f>AVERAGEA(B78:B81)</f>
        <v>55.25</v>
      </c>
      <c r="K133" s="11">
        <f>STDEVA(B78:B81)</f>
        <v>43.400268816371785</v>
      </c>
      <c r="M133" s="11">
        <f>SUM(K78:M81)</f>
        <v>91.449999999999989</v>
      </c>
      <c r="N133" s="11">
        <f>M133/GETPIVOTDATA("Název klubu",$A$125,"V jakém sportovním odvětví působí váš klub-","Kanoistika")</f>
        <v>22.862499999999997</v>
      </c>
      <c r="O133" s="20">
        <f t="shared" si="39"/>
        <v>0.41380090497737554</v>
      </c>
      <c r="P133" s="11">
        <f>MIN(R78:R81)</f>
        <v>13.5</v>
      </c>
      <c r="Q133" s="11">
        <f>MAX(R78:R81)</f>
        <v>48</v>
      </c>
      <c r="R133" s="11">
        <f t="shared" si="41"/>
        <v>34.5</v>
      </c>
      <c r="S133" s="11">
        <f>MEDIAN(R78:R81)</f>
        <v>14.975000000000001</v>
      </c>
      <c r="T133" t="s">
        <v>437</v>
      </c>
      <c r="U133" s="11">
        <f>AVERAGEA(R78:R81)</f>
        <v>22.862500000000001</v>
      </c>
      <c r="V133" s="11">
        <f>STDEVA(R78:R81)</f>
        <v>16.793618579686747</v>
      </c>
      <c r="W133" s="11">
        <f>SUM(S78:S81)</f>
        <v>846.07687500000009</v>
      </c>
      <c r="X133">
        <v>4</v>
      </c>
      <c r="Y133" s="6">
        <f t="shared" si="42"/>
        <v>211.51921875000002</v>
      </c>
      <c r="Z133" s="6">
        <f t="shared" si="43"/>
        <v>14.543700311475069</v>
      </c>
      <c r="AB133" s="49">
        <f>SUM(T78:T81)</f>
        <v>129.55000000000001</v>
      </c>
      <c r="AC133" s="49">
        <f t="shared" si="44"/>
        <v>32.387500000000003</v>
      </c>
      <c r="AD133" s="56">
        <f t="shared" si="45"/>
        <v>0.58619909502262446</v>
      </c>
      <c r="AE133" s="49">
        <f>MIN(T78:T81)</f>
        <v>16.5</v>
      </c>
      <c r="AF133" s="49">
        <f>MAX(T78:T81)</f>
        <v>72</v>
      </c>
      <c r="AG133" s="49">
        <f t="shared" si="46"/>
        <v>55.5</v>
      </c>
      <c r="AH133" s="49">
        <f>MEDIAN(T78:T81)</f>
        <v>20.524999999999999</v>
      </c>
      <c r="AI133" s="27" t="s">
        <v>437</v>
      </c>
      <c r="AJ133" s="11">
        <f>AVERAGEA(T78:T81)</f>
        <v>32.387500000000003</v>
      </c>
      <c r="AK133" s="11">
        <f>STDEVA(T78:T81)</f>
        <v>26.628004525311315</v>
      </c>
    </row>
    <row r="134" spans="1:37">
      <c r="A134" s="10" t="s">
        <v>34</v>
      </c>
      <c r="B134" s="7">
        <v>4</v>
      </c>
      <c r="C134" s="27">
        <f>SUM(B82:B85)</f>
        <v>880</v>
      </c>
      <c r="D134" s="27">
        <f>C134/GETPIVOTDATA("Název klubu",$A$125,"V jakém sportovním odvětví působí váš klub-","Plavání")</f>
        <v>220</v>
      </c>
      <c r="E134" s="27">
        <f>MIN(B82:B85)</f>
        <v>140</v>
      </c>
      <c r="F134" s="27">
        <f>MAX(B82:B85)</f>
        <v>350</v>
      </c>
      <c r="G134">
        <f t="shared" si="40"/>
        <v>210</v>
      </c>
      <c r="H134" s="27">
        <f>MEDIAN(B82:B85)</f>
        <v>195</v>
      </c>
      <c r="I134" s="27" t="s">
        <v>437</v>
      </c>
      <c r="J134" s="11">
        <f>AVERAGEA(B82:B85)</f>
        <v>220</v>
      </c>
      <c r="K134" s="11">
        <f>STDEVA(B82:B85)</f>
        <v>91.287092917527687</v>
      </c>
      <c r="M134" s="11">
        <f>SUM(K82:M85)</f>
        <v>758.5</v>
      </c>
      <c r="N134" s="11">
        <f>M134/GETPIVOTDATA("Název klubu",$A$125,"V jakém sportovním odvětví působí váš klub-","Plavání")</f>
        <v>189.625</v>
      </c>
      <c r="O134" s="20">
        <f t="shared" si="39"/>
        <v>0.86193181818181819</v>
      </c>
      <c r="P134" s="11">
        <f>MIN(R82:R85)</f>
        <v>130.19999999999999</v>
      </c>
      <c r="Q134" s="11">
        <f>MAX(R82:R85)</f>
        <v>301</v>
      </c>
      <c r="R134" s="11">
        <f t="shared" si="41"/>
        <v>170.8</v>
      </c>
      <c r="S134" s="11">
        <f>MEDIAN(R82:R85)</f>
        <v>163.65</v>
      </c>
      <c r="T134" t="s">
        <v>437</v>
      </c>
      <c r="U134" s="11">
        <f>AVERAGEA(R82:R85)</f>
        <v>189.625</v>
      </c>
      <c r="V134" s="11">
        <f>STDEVA(R82:R85)</f>
        <v>78.243737768590776</v>
      </c>
      <c r="W134" s="11">
        <f>SUM(S82:S85)</f>
        <v>18366.247500000001</v>
      </c>
      <c r="X134">
        <v>4</v>
      </c>
      <c r="Y134" s="6">
        <f t="shared" si="42"/>
        <v>4591.5618750000003</v>
      </c>
      <c r="Z134" s="6">
        <f t="shared" si="43"/>
        <v>67.761064594647564</v>
      </c>
      <c r="AB134" s="49">
        <f>SUM(T82:T85)</f>
        <v>121.5</v>
      </c>
      <c r="AC134" s="49">
        <f t="shared" si="44"/>
        <v>30.375</v>
      </c>
      <c r="AD134" s="56">
        <f t="shared" si="45"/>
        <v>0.13806818181818181</v>
      </c>
      <c r="AE134" s="49">
        <f>MIN(T82:T85)</f>
        <v>9.7999999999999989</v>
      </c>
      <c r="AF134" s="49">
        <f>MAX(T82:T85)</f>
        <v>49</v>
      </c>
      <c r="AG134" s="49">
        <f t="shared" si="46"/>
        <v>39.200000000000003</v>
      </c>
      <c r="AH134" s="49">
        <f>MEDIAN(T82:T85)</f>
        <v>31.35</v>
      </c>
      <c r="AI134" s="27" t="s">
        <v>437</v>
      </c>
      <c r="AJ134" s="11">
        <f>AVERAGEA(T82:T85)</f>
        <v>30.375</v>
      </c>
      <c r="AK134" s="11">
        <f>STDEVA(T82:T85)</f>
        <v>17.3996886945332</v>
      </c>
    </row>
    <row r="135" spans="1:37">
      <c r="A135" s="10" t="s">
        <v>42</v>
      </c>
      <c r="B135" s="7">
        <v>1</v>
      </c>
      <c r="C135" s="27">
        <f>SUM(B86)</f>
        <v>92</v>
      </c>
      <c r="D135" s="27">
        <v>92</v>
      </c>
      <c r="E135" s="27">
        <f>MIN(B86)</f>
        <v>92</v>
      </c>
      <c r="F135" s="27">
        <f>MAX(B86)</f>
        <v>92</v>
      </c>
      <c r="G135">
        <f t="shared" si="40"/>
        <v>0</v>
      </c>
      <c r="H135" s="27">
        <f>MEDIAN(B86)</f>
        <v>92</v>
      </c>
      <c r="I135" s="27" t="s">
        <v>437</v>
      </c>
      <c r="J135" s="11">
        <f>AVERAGEA(B86)</f>
        <v>92</v>
      </c>
      <c r="K135" s="11">
        <f>STDEVPA(B86)</f>
        <v>0</v>
      </c>
      <c r="M135" s="11">
        <f>SUM(K86:M86)</f>
        <v>62.56</v>
      </c>
      <c r="N135" s="11">
        <f>M135/GETPIVOTDATA("Název klubu",$A$125,"V jakém sportovním odvětví působí váš klub-","Triatlon")</f>
        <v>62.56</v>
      </c>
      <c r="O135" s="20">
        <f t="shared" si="39"/>
        <v>0.68</v>
      </c>
      <c r="P135" s="11">
        <f>MIN(R86)</f>
        <v>62.56</v>
      </c>
      <c r="Q135" s="11">
        <f>MAX(R86)</f>
        <v>62.56</v>
      </c>
      <c r="R135" s="11">
        <f t="shared" si="41"/>
        <v>0</v>
      </c>
      <c r="S135" s="11">
        <f>MEDIAN(R86)</f>
        <v>62.56</v>
      </c>
      <c r="T135" t="s">
        <v>437</v>
      </c>
      <c r="U135" s="11">
        <f>AVERAGEA(R86)</f>
        <v>62.56</v>
      </c>
      <c r="V135" s="11">
        <f>STDEVPA(R86)</f>
        <v>0</v>
      </c>
      <c r="W135" s="11">
        <f>SUM(S86)</f>
        <v>0</v>
      </c>
      <c r="X135">
        <v>1</v>
      </c>
      <c r="Y135" s="6">
        <f t="shared" si="42"/>
        <v>0</v>
      </c>
      <c r="Z135" s="6">
        <f t="shared" si="43"/>
        <v>0</v>
      </c>
      <c r="AB135" s="49">
        <f>SUM(T86)</f>
        <v>29.440000000000005</v>
      </c>
      <c r="AC135" s="49">
        <f t="shared" si="44"/>
        <v>29.440000000000005</v>
      </c>
      <c r="AD135" s="56">
        <f t="shared" si="45"/>
        <v>0.32000000000000006</v>
      </c>
      <c r="AE135" s="49">
        <f>MIN(T86)</f>
        <v>29.440000000000005</v>
      </c>
      <c r="AF135" s="49">
        <f>MAX(T86)</f>
        <v>29.440000000000005</v>
      </c>
      <c r="AG135" s="49">
        <f t="shared" si="46"/>
        <v>0</v>
      </c>
      <c r="AH135" s="49">
        <f>MEDIAN(T86)</f>
        <v>29.440000000000005</v>
      </c>
      <c r="AI135" s="27" t="s">
        <v>437</v>
      </c>
      <c r="AJ135" s="11">
        <f>AVERAGEA(T86)</f>
        <v>29.440000000000005</v>
      </c>
      <c r="AK135" s="11">
        <f>STDEVPA(T86)</f>
        <v>0</v>
      </c>
    </row>
    <row r="136" spans="1:37">
      <c r="A136" s="10" t="s">
        <v>43</v>
      </c>
      <c r="B136" s="7">
        <v>1</v>
      </c>
      <c r="C136" s="27">
        <f>SUM(B87)</f>
        <v>105</v>
      </c>
      <c r="D136" s="27">
        <v>105</v>
      </c>
      <c r="E136" s="27">
        <f>MIN(B87)</f>
        <v>105</v>
      </c>
      <c r="F136" s="27">
        <f>MAX(B87)</f>
        <v>105</v>
      </c>
      <c r="G136">
        <f t="shared" si="40"/>
        <v>0</v>
      </c>
      <c r="H136" s="27">
        <f>MEDIAN(B87)</f>
        <v>105</v>
      </c>
      <c r="I136" s="27" t="s">
        <v>437</v>
      </c>
      <c r="J136" s="11">
        <f>AVERAGEA(B87)</f>
        <v>105</v>
      </c>
      <c r="K136" s="11">
        <f>STDEVPA(B87)</f>
        <v>0</v>
      </c>
      <c r="M136" s="11">
        <f>SUM(K87:M87)</f>
        <v>73.5</v>
      </c>
      <c r="N136" s="11">
        <f>M136/GETPIVOTDATA("Název klubu",$A$125,"V jakém sportovním odvětví působí váš klub-","Veslování")</f>
        <v>73.5</v>
      </c>
      <c r="O136" s="20">
        <f t="shared" si="39"/>
        <v>0.7</v>
      </c>
      <c r="P136" s="11">
        <f>MIN(R87)</f>
        <v>73.5</v>
      </c>
      <c r="Q136" s="11">
        <f>MAX(R87)</f>
        <v>73.5</v>
      </c>
      <c r="R136" s="11">
        <f t="shared" si="41"/>
        <v>0</v>
      </c>
      <c r="S136" s="11">
        <f>MEDIAN(R87)</f>
        <v>73.5</v>
      </c>
      <c r="T136" t="s">
        <v>437</v>
      </c>
      <c r="U136" s="11">
        <f>AVERAGEA(R87)</f>
        <v>73.5</v>
      </c>
      <c r="V136" s="11">
        <f>STDEVPA(R87)</f>
        <v>0</v>
      </c>
      <c r="W136" s="11">
        <f>SUM(S87)</f>
        <v>0</v>
      </c>
      <c r="X136">
        <v>1</v>
      </c>
      <c r="Y136" s="6">
        <f t="shared" si="42"/>
        <v>0</v>
      </c>
      <c r="Z136" s="6">
        <f t="shared" si="43"/>
        <v>0</v>
      </c>
      <c r="AB136" s="49">
        <f>SUM(T87)</f>
        <v>31.5</v>
      </c>
      <c r="AC136" s="49">
        <f t="shared" si="44"/>
        <v>31.5</v>
      </c>
      <c r="AD136" s="56">
        <f t="shared" si="45"/>
        <v>0.3</v>
      </c>
      <c r="AE136" s="49">
        <f>MIN(T87)</f>
        <v>31.5</v>
      </c>
      <c r="AF136" s="49">
        <f>MAX(T87)</f>
        <v>31.5</v>
      </c>
      <c r="AG136" s="49">
        <f t="shared" si="46"/>
        <v>0</v>
      </c>
      <c r="AH136" s="49">
        <f>MEDIAN(T87)</f>
        <v>31.5</v>
      </c>
      <c r="AI136" s="27" t="s">
        <v>437</v>
      </c>
      <c r="AJ136" s="11">
        <f>AVERAGEA(T87)</f>
        <v>31.5</v>
      </c>
      <c r="AK136" s="11">
        <f>STDEVPA(T87)</f>
        <v>0</v>
      </c>
    </row>
    <row r="137" spans="1:37">
      <c r="A137" s="10" t="s">
        <v>44</v>
      </c>
      <c r="B137" s="7">
        <v>7</v>
      </c>
      <c r="C137" s="27">
        <f>SUM(B88:B94)</f>
        <v>1150</v>
      </c>
      <c r="D137" s="49">
        <f>C137/GETPIVOTDATA("Název klubu",$A$125,"V jakém sportovním odvětví působí váš klub-","Volejbal")</f>
        <v>164.28571428571428</v>
      </c>
      <c r="E137" s="27">
        <f>MIN(B88:B94)</f>
        <v>21</v>
      </c>
      <c r="F137" s="27">
        <f>MAX(B88:B94)</f>
        <v>269</v>
      </c>
      <c r="G137">
        <f t="shared" si="40"/>
        <v>248</v>
      </c>
      <c r="H137" s="27">
        <f>MEDIAN(B88:B94)</f>
        <v>195</v>
      </c>
      <c r="I137" s="27" t="s">
        <v>437</v>
      </c>
      <c r="J137" s="11">
        <f>AVERAGEA(B88:B94)</f>
        <v>164.28571428571428</v>
      </c>
      <c r="K137" s="11">
        <f>STDEVA(B88:B94)</f>
        <v>88.337825582088172</v>
      </c>
      <c r="M137" s="11">
        <f>SUM(K88:M94)</f>
        <v>746.43000000000006</v>
      </c>
      <c r="N137" s="11">
        <f>M137/GETPIVOTDATA("Název klubu",$A$125,"V jakém sportovním odvětví působí váš klub-","Volejbal")</f>
        <v>106.63285714285715</v>
      </c>
      <c r="O137" s="20">
        <f t="shared" si="39"/>
        <v>0.64906956521739134</v>
      </c>
      <c r="P137" s="11">
        <f>MIN(R88:R94)</f>
        <v>3.15</v>
      </c>
      <c r="Q137" s="11">
        <f>MAX(R88:R94)</f>
        <v>210.48999999999998</v>
      </c>
      <c r="R137" s="11">
        <f t="shared" si="41"/>
        <v>207.33999999999997</v>
      </c>
      <c r="S137" s="11">
        <f>MEDIAN(R88:R94)</f>
        <v>139.88</v>
      </c>
      <c r="T137" t="s">
        <v>437</v>
      </c>
      <c r="U137" s="11">
        <f>AVERAGEA(R88:R94)</f>
        <v>106.63285714285713</v>
      </c>
      <c r="V137" s="11">
        <f>STDEVA(R88:R94)</f>
        <v>86.555230482100384</v>
      </c>
      <c r="W137" s="11">
        <f>SUM(S88:S93)</f>
        <v>43845.475034693867</v>
      </c>
      <c r="X137">
        <v>7</v>
      </c>
      <c r="Y137" s="6">
        <f t="shared" si="42"/>
        <v>6263.6392906705523</v>
      </c>
      <c r="Z137" s="6">
        <f t="shared" si="43"/>
        <v>79.143156941523074</v>
      </c>
      <c r="AB137" s="49">
        <f>SUM(T88:T94)</f>
        <v>403.57</v>
      </c>
      <c r="AC137" s="49">
        <f t="shared" si="44"/>
        <v>57.652857142857144</v>
      </c>
      <c r="AD137" s="56">
        <f t="shared" si="45"/>
        <v>0.35093043478260871</v>
      </c>
      <c r="AE137" s="49">
        <f>MIN(T88:T94)</f>
        <v>6.51</v>
      </c>
      <c r="AF137" s="49">
        <f>MAX(T88:T94)</f>
        <v>144</v>
      </c>
      <c r="AG137" s="49">
        <f t="shared" si="46"/>
        <v>137.49</v>
      </c>
      <c r="AH137" s="49">
        <f>MEDIAN(T88:T94)</f>
        <v>36.539999999999992</v>
      </c>
      <c r="AI137" s="27" t="s">
        <v>437</v>
      </c>
      <c r="AJ137" s="11">
        <f>AVERAGEA(T88:T94)</f>
        <v>57.652857142857144</v>
      </c>
      <c r="AK137" s="11">
        <f>STDEVA(T88:T94)</f>
        <v>56.049364466895234</v>
      </c>
    </row>
    <row r="138" spans="1:37">
      <c r="A138" s="10" t="s">
        <v>45</v>
      </c>
      <c r="B138" s="7">
        <v>1</v>
      </c>
      <c r="C138" s="27">
        <f>SUM(B95)</f>
        <v>70</v>
      </c>
      <c r="D138" s="27">
        <v>70</v>
      </c>
      <c r="E138" s="27">
        <f>MIN(B95)</f>
        <v>70</v>
      </c>
      <c r="F138" s="27">
        <f>MAX(B95)</f>
        <v>70</v>
      </c>
      <c r="G138">
        <f t="shared" si="40"/>
        <v>0</v>
      </c>
      <c r="H138" s="27">
        <f>MEDIAN(B95)</f>
        <v>70</v>
      </c>
      <c r="I138" s="27" t="s">
        <v>437</v>
      </c>
      <c r="J138" s="11">
        <f>AVERAGEA(B95)</f>
        <v>70</v>
      </c>
      <c r="K138" s="11">
        <f>STDEVPA(B95)</f>
        <v>0</v>
      </c>
      <c r="M138" s="11">
        <f>SUM(K95:M95)</f>
        <v>52.5</v>
      </c>
      <c r="N138" s="11">
        <f>M138/GETPIVOTDATA("Název klubu",$A$125,"V jakém sportovním odvětví působí váš klub-","Zápas")</f>
        <v>52.5</v>
      </c>
      <c r="O138" s="20">
        <f t="shared" si="39"/>
        <v>0.75</v>
      </c>
      <c r="P138" s="11">
        <f>MIN(R95)</f>
        <v>52.5</v>
      </c>
      <c r="Q138" s="11">
        <f>MAX(R95)</f>
        <v>52.5</v>
      </c>
      <c r="R138" s="11">
        <f t="shared" si="41"/>
        <v>0</v>
      </c>
      <c r="S138" s="11">
        <f>MEDIAN(R95)</f>
        <v>52.5</v>
      </c>
      <c r="T138" t="s">
        <v>437</v>
      </c>
      <c r="U138" s="11">
        <f>AVERAGEA(R95)</f>
        <v>52.5</v>
      </c>
      <c r="V138" s="11">
        <f>STDEVPA(R95)</f>
        <v>0</v>
      </c>
      <c r="W138" s="11">
        <f>SUM(S95)</f>
        <v>0</v>
      </c>
      <c r="X138">
        <v>1</v>
      </c>
      <c r="Y138" s="6">
        <f t="shared" si="42"/>
        <v>0</v>
      </c>
      <c r="Z138" s="6">
        <f t="shared" si="43"/>
        <v>0</v>
      </c>
      <c r="AB138" s="49">
        <f>SUM(T95)</f>
        <v>17.5</v>
      </c>
      <c r="AC138" s="49">
        <f t="shared" si="44"/>
        <v>17.5</v>
      </c>
      <c r="AD138" s="56">
        <f t="shared" si="45"/>
        <v>0.25</v>
      </c>
      <c r="AE138" s="49">
        <f>MIN(T95)</f>
        <v>17.5</v>
      </c>
      <c r="AF138" s="49">
        <f>MAX(T95)</f>
        <v>17.5</v>
      </c>
      <c r="AG138" s="49">
        <f t="shared" si="46"/>
        <v>0</v>
      </c>
      <c r="AH138" s="49">
        <f>MEDIAN(T95)</f>
        <v>17.5</v>
      </c>
      <c r="AI138" s="27" t="s">
        <v>437</v>
      </c>
      <c r="AJ138" s="11">
        <f>AVERAGEA(T95)</f>
        <v>17.5</v>
      </c>
      <c r="AK138" s="11">
        <f>STDEVPA(T95)</f>
        <v>0</v>
      </c>
    </row>
    <row r="139" spans="1:37" s="30" customFormat="1">
      <c r="A139" s="51" t="s">
        <v>371</v>
      </c>
      <c r="B139" s="52">
        <v>93</v>
      </c>
      <c r="C139" s="53">
        <f>SUBTOTAL(9,C126:C138)</f>
        <v>15450</v>
      </c>
      <c r="D139" s="54">
        <f>C139/GETPIVOTDATA("Název klubu",$A$125)</f>
        <v>166.12903225806451</v>
      </c>
      <c r="E139" s="53">
        <f>MIN(B3:B94)</f>
        <v>10</v>
      </c>
      <c r="F139" s="53">
        <f>MAX(B3:B95)</f>
        <v>720</v>
      </c>
      <c r="G139" s="30">
        <f t="shared" si="40"/>
        <v>710</v>
      </c>
      <c r="H139" s="53">
        <f>MEDIAN(B3:B95)</f>
        <v>130</v>
      </c>
      <c r="I139" s="53">
        <f>MODE(B3:B95)</f>
        <v>180</v>
      </c>
      <c r="J139" s="31">
        <f>AVERAGEA(B3:B95)</f>
        <v>166.12903225806451</v>
      </c>
      <c r="K139" s="31">
        <f>STDEVA(B3:B95)</f>
        <v>126.78595672186799</v>
      </c>
      <c r="M139" s="31">
        <f>SUM(K3:M95)</f>
        <v>9165.2069999999985</v>
      </c>
      <c r="N139" s="31">
        <f>M139/GETPIVOTDATA("Název klubu",$A$125)</f>
        <v>98.550612903225797</v>
      </c>
      <c r="O139" s="55">
        <f t="shared" si="39"/>
        <v>0.59321728155339792</v>
      </c>
      <c r="P139" s="31">
        <f>MIN(R3:R95)</f>
        <v>0</v>
      </c>
      <c r="Q139" s="31">
        <f>MAX(R3:R95)</f>
        <v>456</v>
      </c>
      <c r="R139" s="31">
        <f t="shared" si="41"/>
        <v>456</v>
      </c>
      <c r="S139" s="31">
        <f>MEDIAN(R3:R95)</f>
        <v>60</v>
      </c>
      <c r="T139" s="30">
        <f>MODE(R3:R95)</f>
        <v>140</v>
      </c>
      <c r="U139" s="31">
        <f>AVERAGEA(R3:R95)</f>
        <v>98.550612903225797</v>
      </c>
      <c r="V139" s="31">
        <f>STDEVA(R3:R95)</f>
        <v>95.755587992354663</v>
      </c>
      <c r="W139" s="31">
        <f>SUM(S3:S95)</f>
        <v>630056.39383381419</v>
      </c>
      <c r="X139" s="30">
        <v>93</v>
      </c>
      <c r="Y139" s="50">
        <f t="shared" si="42"/>
        <v>6774.7999336969269</v>
      </c>
      <c r="Z139" s="50">
        <f t="shared" si="43"/>
        <v>82.30917284055846</v>
      </c>
      <c r="AB139" s="54">
        <f>SUM(AB126:AB138)</f>
        <v>6284.7929999999997</v>
      </c>
      <c r="AC139" s="54">
        <f>AB139/X139</f>
        <v>67.578419354838701</v>
      </c>
      <c r="AD139" s="57">
        <f t="shared" si="45"/>
        <v>0.40678271844660191</v>
      </c>
      <c r="AE139" s="54">
        <f>MIN(T3:T95)</f>
        <v>0</v>
      </c>
      <c r="AF139" s="54">
        <f>MAX(T3:T95)</f>
        <v>403.20000000000005</v>
      </c>
      <c r="AG139" s="54">
        <f t="shared" si="46"/>
        <v>403.20000000000005</v>
      </c>
      <c r="AH139" s="54">
        <f>MEDIAN(T3:T95)</f>
        <v>55.199999999999996</v>
      </c>
      <c r="AI139" s="54">
        <f>MODE(T3:T95)</f>
        <v>57.75</v>
      </c>
      <c r="AJ139" s="31">
        <f>AVERAGEA(T3:T95)</f>
        <v>67.578419354838701</v>
      </c>
      <c r="AK139" s="31">
        <f>STDEVA(T3:T95)</f>
        <v>59.404975860671925</v>
      </c>
    </row>
    <row r="140" spans="1:37">
      <c r="I140" s="11"/>
      <c r="Q140" s="11"/>
      <c r="S140" s="11"/>
      <c r="U140" s="11"/>
    </row>
    <row r="141" spans="1:37">
      <c r="S141" s="11"/>
      <c r="U141" s="11"/>
    </row>
    <row r="142" spans="1:37">
      <c r="S142" s="11"/>
      <c r="U142" s="11"/>
    </row>
    <row r="143" spans="1:37">
      <c r="A143" s="9" t="s">
        <v>370</v>
      </c>
      <c r="B143" t="s">
        <v>373</v>
      </c>
      <c r="D143" t="s">
        <v>671</v>
      </c>
      <c r="E143" t="s">
        <v>672</v>
      </c>
      <c r="S143" s="11"/>
      <c r="U143" s="11"/>
    </row>
    <row r="144" spans="1:37">
      <c r="A144" s="10" t="s">
        <v>35</v>
      </c>
      <c r="B144" s="7">
        <v>31</v>
      </c>
      <c r="C144" s="19">
        <f>GETPIVOTDATA("Název klubu",$A$143,"Zabýváme se především","Sportem pro všechny")/GETPIVOTDATA("Název klubu",$A$143)</f>
        <v>0.33333333333333331</v>
      </c>
      <c r="D144">
        <f>SUBTOTAL(9,'VO 2'!Z100:AB100)</f>
        <v>20</v>
      </c>
      <c r="E144">
        <f>B144-D144</f>
        <v>11</v>
      </c>
      <c r="F144" s="20">
        <f>E144/B144</f>
        <v>0.35483870967741937</v>
      </c>
      <c r="S144" s="11"/>
      <c r="U144" s="11"/>
    </row>
    <row r="145" spans="1:21">
      <c r="A145" s="10" t="s">
        <v>32</v>
      </c>
      <c r="B145" s="7">
        <v>36</v>
      </c>
      <c r="C145" s="19">
        <f>GETPIVOTDATA("Název klubu",$A$143,"Zabýváme se především","Výchovou mládeže")/GETPIVOTDATA("Název klubu",$A$143)</f>
        <v>0.38709677419354838</v>
      </c>
      <c r="D145">
        <f>SUBTOTAL(9,'VO 2'!Z101:AB101)</f>
        <v>11</v>
      </c>
      <c r="E145">
        <f>B145-D145</f>
        <v>25</v>
      </c>
      <c r="F145" s="20">
        <f>E145/B145</f>
        <v>0.69444444444444442</v>
      </c>
      <c r="S145" s="11"/>
      <c r="U145" s="11"/>
    </row>
    <row r="146" spans="1:21">
      <c r="A146" s="10" t="s">
        <v>33</v>
      </c>
      <c r="B146" s="7">
        <v>26</v>
      </c>
      <c r="C146" s="19">
        <f>GETPIVOTDATA("Název klubu",$A$143,"Zabýváme se především","Výkonnostním sportem")/GETPIVOTDATA("Název klubu",$A$143)</f>
        <v>0.27956989247311825</v>
      </c>
      <c r="D146">
        <f>SUBTOTAL(9,'VO 2'!Z102:AB102)</f>
        <v>12</v>
      </c>
      <c r="E146">
        <f>B146-D146</f>
        <v>14</v>
      </c>
      <c r="F146" s="20">
        <f>E146/B146</f>
        <v>0.53846153846153844</v>
      </c>
      <c r="S146" s="11"/>
      <c r="U146" s="11"/>
    </row>
    <row r="147" spans="1:21">
      <c r="A147" s="10" t="s">
        <v>371</v>
      </c>
      <c r="B147" s="7">
        <v>93</v>
      </c>
      <c r="S147" s="11"/>
      <c r="U147" s="11"/>
    </row>
    <row r="148" spans="1:21" ht="17" thickBot="1">
      <c r="S148" s="11"/>
      <c r="U148" s="11"/>
    </row>
    <row r="149" spans="1:21">
      <c r="H149" s="61" t="s">
        <v>454</v>
      </c>
      <c r="I149" s="61"/>
      <c r="S149" s="11"/>
      <c r="U149" s="11"/>
    </row>
    <row r="150" spans="1:21">
      <c r="A150" s="9" t="s">
        <v>373</v>
      </c>
      <c r="B150" s="9" t="s">
        <v>438</v>
      </c>
      <c r="H150" s="58"/>
      <c r="I150" s="58"/>
      <c r="S150" s="11"/>
      <c r="U150" s="11"/>
    </row>
    <row r="151" spans="1:21">
      <c r="A151" s="9" t="s">
        <v>370</v>
      </c>
      <c r="B151" t="s">
        <v>35</v>
      </c>
      <c r="C151" t="s">
        <v>32</v>
      </c>
      <c r="D151" t="s">
        <v>33</v>
      </c>
      <c r="E151" t="s">
        <v>371</v>
      </c>
      <c r="H151" s="58" t="s">
        <v>455</v>
      </c>
      <c r="I151" s="58">
        <v>166.12903225806451</v>
      </c>
      <c r="S151" s="11"/>
      <c r="U151" s="11"/>
    </row>
    <row r="152" spans="1:21">
      <c r="A152" s="10" t="s">
        <v>31</v>
      </c>
      <c r="B152" s="7">
        <v>2</v>
      </c>
      <c r="C152" s="7">
        <v>5</v>
      </c>
      <c r="D152" s="7">
        <v>6</v>
      </c>
      <c r="E152" s="7">
        <v>13</v>
      </c>
      <c r="H152" s="58" t="s">
        <v>456</v>
      </c>
      <c r="I152" s="58">
        <v>13.147091269075936</v>
      </c>
      <c r="S152" s="11"/>
      <c r="U152" s="11"/>
    </row>
    <row r="153" spans="1:21">
      <c r="A153" s="10" t="s">
        <v>36</v>
      </c>
      <c r="B153" s="7">
        <v>1</v>
      </c>
      <c r="C153" s="7">
        <v>1</v>
      </c>
      <c r="D153" s="7"/>
      <c r="E153" s="7">
        <v>2</v>
      </c>
      <c r="H153" s="58" t="s">
        <v>431</v>
      </c>
      <c r="I153" s="58">
        <v>130</v>
      </c>
      <c r="S153" s="11"/>
      <c r="U153" s="11"/>
    </row>
    <row r="154" spans="1:21">
      <c r="A154" s="10" t="s">
        <v>46</v>
      </c>
      <c r="B154" s="7">
        <v>1</v>
      </c>
      <c r="C154" s="7"/>
      <c r="D154" s="7"/>
      <c r="E154" s="7">
        <v>1</v>
      </c>
      <c r="H154" s="58" t="s">
        <v>457</v>
      </c>
      <c r="I154" s="58">
        <v>180</v>
      </c>
      <c r="S154" s="11"/>
      <c r="U154" s="11"/>
    </row>
    <row r="155" spans="1:21">
      <c r="A155" s="10" t="s">
        <v>37</v>
      </c>
      <c r="B155" s="7">
        <v>2</v>
      </c>
      <c r="C155" s="7">
        <v>6</v>
      </c>
      <c r="D155" s="7">
        <v>2</v>
      </c>
      <c r="E155" s="7">
        <v>10</v>
      </c>
      <c r="H155" s="58" t="s">
        <v>458</v>
      </c>
      <c r="I155" s="58">
        <v>126.78595672186799</v>
      </c>
      <c r="S155" s="11"/>
      <c r="U155" s="11"/>
    </row>
    <row r="156" spans="1:21">
      <c r="A156" s="10" t="s">
        <v>38</v>
      </c>
      <c r="B156" s="7">
        <v>21</v>
      </c>
      <c r="C156" s="7">
        <v>17</v>
      </c>
      <c r="D156" s="7">
        <v>9</v>
      </c>
      <c r="E156" s="7">
        <v>47</v>
      </c>
      <c r="H156" s="58" t="s">
        <v>459</v>
      </c>
      <c r="I156" s="58">
        <v>16074.678821879383</v>
      </c>
      <c r="S156" s="11"/>
      <c r="U156" s="11"/>
    </row>
    <row r="157" spans="1:21">
      <c r="A157" s="10" t="s">
        <v>39</v>
      </c>
      <c r="B157" s="7"/>
      <c r="C157" s="7">
        <v>1</v>
      </c>
      <c r="D157" s="7"/>
      <c r="E157" s="7">
        <v>1</v>
      </c>
      <c r="H157" s="58" t="s">
        <v>460</v>
      </c>
      <c r="I157" s="58">
        <v>3.8032293708095213</v>
      </c>
      <c r="S157" s="11"/>
      <c r="U157" s="11"/>
    </row>
    <row r="158" spans="1:21">
      <c r="A158" s="10" t="s">
        <v>40</v>
      </c>
      <c r="B158" s="7">
        <v>1</v>
      </c>
      <c r="C158" s="7"/>
      <c r="D158" s="7"/>
      <c r="E158" s="7">
        <v>1</v>
      </c>
      <c r="H158" s="58" t="s">
        <v>461</v>
      </c>
      <c r="I158" s="58">
        <v>1.6391541341592883</v>
      </c>
      <c r="S158" s="11"/>
      <c r="U158" s="11"/>
    </row>
    <row r="159" spans="1:21">
      <c r="A159" s="10" t="s">
        <v>41</v>
      </c>
      <c r="B159" s="7">
        <v>1</v>
      </c>
      <c r="C159" s="7">
        <v>1</v>
      </c>
      <c r="D159" s="7">
        <v>2</v>
      </c>
      <c r="E159" s="7">
        <v>4</v>
      </c>
      <c r="H159" s="58" t="s">
        <v>462</v>
      </c>
      <c r="I159" s="58">
        <v>710</v>
      </c>
      <c r="S159" s="11"/>
      <c r="U159" s="11"/>
    </row>
    <row r="160" spans="1:21">
      <c r="A160" s="10" t="s">
        <v>34</v>
      </c>
      <c r="B160" s="7"/>
      <c r="C160" s="7">
        <v>1</v>
      </c>
      <c r="D160" s="7">
        <v>3</v>
      </c>
      <c r="E160" s="7">
        <v>4</v>
      </c>
      <c r="H160" s="58" t="s">
        <v>412</v>
      </c>
      <c r="I160" s="58">
        <v>10</v>
      </c>
      <c r="S160" s="11"/>
      <c r="U160" s="11"/>
    </row>
    <row r="161" spans="1:21">
      <c r="A161" s="10" t="s">
        <v>42</v>
      </c>
      <c r="B161" s="7"/>
      <c r="C161" s="7">
        <v>1</v>
      </c>
      <c r="D161" s="7"/>
      <c r="E161" s="7">
        <v>1</v>
      </c>
      <c r="H161" s="58" t="s">
        <v>413</v>
      </c>
      <c r="I161" s="58">
        <v>720</v>
      </c>
      <c r="S161" s="11"/>
      <c r="U161" s="11"/>
    </row>
    <row r="162" spans="1:21">
      <c r="A162" s="10" t="s">
        <v>43</v>
      </c>
      <c r="B162" s="7"/>
      <c r="C162" s="7"/>
      <c r="D162" s="7">
        <v>1</v>
      </c>
      <c r="E162" s="7">
        <v>1</v>
      </c>
      <c r="H162" s="58" t="s">
        <v>463</v>
      </c>
      <c r="I162" s="58">
        <v>15450</v>
      </c>
      <c r="S162" s="11"/>
      <c r="U162" s="11"/>
    </row>
    <row r="163" spans="1:21">
      <c r="A163" s="10" t="s">
        <v>44</v>
      </c>
      <c r="B163" s="7">
        <v>2</v>
      </c>
      <c r="C163" s="7">
        <v>3</v>
      </c>
      <c r="D163" s="7">
        <v>2</v>
      </c>
      <c r="E163" s="7">
        <v>7</v>
      </c>
      <c r="H163" s="58" t="s">
        <v>464</v>
      </c>
      <c r="I163" s="58">
        <v>93</v>
      </c>
      <c r="S163" s="11"/>
      <c r="U163" s="11"/>
    </row>
    <row r="164" spans="1:21">
      <c r="A164" s="10" t="s">
        <v>45</v>
      </c>
      <c r="B164" s="7"/>
      <c r="C164" s="7"/>
      <c r="D164" s="7">
        <v>1</v>
      </c>
      <c r="E164" s="7">
        <v>1</v>
      </c>
      <c r="H164" s="58" t="s">
        <v>465</v>
      </c>
      <c r="I164" s="58">
        <v>450</v>
      </c>
      <c r="S164" s="11"/>
      <c r="U164" s="11"/>
    </row>
    <row r="165" spans="1:21">
      <c r="A165" s="10" t="s">
        <v>371</v>
      </c>
      <c r="B165" s="7">
        <v>31</v>
      </c>
      <c r="C165" s="7">
        <v>36</v>
      </c>
      <c r="D165" s="7">
        <v>26</v>
      </c>
      <c r="E165" s="7">
        <v>93</v>
      </c>
      <c r="H165" s="58" t="s">
        <v>466</v>
      </c>
      <c r="I165" s="58">
        <v>19</v>
      </c>
      <c r="S165" s="11"/>
      <c r="U165" s="11"/>
    </row>
    <row r="166" spans="1:21" ht="17" thickBot="1">
      <c r="B166">
        <f>AVERAGEA(B152:B164)</f>
        <v>3.875</v>
      </c>
      <c r="C166" t="e">
        <f>C152:C164</f>
        <v>#VALUE!</v>
      </c>
      <c r="H166" s="59" t="s">
        <v>467</v>
      </c>
      <c r="I166" s="59">
        <v>26.111258077219382</v>
      </c>
      <c r="S166" s="11"/>
    </row>
    <row r="167" spans="1:21">
      <c r="U167" s="11"/>
    </row>
  </sheetData>
  <autoFilter ref="A2:J97" xr:uid="{3A29BA6C-036D-5B45-8AFA-A52C80D98D5F}">
    <sortState xmlns:xlrd2="http://schemas.microsoft.com/office/spreadsheetml/2017/richdata2" ref="A3:J97">
      <sortCondition ref="I2:I97"/>
    </sortState>
  </autoFilter>
  <mergeCells count="1">
    <mergeCell ref="C124:H124"/>
  </mergeCells>
  <pageMargins left="0.7" right="0.7" top="0.78740157499999996" bottom="0.78740157499999996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FEAC6-2C94-0746-8817-63828DB189D3}">
  <sheetPr>
    <tabColor rgb="FF00B0F0"/>
  </sheetPr>
  <dimension ref="A1:BL281"/>
  <sheetViews>
    <sheetView tabSelected="1" topLeftCell="BK89" zoomScale="137" workbookViewId="0">
      <selection activeCell="BL189" sqref="BL189:BL281"/>
    </sheetView>
  </sheetViews>
  <sheetFormatPr baseColWidth="10" defaultColWidth="11" defaultRowHeight="16"/>
  <cols>
    <col min="1" max="1" width="47" bestFit="1" customWidth="1"/>
    <col min="2" max="2" width="21.83203125" customWidth="1"/>
    <col min="3" max="3" width="19.83203125" bestFit="1" customWidth="1"/>
    <col min="4" max="4" width="20.33203125" bestFit="1" customWidth="1"/>
    <col min="5" max="5" width="15.33203125" bestFit="1" customWidth="1"/>
    <col min="6" max="6" width="15.5" customWidth="1"/>
    <col min="7" max="7" width="19.83203125" bestFit="1" customWidth="1"/>
    <col min="8" max="8" width="17.6640625" bestFit="1" customWidth="1"/>
    <col min="15" max="15" width="17.6640625" bestFit="1" customWidth="1"/>
  </cols>
  <sheetData>
    <row r="1" spans="1:64">
      <c r="G1" s="408" t="s">
        <v>468</v>
      </c>
      <c r="H1" s="408"/>
      <c r="I1" s="408"/>
      <c r="J1" s="408"/>
      <c r="K1" s="408"/>
      <c r="L1" s="408"/>
      <c r="M1" s="408"/>
      <c r="N1" s="409" t="s">
        <v>469</v>
      </c>
      <c r="O1" s="409"/>
      <c r="P1" s="409"/>
      <c r="Q1" s="409"/>
      <c r="R1" s="409"/>
      <c r="S1" s="409"/>
      <c r="T1" s="409"/>
    </row>
    <row r="2" spans="1:64" s="1" customFormat="1" ht="125" customHeight="1">
      <c r="A2" s="1" t="s">
        <v>372</v>
      </c>
      <c r="B2" s="1" t="s">
        <v>16</v>
      </c>
      <c r="C2" s="1" t="s">
        <v>23</v>
      </c>
      <c r="D2" s="1" t="s">
        <v>24</v>
      </c>
      <c r="E2" s="1" t="s">
        <v>25</v>
      </c>
      <c r="F2" s="1" t="s">
        <v>30</v>
      </c>
      <c r="G2" s="97">
        <v>1</v>
      </c>
      <c r="H2" s="97">
        <v>2</v>
      </c>
      <c r="I2" s="97">
        <v>3</v>
      </c>
      <c r="J2" s="97">
        <v>4</v>
      </c>
      <c r="K2" s="97">
        <v>5</v>
      </c>
      <c r="L2" s="97">
        <v>6</v>
      </c>
      <c r="M2" s="98">
        <v>7</v>
      </c>
      <c r="N2" s="99">
        <v>1</v>
      </c>
      <c r="O2" s="99">
        <v>2</v>
      </c>
      <c r="P2" s="99">
        <v>3</v>
      </c>
      <c r="Q2" s="99">
        <v>4</v>
      </c>
      <c r="R2" s="99">
        <v>5</v>
      </c>
      <c r="S2" s="99">
        <v>6</v>
      </c>
      <c r="T2" s="99">
        <v>7</v>
      </c>
      <c r="U2" s="1" t="s">
        <v>372</v>
      </c>
      <c r="V2" s="1" t="s">
        <v>23</v>
      </c>
      <c r="W2" s="1" t="s">
        <v>275</v>
      </c>
      <c r="X2" s="1" t="s">
        <v>219</v>
      </c>
      <c r="Y2" s="1" t="s">
        <v>271</v>
      </c>
      <c r="Z2" s="1" t="s">
        <v>276</v>
      </c>
      <c r="AA2" s="1" t="s">
        <v>435</v>
      </c>
      <c r="AB2" s="1" t="s">
        <v>436</v>
      </c>
      <c r="AC2" s="1" t="s">
        <v>277</v>
      </c>
      <c r="AD2" s="1" t="s">
        <v>221</v>
      </c>
      <c r="AE2" s="1" t="s">
        <v>273</v>
      </c>
      <c r="AF2" s="1" t="s">
        <v>278</v>
      </c>
      <c r="AG2" s="1" t="s">
        <v>222</v>
      </c>
      <c r="AH2" s="1" t="s">
        <v>274</v>
      </c>
      <c r="AI2" s="399" t="s">
        <v>474</v>
      </c>
      <c r="AJ2" s="399"/>
      <c r="AK2" s="399"/>
      <c r="AL2" s="399" t="s">
        <v>475</v>
      </c>
      <c r="AM2" s="399"/>
      <c r="AN2" s="399"/>
      <c r="AO2" s="399" t="s">
        <v>476</v>
      </c>
      <c r="AP2" s="399"/>
      <c r="AQ2" s="399"/>
    </row>
    <row r="3" spans="1:64" s="30" customFormat="1">
      <c r="A3" s="30" t="s">
        <v>48</v>
      </c>
      <c r="B3" s="30">
        <v>50</v>
      </c>
      <c r="C3" s="30" t="s">
        <v>31</v>
      </c>
      <c r="D3" s="30" t="s">
        <v>32</v>
      </c>
      <c r="E3" s="30">
        <v>5</v>
      </c>
      <c r="F3" s="30">
        <v>6</v>
      </c>
      <c r="G3" s="30">
        <f>IF($E3=1,1,0)</f>
        <v>0</v>
      </c>
      <c r="H3" s="30">
        <f>IF($E3=2,1,0)</f>
        <v>0</v>
      </c>
      <c r="I3" s="30">
        <f>IF($E3=3,1,0)</f>
        <v>0</v>
      </c>
      <c r="J3" s="30">
        <f>IF($E3=4,1,0)</f>
        <v>0</v>
      </c>
      <c r="K3" s="30">
        <f>IF($E3=5,1,0)</f>
        <v>1</v>
      </c>
      <c r="L3" s="30">
        <f>IF($E3=6,1,0)</f>
        <v>0</v>
      </c>
      <c r="M3" s="71">
        <f>IF($E3=7,1,0)</f>
        <v>0</v>
      </c>
      <c r="N3" s="30">
        <f>IF($F3=1,1,0)</f>
        <v>0</v>
      </c>
      <c r="O3" s="30">
        <f>IF($F3=2,1,0)</f>
        <v>0</v>
      </c>
      <c r="P3" s="30">
        <f>IF($F3=3,1,0)</f>
        <v>0</v>
      </c>
      <c r="Q3" s="30">
        <f>IF($F3=4,1,0)</f>
        <v>0</v>
      </c>
      <c r="R3" s="30">
        <f>IF($F3=5,1,0)</f>
        <v>0</v>
      </c>
      <c r="S3" s="30">
        <f>IF($F3=6,1,0)</f>
        <v>1</v>
      </c>
      <c r="T3" s="30">
        <f>IF($F3=7,1,0)</f>
        <v>0</v>
      </c>
      <c r="U3" s="30" t="s">
        <v>48</v>
      </c>
      <c r="V3" s="30" t="s">
        <v>31</v>
      </c>
      <c r="W3" s="30">
        <v>248</v>
      </c>
      <c r="X3" s="30">
        <v>323</v>
      </c>
      <c r="Y3" s="30">
        <v>232</v>
      </c>
      <c r="Z3" s="30">
        <v>274</v>
      </c>
      <c r="AA3" s="30">
        <v>307</v>
      </c>
      <c r="AB3" s="30">
        <v>258</v>
      </c>
      <c r="AC3" s="30">
        <v>26</v>
      </c>
      <c r="AD3" s="30">
        <v>-16</v>
      </c>
      <c r="AE3" s="30">
        <v>26</v>
      </c>
      <c r="AF3" s="30">
        <v>26</v>
      </c>
      <c r="AG3" s="30">
        <v>-16</v>
      </c>
      <c r="AH3" s="30">
        <v>26</v>
      </c>
      <c r="AI3" s="111">
        <f>IF(AC3&gt;0,1,0)</f>
        <v>1</v>
      </c>
      <c r="AJ3" s="100">
        <f t="shared" ref="AJ3:AK3" si="0">IF(AD3&gt;0,1,0)</f>
        <v>0</v>
      </c>
      <c r="AK3" s="71">
        <f t="shared" si="0"/>
        <v>1</v>
      </c>
      <c r="AL3" s="111">
        <f>IF(AC3&lt;0,1,0)</f>
        <v>0</v>
      </c>
      <c r="AM3" s="100">
        <f t="shared" ref="AM3:AN3" si="1">IF(AD3&lt;0,1,0)</f>
        <v>1</v>
      </c>
      <c r="AN3" s="71">
        <f t="shared" si="1"/>
        <v>0</v>
      </c>
      <c r="AO3" s="111">
        <f>IF(AC3=0,1,0)</f>
        <v>0</v>
      </c>
      <c r="AP3" s="100">
        <f t="shared" ref="AP3:AQ3" si="2">IF(AD3=0,1,0)</f>
        <v>0</v>
      </c>
      <c r="AQ3" s="71">
        <f t="shared" si="2"/>
        <v>0</v>
      </c>
      <c r="BL3" s="30">
        <v>26</v>
      </c>
    </row>
    <row r="4" spans="1:64" s="30" customFormat="1">
      <c r="A4" s="30" t="s">
        <v>49</v>
      </c>
      <c r="B4" s="30">
        <v>208</v>
      </c>
      <c r="C4" s="30" t="s">
        <v>31</v>
      </c>
      <c r="D4" s="30" t="s">
        <v>32</v>
      </c>
      <c r="E4" s="30">
        <v>4</v>
      </c>
      <c r="F4" s="30">
        <v>4</v>
      </c>
      <c r="G4" s="30">
        <f t="shared" ref="G4:G67" si="3">IF($E4=1,1,0)</f>
        <v>0</v>
      </c>
      <c r="H4" s="30">
        <f t="shared" ref="H4:H67" si="4">IF($E4=2,1,0)</f>
        <v>0</v>
      </c>
      <c r="I4" s="30">
        <f t="shared" ref="I4:I67" si="5">IF($E4=3,1,0)</f>
        <v>0</v>
      </c>
      <c r="J4" s="30">
        <f t="shared" ref="J4:J67" si="6">IF($E4=4,1,0)</f>
        <v>1</v>
      </c>
      <c r="K4" s="30">
        <f t="shared" ref="K4:K67" si="7">IF($E4=5,1,0)</f>
        <v>0</v>
      </c>
      <c r="L4" s="30">
        <f t="shared" ref="L4:L67" si="8">IF($E4=6,1,0)</f>
        <v>0</v>
      </c>
      <c r="M4" s="71">
        <f t="shared" ref="M4:M67" si="9">IF($E4=7,1,0)</f>
        <v>0</v>
      </c>
      <c r="N4" s="30">
        <f t="shared" ref="N4:N67" si="10">IF($F4=1,1,0)</f>
        <v>0</v>
      </c>
      <c r="O4" s="30">
        <f t="shared" ref="O4:O67" si="11">IF($F4=2,1,0)</f>
        <v>0</v>
      </c>
      <c r="P4" s="30">
        <f t="shared" ref="P4:P67" si="12">IF($F4=3,1,0)</f>
        <v>0</v>
      </c>
      <c r="Q4" s="30">
        <f t="shared" ref="Q4:Q67" si="13">IF($F4=4,1,0)</f>
        <v>1</v>
      </c>
      <c r="R4" s="30">
        <f t="shared" ref="R4:R67" si="14">IF($F4=5,1,0)</f>
        <v>0</v>
      </c>
      <c r="S4" s="30">
        <f t="shared" ref="S4:S67" si="15">IF($F4=6,1,0)</f>
        <v>0</v>
      </c>
      <c r="T4" s="30">
        <f t="shared" ref="T4:T67" si="16">IF($F4=7,1,0)</f>
        <v>0</v>
      </c>
      <c r="U4" s="30" t="s">
        <v>49</v>
      </c>
      <c r="V4" s="30" t="s">
        <v>31</v>
      </c>
      <c r="W4" s="30">
        <v>744</v>
      </c>
      <c r="X4" s="30">
        <v>761</v>
      </c>
      <c r="Y4" s="30">
        <v>871</v>
      </c>
      <c r="Z4" s="30">
        <v>704</v>
      </c>
      <c r="AA4" s="30">
        <v>727</v>
      </c>
      <c r="AB4" s="30">
        <v>1159</v>
      </c>
      <c r="AC4" s="30">
        <v>-40</v>
      </c>
      <c r="AD4" s="30">
        <v>-34</v>
      </c>
      <c r="AE4" s="30">
        <v>287</v>
      </c>
      <c r="AF4" s="30">
        <v>-40</v>
      </c>
      <c r="AG4" s="30">
        <v>-34</v>
      </c>
      <c r="AH4" s="30">
        <v>287</v>
      </c>
      <c r="AI4" s="111">
        <f t="shared" ref="AI4:AI67" si="17">IF(AC4&gt;0,1,0)</f>
        <v>0</v>
      </c>
      <c r="AJ4" s="100">
        <f t="shared" ref="AJ4:AJ67" si="18">IF(AD4&gt;0,1,0)</f>
        <v>0</v>
      </c>
      <c r="AK4" s="71">
        <f t="shared" ref="AK4:AK67" si="19">IF(AE4&gt;0,1,0)</f>
        <v>1</v>
      </c>
      <c r="AL4" s="111">
        <f t="shared" ref="AL4:AL67" si="20">IF(AC4&lt;0,1,0)</f>
        <v>1</v>
      </c>
      <c r="AM4" s="100">
        <f t="shared" ref="AM4:AM67" si="21">IF(AD4&lt;0,1,0)</f>
        <v>1</v>
      </c>
      <c r="AN4" s="71">
        <f t="shared" ref="AN4:AN67" si="22">IF(AE4&lt;0,1,0)</f>
        <v>0</v>
      </c>
      <c r="AO4" s="111">
        <f t="shared" ref="AO4:AO67" si="23">IF(AC4=0,1,0)</f>
        <v>0</v>
      </c>
      <c r="AP4" s="100">
        <f t="shared" ref="AP4:AP67" si="24">IF(AD4=0,1,0)</f>
        <v>0</v>
      </c>
      <c r="AQ4" s="71">
        <f t="shared" ref="AQ4:AQ67" si="25">IF(AE4=0,1,0)</f>
        <v>0</v>
      </c>
      <c r="BL4" s="30">
        <v>-40</v>
      </c>
    </row>
    <row r="5" spans="1:64" s="30" customFormat="1">
      <c r="A5" s="30" t="s">
        <v>50</v>
      </c>
      <c r="B5" s="30">
        <v>350</v>
      </c>
      <c r="C5" s="30" t="s">
        <v>31</v>
      </c>
      <c r="D5" s="30" t="s">
        <v>33</v>
      </c>
      <c r="E5" s="30">
        <v>7</v>
      </c>
      <c r="F5" s="30">
        <v>7</v>
      </c>
      <c r="G5" s="30">
        <f t="shared" si="3"/>
        <v>0</v>
      </c>
      <c r="H5" s="30">
        <f t="shared" si="4"/>
        <v>0</v>
      </c>
      <c r="I5" s="30">
        <f t="shared" si="5"/>
        <v>0</v>
      </c>
      <c r="J5" s="30">
        <f t="shared" si="6"/>
        <v>0</v>
      </c>
      <c r="K5" s="30">
        <f t="shared" si="7"/>
        <v>0</v>
      </c>
      <c r="L5" s="30">
        <f t="shared" si="8"/>
        <v>0</v>
      </c>
      <c r="M5" s="71">
        <f t="shared" si="9"/>
        <v>1</v>
      </c>
      <c r="N5" s="30">
        <f t="shared" si="10"/>
        <v>0</v>
      </c>
      <c r="O5" s="30">
        <f t="shared" si="11"/>
        <v>0</v>
      </c>
      <c r="P5" s="30">
        <f t="shared" si="12"/>
        <v>0</v>
      </c>
      <c r="Q5" s="30">
        <f t="shared" si="13"/>
        <v>0</v>
      </c>
      <c r="R5" s="30">
        <f t="shared" si="14"/>
        <v>0</v>
      </c>
      <c r="S5" s="30">
        <f t="shared" si="15"/>
        <v>0</v>
      </c>
      <c r="T5" s="30">
        <f t="shared" si="16"/>
        <v>1</v>
      </c>
      <c r="U5" s="30" t="s">
        <v>50</v>
      </c>
      <c r="V5" s="30" t="s">
        <v>31</v>
      </c>
      <c r="W5" s="30">
        <v>5145</v>
      </c>
      <c r="X5" s="30">
        <v>6342</v>
      </c>
      <c r="Y5" s="30">
        <v>7889</v>
      </c>
      <c r="Z5" s="30">
        <v>5125</v>
      </c>
      <c r="AA5" s="30">
        <v>6566</v>
      </c>
      <c r="AB5" s="30">
        <v>8734</v>
      </c>
      <c r="AC5" s="30">
        <v>-20</v>
      </c>
      <c r="AD5" s="30">
        <v>224</v>
      </c>
      <c r="AE5" s="30">
        <v>845</v>
      </c>
      <c r="AF5" s="30">
        <v>-20</v>
      </c>
      <c r="AG5" s="30">
        <v>224</v>
      </c>
      <c r="AH5" s="30">
        <v>845</v>
      </c>
      <c r="AI5" s="111">
        <f t="shared" si="17"/>
        <v>0</v>
      </c>
      <c r="AJ5" s="100">
        <f t="shared" si="18"/>
        <v>1</v>
      </c>
      <c r="AK5" s="71">
        <f t="shared" si="19"/>
        <v>1</v>
      </c>
      <c r="AL5" s="111">
        <f t="shared" si="20"/>
        <v>1</v>
      </c>
      <c r="AM5" s="100">
        <f t="shared" si="21"/>
        <v>0</v>
      </c>
      <c r="AN5" s="71">
        <f t="shared" si="22"/>
        <v>0</v>
      </c>
      <c r="AO5" s="111">
        <f t="shared" si="23"/>
        <v>0</v>
      </c>
      <c r="AP5" s="100">
        <f t="shared" si="24"/>
        <v>0</v>
      </c>
      <c r="AQ5" s="71">
        <f t="shared" si="25"/>
        <v>0</v>
      </c>
      <c r="BL5" s="30">
        <v>-20</v>
      </c>
    </row>
    <row r="6" spans="1:64" s="30" customFormat="1">
      <c r="A6" s="30" t="s">
        <v>51</v>
      </c>
      <c r="B6" s="30">
        <v>570</v>
      </c>
      <c r="C6" s="30" t="s">
        <v>31</v>
      </c>
      <c r="D6" s="30" t="s">
        <v>33</v>
      </c>
      <c r="E6" s="30">
        <v>5</v>
      </c>
      <c r="F6" s="30">
        <v>6</v>
      </c>
      <c r="G6" s="30">
        <f t="shared" si="3"/>
        <v>0</v>
      </c>
      <c r="H6" s="30">
        <f t="shared" si="4"/>
        <v>0</v>
      </c>
      <c r="I6" s="30">
        <f t="shared" si="5"/>
        <v>0</v>
      </c>
      <c r="J6" s="30">
        <f t="shared" si="6"/>
        <v>0</v>
      </c>
      <c r="K6" s="30">
        <f t="shared" si="7"/>
        <v>1</v>
      </c>
      <c r="L6" s="30">
        <f t="shared" si="8"/>
        <v>0</v>
      </c>
      <c r="M6" s="71">
        <f t="shared" si="9"/>
        <v>0</v>
      </c>
      <c r="N6" s="30">
        <f t="shared" si="10"/>
        <v>0</v>
      </c>
      <c r="O6" s="30">
        <f t="shared" si="11"/>
        <v>0</v>
      </c>
      <c r="P6" s="30">
        <f t="shared" si="12"/>
        <v>0</v>
      </c>
      <c r="Q6" s="30">
        <f t="shared" si="13"/>
        <v>0</v>
      </c>
      <c r="R6" s="30">
        <f t="shared" si="14"/>
        <v>0</v>
      </c>
      <c r="S6" s="30">
        <f t="shared" si="15"/>
        <v>1</v>
      </c>
      <c r="T6" s="30">
        <f t="shared" si="16"/>
        <v>0</v>
      </c>
      <c r="U6" s="30" t="s">
        <v>51</v>
      </c>
      <c r="V6" s="30" t="s">
        <v>31</v>
      </c>
      <c r="W6" s="30">
        <v>3773</v>
      </c>
      <c r="X6" s="30">
        <v>4337</v>
      </c>
      <c r="Y6" s="30">
        <v>5791</v>
      </c>
      <c r="Z6" s="30">
        <v>4040</v>
      </c>
      <c r="AA6" s="30">
        <v>4331</v>
      </c>
      <c r="AB6" s="30">
        <v>5958</v>
      </c>
      <c r="AC6" s="30">
        <v>267</v>
      </c>
      <c r="AD6" s="30">
        <v>-6</v>
      </c>
      <c r="AE6" s="30">
        <v>167</v>
      </c>
      <c r="AF6" s="30">
        <v>267</v>
      </c>
      <c r="AG6" s="30">
        <v>-6</v>
      </c>
      <c r="AH6" s="30">
        <v>167</v>
      </c>
      <c r="AI6" s="111">
        <f t="shared" si="17"/>
        <v>1</v>
      </c>
      <c r="AJ6" s="100">
        <f t="shared" si="18"/>
        <v>0</v>
      </c>
      <c r="AK6" s="71">
        <f t="shared" si="19"/>
        <v>1</v>
      </c>
      <c r="AL6" s="111">
        <f t="shared" si="20"/>
        <v>0</v>
      </c>
      <c r="AM6" s="100">
        <f t="shared" si="21"/>
        <v>1</v>
      </c>
      <c r="AN6" s="71">
        <f t="shared" si="22"/>
        <v>0</v>
      </c>
      <c r="AO6" s="111">
        <f t="shared" si="23"/>
        <v>0</v>
      </c>
      <c r="AP6" s="100">
        <f t="shared" si="24"/>
        <v>0</v>
      </c>
      <c r="AQ6" s="71">
        <f t="shared" si="25"/>
        <v>0</v>
      </c>
      <c r="BL6" s="30">
        <v>267</v>
      </c>
    </row>
    <row r="7" spans="1:64" s="30" customFormat="1">
      <c r="A7" s="30" t="s">
        <v>52</v>
      </c>
      <c r="B7" s="30">
        <v>450</v>
      </c>
      <c r="C7" s="30" t="s">
        <v>31</v>
      </c>
      <c r="D7" s="30" t="s">
        <v>33</v>
      </c>
      <c r="E7" s="30">
        <v>3</v>
      </c>
      <c r="F7" s="30">
        <v>3</v>
      </c>
      <c r="G7" s="30">
        <f t="shared" si="3"/>
        <v>0</v>
      </c>
      <c r="H7" s="30">
        <f t="shared" si="4"/>
        <v>0</v>
      </c>
      <c r="I7" s="30">
        <f t="shared" si="5"/>
        <v>1</v>
      </c>
      <c r="J7" s="30">
        <f t="shared" si="6"/>
        <v>0</v>
      </c>
      <c r="K7" s="30">
        <f t="shared" si="7"/>
        <v>0</v>
      </c>
      <c r="L7" s="30">
        <f t="shared" si="8"/>
        <v>0</v>
      </c>
      <c r="M7" s="71">
        <f t="shared" si="9"/>
        <v>0</v>
      </c>
      <c r="N7" s="30">
        <f t="shared" si="10"/>
        <v>0</v>
      </c>
      <c r="O7" s="30">
        <f t="shared" si="11"/>
        <v>0</v>
      </c>
      <c r="P7" s="30">
        <f t="shared" si="12"/>
        <v>1</v>
      </c>
      <c r="Q7" s="30">
        <f t="shared" si="13"/>
        <v>0</v>
      </c>
      <c r="R7" s="30">
        <f t="shared" si="14"/>
        <v>0</v>
      </c>
      <c r="S7" s="30">
        <f t="shared" si="15"/>
        <v>0</v>
      </c>
      <c r="T7" s="30">
        <f t="shared" si="16"/>
        <v>0</v>
      </c>
      <c r="U7" s="30" t="s">
        <v>52</v>
      </c>
      <c r="V7" s="30" t="s">
        <v>31</v>
      </c>
      <c r="W7" s="30">
        <v>6407</v>
      </c>
      <c r="X7" s="30">
        <v>7777</v>
      </c>
      <c r="Y7" s="30">
        <v>7649</v>
      </c>
      <c r="Z7" s="30">
        <v>6499</v>
      </c>
      <c r="AA7" s="30">
        <v>7465</v>
      </c>
      <c r="AB7" s="30">
        <v>8229</v>
      </c>
      <c r="AC7" s="30">
        <v>92</v>
      </c>
      <c r="AD7" s="30">
        <v>-312</v>
      </c>
      <c r="AE7" s="30">
        <v>580</v>
      </c>
      <c r="AF7" s="30">
        <v>94</v>
      </c>
      <c r="AG7" s="30">
        <v>-312</v>
      </c>
      <c r="AH7" s="30">
        <v>580</v>
      </c>
      <c r="AI7" s="111">
        <f t="shared" si="17"/>
        <v>1</v>
      </c>
      <c r="AJ7" s="100">
        <f t="shared" si="18"/>
        <v>0</v>
      </c>
      <c r="AK7" s="71">
        <f t="shared" si="19"/>
        <v>1</v>
      </c>
      <c r="AL7" s="111">
        <f t="shared" si="20"/>
        <v>0</v>
      </c>
      <c r="AM7" s="100">
        <f t="shared" si="21"/>
        <v>1</v>
      </c>
      <c r="AN7" s="71">
        <f t="shared" si="22"/>
        <v>0</v>
      </c>
      <c r="AO7" s="111">
        <f t="shared" si="23"/>
        <v>0</v>
      </c>
      <c r="AP7" s="100">
        <f t="shared" si="24"/>
        <v>0</v>
      </c>
      <c r="AQ7" s="71">
        <f t="shared" si="25"/>
        <v>0</v>
      </c>
      <c r="BL7" s="30">
        <v>92</v>
      </c>
    </row>
    <row r="8" spans="1:64" s="30" customFormat="1">
      <c r="A8" s="30" t="s">
        <v>92</v>
      </c>
      <c r="B8" s="30">
        <v>385</v>
      </c>
      <c r="C8" s="30" t="s">
        <v>31</v>
      </c>
      <c r="D8" s="30" t="s">
        <v>33</v>
      </c>
      <c r="E8" s="30">
        <v>6</v>
      </c>
      <c r="F8" s="30">
        <v>6</v>
      </c>
      <c r="G8" s="30">
        <f t="shared" si="3"/>
        <v>0</v>
      </c>
      <c r="H8" s="30">
        <f t="shared" si="4"/>
        <v>0</v>
      </c>
      <c r="I8" s="30">
        <f t="shared" si="5"/>
        <v>0</v>
      </c>
      <c r="J8" s="30">
        <f t="shared" si="6"/>
        <v>0</v>
      </c>
      <c r="K8" s="30">
        <f t="shared" si="7"/>
        <v>0</v>
      </c>
      <c r="L8" s="30">
        <f t="shared" si="8"/>
        <v>1</v>
      </c>
      <c r="M8" s="71">
        <f t="shared" si="9"/>
        <v>0</v>
      </c>
      <c r="N8" s="30">
        <f t="shared" si="10"/>
        <v>0</v>
      </c>
      <c r="O8" s="30">
        <f t="shared" si="11"/>
        <v>0</v>
      </c>
      <c r="P8" s="30">
        <f t="shared" si="12"/>
        <v>0</v>
      </c>
      <c r="Q8" s="30">
        <f t="shared" si="13"/>
        <v>0</v>
      </c>
      <c r="R8" s="30">
        <f t="shared" si="14"/>
        <v>0</v>
      </c>
      <c r="S8" s="30">
        <f t="shared" si="15"/>
        <v>1</v>
      </c>
      <c r="T8" s="30">
        <f t="shared" si="16"/>
        <v>0</v>
      </c>
      <c r="U8" s="30" t="s">
        <v>92</v>
      </c>
      <c r="V8" s="30" t="s">
        <v>31</v>
      </c>
      <c r="W8" s="30">
        <v>1422</v>
      </c>
      <c r="X8" s="30">
        <v>1832</v>
      </c>
      <c r="Y8" s="30">
        <v>2480</v>
      </c>
      <c r="Z8" s="30">
        <v>1351</v>
      </c>
      <c r="AA8" s="30">
        <v>1820</v>
      </c>
      <c r="AB8" s="30">
        <v>2494</v>
      </c>
      <c r="AC8" s="30">
        <v>-71</v>
      </c>
      <c r="AD8" s="30">
        <v>-12</v>
      </c>
      <c r="AE8" s="30">
        <v>14</v>
      </c>
      <c r="AF8" s="30">
        <v>-71</v>
      </c>
      <c r="AG8" s="30">
        <v>12</v>
      </c>
      <c r="AH8" s="30">
        <v>14</v>
      </c>
      <c r="AI8" s="111">
        <f t="shared" si="17"/>
        <v>0</v>
      </c>
      <c r="AJ8" s="100">
        <f t="shared" si="18"/>
        <v>0</v>
      </c>
      <c r="AK8" s="71">
        <f t="shared" si="19"/>
        <v>1</v>
      </c>
      <c r="AL8" s="111">
        <f t="shared" si="20"/>
        <v>1</v>
      </c>
      <c r="AM8" s="100">
        <f t="shared" si="21"/>
        <v>1</v>
      </c>
      <c r="AN8" s="71">
        <f t="shared" si="22"/>
        <v>0</v>
      </c>
      <c r="AO8" s="111">
        <f t="shared" si="23"/>
        <v>0</v>
      </c>
      <c r="AP8" s="100">
        <f t="shared" si="24"/>
        <v>0</v>
      </c>
      <c r="AQ8" s="71">
        <f t="shared" si="25"/>
        <v>0</v>
      </c>
      <c r="BL8" s="30">
        <v>-71</v>
      </c>
    </row>
    <row r="9" spans="1:64" s="30" customFormat="1">
      <c r="A9" s="30" t="s">
        <v>93</v>
      </c>
      <c r="B9" s="30">
        <v>260</v>
      </c>
      <c r="C9" s="30" t="s">
        <v>31</v>
      </c>
      <c r="D9" s="30" t="s">
        <v>32</v>
      </c>
      <c r="E9" s="30">
        <v>4</v>
      </c>
      <c r="F9" s="30">
        <v>6</v>
      </c>
      <c r="G9" s="30">
        <f t="shared" si="3"/>
        <v>0</v>
      </c>
      <c r="H9" s="30">
        <f t="shared" si="4"/>
        <v>0</v>
      </c>
      <c r="I9" s="30">
        <f t="shared" si="5"/>
        <v>0</v>
      </c>
      <c r="J9" s="30">
        <f t="shared" si="6"/>
        <v>1</v>
      </c>
      <c r="K9" s="30">
        <f t="shared" si="7"/>
        <v>0</v>
      </c>
      <c r="L9" s="30">
        <f t="shared" si="8"/>
        <v>0</v>
      </c>
      <c r="M9" s="71">
        <f t="shared" si="9"/>
        <v>0</v>
      </c>
      <c r="N9" s="30">
        <f t="shared" si="10"/>
        <v>0</v>
      </c>
      <c r="O9" s="30">
        <f t="shared" si="11"/>
        <v>0</v>
      </c>
      <c r="P9" s="30">
        <f t="shared" si="12"/>
        <v>0</v>
      </c>
      <c r="Q9" s="30">
        <f t="shared" si="13"/>
        <v>0</v>
      </c>
      <c r="R9" s="30">
        <f t="shared" si="14"/>
        <v>0</v>
      </c>
      <c r="S9" s="30">
        <f t="shared" si="15"/>
        <v>1</v>
      </c>
      <c r="T9" s="30">
        <f t="shared" si="16"/>
        <v>0</v>
      </c>
      <c r="U9" s="30" t="s">
        <v>93</v>
      </c>
      <c r="V9" s="30" t="s">
        <v>31</v>
      </c>
      <c r="W9" s="30">
        <v>3959</v>
      </c>
      <c r="X9" s="30">
        <v>4607</v>
      </c>
      <c r="Y9" s="30">
        <v>5876</v>
      </c>
      <c r="Z9" s="30">
        <v>4315</v>
      </c>
      <c r="AA9" s="30">
        <v>4882</v>
      </c>
      <c r="AB9" s="30">
        <v>5908</v>
      </c>
      <c r="AC9" s="30">
        <v>356</v>
      </c>
      <c r="AD9" s="30">
        <v>275</v>
      </c>
      <c r="AE9" s="30">
        <v>32</v>
      </c>
      <c r="AF9" s="30">
        <v>312</v>
      </c>
      <c r="AG9" s="30">
        <v>275</v>
      </c>
      <c r="AH9" s="30">
        <v>32</v>
      </c>
      <c r="AI9" s="111">
        <f t="shared" si="17"/>
        <v>1</v>
      </c>
      <c r="AJ9" s="100">
        <f t="shared" si="18"/>
        <v>1</v>
      </c>
      <c r="AK9" s="71">
        <f t="shared" si="19"/>
        <v>1</v>
      </c>
      <c r="AL9" s="111">
        <f t="shared" si="20"/>
        <v>0</v>
      </c>
      <c r="AM9" s="100">
        <f t="shared" si="21"/>
        <v>0</v>
      </c>
      <c r="AN9" s="71">
        <f t="shared" si="22"/>
        <v>0</v>
      </c>
      <c r="AO9" s="111">
        <f t="shared" si="23"/>
        <v>0</v>
      </c>
      <c r="AP9" s="100">
        <f t="shared" si="24"/>
        <v>0</v>
      </c>
      <c r="AQ9" s="71">
        <f t="shared" si="25"/>
        <v>0</v>
      </c>
      <c r="BL9" s="30">
        <v>356</v>
      </c>
    </row>
    <row r="10" spans="1:64" s="30" customFormat="1">
      <c r="A10" s="30" t="s">
        <v>100</v>
      </c>
      <c r="B10" s="30">
        <v>10</v>
      </c>
      <c r="C10" s="30" t="s">
        <v>31</v>
      </c>
      <c r="D10" s="30" t="s">
        <v>33</v>
      </c>
      <c r="E10" s="30">
        <v>3</v>
      </c>
      <c r="F10" s="30">
        <v>5</v>
      </c>
      <c r="G10" s="30">
        <f t="shared" si="3"/>
        <v>0</v>
      </c>
      <c r="H10" s="30">
        <f t="shared" si="4"/>
        <v>0</v>
      </c>
      <c r="I10" s="30">
        <f t="shared" si="5"/>
        <v>1</v>
      </c>
      <c r="J10" s="30">
        <f t="shared" si="6"/>
        <v>0</v>
      </c>
      <c r="K10" s="30">
        <f t="shared" si="7"/>
        <v>0</v>
      </c>
      <c r="L10" s="30">
        <f t="shared" si="8"/>
        <v>0</v>
      </c>
      <c r="M10" s="71">
        <f t="shared" si="9"/>
        <v>0</v>
      </c>
      <c r="N10" s="30">
        <f t="shared" si="10"/>
        <v>0</v>
      </c>
      <c r="O10" s="30">
        <f t="shared" si="11"/>
        <v>0</v>
      </c>
      <c r="P10" s="30">
        <f t="shared" si="12"/>
        <v>0</v>
      </c>
      <c r="Q10" s="30">
        <f t="shared" si="13"/>
        <v>0</v>
      </c>
      <c r="R10" s="30">
        <f t="shared" si="14"/>
        <v>1</v>
      </c>
      <c r="S10" s="30">
        <f t="shared" si="15"/>
        <v>0</v>
      </c>
      <c r="T10" s="30">
        <f t="shared" si="16"/>
        <v>0</v>
      </c>
      <c r="U10" s="30" t="s">
        <v>100</v>
      </c>
      <c r="V10" s="30" t="s">
        <v>31</v>
      </c>
      <c r="W10" s="31">
        <f>(AU10/800)*10</f>
        <v>161.63749999999999</v>
      </c>
      <c r="X10" s="31">
        <f t="shared" ref="X10:AH10" si="26">(AV10/800)*10</f>
        <v>166.6</v>
      </c>
      <c r="Y10" s="31">
        <f t="shared" si="26"/>
        <v>153.76250000000002</v>
      </c>
      <c r="Z10" s="31">
        <f t="shared" si="26"/>
        <v>137.73750000000001</v>
      </c>
      <c r="AA10" s="31">
        <f t="shared" si="26"/>
        <v>167.13750000000002</v>
      </c>
      <c r="AB10" s="31">
        <f t="shared" si="26"/>
        <v>141.03749999999999</v>
      </c>
      <c r="AC10" s="31">
        <f t="shared" si="26"/>
        <v>-23.900000000000002</v>
      </c>
      <c r="AD10" s="31">
        <f t="shared" si="26"/>
        <v>0.53749999999999998</v>
      </c>
      <c r="AE10" s="31">
        <f t="shared" si="26"/>
        <v>-12.725</v>
      </c>
      <c r="AF10" s="31">
        <f t="shared" si="26"/>
        <v>-23.900000000000002</v>
      </c>
      <c r="AG10" s="31">
        <f t="shared" si="26"/>
        <v>0.53749999999999998</v>
      </c>
      <c r="AH10" s="31">
        <f t="shared" si="26"/>
        <v>-12.725</v>
      </c>
      <c r="AI10" s="111">
        <f t="shared" si="17"/>
        <v>0</v>
      </c>
      <c r="AJ10" s="100">
        <f t="shared" si="18"/>
        <v>1</v>
      </c>
      <c r="AK10" s="71">
        <f t="shared" si="19"/>
        <v>0</v>
      </c>
      <c r="AL10" s="111">
        <f t="shared" si="20"/>
        <v>1</v>
      </c>
      <c r="AM10" s="100">
        <f t="shared" si="21"/>
        <v>0</v>
      </c>
      <c r="AN10" s="71">
        <f t="shared" si="22"/>
        <v>1</v>
      </c>
      <c r="AO10" s="111">
        <f t="shared" si="23"/>
        <v>0</v>
      </c>
      <c r="AP10" s="100">
        <f t="shared" si="24"/>
        <v>0</v>
      </c>
      <c r="AQ10" s="71">
        <f t="shared" si="25"/>
        <v>0</v>
      </c>
      <c r="AU10" s="30">
        <v>12931</v>
      </c>
      <c r="AV10" s="30">
        <v>13328</v>
      </c>
      <c r="AW10" s="30">
        <v>12301</v>
      </c>
      <c r="AX10" s="30">
        <v>11019</v>
      </c>
      <c r="AY10" s="30">
        <v>13371</v>
      </c>
      <c r="AZ10" s="30">
        <v>11283</v>
      </c>
      <c r="BA10" s="30">
        <v>-1912</v>
      </c>
      <c r="BB10" s="30">
        <v>43</v>
      </c>
      <c r="BC10" s="30">
        <v>-1018</v>
      </c>
      <c r="BD10" s="30">
        <v>-1912</v>
      </c>
      <c r="BE10" s="30">
        <v>43</v>
      </c>
      <c r="BF10" s="30">
        <v>-1018</v>
      </c>
      <c r="BL10" s="30">
        <v>-23.900000000000002</v>
      </c>
    </row>
    <row r="11" spans="1:64" s="30" customFormat="1">
      <c r="A11" s="30" t="s">
        <v>101</v>
      </c>
      <c r="B11" s="30">
        <v>176</v>
      </c>
      <c r="C11" s="30" t="s">
        <v>31</v>
      </c>
      <c r="D11" s="30" t="s">
        <v>32</v>
      </c>
      <c r="E11" s="30">
        <v>6</v>
      </c>
      <c r="F11" s="30">
        <v>6</v>
      </c>
      <c r="G11" s="30">
        <f t="shared" si="3"/>
        <v>0</v>
      </c>
      <c r="H11" s="30">
        <f t="shared" si="4"/>
        <v>0</v>
      </c>
      <c r="I11" s="30">
        <f t="shared" si="5"/>
        <v>0</v>
      </c>
      <c r="J11" s="30">
        <f t="shared" si="6"/>
        <v>0</v>
      </c>
      <c r="K11" s="30">
        <f t="shared" si="7"/>
        <v>0</v>
      </c>
      <c r="L11" s="30">
        <f t="shared" si="8"/>
        <v>1</v>
      </c>
      <c r="M11" s="71">
        <f t="shared" si="9"/>
        <v>0</v>
      </c>
      <c r="N11" s="30">
        <f t="shared" si="10"/>
        <v>0</v>
      </c>
      <c r="O11" s="30">
        <f t="shared" si="11"/>
        <v>0</v>
      </c>
      <c r="P11" s="30">
        <f t="shared" si="12"/>
        <v>0</v>
      </c>
      <c r="Q11" s="30">
        <f t="shared" si="13"/>
        <v>0</v>
      </c>
      <c r="R11" s="30">
        <f t="shared" si="14"/>
        <v>0</v>
      </c>
      <c r="S11" s="30">
        <f t="shared" si="15"/>
        <v>1</v>
      </c>
      <c r="T11" s="30">
        <f t="shared" si="16"/>
        <v>0</v>
      </c>
      <c r="U11" s="30" t="s">
        <v>101</v>
      </c>
      <c r="V11" s="30" t="s">
        <v>31</v>
      </c>
      <c r="W11" s="30">
        <v>1913</v>
      </c>
      <c r="X11" s="30">
        <v>2464</v>
      </c>
      <c r="Y11" s="30">
        <v>2092</v>
      </c>
      <c r="Z11" s="30">
        <v>1958</v>
      </c>
      <c r="AA11" s="30">
        <v>2220</v>
      </c>
      <c r="AB11" s="30">
        <v>2138</v>
      </c>
      <c r="AC11" s="30">
        <v>45</v>
      </c>
      <c r="AD11" s="30">
        <v>-244</v>
      </c>
      <c r="AE11" s="30">
        <v>46</v>
      </c>
      <c r="AF11" s="30">
        <v>45</v>
      </c>
      <c r="AG11" s="30">
        <v>-244</v>
      </c>
      <c r="AH11" s="30">
        <v>46</v>
      </c>
      <c r="AI11" s="111">
        <f t="shared" si="17"/>
        <v>1</v>
      </c>
      <c r="AJ11" s="100">
        <f t="shared" si="18"/>
        <v>0</v>
      </c>
      <c r="AK11" s="71">
        <f t="shared" si="19"/>
        <v>1</v>
      </c>
      <c r="AL11" s="111">
        <f t="shared" si="20"/>
        <v>0</v>
      </c>
      <c r="AM11" s="100">
        <f t="shared" si="21"/>
        <v>1</v>
      </c>
      <c r="AN11" s="71">
        <f t="shared" si="22"/>
        <v>0</v>
      </c>
      <c r="AO11" s="111">
        <f t="shared" si="23"/>
        <v>0</v>
      </c>
      <c r="AP11" s="100">
        <f t="shared" si="24"/>
        <v>0</v>
      </c>
      <c r="AQ11" s="71">
        <f t="shared" si="25"/>
        <v>0</v>
      </c>
      <c r="BL11" s="30">
        <v>45</v>
      </c>
    </row>
    <row r="12" spans="1:64" s="30" customFormat="1">
      <c r="A12" s="30" t="s">
        <v>102</v>
      </c>
      <c r="B12" s="30">
        <v>117</v>
      </c>
      <c r="C12" s="30" t="s">
        <v>31</v>
      </c>
      <c r="D12" s="30" t="s">
        <v>35</v>
      </c>
      <c r="E12" s="30">
        <v>2</v>
      </c>
      <c r="F12" s="30">
        <v>5</v>
      </c>
      <c r="G12" s="30">
        <f t="shared" si="3"/>
        <v>0</v>
      </c>
      <c r="H12" s="30">
        <f t="shared" si="4"/>
        <v>1</v>
      </c>
      <c r="I12" s="30">
        <f t="shared" si="5"/>
        <v>0</v>
      </c>
      <c r="J12" s="30">
        <f t="shared" si="6"/>
        <v>0</v>
      </c>
      <c r="K12" s="30">
        <f t="shared" si="7"/>
        <v>0</v>
      </c>
      <c r="L12" s="30">
        <f t="shared" si="8"/>
        <v>0</v>
      </c>
      <c r="M12" s="71">
        <f t="shared" si="9"/>
        <v>0</v>
      </c>
      <c r="N12" s="30">
        <f t="shared" si="10"/>
        <v>0</v>
      </c>
      <c r="O12" s="30">
        <f t="shared" si="11"/>
        <v>0</v>
      </c>
      <c r="P12" s="30">
        <f t="shared" si="12"/>
        <v>0</v>
      </c>
      <c r="Q12" s="30">
        <f t="shared" si="13"/>
        <v>0</v>
      </c>
      <c r="R12" s="30">
        <f t="shared" si="14"/>
        <v>1</v>
      </c>
      <c r="S12" s="30">
        <f t="shared" si="15"/>
        <v>0</v>
      </c>
      <c r="T12" s="30">
        <f t="shared" si="16"/>
        <v>0</v>
      </c>
      <c r="U12" s="30" t="s">
        <v>102</v>
      </c>
      <c r="V12" s="30" t="s">
        <v>31</v>
      </c>
      <c r="W12" s="30">
        <v>111</v>
      </c>
      <c r="X12" s="30">
        <v>111</v>
      </c>
      <c r="Y12" s="30">
        <v>158</v>
      </c>
      <c r="Z12" s="30">
        <v>111</v>
      </c>
      <c r="AA12" s="30">
        <v>111</v>
      </c>
      <c r="AB12" s="30">
        <v>158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111">
        <f t="shared" si="17"/>
        <v>0</v>
      </c>
      <c r="AJ12" s="100">
        <f t="shared" si="18"/>
        <v>0</v>
      </c>
      <c r="AK12" s="71">
        <f t="shared" si="19"/>
        <v>0</v>
      </c>
      <c r="AL12" s="111">
        <f t="shared" si="20"/>
        <v>0</v>
      </c>
      <c r="AM12" s="100">
        <f t="shared" si="21"/>
        <v>0</v>
      </c>
      <c r="AN12" s="71">
        <f t="shared" si="22"/>
        <v>0</v>
      </c>
      <c r="AO12" s="111">
        <f t="shared" si="23"/>
        <v>1</v>
      </c>
      <c r="AP12" s="100">
        <f t="shared" si="24"/>
        <v>1</v>
      </c>
      <c r="AQ12" s="71">
        <f t="shared" si="25"/>
        <v>1</v>
      </c>
      <c r="BL12" s="30">
        <v>0</v>
      </c>
    </row>
    <row r="13" spans="1:64" s="30" customFormat="1">
      <c r="A13" s="30" t="s">
        <v>103</v>
      </c>
      <c r="B13" s="30">
        <v>720</v>
      </c>
      <c r="C13" s="30" t="s">
        <v>31</v>
      </c>
      <c r="D13" s="30" t="s">
        <v>32</v>
      </c>
      <c r="E13" s="30">
        <v>2</v>
      </c>
      <c r="F13" s="30">
        <v>7</v>
      </c>
      <c r="G13" s="30">
        <f t="shared" si="3"/>
        <v>0</v>
      </c>
      <c r="H13" s="30">
        <f t="shared" si="4"/>
        <v>1</v>
      </c>
      <c r="I13" s="30">
        <f t="shared" si="5"/>
        <v>0</v>
      </c>
      <c r="J13" s="30">
        <f t="shared" si="6"/>
        <v>0</v>
      </c>
      <c r="K13" s="30">
        <f t="shared" si="7"/>
        <v>0</v>
      </c>
      <c r="L13" s="30">
        <f t="shared" si="8"/>
        <v>0</v>
      </c>
      <c r="M13" s="71">
        <f t="shared" si="9"/>
        <v>0</v>
      </c>
      <c r="N13" s="30">
        <f t="shared" si="10"/>
        <v>0</v>
      </c>
      <c r="O13" s="30">
        <f t="shared" si="11"/>
        <v>0</v>
      </c>
      <c r="P13" s="30">
        <f t="shared" si="12"/>
        <v>0</v>
      </c>
      <c r="Q13" s="30">
        <f t="shared" si="13"/>
        <v>0</v>
      </c>
      <c r="R13" s="30">
        <f t="shared" si="14"/>
        <v>0</v>
      </c>
      <c r="S13" s="30">
        <f t="shared" si="15"/>
        <v>0</v>
      </c>
      <c r="T13" s="30">
        <f t="shared" si="16"/>
        <v>1</v>
      </c>
      <c r="U13" s="30" t="s">
        <v>103</v>
      </c>
      <c r="V13" s="30" t="s">
        <v>31</v>
      </c>
      <c r="W13" s="30">
        <v>2297</v>
      </c>
      <c r="X13" s="30">
        <v>2513</v>
      </c>
      <c r="Y13" s="30">
        <v>2502</v>
      </c>
      <c r="Z13" s="30">
        <v>2884</v>
      </c>
      <c r="AA13" s="30">
        <v>3706</v>
      </c>
      <c r="AB13" s="30">
        <v>4188</v>
      </c>
      <c r="AC13" s="30">
        <v>587</v>
      </c>
      <c r="AD13" s="30">
        <v>1193</v>
      </c>
      <c r="AE13" s="30">
        <v>1686</v>
      </c>
      <c r="AF13" s="30">
        <v>587</v>
      </c>
      <c r="AG13" s="30">
        <v>1193</v>
      </c>
      <c r="AH13" s="30">
        <v>1686</v>
      </c>
      <c r="AI13" s="111">
        <f t="shared" si="17"/>
        <v>1</v>
      </c>
      <c r="AJ13" s="100">
        <f t="shared" si="18"/>
        <v>1</v>
      </c>
      <c r="AK13" s="71">
        <f t="shared" si="19"/>
        <v>1</v>
      </c>
      <c r="AL13" s="111">
        <f t="shared" si="20"/>
        <v>0</v>
      </c>
      <c r="AM13" s="100">
        <f t="shared" si="21"/>
        <v>0</v>
      </c>
      <c r="AN13" s="71">
        <f t="shared" si="22"/>
        <v>0</v>
      </c>
      <c r="AO13" s="111">
        <f t="shared" si="23"/>
        <v>0</v>
      </c>
      <c r="AP13" s="100">
        <f t="shared" si="24"/>
        <v>0</v>
      </c>
      <c r="AQ13" s="71">
        <f t="shared" si="25"/>
        <v>0</v>
      </c>
      <c r="BL13" s="30">
        <v>587</v>
      </c>
    </row>
    <row r="14" spans="1:64" s="30" customFormat="1">
      <c r="A14" s="30" t="s">
        <v>104</v>
      </c>
      <c r="B14" s="30">
        <v>25</v>
      </c>
      <c r="C14" s="30" t="s">
        <v>31</v>
      </c>
      <c r="D14" s="30" t="s">
        <v>33</v>
      </c>
      <c r="E14" s="30">
        <v>2</v>
      </c>
      <c r="F14" s="30">
        <v>5</v>
      </c>
      <c r="G14" s="30">
        <f t="shared" si="3"/>
        <v>0</v>
      </c>
      <c r="H14" s="30">
        <f t="shared" si="4"/>
        <v>1</v>
      </c>
      <c r="I14" s="30">
        <f t="shared" si="5"/>
        <v>0</v>
      </c>
      <c r="J14" s="30">
        <f t="shared" si="6"/>
        <v>0</v>
      </c>
      <c r="K14" s="30">
        <f t="shared" si="7"/>
        <v>0</v>
      </c>
      <c r="L14" s="30">
        <f t="shared" si="8"/>
        <v>0</v>
      </c>
      <c r="M14" s="71">
        <f t="shared" si="9"/>
        <v>0</v>
      </c>
      <c r="N14" s="30">
        <f t="shared" si="10"/>
        <v>0</v>
      </c>
      <c r="O14" s="30">
        <f t="shared" si="11"/>
        <v>0</v>
      </c>
      <c r="P14" s="30">
        <f t="shared" si="12"/>
        <v>0</v>
      </c>
      <c r="Q14" s="30">
        <f t="shared" si="13"/>
        <v>0</v>
      </c>
      <c r="R14" s="30">
        <f t="shared" si="14"/>
        <v>1</v>
      </c>
      <c r="S14" s="30">
        <f t="shared" si="15"/>
        <v>0</v>
      </c>
      <c r="T14" s="30">
        <f t="shared" si="16"/>
        <v>0</v>
      </c>
      <c r="U14" s="30" t="s">
        <v>104</v>
      </c>
      <c r="V14" s="30" t="s">
        <v>31</v>
      </c>
      <c r="W14" s="31">
        <f>(AU14/1100)*25</f>
        <v>163.25</v>
      </c>
      <c r="X14" s="31">
        <f t="shared" ref="X14:AH14" si="27">(AV14/1100)*25</f>
        <v>147.52272727272728</v>
      </c>
      <c r="Y14" s="31">
        <f t="shared" si="27"/>
        <v>185.02272727272728</v>
      </c>
      <c r="Z14" s="31">
        <f t="shared" si="27"/>
        <v>154.18181818181819</v>
      </c>
      <c r="AA14" s="31">
        <f t="shared" si="27"/>
        <v>154.47727272727272</v>
      </c>
      <c r="AB14" s="31">
        <f t="shared" si="27"/>
        <v>225.18181818181819</v>
      </c>
      <c r="AC14" s="31">
        <f t="shared" si="27"/>
        <v>-9.0681818181818183</v>
      </c>
      <c r="AD14" s="31">
        <f t="shared" si="27"/>
        <v>6.954545454545455</v>
      </c>
      <c r="AE14" s="31">
        <f t="shared" si="27"/>
        <v>40.159090909090914</v>
      </c>
      <c r="AF14" s="31">
        <f t="shared" si="27"/>
        <v>-10.25</v>
      </c>
      <c r="AG14" s="31">
        <f t="shared" si="27"/>
        <v>6.25</v>
      </c>
      <c r="AH14" s="31">
        <f t="shared" si="27"/>
        <v>39.204545454545453</v>
      </c>
      <c r="AI14" s="111">
        <f t="shared" si="17"/>
        <v>0</v>
      </c>
      <c r="AJ14" s="100">
        <f t="shared" si="18"/>
        <v>1</v>
      </c>
      <c r="AK14" s="71">
        <f t="shared" si="19"/>
        <v>1</v>
      </c>
      <c r="AL14" s="111">
        <f t="shared" si="20"/>
        <v>1</v>
      </c>
      <c r="AM14" s="100">
        <f t="shared" si="21"/>
        <v>0</v>
      </c>
      <c r="AN14" s="71">
        <f t="shared" si="22"/>
        <v>0</v>
      </c>
      <c r="AO14" s="111">
        <f t="shared" si="23"/>
        <v>0</v>
      </c>
      <c r="AP14" s="100">
        <f t="shared" si="24"/>
        <v>0</v>
      </c>
      <c r="AQ14" s="71">
        <f t="shared" si="25"/>
        <v>0</v>
      </c>
      <c r="AU14" s="30">
        <v>7183</v>
      </c>
      <c r="AV14" s="30">
        <v>6491</v>
      </c>
      <c r="AW14" s="30">
        <v>8141</v>
      </c>
      <c r="AX14" s="30">
        <v>6784</v>
      </c>
      <c r="AY14" s="30">
        <v>6797</v>
      </c>
      <c r="AZ14" s="30">
        <v>9908</v>
      </c>
      <c r="BA14" s="30">
        <v>-399</v>
      </c>
      <c r="BB14" s="30">
        <v>306</v>
      </c>
      <c r="BC14" s="30">
        <v>1767</v>
      </c>
      <c r="BD14" s="30">
        <v>-451</v>
      </c>
      <c r="BE14" s="30">
        <v>275</v>
      </c>
      <c r="BF14" s="30">
        <v>1725</v>
      </c>
      <c r="BL14" s="30">
        <v>-9.0681818181818183</v>
      </c>
    </row>
    <row r="15" spans="1:64" s="30" customFormat="1">
      <c r="A15" s="30" t="s">
        <v>134</v>
      </c>
      <c r="B15" s="30">
        <v>300</v>
      </c>
      <c r="C15" s="30" t="s">
        <v>31</v>
      </c>
      <c r="D15" s="30" t="s">
        <v>35</v>
      </c>
      <c r="E15" s="30">
        <v>5</v>
      </c>
      <c r="F15" s="30">
        <v>6</v>
      </c>
      <c r="G15" s="30">
        <f t="shared" si="3"/>
        <v>0</v>
      </c>
      <c r="H15" s="30">
        <f t="shared" si="4"/>
        <v>0</v>
      </c>
      <c r="I15" s="30">
        <f t="shared" si="5"/>
        <v>0</v>
      </c>
      <c r="J15" s="30">
        <f t="shared" si="6"/>
        <v>0</v>
      </c>
      <c r="K15" s="30">
        <f t="shared" si="7"/>
        <v>1</v>
      </c>
      <c r="L15" s="30">
        <f t="shared" si="8"/>
        <v>0</v>
      </c>
      <c r="M15" s="71">
        <f t="shared" si="9"/>
        <v>0</v>
      </c>
      <c r="N15" s="30">
        <f t="shared" si="10"/>
        <v>0</v>
      </c>
      <c r="O15" s="30">
        <f t="shared" si="11"/>
        <v>0</v>
      </c>
      <c r="P15" s="30">
        <f t="shared" si="12"/>
        <v>0</v>
      </c>
      <c r="Q15" s="30">
        <f t="shared" si="13"/>
        <v>0</v>
      </c>
      <c r="R15" s="30">
        <f t="shared" si="14"/>
        <v>0</v>
      </c>
      <c r="S15" s="30">
        <f t="shared" si="15"/>
        <v>1</v>
      </c>
      <c r="T15" s="30">
        <f t="shared" si="16"/>
        <v>0</v>
      </c>
      <c r="U15" s="30" t="s">
        <v>134</v>
      </c>
      <c r="V15" s="30" t="s">
        <v>31</v>
      </c>
      <c r="W15" s="30">
        <v>2297</v>
      </c>
      <c r="X15" s="30">
        <v>2513</v>
      </c>
      <c r="Y15" s="30">
        <v>2502</v>
      </c>
      <c r="Z15" s="30">
        <v>2884</v>
      </c>
      <c r="AA15" s="30">
        <v>3706</v>
      </c>
      <c r="AB15" s="30">
        <v>4188</v>
      </c>
      <c r="AC15" s="30">
        <v>587</v>
      </c>
      <c r="AD15" s="30">
        <v>1193</v>
      </c>
      <c r="AE15" s="30">
        <v>1686</v>
      </c>
      <c r="AF15" s="30">
        <v>587</v>
      </c>
      <c r="AG15" s="30">
        <v>1193</v>
      </c>
      <c r="AH15" s="30">
        <v>1686</v>
      </c>
      <c r="AI15" s="111">
        <f t="shared" si="17"/>
        <v>1</v>
      </c>
      <c r="AJ15" s="100">
        <f t="shared" si="18"/>
        <v>1</v>
      </c>
      <c r="AK15" s="71">
        <f t="shared" si="19"/>
        <v>1</v>
      </c>
      <c r="AL15" s="111">
        <f t="shared" si="20"/>
        <v>0</v>
      </c>
      <c r="AM15" s="100">
        <f t="shared" si="21"/>
        <v>0</v>
      </c>
      <c r="AN15" s="71">
        <f t="shared" si="22"/>
        <v>0</v>
      </c>
      <c r="AO15" s="111">
        <f t="shared" si="23"/>
        <v>0</v>
      </c>
      <c r="AP15" s="100">
        <f t="shared" si="24"/>
        <v>0</v>
      </c>
      <c r="AQ15" s="71">
        <f t="shared" si="25"/>
        <v>0</v>
      </c>
      <c r="BL15" s="30">
        <v>587</v>
      </c>
    </row>
    <row r="16" spans="1:64" s="32" customFormat="1">
      <c r="A16" s="32" t="s">
        <v>54</v>
      </c>
      <c r="B16" s="32">
        <v>11</v>
      </c>
      <c r="C16" s="32" t="s">
        <v>36</v>
      </c>
      <c r="D16" s="32" t="s">
        <v>35</v>
      </c>
      <c r="E16" s="32">
        <v>1</v>
      </c>
      <c r="F16" s="32">
        <v>2</v>
      </c>
      <c r="G16" s="32">
        <f t="shared" si="3"/>
        <v>1</v>
      </c>
      <c r="H16" s="32">
        <f t="shared" si="4"/>
        <v>0</v>
      </c>
      <c r="I16" s="32">
        <f t="shared" si="5"/>
        <v>0</v>
      </c>
      <c r="J16" s="32">
        <f t="shared" si="6"/>
        <v>0</v>
      </c>
      <c r="K16" s="32">
        <f t="shared" si="7"/>
        <v>0</v>
      </c>
      <c r="L16" s="32">
        <f t="shared" si="8"/>
        <v>0</v>
      </c>
      <c r="M16" s="72">
        <f t="shared" si="9"/>
        <v>0</v>
      </c>
      <c r="N16" s="32">
        <f t="shared" si="10"/>
        <v>0</v>
      </c>
      <c r="O16" s="32">
        <f t="shared" si="11"/>
        <v>1</v>
      </c>
      <c r="P16" s="32">
        <f t="shared" si="12"/>
        <v>0</v>
      </c>
      <c r="Q16" s="32">
        <f t="shared" si="13"/>
        <v>0</v>
      </c>
      <c r="R16" s="32">
        <f t="shared" si="14"/>
        <v>0</v>
      </c>
      <c r="S16" s="32">
        <f t="shared" si="15"/>
        <v>0</v>
      </c>
      <c r="T16" s="32">
        <f t="shared" si="16"/>
        <v>0</v>
      </c>
      <c r="U16" s="32" t="s">
        <v>54</v>
      </c>
      <c r="V16" s="32" t="s">
        <v>36</v>
      </c>
      <c r="W16" s="32">
        <v>15</v>
      </c>
      <c r="X16" s="32">
        <v>24</v>
      </c>
      <c r="Y16" s="32">
        <v>12</v>
      </c>
      <c r="Z16" s="32">
        <v>14</v>
      </c>
      <c r="AA16" s="32">
        <v>18</v>
      </c>
      <c r="AB16" s="32">
        <v>14</v>
      </c>
      <c r="AC16" s="32">
        <v>-1</v>
      </c>
      <c r="AD16" s="32">
        <v>-6</v>
      </c>
      <c r="AE16" s="32">
        <v>2</v>
      </c>
      <c r="AF16" s="32">
        <v>-2</v>
      </c>
      <c r="AG16" s="32">
        <v>-6</v>
      </c>
      <c r="AH16" s="32">
        <v>2</v>
      </c>
      <c r="AI16" s="112">
        <f t="shared" si="17"/>
        <v>0</v>
      </c>
      <c r="AJ16" s="101">
        <f t="shared" si="18"/>
        <v>0</v>
      </c>
      <c r="AK16" s="72">
        <f t="shared" si="19"/>
        <v>1</v>
      </c>
      <c r="AL16" s="112">
        <f t="shared" si="20"/>
        <v>1</v>
      </c>
      <c r="AM16" s="101">
        <f t="shared" si="21"/>
        <v>1</v>
      </c>
      <c r="AN16" s="72">
        <f t="shared" si="22"/>
        <v>0</v>
      </c>
      <c r="AO16" s="112">
        <f t="shared" si="23"/>
        <v>0</v>
      </c>
      <c r="AP16" s="101">
        <f t="shared" si="24"/>
        <v>0</v>
      </c>
      <c r="AQ16" s="72">
        <f t="shared" si="25"/>
        <v>0</v>
      </c>
      <c r="BL16" s="32">
        <v>-1</v>
      </c>
    </row>
    <row r="17" spans="1:64" s="32" customFormat="1">
      <c r="A17" s="32" t="s">
        <v>94</v>
      </c>
      <c r="B17" s="32">
        <v>50</v>
      </c>
      <c r="C17" s="32" t="s">
        <v>36</v>
      </c>
      <c r="D17" s="32" t="s">
        <v>32</v>
      </c>
      <c r="E17" s="32">
        <v>3</v>
      </c>
      <c r="F17" s="32">
        <v>5</v>
      </c>
      <c r="G17" s="32">
        <f t="shared" si="3"/>
        <v>0</v>
      </c>
      <c r="H17" s="32">
        <f t="shared" si="4"/>
        <v>0</v>
      </c>
      <c r="I17" s="32">
        <f t="shared" si="5"/>
        <v>1</v>
      </c>
      <c r="J17" s="32">
        <f t="shared" si="6"/>
        <v>0</v>
      </c>
      <c r="K17" s="32">
        <f t="shared" si="7"/>
        <v>0</v>
      </c>
      <c r="L17" s="32">
        <f t="shared" si="8"/>
        <v>0</v>
      </c>
      <c r="M17" s="72">
        <f t="shared" si="9"/>
        <v>0</v>
      </c>
      <c r="N17" s="32">
        <f t="shared" si="10"/>
        <v>0</v>
      </c>
      <c r="O17" s="32">
        <f t="shared" si="11"/>
        <v>0</v>
      </c>
      <c r="P17" s="32">
        <f t="shared" si="12"/>
        <v>0</v>
      </c>
      <c r="Q17" s="32">
        <f t="shared" si="13"/>
        <v>0</v>
      </c>
      <c r="R17" s="32">
        <f t="shared" si="14"/>
        <v>1</v>
      </c>
      <c r="S17" s="32">
        <f t="shared" si="15"/>
        <v>0</v>
      </c>
      <c r="T17" s="32">
        <f t="shared" si="16"/>
        <v>0</v>
      </c>
      <c r="U17" s="32" t="s">
        <v>94</v>
      </c>
      <c r="V17" s="32" t="s">
        <v>36</v>
      </c>
      <c r="W17" s="32">
        <v>969</v>
      </c>
      <c r="X17" s="32">
        <v>1637</v>
      </c>
      <c r="Y17" s="32">
        <v>2009</v>
      </c>
      <c r="Z17" s="32">
        <v>255</v>
      </c>
      <c r="AA17" s="32">
        <v>1409</v>
      </c>
      <c r="AB17" s="32">
        <v>1828</v>
      </c>
      <c r="AC17" s="32">
        <v>-714</v>
      </c>
      <c r="AD17" s="32">
        <v>-228</v>
      </c>
      <c r="AE17" s="32">
        <v>-181</v>
      </c>
      <c r="AF17" s="32">
        <v>-714</v>
      </c>
      <c r="AG17" s="32">
        <v>-227</v>
      </c>
      <c r="AH17" s="32">
        <v>-181</v>
      </c>
      <c r="AI17" s="112">
        <f t="shared" si="17"/>
        <v>0</v>
      </c>
      <c r="AJ17" s="101">
        <f t="shared" si="18"/>
        <v>0</v>
      </c>
      <c r="AK17" s="72">
        <f t="shared" si="19"/>
        <v>0</v>
      </c>
      <c r="AL17" s="112">
        <f t="shared" si="20"/>
        <v>1</v>
      </c>
      <c r="AM17" s="101">
        <f t="shared" si="21"/>
        <v>1</v>
      </c>
      <c r="AN17" s="72">
        <f t="shared" si="22"/>
        <v>1</v>
      </c>
      <c r="AO17" s="112">
        <f t="shared" si="23"/>
        <v>0</v>
      </c>
      <c r="AP17" s="101">
        <f t="shared" si="24"/>
        <v>0</v>
      </c>
      <c r="AQ17" s="72">
        <f t="shared" si="25"/>
        <v>0</v>
      </c>
      <c r="BL17" s="32">
        <v>-714</v>
      </c>
    </row>
    <row r="18" spans="1:64" s="45" customFormat="1">
      <c r="A18" s="45" t="s">
        <v>105</v>
      </c>
      <c r="B18" s="45">
        <v>21</v>
      </c>
      <c r="C18" s="45" t="s">
        <v>46</v>
      </c>
      <c r="D18" s="45" t="s">
        <v>35</v>
      </c>
      <c r="E18" s="45">
        <v>3</v>
      </c>
      <c r="F18" s="45">
        <v>5</v>
      </c>
      <c r="G18" s="45">
        <f t="shared" si="3"/>
        <v>0</v>
      </c>
      <c r="H18" s="45">
        <f t="shared" si="4"/>
        <v>0</v>
      </c>
      <c r="I18" s="45">
        <f t="shared" si="5"/>
        <v>1</v>
      </c>
      <c r="J18" s="45">
        <f t="shared" si="6"/>
        <v>0</v>
      </c>
      <c r="K18" s="45">
        <f t="shared" si="7"/>
        <v>0</v>
      </c>
      <c r="L18" s="45">
        <f t="shared" si="8"/>
        <v>0</v>
      </c>
      <c r="M18" s="73">
        <f t="shared" si="9"/>
        <v>0</v>
      </c>
      <c r="N18" s="45">
        <f t="shared" si="10"/>
        <v>0</v>
      </c>
      <c r="O18" s="45">
        <f t="shared" si="11"/>
        <v>0</v>
      </c>
      <c r="P18" s="45">
        <f t="shared" si="12"/>
        <v>0</v>
      </c>
      <c r="Q18" s="45">
        <f t="shared" si="13"/>
        <v>0</v>
      </c>
      <c r="R18" s="45">
        <f t="shared" si="14"/>
        <v>1</v>
      </c>
      <c r="S18" s="45">
        <f t="shared" si="15"/>
        <v>0</v>
      </c>
      <c r="T18" s="45">
        <f t="shared" si="16"/>
        <v>0</v>
      </c>
      <c r="U18" s="45" t="s">
        <v>105</v>
      </c>
      <c r="V18" s="45" t="s">
        <v>46</v>
      </c>
      <c r="W18" s="45">
        <v>71</v>
      </c>
      <c r="X18" s="45">
        <v>120</v>
      </c>
      <c r="Y18" s="45">
        <v>95</v>
      </c>
      <c r="Z18" s="45">
        <v>115</v>
      </c>
      <c r="AA18" s="45">
        <v>57</v>
      </c>
      <c r="AB18" s="45">
        <v>148</v>
      </c>
      <c r="AC18" s="45">
        <v>44</v>
      </c>
      <c r="AD18" s="45">
        <v>-63</v>
      </c>
      <c r="AE18" s="45">
        <v>53</v>
      </c>
      <c r="AF18" s="45">
        <v>44</v>
      </c>
      <c r="AG18" s="45">
        <v>-63</v>
      </c>
      <c r="AH18" s="45">
        <v>53</v>
      </c>
      <c r="AI18" s="113">
        <f t="shared" si="17"/>
        <v>1</v>
      </c>
      <c r="AJ18" s="102">
        <f t="shared" si="18"/>
        <v>0</v>
      </c>
      <c r="AK18" s="73">
        <f t="shared" si="19"/>
        <v>1</v>
      </c>
      <c r="AL18" s="113">
        <f t="shared" si="20"/>
        <v>0</v>
      </c>
      <c r="AM18" s="102">
        <f t="shared" si="21"/>
        <v>1</v>
      </c>
      <c r="AN18" s="73">
        <f t="shared" si="22"/>
        <v>0</v>
      </c>
      <c r="AO18" s="113">
        <f t="shared" si="23"/>
        <v>0</v>
      </c>
      <c r="AP18" s="102">
        <f t="shared" si="24"/>
        <v>0</v>
      </c>
      <c r="AQ18" s="73">
        <f t="shared" si="25"/>
        <v>0</v>
      </c>
      <c r="BL18" s="45">
        <v>44</v>
      </c>
    </row>
    <row r="19" spans="1:64" s="62" customFormat="1">
      <c r="A19" s="62" t="s">
        <v>55</v>
      </c>
      <c r="B19" s="62">
        <v>450</v>
      </c>
      <c r="C19" s="62" t="s">
        <v>37</v>
      </c>
      <c r="D19" s="62" t="s">
        <v>33</v>
      </c>
      <c r="E19" s="62">
        <v>2</v>
      </c>
      <c r="F19" s="62">
        <v>4</v>
      </c>
      <c r="G19" s="62">
        <f t="shared" si="3"/>
        <v>0</v>
      </c>
      <c r="H19" s="62">
        <f t="shared" si="4"/>
        <v>1</v>
      </c>
      <c r="I19" s="62">
        <f t="shared" si="5"/>
        <v>0</v>
      </c>
      <c r="J19" s="62">
        <f t="shared" si="6"/>
        <v>0</v>
      </c>
      <c r="K19" s="62">
        <f t="shared" si="7"/>
        <v>0</v>
      </c>
      <c r="L19" s="62">
        <f t="shared" si="8"/>
        <v>0</v>
      </c>
      <c r="M19" s="74">
        <f t="shared" si="9"/>
        <v>0</v>
      </c>
      <c r="N19" s="62">
        <f t="shared" si="10"/>
        <v>0</v>
      </c>
      <c r="O19" s="62">
        <f t="shared" si="11"/>
        <v>0</v>
      </c>
      <c r="P19" s="62">
        <f t="shared" si="12"/>
        <v>0</v>
      </c>
      <c r="Q19" s="62">
        <f t="shared" si="13"/>
        <v>1</v>
      </c>
      <c r="R19" s="62">
        <f t="shared" si="14"/>
        <v>0</v>
      </c>
      <c r="S19" s="62">
        <f t="shared" si="15"/>
        <v>0</v>
      </c>
      <c r="T19" s="62">
        <f t="shared" si="16"/>
        <v>0</v>
      </c>
      <c r="U19" s="62" t="s">
        <v>55</v>
      </c>
      <c r="V19" s="62" t="s">
        <v>37</v>
      </c>
      <c r="W19" s="62">
        <v>4481</v>
      </c>
      <c r="X19" s="62">
        <v>6676</v>
      </c>
      <c r="Y19" s="62">
        <v>5937</v>
      </c>
      <c r="Z19" s="62">
        <v>4397</v>
      </c>
      <c r="AA19" s="62">
        <v>6285</v>
      </c>
      <c r="AB19" s="62">
        <v>5589</v>
      </c>
      <c r="AC19" s="62">
        <v>-84</v>
      </c>
      <c r="AD19" s="62">
        <v>-391</v>
      </c>
      <c r="AE19" s="62">
        <v>-348</v>
      </c>
      <c r="AF19" s="62">
        <v>-85</v>
      </c>
      <c r="AG19" s="62">
        <v>-391</v>
      </c>
      <c r="AH19" s="62">
        <v>-348</v>
      </c>
      <c r="AI19" s="114">
        <f t="shared" si="17"/>
        <v>0</v>
      </c>
      <c r="AJ19" s="103">
        <f t="shared" si="18"/>
        <v>0</v>
      </c>
      <c r="AK19" s="74">
        <f t="shared" si="19"/>
        <v>0</v>
      </c>
      <c r="AL19" s="114">
        <f t="shared" si="20"/>
        <v>1</v>
      </c>
      <c r="AM19" s="103">
        <f t="shared" si="21"/>
        <v>1</v>
      </c>
      <c r="AN19" s="74">
        <f t="shared" si="22"/>
        <v>1</v>
      </c>
      <c r="AO19" s="114">
        <f t="shared" si="23"/>
        <v>0</v>
      </c>
      <c r="AP19" s="103">
        <f t="shared" si="24"/>
        <v>0</v>
      </c>
      <c r="AQ19" s="74">
        <f t="shared" si="25"/>
        <v>0</v>
      </c>
      <c r="BL19" s="62">
        <v>-84</v>
      </c>
    </row>
    <row r="20" spans="1:64" s="62" customFormat="1">
      <c r="A20" s="62" t="s">
        <v>56</v>
      </c>
      <c r="B20" s="62">
        <v>80</v>
      </c>
      <c r="C20" s="62" t="s">
        <v>37</v>
      </c>
      <c r="D20" s="62" t="s">
        <v>32</v>
      </c>
      <c r="E20" s="62">
        <v>7</v>
      </c>
      <c r="F20" s="62">
        <v>7</v>
      </c>
      <c r="G20" s="62">
        <f t="shared" si="3"/>
        <v>0</v>
      </c>
      <c r="H20" s="62">
        <f t="shared" si="4"/>
        <v>0</v>
      </c>
      <c r="I20" s="62">
        <f t="shared" si="5"/>
        <v>0</v>
      </c>
      <c r="J20" s="62">
        <f t="shared" si="6"/>
        <v>0</v>
      </c>
      <c r="K20" s="62">
        <f t="shared" si="7"/>
        <v>0</v>
      </c>
      <c r="L20" s="62">
        <f t="shared" si="8"/>
        <v>0</v>
      </c>
      <c r="M20" s="74">
        <f t="shared" si="9"/>
        <v>1</v>
      </c>
      <c r="N20" s="62">
        <f t="shared" si="10"/>
        <v>0</v>
      </c>
      <c r="O20" s="62">
        <f t="shared" si="11"/>
        <v>0</v>
      </c>
      <c r="P20" s="62">
        <f t="shared" si="12"/>
        <v>0</v>
      </c>
      <c r="Q20" s="62">
        <f t="shared" si="13"/>
        <v>0</v>
      </c>
      <c r="R20" s="62">
        <f t="shared" si="14"/>
        <v>0</v>
      </c>
      <c r="S20" s="62">
        <f t="shared" si="15"/>
        <v>0</v>
      </c>
      <c r="T20" s="62">
        <f t="shared" si="16"/>
        <v>1</v>
      </c>
      <c r="U20" s="62" t="s">
        <v>56</v>
      </c>
      <c r="V20" s="62" t="s">
        <v>37</v>
      </c>
      <c r="W20" s="62">
        <v>3205</v>
      </c>
      <c r="X20" s="62">
        <v>3629</v>
      </c>
      <c r="Y20" s="62">
        <v>4135</v>
      </c>
      <c r="Z20" s="62">
        <v>3301</v>
      </c>
      <c r="AA20" s="62">
        <v>3879</v>
      </c>
      <c r="AB20" s="62">
        <v>4259</v>
      </c>
      <c r="AC20" s="62">
        <v>96</v>
      </c>
      <c r="AD20" s="62">
        <v>250</v>
      </c>
      <c r="AE20" s="62">
        <v>124</v>
      </c>
      <c r="AF20" s="62">
        <v>-200</v>
      </c>
      <c r="AG20" s="62">
        <v>250</v>
      </c>
      <c r="AH20" s="62">
        <v>124</v>
      </c>
      <c r="AI20" s="114">
        <f t="shared" si="17"/>
        <v>1</v>
      </c>
      <c r="AJ20" s="103">
        <f t="shared" si="18"/>
        <v>1</v>
      </c>
      <c r="AK20" s="74">
        <f t="shared" si="19"/>
        <v>1</v>
      </c>
      <c r="AL20" s="114">
        <f t="shared" si="20"/>
        <v>0</v>
      </c>
      <c r="AM20" s="103">
        <f t="shared" si="21"/>
        <v>0</v>
      </c>
      <c r="AN20" s="74">
        <f t="shared" si="22"/>
        <v>0</v>
      </c>
      <c r="AO20" s="114">
        <f t="shared" si="23"/>
        <v>0</v>
      </c>
      <c r="AP20" s="103">
        <f t="shared" si="24"/>
        <v>0</v>
      </c>
      <c r="AQ20" s="74">
        <f t="shared" si="25"/>
        <v>0</v>
      </c>
      <c r="BL20" s="62">
        <v>96</v>
      </c>
    </row>
    <row r="21" spans="1:64" s="62" customFormat="1">
      <c r="A21" s="62" t="s">
        <v>57</v>
      </c>
      <c r="B21" s="62">
        <v>366</v>
      </c>
      <c r="C21" s="62" t="s">
        <v>37</v>
      </c>
      <c r="D21" s="62" t="s">
        <v>32</v>
      </c>
      <c r="E21" s="62">
        <v>3</v>
      </c>
      <c r="F21" s="62">
        <v>5</v>
      </c>
      <c r="G21" s="62">
        <f t="shared" si="3"/>
        <v>0</v>
      </c>
      <c r="H21" s="62">
        <f t="shared" si="4"/>
        <v>0</v>
      </c>
      <c r="I21" s="62">
        <f t="shared" si="5"/>
        <v>1</v>
      </c>
      <c r="J21" s="62">
        <f t="shared" si="6"/>
        <v>0</v>
      </c>
      <c r="K21" s="62">
        <f t="shared" si="7"/>
        <v>0</v>
      </c>
      <c r="L21" s="62">
        <f t="shared" si="8"/>
        <v>0</v>
      </c>
      <c r="M21" s="74">
        <f t="shared" si="9"/>
        <v>0</v>
      </c>
      <c r="N21" s="62">
        <f t="shared" si="10"/>
        <v>0</v>
      </c>
      <c r="O21" s="62">
        <f t="shared" si="11"/>
        <v>0</v>
      </c>
      <c r="P21" s="62">
        <f t="shared" si="12"/>
        <v>0</v>
      </c>
      <c r="Q21" s="62">
        <f t="shared" si="13"/>
        <v>0</v>
      </c>
      <c r="R21" s="62">
        <f t="shared" si="14"/>
        <v>1</v>
      </c>
      <c r="S21" s="62">
        <f t="shared" si="15"/>
        <v>0</v>
      </c>
      <c r="T21" s="62">
        <f t="shared" si="16"/>
        <v>0</v>
      </c>
      <c r="U21" s="62" t="s">
        <v>57</v>
      </c>
      <c r="V21" s="62" t="s">
        <v>37</v>
      </c>
      <c r="W21" s="62">
        <v>2354</v>
      </c>
      <c r="X21" s="62">
        <v>2431</v>
      </c>
      <c r="Y21" s="62">
        <v>2163</v>
      </c>
      <c r="Z21" s="62">
        <v>1996</v>
      </c>
      <c r="AA21" s="62">
        <v>2620</v>
      </c>
      <c r="AB21" s="62">
        <v>2423</v>
      </c>
      <c r="AC21" s="62">
        <v>-358</v>
      </c>
      <c r="AD21" s="62">
        <v>189</v>
      </c>
      <c r="AE21" s="62">
        <v>260</v>
      </c>
      <c r="AF21" s="62">
        <v>-358</v>
      </c>
      <c r="AG21" s="62">
        <v>189</v>
      </c>
      <c r="AH21" s="62">
        <v>260</v>
      </c>
      <c r="AI21" s="114">
        <f t="shared" si="17"/>
        <v>0</v>
      </c>
      <c r="AJ21" s="103">
        <f t="shared" si="18"/>
        <v>1</v>
      </c>
      <c r="AK21" s="74">
        <f t="shared" si="19"/>
        <v>1</v>
      </c>
      <c r="AL21" s="114">
        <f t="shared" si="20"/>
        <v>1</v>
      </c>
      <c r="AM21" s="103">
        <f t="shared" si="21"/>
        <v>0</v>
      </c>
      <c r="AN21" s="74">
        <f t="shared" si="22"/>
        <v>0</v>
      </c>
      <c r="AO21" s="114">
        <f t="shared" si="23"/>
        <v>0</v>
      </c>
      <c r="AP21" s="103">
        <f t="shared" si="24"/>
        <v>0</v>
      </c>
      <c r="AQ21" s="74">
        <f t="shared" si="25"/>
        <v>0</v>
      </c>
      <c r="BL21" s="62">
        <v>-358</v>
      </c>
    </row>
    <row r="22" spans="1:64" s="62" customFormat="1">
      <c r="A22" s="62" t="s">
        <v>58</v>
      </c>
      <c r="B22" s="62">
        <v>200</v>
      </c>
      <c r="C22" s="62" t="s">
        <v>37</v>
      </c>
      <c r="D22" s="62" t="s">
        <v>32</v>
      </c>
      <c r="E22" s="62">
        <v>5</v>
      </c>
      <c r="F22" s="62">
        <v>6</v>
      </c>
      <c r="G22" s="62">
        <f t="shared" si="3"/>
        <v>0</v>
      </c>
      <c r="H22" s="62">
        <f t="shared" si="4"/>
        <v>0</v>
      </c>
      <c r="I22" s="62">
        <f t="shared" si="5"/>
        <v>0</v>
      </c>
      <c r="J22" s="62">
        <f t="shared" si="6"/>
        <v>0</v>
      </c>
      <c r="K22" s="62">
        <f t="shared" si="7"/>
        <v>1</v>
      </c>
      <c r="L22" s="62">
        <f t="shared" si="8"/>
        <v>0</v>
      </c>
      <c r="M22" s="74">
        <f t="shared" si="9"/>
        <v>0</v>
      </c>
      <c r="N22" s="62">
        <f t="shared" si="10"/>
        <v>0</v>
      </c>
      <c r="O22" s="62">
        <f t="shared" si="11"/>
        <v>0</v>
      </c>
      <c r="P22" s="62">
        <f t="shared" si="12"/>
        <v>0</v>
      </c>
      <c r="Q22" s="62">
        <f t="shared" si="13"/>
        <v>0</v>
      </c>
      <c r="R22" s="62">
        <f t="shared" si="14"/>
        <v>0</v>
      </c>
      <c r="S22" s="62">
        <f t="shared" si="15"/>
        <v>1</v>
      </c>
      <c r="T22" s="62">
        <f t="shared" si="16"/>
        <v>0</v>
      </c>
      <c r="U22" s="62" t="s">
        <v>58</v>
      </c>
      <c r="V22" s="62" t="s">
        <v>37</v>
      </c>
      <c r="W22" s="62">
        <v>897</v>
      </c>
      <c r="X22" s="62">
        <v>1125</v>
      </c>
      <c r="Y22" s="62">
        <v>1414</v>
      </c>
      <c r="Z22" s="62">
        <v>872</v>
      </c>
      <c r="AA22" s="62">
        <v>1139</v>
      </c>
      <c r="AB22" s="62">
        <v>1504</v>
      </c>
      <c r="AC22" s="62">
        <v>-25</v>
      </c>
      <c r="AD22" s="62">
        <v>14</v>
      </c>
      <c r="AE22" s="62">
        <v>90</v>
      </c>
      <c r="AF22" s="62">
        <v>-25</v>
      </c>
      <c r="AG22" s="62">
        <v>14</v>
      </c>
      <c r="AH22" s="62">
        <v>89</v>
      </c>
      <c r="AI22" s="114">
        <f t="shared" si="17"/>
        <v>0</v>
      </c>
      <c r="AJ22" s="103">
        <f t="shared" si="18"/>
        <v>1</v>
      </c>
      <c r="AK22" s="74">
        <f t="shared" si="19"/>
        <v>1</v>
      </c>
      <c r="AL22" s="114">
        <f t="shared" si="20"/>
        <v>1</v>
      </c>
      <c r="AM22" s="103">
        <f t="shared" si="21"/>
        <v>0</v>
      </c>
      <c r="AN22" s="74">
        <f t="shared" si="22"/>
        <v>0</v>
      </c>
      <c r="AO22" s="114">
        <f t="shared" si="23"/>
        <v>0</v>
      </c>
      <c r="AP22" s="103">
        <f t="shared" si="24"/>
        <v>0</v>
      </c>
      <c r="AQ22" s="74">
        <f t="shared" si="25"/>
        <v>0</v>
      </c>
      <c r="BL22" s="62">
        <v>-25</v>
      </c>
    </row>
    <row r="23" spans="1:64" s="62" customFormat="1">
      <c r="A23" s="62" t="s">
        <v>82</v>
      </c>
      <c r="B23" s="62">
        <v>30</v>
      </c>
      <c r="C23" s="62" t="s">
        <v>37</v>
      </c>
      <c r="D23" s="62" t="s">
        <v>32</v>
      </c>
      <c r="E23" s="62">
        <v>4</v>
      </c>
      <c r="F23" s="62">
        <v>7</v>
      </c>
      <c r="G23" s="62">
        <f t="shared" si="3"/>
        <v>0</v>
      </c>
      <c r="H23" s="62">
        <f t="shared" si="4"/>
        <v>0</v>
      </c>
      <c r="I23" s="62">
        <f t="shared" si="5"/>
        <v>0</v>
      </c>
      <c r="J23" s="62">
        <f t="shared" si="6"/>
        <v>1</v>
      </c>
      <c r="K23" s="62">
        <f t="shared" si="7"/>
        <v>0</v>
      </c>
      <c r="L23" s="62">
        <f t="shared" si="8"/>
        <v>0</v>
      </c>
      <c r="M23" s="74">
        <f t="shared" si="9"/>
        <v>0</v>
      </c>
      <c r="N23" s="62">
        <f t="shared" si="10"/>
        <v>0</v>
      </c>
      <c r="O23" s="62">
        <f t="shared" si="11"/>
        <v>0</v>
      </c>
      <c r="P23" s="62">
        <f t="shared" si="12"/>
        <v>0</v>
      </c>
      <c r="Q23" s="62">
        <f t="shared" si="13"/>
        <v>0</v>
      </c>
      <c r="R23" s="62">
        <f t="shared" si="14"/>
        <v>0</v>
      </c>
      <c r="S23" s="62">
        <f t="shared" si="15"/>
        <v>0</v>
      </c>
      <c r="T23" s="62">
        <f t="shared" si="16"/>
        <v>1</v>
      </c>
      <c r="U23" s="62" t="s">
        <v>82</v>
      </c>
      <c r="V23" s="62" t="s">
        <v>37</v>
      </c>
      <c r="W23" s="62">
        <v>30</v>
      </c>
      <c r="X23" s="62">
        <v>108</v>
      </c>
      <c r="Y23" s="62">
        <v>260</v>
      </c>
      <c r="Z23" s="62">
        <v>65</v>
      </c>
      <c r="AA23" s="62">
        <v>163</v>
      </c>
      <c r="AB23" s="62">
        <v>350</v>
      </c>
      <c r="AC23" s="62">
        <v>35</v>
      </c>
      <c r="AD23" s="62">
        <v>55</v>
      </c>
      <c r="AE23" s="62">
        <v>90</v>
      </c>
      <c r="AF23" s="62">
        <v>35</v>
      </c>
      <c r="AG23" s="62">
        <v>55</v>
      </c>
      <c r="AH23" s="62">
        <v>90</v>
      </c>
      <c r="AI23" s="114">
        <f t="shared" si="17"/>
        <v>1</v>
      </c>
      <c r="AJ23" s="103">
        <f t="shared" si="18"/>
        <v>1</v>
      </c>
      <c r="AK23" s="74">
        <f t="shared" si="19"/>
        <v>1</v>
      </c>
      <c r="AL23" s="114">
        <f t="shared" si="20"/>
        <v>0</v>
      </c>
      <c r="AM23" s="103">
        <f t="shared" si="21"/>
        <v>0</v>
      </c>
      <c r="AN23" s="74">
        <f t="shared" si="22"/>
        <v>0</v>
      </c>
      <c r="AO23" s="114">
        <f t="shared" si="23"/>
        <v>0</v>
      </c>
      <c r="AP23" s="103">
        <f t="shared" si="24"/>
        <v>0</v>
      </c>
      <c r="AQ23" s="74">
        <f t="shared" si="25"/>
        <v>0</v>
      </c>
      <c r="BL23" s="62">
        <v>35</v>
      </c>
    </row>
    <row r="24" spans="1:64" s="62" customFormat="1">
      <c r="A24" s="62" t="s">
        <v>106</v>
      </c>
      <c r="B24" s="62">
        <v>19</v>
      </c>
      <c r="C24" s="62" t="s">
        <v>37</v>
      </c>
      <c r="D24" s="62" t="s">
        <v>35</v>
      </c>
      <c r="E24" s="62">
        <v>5</v>
      </c>
      <c r="F24" s="62">
        <v>5</v>
      </c>
      <c r="G24" s="62">
        <f t="shared" si="3"/>
        <v>0</v>
      </c>
      <c r="H24" s="62">
        <f t="shared" si="4"/>
        <v>0</v>
      </c>
      <c r="I24" s="62">
        <f t="shared" si="5"/>
        <v>0</v>
      </c>
      <c r="J24" s="62">
        <f t="shared" si="6"/>
        <v>0</v>
      </c>
      <c r="K24" s="62">
        <f t="shared" si="7"/>
        <v>1</v>
      </c>
      <c r="L24" s="62">
        <f t="shared" si="8"/>
        <v>0</v>
      </c>
      <c r="M24" s="74">
        <f t="shared" si="9"/>
        <v>0</v>
      </c>
      <c r="N24" s="62">
        <f t="shared" si="10"/>
        <v>0</v>
      </c>
      <c r="O24" s="62">
        <f t="shared" si="11"/>
        <v>0</v>
      </c>
      <c r="P24" s="62">
        <f t="shared" si="12"/>
        <v>0</v>
      </c>
      <c r="Q24" s="62">
        <f t="shared" si="13"/>
        <v>0</v>
      </c>
      <c r="R24" s="62">
        <f t="shared" si="14"/>
        <v>1</v>
      </c>
      <c r="S24" s="62">
        <f t="shared" si="15"/>
        <v>0</v>
      </c>
      <c r="T24" s="62">
        <f t="shared" si="16"/>
        <v>0</v>
      </c>
      <c r="U24" s="62" t="s">
        <v>106</v>
      </c>
      <c r="V24" s="62" t="s">
        <v>37</v>
      </c>
      <c r="W24" s="202">
        <f>(AU24/326)*19</f>
        <v>35.144171779141104</v>
      </c>
      <c r="X24" s="202">
        <f t="shared" ref="X24:AH24" si="28">(AV24/326)*19</f>
        <v>55.659509202453989</v>
      </c>
      <c r="Y24" s="202">
        <f t="shared" si="28"/>
        <v>65.742331288343564</v>
      </c>
      <c r="Z24" s="202">
        <f t="shared" si="28"/>
        <v>37.009202453987733</v>
      </c>
      <c r="AA24" s="202">
        <f t="shared" si="28"/>
        <v>54.027607361963184</v>
      </c>
      <c r="AB24" s="202">
        <f t="shared" si="28"/>
        <v>60.380368098159508</v>
      </c>
      <c r="AC24" s="202">
        <f t="shared" si="28"/>
        <v>1.8650306748466259</v>
      </c>
      <c r="AD24" s="202">
        <f t="shared" si="28"/>
        <v>-1.6319018404907977</v>
      </c>
      <c r="AE24" s="202">
        <f t="shared" si="28"/>
        <v>-5.3619631901840483</v>
      </c>
      <c r="AF24" s="202">
        <f t="shared" si="28"/>
        <v>1.8650306748466259</v>
      </c>
      <c r="AG24" s="202">
        <f t="shared" si="28"/>
        <v>-1.6319018404907977</v>
      </c>
      <c r="AH24" s="202">
        <f t="shared" si="28"/>
        <v>-5.3619631901840483</v>
      </c>
      <c r="AI24" s="114">
        <f t="shared" si="17"/>
        <v>1</v>
      </c>
      <c r="AJ24" s="103">
        <f t="shared" si="18"/>
        <v>0</v>
      </c>
      <c r="AK24" s="74">
        <f t="shared" si="19"/>
        <v>0</v>
      </c>
      <c r="AL24" s="114">
        <f t="shared" si="20"/>
        <v>0</v>
      </c>
      <c r="AM24" s="103">
        <f t="shared" si="21"/>
        <v>1</v>
      </c>
      <c r="AN24" s="74">
        <f t="shared" si="22"/>
        <v>1</v>
      </c>
      <c r="AO24" s="114">
        <f t="shared" si="23"/>
        <v>0</v>
      </c>
      <c r="AP24" s="103">
        <f t="shared" si="24"/>
        <v>0</v>
      </c>
      <c r="AQ24" s="74">
        <f t="shared" si="25"/>
        <v>0</v>
      </c>
      <c r="AU24" s="62">
        <v>603</v>
      </c>
      <c r="AV24" s="62">
        <v>955</v>
      </c>
      <c r="AW24" s="62">
        <v>1128</v>
      </c>
      <c r="AX24" s="62">
        <v>635</v>
      </c>
      <c r="AY24" s="62">
        <v>927</v>
      </c>
      <c r="AZ24" s="62">
        <v>1036</v>
      </c>
      <c r="BA24" s="62">
        <v>32</v>
      </c>
      <c r="BB24" s="62">
        <v>-28</v>
      </c>
      <c r="BC24" s="62">
        <v>-92</v>
      </c>
      <c r="BD24" s="62">
        <v>32</v>
      </c>
      <c r="BE24" s="62">
        <v>-28</v>
      </c>
      <c r="BF24" s="62">
        <v>-92</v>
      </c>
      <c r="BL24" s="62">
        <v>1.8650306748466259</v>
      </c>
    </row>
    <row r="25" spans="1:64" s="62" customFormat="1">
      <c r="A25" s="62" t="s">
        <v>107</v>
      </c>
      <c r="B25" s="62">
        <v>70</v>
      </c>
      <c r="C25" s="62" t="s">
        <v>37</v>
      </c>
      <c r="D25" s="62" t="s">
        <v>33</v>
      </c>
      <c r="E25" s="62">
        <v>4</v>
      </c>
      <c r="F25" s="62">
        <v>4</v>
      </c>
      <c r="G25" s="62">
        <f t="shared" si="3"/>
        <v>0</v>
      </c>
      <c r="H25" s="62">
        <f t="shared" si="4"/>
        <v>0</v>
      </c>
      <c r="I25" s="62">
        <f t="shared" si="5"/>
        <v>0</v>
      </c>
      <c r="J25" s="62">
        <f t="shared" si="6"/>
        <v>1</v>
      </c>
      <c r="K25" s="62">
        <f t="shared" si="7"/>
        <v>0</v>
      </c>
      <c r="L25" s="62">
        <f t="shared" si="8"/>
        <v>0</v>
      </c>
      <c r="M25" s="74">
        <f t="shared" si="9"/>
        <v>0</v>
      </c>
      <c r="N25" s="62">
        <f t="shared" si="10"/>
        <v>0</v>
      </c>
      <c r="O25" s="62">
        <f t="shared" si="11"/>
        <v>0</v>
      </c>
      <c r="P25" s="62">
        <f t="shared" si="12"/>
        <v>0</v>
      </c>
      <c r="Q25" s="62">
        <f t="shared" si="13"/>
        <v>1</v>
      </c>
      <c r="R25" s="62">
        <f t="shared" si="14"/>
        <v>0</v>
      </c>
      <c r="S25" s="62">
        <f t="shared" si="15"/>
        <v>0</v>
      </c>
      <c r="T25" s="62">
        <f t="shared" si="16"/>
        <v>0</v>
      </c>
      <c r="U25" s="62" t="s">
        <v>107</v>
      </c>
      <c r="V25" s="62" t="s">
        <v>37</v>
      </c>
      <c r="W25" s="62">
        <v>393</v>
      </c>
      <c r="X25" s="62">
        <v>471</v>
      </c>
      <c r="Y25" s="62">
        <v>992</v>
      </c>
      <c r="Z25" s="62">
        <v>275</v>
      </c>
      <c r="AA25" s="62">
        <v>559</v>
      </c>
      <c r="AB25" s="62">
        <v>1082</v>
      </c>
      <c r="AC25" s="62">
        <v>-118</v>
      </c>
      <c r="AD25" s="62">
        <v>88</v>
      </c>
      <c r="AE25" s="62">
        <v>90</v>
      </c>
      <c r="AF25" s="62">
        <v>-118</v>
      </c>
      <c r="AG25" s="62">
        <v>88</v>
      </c>
      <c r="AH25" s="62">
        <v>90</v>
      </c>
      <c r="AI25" s="114">
        <f t="shared" si="17"/>
        <v>0</v>
      </c>
      <c r="AJ25" s="103">
        <f t="shared" si="18"/>
        <v>1</v>
      </c>
      <c r="AK25" s="74">
        <f t="shared" si="19"/>
        <v>1</v>
      </c>
      <c r="AL25" s="114">
        <f t="shared" si="20"/>
        <v>1</v>
      </c>
      <c r="AM25" s="103">
        <f t="shared" si="21"/>
        <v>0</v>
      </c>
      <c r="AN25" s="74">
        <f t="shared" si="22"/>
        <v>0</v>
      </c>
      <c r="AO25" s="114">
        <f t="shared" si="23"/>
        <v>0</v>
      </c>
      <c r="AP25" s="103">
        <f t="shared" si="24"/>
        <v>0</v>
      </c>
      <c r="AQ25" s="74">
        <f t="shared" si="25"/>
        <v>0</v>
      </c>
      <c r="BL25" s="62">
        <v>-118</v>
      </c>
    </row>
    <row r="26" spans="1:64" s="62" customFormat="1">
      <c r="A26" s="62" t="s">
        <v>108</v>
      </c>
      <c r="B26" s="62">
        <v>160</v>
      </c>
      <c r="C26" s="62" t="s">
        <v>37</v>
      </c>
      <c r="D26" s="62" t="s">
        <v>35</v>
      </c>
      <c r="E26" s="62">
        <v>4</v>
      </c>
      <c r="F26" s="62">
        <v>6</v>
      </c>
      <c r="G26" s="62">
        <f t="shared" si="3"/>
        <v>0</v>
      </c>
      <c r="H26" s="62">
        <f t="shared" si="4"/>
        <v>0</v>
      </c>
      <c r="I26" s="62">
        <f t="shared" si="5"/>
        <v>0</v>
      </c>
      <c r="J26" s="62">
        <f t="shared" si="6"/>
        <v>1</v>
      </c>
      <c r="K26" s="62">
        <f t="shared" si="7"/>
        <v>0</v>
      </c>
      <c r="L26" s="62">
        <f t="shared" si="8"/>
        <v>0</v>
      </c>
      <c r="M26" s="74">
        <f t="shared" si="9"/>
        <v>0</v>
      </c>
      <c r="N26" s="62">
        <f t="shared" si="10"/>
        <v>0</v>
      </c>
      <c r="O26" s="62">
        <f t="shared" si="11"/>
        <v>0</v>
      </c>
      <c r="P26" s="62">
        <f t="shared" si="12"/>
        <v>0</v>
      </c>
      <c r="Q26" s="62">
        <f t="shared" si="13"/>
        <v>0</v>
      </c>
      <c r="R26" s="62">
        <f t="shared" si="14"/>
        <v>0</v>
      </c>
      <c r="S26" s="62">
        <f t="shared" si="15"/>
        <v>1</v>
      </c>
      <c r="T26" s="62">
        <f t="shared" si="16"/>
        <v>0</v>
      </c>
      <c r="U26" s="62" t="s">
        <v>108</v>
      </c>
      <c r="V26" s="62" t="s">
        <v>37</v>
      </c>
      <c r="W26" s="62">
        <v>346</v>
      </c>
      <c r="X26" s="62">
        <v>405</v>
      </c>
      <c r="Y26" s="62">
        <v>485</v>
      </c>
      <c r="Z26" s="62">
        <v>424</v>
      </c>
      <c r="AA26" s="62">
        <v>415</v>
      </c>
      <c r="AB26" s="62">
        <v>485</v>
      </c>
      <c r="AC26" s="62">
        <v>78</v>
      </c>
      <c r="AD26" s="62">
        <v>10</v>
      </c>
      <c r="AE26" s="62">
        <v>0</v>
      </c>
      <c r="AF26" s="62">
        <v>78</v>
      </c>
      <c r="AG26" s="62">
        <v>10</v>
      </c>
      <c r="AH26" s="62">
        <v>0</v>
      </c>
      <c r="AI26" s="114">
        <f t="shared" si="17"/>
        <v>1</v>
      </c>
      <c r="AJ26" s="103">
        <f t="shared" si="18"/>
        <v>1</v>
      </c>
      <c r="AK26" s="74">
        <f t="shared" si="19"/>
        <v>0</v>
      </c>
      <c r="AL26" s="114">
        <f t="shared" si="20"/>
        <v>0</v>
      </c>
      <c r="AM26" s="103">
        <f t="shared" si="21"/>
        <v>0</v>
      </c>
      <c r="AN26" s="74">
        <f t="shared" si="22"/>
        <v>0</v>
      </c>
      <c r="AO26" s="114">
        <f t="shared" si="23"/>
        <v>0</v>
      </c>
      <c r="AP26" s="103">
        <f t="shared" si="24"/>
        <v>0</v>
      </c>
      <c r="AQ26" s="74">
        <f t="shared" si="25"/>
        <v>1</v>
      </c>
      <c r="BL26" s="62">
        <v>78</v>
      </c>
    </row>
    <row r="27" spans="1:64" s="62" customFormat="1">
      <c r="A27" s="62" t="s">
        <v>109</v>
      </c>
      <c r="B27" s="62">
        <v>150</v>
      </c>
      <c r="C27" s="62" t="s">
        <v>37</v>
      </c>
      <c r="D27" s="62" t="s">
        <v>32</v>
      </c>
      <c r="E27" s="62">
        <v>1</v>
      </c>
      <c r="F27" s="62">
        <v>1</v>
      </c>
      <c r="G27" s="62">
        <f t="shared" si="3"/>
        <v>1</v>
      </c>
      <c r="H27" s="62">
        <f t="shared" si="4"/>
        <v>0</v>
      </c>
      <c r="I27" s="62">
        <f t="shared" si="5"/>
        <v>0</v>
      </c>
      <c r="J27" s="62">
        <f t="shared" si="6"/>
        <v>0</v>
      </c>
      <c r="K27" s="62">
        <f t="shared" si="7"/>
        <v>0</v>
      </c>
      <c r="L27" s="62">
        <f t="shared" si="8"/>
        <v>0</v>
      </c>
      <c r="M27" s="74">
        <f t="shared" si="9"/>
        <v>0</v>
      </c>
      <c r="N27" s="62">
        <f t="shared" si="10"/>
        <v>1</v>
      </c>
      <c r="O27" s="62">
        <f t="shared" si="11"/>
        <v>0</v>
      </c>
      <c r="P27" s="62">
        <f t="shared" si="12"/>
        <v>0</v>
      </c>
      <c r="Q27" s="62">
        <f t="shared" si="13"/>
        <v>0</v>
      </c>
      <c r="R27" s="62">
        <f t="shared" si="14"/>
        <v>0</v>
      </c>
      <c r="S27" s="62">
        <f t="shared" si="15"/>
        <v>0</v>
      </c>
      <c r="T27" s="62">
        <f t="shared" si="16"/>
        <v>0</v>
      </c>
      <c r="U27" s="62" t="s">
        <v>109</v>
      </c>
      <c r="V27" s="62" t="s">
        <v>37</v>
      </c>
      <c r="W27" s="62">
        <v>449</v>
      </c>
      <c r="X27" s="62">
        <v>864</v>
      </c>
      <c r="Y27" s="62">
        <v>948</v>
      </c>
      <c r="Z27" s="62">
        <v>554</v>
      </c>
      <c r="AA27" s="62">
        <v>880</v>
      </c>
      <c r="AB27" s="62">
        <v>1113</v>
      </c>
      <c r="AC27" s="62">
        <v>105</v>
      </c>
      <c r="AD27" s="62">
        <v>16</v>
      </c>
      <c r="AE27" s="62">
        <v>165</v>
      </c>
      <c r="AF27" s="62">
        <v>105</v>
      </c>
      <c r="AG27" s="62">
        <v>16</v>
      </c>
      <c r="AH27" s="62">
        <v>165</v>
      </c>
      <c r="AI27" s="114">
        <f t="shared" si="17"/>
        <v>1</v>
      </c>
      <c r="AJ27" s="103">
        <f t="shared" si="18"/>
        <v>1</v>
      </c>
      <c r="AK27" s="74">
        <f t="shared" si="19"/>
        <v>1</v>
      </c>
      <c r="AL27" s="114">
        <f t="shared" si="20"/>
        <v>0</v>
      </c>
      <c r="AM27" s="103">
        <f t="shared" si="21"/>
        <v>0</v>
      </c>
      <c r="AN27" s="74">
        <f t="shared" si="22"/>
        <v>0</v>
      </c>
      <c r="AO27" s="114">
        <f t="shared" si="23"/>
        <v>0</v>
      </c>
      <c r="AP27" s="103">
        <f t="shared" si="24"/>
        <v>0</v>
      </c>
      <c r="AQ27" s="74">
        <f t="shared" si="25"/>
        <v>0</v>
      </c>
      <c r="BL27" s="62">
        <v>105</v>
      </c>
    </row>
    <row r="28" spans="1:64" s="62" customFormat="1">
      <c r="A28" s="62" t="s">
        <v>136</v>
      </c>
      <c r="B28" s="62">
        <v>230</v>
      </c>
      <c r="C28" s="62" t="s">
        <v>37</v>
      </c>
      <c r="D28" s="62" t="s">
        <v>32</v>
      </c>
      <c r="E28" s="62">
        <v>4</v>
      </c>
      <c r="F28" s="62">
        <v>5</v>
      </c>
      <c r="G28" s="62">
        <f t="shared" si="3"/>
        <v>0</v>
      </c>
      <c r="H28" s="62">
        <f t="shared" si="4"/>
        <v>0</v>
      </c>
      <c r="I28" s="62">
        <f t="shared" si="5"/>
        <v>0</v>
      </c>
      <c r="J28" s="62">
        <f t="shared" si="6"/>
        <v>1</v>
      </c>
      <c r="K28" s="62">
        <f t="shared" si="7"/>
        <v>0</v>
      </c>
      <c r="L28" s="62">
        <f t="shared" si="8"/>
        <v>0</v>
      </c>
      <c r="M28" s="74">
        <f t="shared" si="9"/>
        <v>0</v>
      </c>
      <c r="N28" s="62">
        <f t="shared" si="10"/>
        <v>0</v>
      </c>
      <c r="O28" s="62">
        <f t="shared" si="11"/>
        <v>0</v>
      </c>
      <c r="P28" s="62">
        <f t="shared" si="12"/>
        <v>0</v>
      </c>
      <c r="Q28" s="62">
        <f t="shared" si="13"/>
        <v>0</v>
      </c>
      <c r="R28" s="62">
        <f t="shared" si="14"/>
        <v>1</v>
      </c>
      <c r="S28" s="62">
        <f t="shared" si="15"/>
        <v>0</v>
      </c>
      <c r="T28" s="62">
        <f t="shared" si="16"/>
        <v>0</v>
      </c>
      <c r="U28" s="62" t="s">
        <v>136</v>
      </c>
      <c r="V28" s="62" t="s">
        <v>37</v>
      </c>
      <c r="W28" s="62">
        <v>1738</v>
      </c>
      <c r="X28" s="62">
        <v>1854</v>
      </c>
      <c r="Y28" s="62">
        <v>1841</v>
      </c>
      <c r="Z28" s="62">
        <v>1482</v>
      </c>
      <c r="AA28" s="62">
        <v>1769</v>
      </c>
      <c r="AB28" s="62">
        <v>2043</v>
      </c>
      <c r="AC28" s="62">
        <v>-256</v>
      </c>
      <c r="AD28" s="62">
        <v>-85</v>
      </c>
      <c r="AE28" s="62">
        <v>202</v>
      </c>
      <c r="AF28" s="62">
        <v>-256</v>
      </c>
      <c r="AG28" s="62">
        <v>-85</v>
      </c>
      <c r="AH28" s="62">
        <v>202</v>
      </c>
      <c r="AI28" s="114">
        <f t="shared" si="17"/>
        <v>0</v>
      </c>
      <c r="AJ28" s="103">
        <f t="shared" si="18"/>
        <v>0</v>
      </c>
      <c r="AK28" s="74">
        <f t="shared" si="19"/>
        <v>1</v>
      </c>
      <c r="AL28" s="114">
        <f t="shared" si="20"/>
        <v>1</v>
      </c>
      <c r="AM28" s="103">
        <f t="shared" si="21"/>
        <v>1</v>
      </c>
      <c r="AN28" s="74">
        <f t="shared" si="22"/>
        <v>0</v>
      </c>
      <c r="AO28" s="114">
        <f t="shared" si="23"/>
        <v>0</v>
      </c>
      <c r="AP28" s="103">
        <f t="shared" si="24"/>
        <v>0</v>
      </c>
      <c r="AQ28" s="74">
        <f t="shared" si="25"/>
        <v>0</v>
      </c>
      <c r="BL28" s="62">
        <v>-256</v>
      </c>
    </row>
    <row r="29" spans="1:64" s="64" customFormat="1">
      <c r="A29" s="64" t="s">
        <v>59</v>
      </c>
      <c r="B29" s="64">
        <v>121</v>
      </c>
      <c r="C29" s="64" t="s">
        <v>38</v>
      </c>
      <c r="D29" s="64" t="s">
        <v>35</v>
      </c>
      <c r="E29" s="64">
        <v>3</v>
      </c>
      <c r="F29" s="64">
        <v>4</v>
      </c>
      <c r="G29" s="64">
        <f t="shared" si="3"/>
        <v>0</v>
      </c>
      <c r="H29" s="64">
        <f t="shared" si="4"/>
        <v>0</v>
      </c>
      <c r="I29" s="64">
        <f t="shared" si="5"/>
        <v>1</v>
      </c>
      <c r="J29" s="64">
        <f t="shared" si="6"/>
        <v>0</v>
      </c>
      <c r="K29" s="64">
        <f t="shared" si="7"/>
        <v>0</v>
      </c>
      <c r="L29" s="64">
        <f t="shared" si="8"/>
        <v>0</v>
      </c>
      <c r="M29" s="75">
        <f t="shared" si="9"/>
        <v>0</v>
      </c>
      <c r="N29" s="64">
        <f t="shared" si="10"/>
        <v>0</v>
      </c>
      <c r="O29" s="64">
        <f t="shared" si="11"/>
        <v>0</v>
      </c>
      <c r="P29" s="64">
        <f t="shared" si="12"/>
        <v>0</v>
      </c>
      <c r="Q29" s="64">
        <f t="shared" si="13"/>
        <v>1</v>
      </c>
      <c r="R29" s="64">
        <f t="shared" si="14"/>
        <v>0</v>
      </c>
      <c r="S29" s="64">
        <f t="shared" si="15"/>
        <v>0</v>
      </c>
      <c r="T29" s="64">
        <f t="shared" si="16"/>
        <v>0</v>
      </c>
      <c r="U29" s="64" t="s">
        <v>59</v>
      </c>
      <c r="V29" s="64" t="s">
        <v>38</v>
      </c>
      <c r="W29" s="64">
        <v>317</v>
      </c>
      <c r="X29" s="64">
        <v>399</v>
      </c>
      <c r="Y29" s="64">
        <v>349</v>
      </c>
      <c r="Z29" s="64">
        <v>263</v>
      </c>
      <c r="AA29" s="64">
        <v>332</v>
      </c>
      <c r="AB29" s="64">
        <v>273</v>
      </c>
      <c r="AC29" s="64">
        <v>-54</v>
      </c>
      <c r="AD29" s="64">
        <v>-67</v>
      </c>
      <c r="AE29" s="64">
        <v>-76</v>
      </c>
      <c r="AF29" s="64">
        <v>-54</v>
      </c>
      <c r="AG29" s="64">
        <v>-67</v>
      </c>
      <c r="AH29" s="64">
        <v>-76</v>
      </c>
      <c r="AI29" s="115">
        <f t="shared" si="17"/>
        <v>0</v>
      </c>
      <c r="AJ29" s="104">
        <f t="shared" si="18"/>
        <v>0</v>
      </c>
      <c r="AK29" s="75">
        <f t="shared" si="19"/>
        <v>0</v>
      </c>
      <c r="AL29" s="115">
        <f t="shared" si="20"/>
        <v>1</v>
      </c>
      <c r="AM29" s="104">
        <f t="shared" si="21"/>
        <v>1</v>
      </c>
      <c r="AN29" s="75">
        <f t="shared" si="22"/>
        <v>1</v>
      </c>
      <c r="AO29" s="115">
        <f t="shared" si="23"/>
        <v>0</v>
      </c>
      <c r="AP29" s="104">
        <f t="shared" si="24"/>
        <v>0</v>
      </c>
      <c r="AQ29" s="75">
        <f t="shared" si="25"/>
        <v>0</v>
      </c>
      <c r="BL29" s="64">
        <v>-54</v>
      </c>
    </row>
    <row r="30" spans="1:64" s="64" customFormat="1">
      <c r="A30" s="64" t="s">
        <v>60</v>
      </c>
      <c r="B30" s="64">
        <v>105</v>
      </c>
      <c r="C30" s="64" t="s">
        <v>38</v>
      </c>
      <c r="D30" s="64" t="s">
        <v>32</v>
      </c>
      <c r="E30" s="64">
        <v>1</v>
      </c>
      <c r="F30" s="64">
        <v>1</v>
      </c>
      <c r="G30" s="64">
        <f t="shared" si="3"/>
        <v>1</v>
      </c>
      <c r="H30" s="64">
        <f t="shared" si="4"/>
        <v>0</v>
      </c>
      <c r="I30" s="64">
        <f t="shared" si="5"/>
        <v>0</v>
      </c>
      <c r="J30" s="64">
        <f t="shared" si="6"/>
        <v>0</v>
      </c>
      <c r="K30" s="64">
        <f t="shared" si="7"/>
        <v>0</v>
      </c>
      <c r="L30" s="64">
        <f t="shared" si="8"/>
        <v>0</v>
      </c>
      <c r="M30" s="75">
        <f t="shared" si="9"/>
        <v>0</v>
      </c>
      <c r="N30" s="64">
        <f t="shared" si="10"/>
        <v>1</v>
      </c>
      <c r="O30" s="64">
        <f t="shared" si="11"/>
        <v>0</v>
      </c>
      <c r="P30" s="64">
        <f t="shared" si="12"/>
        <v>0</v>
      </c>
      <c r="Q30" s="64">
        <f t="shared" si="13"/>
        <v>0</v>
      </c>
      <c r="R30" s="64">
        <f t="shared" si="14"/>
        <v>0</v>
      </c>
      <c r="S30" s="64">
        <f t="shared" si="15"/>
        <v>0</v>
      </c>
      <c r="T30" s="64">
        <f t="shared" si="16"/>
        <v>0</v>
      </c>
      <c r="U30" s="64" t="s">
        <v>60</v>
      </c>
      <c r="V30" s="64" t="s">
        <v>38</v>
      </c>
      <c r="W30" s="64">
        <v>422</v>
      </c>
      <c r="X30" s="64">
        <v>905</v>
      </c>
      <c r="Y30" s="64">
        <v>1087</v>
      </c>
      <c r="Z30" s="64">
        <v>514</v>
      </c>
      <c r="AA30" s="64">
        <v>830</v>
      </c>
      <c r="AB30" s="64">
        <v>1112</v>
      </c>
      <c r="AC30" s="64">
        <v>92</v>
      </c>
      <c r="AD30" s="64">
        <v>-75</v>
      </c>
      <c r="AE30" s="64">
        <v>25</v>
      </c>
      <c r="AF30" s="64">
        <v>92</v>
      </c>
      <c r="AG30" s="64">
        <v>-75</v>
      </c>
      <c r="AH30" s="64">
        <v>25</v>
      </c>
      <c r="AI30" s="115">
        <f t="shared" si="17"/>
        <v>1</v>
      </c>
      <c r="AJ30" s="104">
        <f t="shared" si="18"/>
        <v>0</v>
      </c>
      <c r="AK30" s="75">
        <f t="shared" si="19"/>
        <v>1</v>
      </c>
      <c r="AL30" s="115">
        <f t="shared" si="20"/>
        <v>0</v>
      </c>
      <c r="AM30" s="104">
        <f t="shared" si="21"/>
        <v>1</v>
      </c>
      <c r="AN30" s="75">
        <f t="shared" si="22"/>
        <v>0</v>
      </c>
      <c r="AO30" s="115">
        <f t="shared" si="23"/>
        <v>0</v>
      </c>
      <c r="AP30" s="104">
        <f t="shared" si="24"/>
        <v>0</v>
      </c>
      <c r="AQ30" s="75">
        <f t="shared" si="25"/>
        <v>0</v>
      </c>
      <c r="BL30" s="64">
        <v>92</v>
      </c>
    </row>
    <row r="31" spans="1:64" s="64" customFormat="1">
      <c r="A31" s="64" t="s">
        <v>61</v>
      </c>
      <c r="B31" s="64">
        <v>180</v>
      </c>
      <c r="C31" s="64" t="s">
        <v>38</v>
      </c>
      <c r="D31" s="64" t="s">
        <v>33</v>
      </c>
      <c r="E31" s="64">
        <v>4</v>
      </c>
      <c r="F31" s="64">
        <v>7</v>
      </c>
      <c r="G31" s="64">
        <f t="shared" si="3"/>
        <v>0</v>
      </c>
      <c r="H31" s="64">
        <f t="shared" si="4"/>
        <v>0</v>
      </c>
      <c r="I31" s="64">
        <f t="shared" si="5"/>
        <v>0</v>
      </c>
      <c r="J31" s="64">
        <f t="shared" si="6"/>
        <v>1</v>
      </c>
      <c r="K31" s="64">
        <f t="shared" si="7"/>
        <v>0</v>
      </c>
      <c r="L31" s="64">
        <f t="shared" si="8"/>
        <v>0</v>
      </c>
      <c r="M31" s="75">
        <f t="shared" si="9"/>
        <v>0</v>
      </c>
      <c r="N31" s="64">
        <f t="shared" si="10"/>
        <v>0</v>
      </c>
      <c r="O31" s="64">
        <f t="shared" si="11"/>
        <v>0</v>
      </c>
      <c r="P31" s="64">
        <f t="shared" si="12"/>
        <v>0</v>
      </c>
      <c r="Q31" s="64">
        <f t="shared" si="13"/>
        <v>0</v>
      </c>
      <c r="R31" s="64">
        <f t="shared" si="14"/>
        <v>0</v>
      </c>
      <c r="S31" s="64">
        <f t="shared" si="15"/>
        <v>0</v>
      </c>
      <c r="T31" s="64">
        <f t="shared" si="16"/>
        <v>1</v>
      </c>
      <c r="U31" s="64" t="s">
        <v>61</v>
      </c>
      <c r="V31" s="64" t="s">
        <v>38</v>
      </c>
      <c r="W31" s="64">
        <v>631</v>
      </c>
      <c r="X31" s="64">
        <v>977</v>
      </c>
      <c r="Y31" s="64">
        <v>1057</v>
      </c>
      <c r="Z31" s="64">
        <v>645</v>
      </c>
      <c r="AA31" s="64">
        <v>987</v>
      </c>
      <c r="AB31" s="64">
        <v>1204</v>
      </c>
      <c r="AC31" s="64">
        <v>14</v>
      </c>
      <c r="AD31" s="64">
        <v>10</v>
      </c>
      <c r="AE31" s="64">
        <v>147</v>
      </c>
      <c r="AF31" s="64">
        <v>14</v>
      </c>
      <c r="AG31" s="64">
        <v>1</v>
      </c>
      <c r="AH31" s="64">
        <v>147</v>
      </c>
      <c r="AI31" s="115">
        <f t="shared" si="17"/>
        <v>1</v>
      </c>
      <c r="AJ31" s="104">
        <f t="shared" si="18"/>
        <v>1</v>
      </c>
      <c r="AK31" s="75">
        <f t="shared" si="19"/>
        <v>1</v>
      </c>
      <c r="AL31" s="115">
        <f t="shared" si="20"/>
        <v>0</v>
      </c>
      <c r="AM31" s="104">
        <f t="shared" si="21"/>
        <v>0</v>
      </c>
      <c r="AN31" s="75">
        <f t="shared" si="22"/>
        <v>0</v>
      </c>
      <c r="AO31" s="115">
        <f t="shared" si="23"/>
        <v>0</v>
      </c>
      <c r="AP31" s="104">
        <f t="shared" si="24"/>
        <v>0</v>
      </c>
      <c r="AQ31" s="75">
        <f t="shared" si="25"/>
        <v>0</v>
      </c>
      <c r="BL31" s="64">
        <v>14</v>
      </c>
    </row>
    <row r="32" spans="1:64" s="64" customFormat="1">
      <c r="A32" s="64" t="s">
        <v>62</v>
      </c>
      <c r="B32" s="64">
        <v>296</v>
      </c>
      <c r="C32" s="64" t="s">
        <v>38</v>
      </c>
      <c r="D32" s="64" t="s">
        <v>32</v>
      </c>
      <c r="E32" s="64">
        <v>1</v>
      </c>
      <c r="F32" s="64">
        <v>2</v>
      </c>
      <c r="G32" s="64">
        <f t="shared" si="3"/>
        <v>1</v>
      </c>
      <c r="H32" s="64">
        <f t="shared" si="4"/>
        <v>0</v>
      </c>
      <c r="I32" s="64">
        <f t="shared" si="5"/>
        <v>0</v>
      </c>
      <c r="J32" s="64">
        <f t="shared" si="6"/>
        <v>0</v>
      </c>
      <c r="K32" s="64">
        <f t="shared" si="7"/>
        <v>0</v>
      </c>
      <c r="L32" s="64">
        <f t="shared" si="8"/>
        <v>0</v>
      </c>
      <c r="M32" s="75">
        <f t="shared" si="9"/>
        <v>0</v>
      </c>
      <c r="N32" s="64">
        <f t="shared" si="10"/>
        <v>0</v>
      </c>
      <c r="O32" s="64">
        <f t="shared" si="11"/>
        <v>1</v>
      </c>
      <c r="P32" s="64">
        <f t="shared" si="12"/>
        <v>0</v>
      </c>
      <c r="Q32" s="64">
        <f t="shared" si="13"/>
        <v>0</v>
      </c>
      <c r="R32" s="64">
        <f t="shared" si="14"/>
        <v>0</v>
      </c>
      <c r="S32" s="64">
        <f t="shared" si="15"/>
        <v>0</v>
      </c>
      <c r="T32" s="64">
        <f t="shared" si="16"/>
        <v>0</v>
      </c>
      <c r="U32" s="64" t="s">
        <v>62</v>
      </c>
      <c r="V32" s="64" t="s">
        <v>38</v>
      </c>
      <c r="W32" s="64">
        <v>656</v>
      </c>
      <c r="X32" s="64">
        <v>813</v>
      </c>
      <c r="Y32" s="64">
        <v>1154</v>
      </c>
      <c r="Z32" s="64">
        <v>667</v>
      </c>
      <c r="AA32" s="64">
        <v>845</v>
      </c>
      <c r="AB32" s="64">
        <v>1223</v>
      </c>
      <c r="AC32" s="64">
        <v>11</v>
      </c>
      <c r="AD32" s="64">
        <v>32</v>
      </c>
      <c r="AE32" s="64">
        <v>69</v>
      </c>
      <c r="AF32" s="64">
        <v>11</v>
      </c>
      <c r="AG32" s="64">
        <v>32</v>
      </c>
      <c r="AH32" s="64">
        <v>69</v>
      </c>
      <c r="AI32" s="115">
        <f t="shared" si="17"/>
        <v>1</v>
      </c>
      <c r="AJ32" s="104">
        <f t="shared" si="18"/>
        <v>1</v>
      </c>
      <c r="AK32" s="75">
        <f t="shared" si="19"/>
        <v>1</v>
      </c>
      <c r="AL32" s="115">
        <f t="shared" si="20"/>
        <v>0</v>
      </c>
      <c r="AM32" s="104">
        <f t="shared" si="21"/>
        <v>0</v>
      </c>
      <c r="AN32" s="75">
        <f t="shared" si="22"/>
        <v>0</v>
      </c>
      <c r="AO32" s="115">
        <f t="shared" si="23"/>
        <v>0</v>
      </c>
      <c r="AP32" s="104">
        <f t="shared" si="24"/>
        <v>0</v>
      </c>
      <c r="AQ32" s="75">
        <f t="shared" si="25"/>
        <v>0</v>
      </c>
      <c r="BL32" s="64">
        <v>11</v>
      </c>
    </row>
    <row r="33" spans="1:64" s="64" customFormat="1">
      <c r="A33" s="64" t="s">
        <v>63</v>
      </c>
      <c r="B33" s="64">
        <v>79</v>
      </c>
      <c r="C33" s="64" t="s">
        <v>38</v>
      </c>
      <c r="D33" s="64" t="s">
        <v>32</v>
      </c>
      <c r="E33" s="64">
        <v>5</v>
      </c>
      <c r="F33" s="64">
        <v>4</v>
      </c>
      <c r="G33" s="64">
        <f t="shared" si="3"/>
        <v>0</v>
      </c>
      <c r="H33" s="64">
        <f t="shared" si="4"/>
        <v>0</v>
      </c>
      <c r="I33" s="64">
        <f t="shared" si="5"/>
        <v>0</v>
      </c>
      <c r="J33" s="64">
        <f t="shared" si="6"/>
        <v>0</v>
      </c>
      <c r="K33" s="64">
        <f t="shared" si="7"/>
        <v>1</v>
      </c>
      <c r="L33" s="64">
        <f t="shared" si="8"/>
        <v>0</v>
      </c>
      <c r="M33" s="75">
        <f t="shared" si="9"/>
        <v>0</v>
      </c>
      <c r="N33" s="64">
        <f t="shared" si="10"/>
        <v>0</v>
      </c>
      <c r="O33" s="64">
        <f t="shared" si="11"/>
        <v>0</v>
      </c>
      <c r="P33" s="64">
        <f t="shared" si="12"/>
        <v>0</v>
      </c>
      <c r="Q33" s="64">
        <f t="shared" si="13"/>
        <v>1</v>
      </c>
      <c r="R33" s="64">
        <f t="shared" si="14"/>
        <v>0</v>
      </c>
      <c r="S33" s="64">
        <f t="shared" si="15"/>
        <v>0</v>
      </c>
      <c r="T33" s="64">
        <f t="shared" si="16"/>
        <v>0</v>
      </c>
      <c r="U33" s="64" t="s">
        <v>63</v>
      </c>
      <c r="V33" s="64" t="s">
        <v>38</v>
      </c>
      <c r="W33" s="64">
        <v>398</v>
      </c>
      <c r="X33" s="64">
        <v>365</v>
      </c>
      <c r="Y33" s="64">
        <v>313</v>
      </c>
      <c r="Z33" s="64">
        <v>493</v>
      </c>
      <c r="AA33" s="64">
        <v>438</v>
      </c>
      <c r="AB33" s="64">
        <v>375</v>
      </c>
      <c r="AC33" s="64">
        <v>95</v>
      </c>
      <c r="AD33" s="64">
        <v>73</v>
      </c>
      <c r="AE33" s="64">
        <v>62</v>
      </c>
      <c r="AF33" s="64">
        <v>95</v>
      </c>
      <c r="AG33" s="64">
        <v>110</v>
      </c>
      <c r="AH33" s="64">
        <v>62</v>
      </c>
      <c r="AI33" s="115">
        <f t="shared" si="17"/>
        <v>1</v>
      </c>
      <c r="AJ33" s="104">
        <f t="shared" si="18"/>
        <v>1</v>
      </c>
      <c r="AK33" s="75">
        <f t="shared" si="19"/>
        <v>1</v>
      </c>
      <c r="AL33" s="115">
        <f t="shared" si="20"/>
        <v>0</v>
      </c>
      <c r="AM33" s="104">
        <f t="shared" si="21"/>
        <v>0</v>
      </c>
      <c r="AN33" s="75">
        <f t="shared" si="22"/>
        <v>0</v>
      </c>
      <c r="AO33" s="115">
        <f t="shared" si="23"/>
        <v>0</v>
      </c>
      <c r="AP33" s="104">
        <f t="shared" si="24"/>
        <v>0</v>
      </c>
      <c r="AQ33" s="75">
        <f t="shared" si="25"/>
        <v>0</v>
      </c>
      <c r="BL33" s="64">
        <v>95</v>
      </c>
    </row>
    <row r="34" spans="1:64" s="64" customFormat="1">
      <c r="A34" s="64" t="s">
        <v>64</v>
      </c>
      <c r="B34" s="64">
        <v>250</v>
      </c>
      <c r="C34" s="64" t="s">
        <v>38</v>
      </c>
      <c r="D34" s="64" t="s">
        <v>32</v>
      </c>
      <c r="E34" s="64">
        <v>3</v>
      </c>
      <c r="F34" s="64">
        <v>1</v>
      </c>
      <c r="G34" s="64">
        <f t="shared" si="3"/>
        <v>0</v>
      </c>
      <c r="H34" s="64">
        <f t="shared" si="4"/>
        <v>0</v>
      </c>
      <c r="I34" s="64">
        <f t="shared" si="5"/>
        <v>1</v>
      </c>
      <c r="J34" s="64">
        <f t="shared" si="6"/>
        <v>0</v>
      </c>
      <c r="K34" s="64">
        <f t="shared" si="7"/>
        <v>0</v>
      </c>
      <c r="L34" s="64">
        <f t="shared" si="8"/>
        <v>0</v>
      </c>
      <c r="M34" s="75">
        <f t="shared" si="9"/>
        <v>0</v>
      </c>
      <c r="N34" s="64">
        <f t="shared" si="10"/>
        <v>1</v>
      </c>
      <c r="O34" s="64">
        <f t="shared" si="11"/>
        <v>0</v>
      </c>
      <c r="P34" s="64">
        <f t="shared" si="12"/>
        <v>0</v>
      </c>
      <c r="Q34" s="64">
        <f t="shared" si="13"/>
        <v>0</v>
      </c>
      <c r="R34" s="64">
        <f t="shared" si="14"/>
        <v>0</v>
      </c>
      <c r="S34" s="64">
        <f t="shared" si="15"/>
        <v>0</v>
      </c>
      <c r="T34" s="64">
        <f t="shared" si="16"/>
        <v>0</v>
      </c>
      <c r="U34" s="64" t="s">
        <v>64</v>
      </c>
      <c r="V34" s="64" t="s">
        <v>38</v>
      </c>
      <c r="W34" s="64">
        <v>2384</v>
      </c>
      <c r="X34" s="64">
        <v>4074</v>
      </c>
      <c r="Y34" s="64">
        <v>4640</v>
      </c>
      <c r="Z34" s="64">
        <v>2209</v>
      </c>
      <c r="AA34" s="64">
        <v>3783</v>
      </c>
      <c r="AB34" s="64">
        <v>4705</v>
      </c>
      <c r="AC34" s="64">
        <v>-175</v>
      </c>
      <c r="AD34" s="64">
        <v>-291</v>
      </c>
      <c r="AE34" s="64">
        <v>65</v>
      </c>
      <c r="AF34" s="64">
        <v>-28</v>
      </c>
      <c r="AG34" s="64">
        <v>-291</v>
      </c>
      <c r="AH34" s="64">
        <v>65</v>
      </c>
      <c r="AI34" s="115">
        <f t="shared" si="17"/>
        <v>0</v>
      </c>
      <c r="AJ34" s="104">
        <f t="shared" si="18"/>
        <v>0</v>
      </c>
      <c r="AK34" s="75">
        <f t="shared" si="19"/>
        <v>1</v>
      </c>
      <c r="AL34" s="115">
        <f t="shared" si="20"/>
        <v>1</v>
      </c>
      <c r="AM34" s="104">
        <f t="shared" si="21"/>
        <v>1</v>
      </c>
      <c r="AN34" s="75">
        <f t="shared" si="22"/>
        <v>0</v>
      </c>
      <c r="AO34" s="115">
        <f t="shared" si="23"/>
        <v>0</v>
      </c>
      <c r="AP34" s="104">
        <f t="shared" si="24"/>
        <v>0</v>
      </c>
      <c r="AQ34" s="75">
        <f t="shared" si="25"/>
        <v>0</v>
      </c>
      <c r="BL34" s="64">
        <v>-175</v>
      </c>
    </row>
    <row r="35" spans="1:64" s="64" customFormat="1">
      <c r="A35" s="64" t="s">
        <v>65</v>
      </c>
      <c r="B35" s="64">
        <v>148</v>
      </c>
      <c r="C35" s="64" t="s">
        <v>38</v>
      </c>
      <c r="D35" s="64" t="s">
        <v>33</v>
      </c>
      <c r="E35" s="64">
        <v>1</v>
      </c>
      <c r="F35" s="64">
        <v>3</v>
      </c>
      <c r="G35" s="64">
        <f t="shared" si="3"/>
        <v>1</v>
      </c>
      <c r="H35" s="64">
        <f t="shared" si="4"/>
        <v>0</v>
      </c>
      <c r="I35" s="64">
        <f t="shared" si="5"/>
        <v>0</v>
      </c>
      <c r="J35" s="64">
        <f t="shared" si="6"/>
        <v>0</v>
      </c>
      <c r="K35" s="64">
        <f t="shared" si="7"/>
        <v>0</v>
      </c>
      <c r="L35" s="64">
        <f t="shared" si="8"/>
        <v>0</v>
      </c>
      <c r="M35" s="75">
        <f t="shared" si="9"/>
        <v>0</v>
      </c>
      <c r="N35" s="64">
        <f t="shared" si="10"/>
        <v>0</v>
      </c>
      <c r="O35" s="64">
        <f t="shared" si="11"/>
        <v>0</v>
      </c>
      <c r="P35" s="64">
        <f t="shared" si="12"/>
        <v>1</v>
      </c>
      <c r="Q35" s="64">
        <f t="shared" si="13"/>
        <v>0</v>
      </c>
      <c r="R35" s="64">
        <f t="shared" si="14"/>
        <v>0</v>
      </c>
      <c r="S35" s="64">
        <f t="shared" si="15"/>
        <v>0</v>
      </c>
      <c r="T35" s="64">
        <f t="shared" si="16"/>
        <v>0</v>
      </c>
      <c r="U35" s="64" t="s">
        <v>65</v>
      </c>
      <c r="V35" s="64" t="s">
        <v>38</v>
      </c>
      <c r="W35" s="64">
        <v>1876</v>
      </c>
      <c r="X35" s="64">
        <v>1710</v>
      </c>
      <c r="Y35" s="64">
        <v>2214</v>
      </c>
      <c r="Z35" s="64">
        <v>1953</v>
      </c>
      <c r="AA35" s="64">
        <v>1871</v>
      </c>
      <c r="AB35" s="64">
        <v>2171</v>
      </c>
      <c r="AC35" s="64">
        <v>77</v>
      </c>
      <c r="AD35" s="64">
        <v>161</v>
      </c>
      <c r="AE35" s="64">
        <v>-31</v>
      </c>
      <c r="AF35" s="64">
        <v>77</v>
      </c>
      <c r="AG35" s="64">
        <v>161</v>
      </c>
      <c r="AH35" s="64">
        <v>-43</v>
      </c>
      <c r="AI35" s="115">
        <f t="shared" si="17"/>
        <v>1</v>
      </c>
      <c r="AJ35" s="104">
        <f t="shared" si="18"/>
        <v>1</v>
      </c>
      <c r="AK35" s="75">
        <f t="shared" si="19"/>
        <v>0</v>
      </c>
      <c r="AL35" s="115">
        <f t="shared" si="20"/>
        <v>0</v>
      </c>
      <c r="AM35" s="104">
        <f t="shared" si="21"/>
        <v>0</v>
      </c>
      <c r="AN35" s="75">
        <f t="shared" si="22"/>
        <v>1</v>
      </c>
      <c r="AO35" s="115">
        <f t="shared" si="23"/>
        <v>0</v>
      </c>
      <c r="AP35" s="104">
        <f t="shared" si="24"/>
        <v>0</v>
      </c>
      <c r="AQ35" s="75">
        <f t="shared" si="25"/>
        <v>0</v>
      </c>
      <c r="BL35" s="64">
        <v>77</v>
      </c>
    </row>
    <row r="36" spans="1:64" s="64" customFormat="1">
      <c r="A36" s="64" t="s">
        <v>66</v>
      </c>
      <c r="B36" s="64">
        <v>47</v>
      </c>
      <c r="C36" s="64" t="s">
        <v>38</v>
      </c>
      <c r="D36" s="64" t="s">
        <v>35</v>
      </c>
      <c r="E36" s="64">
        <v>4</v>
      </c>
      <c r="F36" s="64">
        <v>5</v>
      </c>
      <c r="G36" s="64">
        <f t="shared" si="3"/>
        <v>0</v>
      </c>
      <c r="H36" s="64">
        <f t="shared" si="4"/>
        <v>0</v>
      </c>
      <c r="I36" s="64">
        <f t="shared" si="5"/>
        <v>0</v>
      </c>
      <c r="J36" s="64">
        <f t="shared" si="6"/>
        <v>1</v>
      </c>
      <c r="K36" s="64">
        <f t="shared" si="7"/>
        <v>0</v>
      </c>
      <c r="L36" s="64">
        <f t="shared" si="8"/>
        <v>0</v>
      </c>
      <c r="M36" s="75">
        <f t="shared" si="9"/>
        <v>0</v>
      </c>
      <c r="N36" s="64">
        <f t="shared" si="10"/>
        <v>0</v>
      </c>
      <c r="O36" s="64">
        <f t="shared" si="11"/>
        <v>0</v>
      </c>
      <c r="P36" s="64">
        <f t="shared" si="12"/>
        <v>0</v>
      </c>
      <c r="Q36" s="64">
        <f t="shared" si="13"/>
        <v>0</v>
      </c>
      <c r="R36" s="64">
        <f t="shared" si="14"/>
        <v>1</v>
      </c>
      <c r="S36" s="64">
        <f t="shared" si="15"/>
        <v>0</v>
      </c>
      <c r="T36" s="64">
        <f t="shared" si="16"/>
        <v>0</v>
      </c>
      <c r="U36" s="64" t="s">
        <v>66</v>
      </c>
      <c r="V36" s="64" t="s">
        <v>38</v>
      </c>
      <c r="W36" s="64">
        <v>209</v>
      </c>
      <c r="X36" s="64">
        <v>213</v>
      </c>
      <c r="Y36" s="64">
        <v>151</v>
      </c>
      <c r="Z36" s="64">
        <v>228</v>
      </c>
      <c r="AA36" s="64">
        <v>214</v>
      </c>
      <c r="AB36" s="64">
        <v>155</v>
      </c>
      <c r="AC36" s="64">
        <v>19</v>
      </c>
      <c r="AD36" s="64">
        <v>1</v>
      </c>
      <c r="AE36" s="64">
        <v>4</v>
      </c>
      <c r="AF36" s="64">
        <v>19</v>
      </c>
      <c r="AG36" s="64">
        <v>1</v>
      </c>
      <c r="AH36" s="64">
        <v>4</v>
      </c>
      <c r="AI36" s="115">
        <f t="shared" si="17"/>
        <v>1</v>
      </c>
      <c r="AJ36" s="104">
        <f t="shared" si="18"/>
        <v>1</v>
      </c>
      <c r="AK36" s="75">
        <f t="shared" si="19"/>
        <v>1</v>
      </c>
      <c r="AL36" s="115">
        <f t="shared" si="20"/>
        <v>0</v>
      </c>
      <c r="AM36" s="104">
        <f t="shared" si="21"/>
        <v>0</v>
      </c>
      <c r="AN36" s="75">
        <f t="shared" si="22"/>
        <v>0</v>
      </c>
      <c r="AO36" s="115">
        <f t="shared" si="23"/>
        <v>0</v>
      </c>
      <c r="AP36" s="104">
        <f t="shared" si="24"/>
        <v>0</v>
      </c>
      <c r="AQ36" s="75">
        <f t="shared" si="25"/>
        <v>0</v>
      </c>
      <c r="BL36" s="64">
        <v>19</v>
      </c>
    </row>
    <row r="37" spans="1:64" s="64" customFormat="1">
      <c r="A37" s="64" t="s">
        <v>67</v>
      </c>
      <c r="B37" s="64">
        <v>351</v>
      </c>
      <c r="C37" s="64" t="s">
        <v>38</v>
      </c>
      <c r="D37" s="64" t="s">
        <v>35</v>
      </c>
      <c r="E37" s="64">
        <v>2</v>
      </c>
      <c r="F37" s="64">
        <v>5</v>
      </c>
      <c r="G37" s="64">
        <f t="shared" si="3"/>
        <v>0</v>
      </c>
      <c r="H37" s="64">
        <f t="shared" si="4"/>
        <v>1</v>
      </c>
      <c r="I37" s="64">
        <f t="shared" si="5"/>
        <v>0</v>
      </c>
      <c r="J37" s="64">
        <f t="shared" si="6"/>
        <v>0</v>
      </c>
      <c r="K37" s="64">
        <f t="shared" si="7"/>
        <v>0</v>
      </c>
      <c r="L37" s="64">
        <f t="shared" si="8"/>
        <v>0</v>
      </c>
      <c r="M37" s="75">
        <f t="shared" si="9"/>
        <v>0</v>
      </c>
      <c r="N37" s="64">
        <f t="shared" si="10"/>
        <v>0</v>
      </c>
      <c r="O37" s="64">
        <f t="shared" si="11"/>
        <v>0</v>
      </c>
      <c r="P37" s="64">
        <f t="shared" si="12"/>
        <v>0</v>
      </c>
      <c r="Q37" s="64">
        <f t="shared" si="13"/>
        <v>0</v>
      </c>
      <c r="R37" s="64">
        <f t="shared" si="14"/>
        <v>1</v>
      </c>
      <c r="S37" s="64">
        <f t="shared" si="15"/>
        <v>0</v>
      </c>
      <c r="T37" s="64">
        <f t="shared" si="16"/>
        <v>0</v>
      </c>
      <c r="U37" s="64" t="s">
        <v>67</v>
      </c>
      <c r="V37" s="64" t="s">
        <v>38</v>
      </c>
      <c r="W37" s="64">
        <v>2314</v>
      </c>
      <c r="X37" s="64">
        <v>2505</v>
      </c>
      <c r="Y37" s="64">
        <v>3131</v>
      </c>
      <c r="Z37" s="64">
        <v>1939</v>
      </c>
      <c r="AA37" s="64">
        <v>2465</v>
      </c>
      <c r="AB37" s="64">
        <v>2936</v>
      </c>
      <c r="AC37" s="64">
        <v>-375</v>
      </c>
      <c r="AD37" s="64">
        <v>-40</v>
      </c>
      <c r="AE37" s="64">
        <v>-195</v>
      </c>
      <c r="AF37" s="64">
        <v>-136</v>
      </c>
      <c r="AG37" s="64">
        <v>-40</v>
      </c>
      <c r="AH37" s="64">
        <v>-195</v>
      </c>
      <c r="AI37" s="115">
        <f t="shared" si="17"/>
        <v>0</v>
      </c>
      <c r="AJ37" s="104">
        <f t="shared" si="18"/>
        <v>0</v>
      </c>
      <c r="AK37" s="75">
        <f t="shared" si="19"/>
        <v>0</v>
      </c>
      <c r="AL37" s="115">
        <f t="shared" si="20"/>
        <v>1</v>
      </c>
      <c r="AM37" s="104">
        <f t="shared" si="21"/>
        <v>1</v>
      </c>
      <c r="AN37" s="75">
        <f t="shared" si="22"/>
        <v>1</v>
      </c>
      <c r="AO37" s="115">
        <f t="shared" si="23"/>
        <v>0</v>
      </c>
      <c r="AP37" s="104">
        <f t="shared" si="24"/>
        <v>0</v>
      </c>
      <c r="AQ37" s="75">
        <f t="shared" si="25"/>
        <v>0</v>
      </c>
      <c r="BL37" s="64">
        <v>-375</v>
      </c>
    </row>
    <row r="38" spans="1:64" s="64" customFormat="1">
      <c r="A38" s="64" t="s">
        <v>68</v>
      </c>
      <c r="B38" s="64">
        <v>175</v>
      </c>
      <c r="C38" s="64" t="s">
        <v>38</v>
      </c>
      <c r="D38" s="64" t="s">
        <v>32</v>
      </c>
      <c r="E38" s="64">
        <v>5</v>
      </c>
      <c r="F38" s="64">
        <v>2</v>
      </c>
      <c r="G38" s="64">
        <f t="shared" si="3"/>
        <v>0</v>
      </c>
      <c r="H38" s="64">
        <f t="shared" si="4"/>
        <v>0</v>
      </c>
      <c r="I38" s="64">
        <f t="shared" si="5"/>
        <v>0</v>
      </c>
      <c r="J38" s="64">
        <f t="shared" si="6"/>
        <v>0</v>
      </c>
      <c r="K38" s="64">
        <f t="shared" si="7"/>
        <v>1</v>
      </c>
      <c r="L38" s="64">
        <f t="shared" si="8"/>
        <v>0</v>
      </c>
      <c r="M38" s="75">
        <f t="shared" si="9"/>
        <v>0</v>
      </c>
      <c r="N38" s="64">
        <f t="shared" si="10"/>
        <v>0</v>
      </c>
      <c r="O38" s="64">
        <f t="shared" si="11"/>
        <v>1</v>
      </c>
      <c r="P38" s="64">
        <f t="shared" si="12"/>
        <v>0</v>
      </c>
      <c r="Q38" s="64">
        <f t="shared" si="13"/>
        <v>0</v>
      </c>
      <c r="R38" s="64">
        <f t="shared" si="14"/>
        <v>0</v>
      </c>
      <c r="S38" s="64">
        <f t="shared" si="15"/>
        <v>0</v>
      </c>
      <c r="T38" s="64">
        <f t="shared" si="16"/>
        <v>0</v>
      </c>
      <c r="U38" s="64" t="s">
        <v>68</v>
      </c>
      <c r="V38" s="64" t="s">
        <v>38</v>
      </c>
      <c r="W38" s="64">
        <v>532</v>
      </c>
      <c r="X38" s="64">
        <v>651</v>
      </c>
      <c r="Y38" s="64">
        <v>822</v>
      </c>
      <c r="Z38" s="64">
        <v>627</v>
      </c>
      <c r="AA38" s="64">
        <v>691</v>
      </c>
      <c r="AB38" s="64">
        <v>1026</v>
      </c>
      <c r="AC38" s="64">
        <v>95</v>
      </c>
      <c r="AD38" s="64">
        <v>40</v>
      </c>
      <c r="AE38" s="64">
        <v>204</v>
      </c>
      <c r="AF38" s="64">
        <v>95</v>
      </c>
      <c r="AG38" s="64">
        <v>39</v>
      </c>
      <c r="AH38" s="64">
        <v>204</v>
      </c>
      <c r="AI38" s="115">
        <f t="shared" si="17"/>
        <v>1</v>
      </c>
      <c r="AJ38" s="104">
        <f t="shared" si="18"/>
        <v>1</v>
      </c>
      <c r="AK38" s="75">
        <f t="shared" si="19"/>
        <v>1</v>
      </c>
      <c r="AL38" s="115">
        <f t="shared" si="20"/>
        <v>0</v>
      </c>
      <c r="AM38" s="104">
        <f t="shared" si="21"/>
        <v>0</v>
      </c>
      <c r="AN38" s="75">
        <f t="shared" si="22"/>
        <v>0</v>
      </c>
      <c r="AO38" s="115">
        <f t="shared" si="23"/>
        <v>0</v>
      </c>
      <c r="AP38" s="104">
        <f t="shared" si="24"/>
        <v>0</v>
      </c>
      <c r="AQ38" s="75">
        <f t="shared" si="25"/>
        <v>0</v>
      </c>
      <c r="BL38" s="64">
        <v>95</v>
      </c>
    </row>
    <row r="39" spans="1:64" s="64" customFormat="1">
      <c r="A39" s="64" t="s">
        <v>69</v>
      </c>
      <c r="B39" s="64">
        <v>190</v>
      </c>
      <c r="C39" s="64" t="s">
        <v>38</v>
      </c>
      <c r="D39" s="64" t="s">
        <v>35</v>
      </c>
      <c r="E39" s="64">
        <v>1</v>
      </c>
      <c r="F39" s="64">
        <v>2</v>
      </c>
      <c r="G39" s="64">
        <f t="shared" si="3"/>
        <v>1</v>
      </c>
      <c r="H39" s="64">
        <f t="shared" si="4"/>
        <v>0</v>
      </c>
      <c r="I39" s="64">
        <f t="shared" si="5"/>
        <v>0</v>
      </c>
      <c r="J39" s="64">
        <f t="shared" si="6"/>
        <v>0</v>
      </c>
      <c r="K39" s="64">
        <f t="shared" si="7"/>
        <v>0</v>
      </c>
      <c r="L39" s="64">
        <f t="shared" si="8"/>
        <v>0</v>
      </c>
      <c r="M39" s="75">
        <f t="shared" si="9"/>
        <v>0</v>
      </c>
      <c r="N39" s="64">
        <f t="shared" si="10"/>
        <v>0</v>
      </c>
      <c r="O39" s="64">
        <f t="shared" si="11"/>
        <v>1</v>
      </c>
      <c r="P39" s="64">
        <f t="shared" si="12"/>
        <v>0</v>
      </c>
      <c r="Q39" s="64">
        <f t="shared" si="13"/>
        <v>0</v>
      </c>
      <c r="R39" s="64">
        <f t="shared" si="14"/>
        <v>0</v>
      </c>
      <c r="S39" s="64">
        <f t="shared" si="15"/>
        <v>0</v>
      </c>
      <c r="T39" s="64">
        <f t="shared" si="16"/>
        <v>0</v>
      </c>
      <c r="U39" s="64" t="s">
        <v>69</v>
      </c>
      <c r="V39" s="64" t="s">
        <v>38</v>
      </c>
      <c r="W39" s="64">
        <v>2292</v>
      </c>
      <c r="X39" s="64">
        <v>1429</v>
      </c>
      <c r="Y39" s="64">
        <v>1180</v>
      </c>
      <c r="Z39" s="64">
        <v>1508</v>
      </c>
      <c r="AA39" s="64">
        <v>1114</v>
      </c>
      <c r="AB39" s="64">
        <v>1235</v>
      </c>
      <c r="AC39" s="64">
        <v>-784</v>
      </c>
      <c r="AD39" s="64">
        <v>-315</v>
      </c>
      <c r="AE39" s="64">
        <v>55</v>
      </c>
      <c r="AF39" s="64">
        <v>-784</v>
      </c>
      <c r="AG39" s="64">
        <v>-315</v>
      </c>
      <c r="AH39" s="64">
        <v>55</v>
      </c>
      <c r="AI39" s="115">
        <f t="shared" si="17"/>
        <v>0</v>
      </c>
      <c r="AJ39" s="104">
        <f t="shared" si="18"/>
        <v>0</v>
      </c>
      <c r="AK39" s="75">
        <f t="shared" si="19"/>
        <v>1</v>
      </c>
      <c r="AL39" s="115">
        <f t="shared" si="20"/>
        <v>1</v>
      </c>
      <c r="AM39" s="104">
        <f t="shared" si="21"/>
        <v>1</v>
      </c>
      <c r="AN39" s="75">
        <f t="shared" si="22"/>
        <v>0</v>
      </c>
      <c r="AO39" s="115">
        <f t="shared" si="23"/>
        <v>0</v>
      </c>
      <c r="AP39" s="104">
        <f t="shared" si="24"/>
        <v>0</v>
      </c>
      <c r="AQ39" s="75">
        <f t="shared" si="25"/>
        <v>0</v>
      </c>
      <c r="BL39" s="64">
        <v>-784</v>
      </c>
    </row>
    <row r="40" spans="1:64" s="64" customFormat="1">
      <c r="A40" s="64" t="s">
        <v>70</v>
      </c>
      <c r="B40" s="64">
        <v>169</v>
      </c>
      <c r="C40" s="64" t="s">
        <v>38</v>
      </c>
      <c r="D40" s="64" t="s">
        <v>32</v>
      </c>
      <c r="E40" s="64">
        <v>1</v>
      </c>
      <c r="F40" s="64">
        <v>1</v>
      </c>
      <c r="G40" s="64">
        <f t="shared" si="3"/>
        <v>1</v>
      </c>
      <c r="H40" s="64">
        <f t="shared" si="4"/>
        <v>0</v>
      </c>
      <c r="I40" s="64">
        <f t="shared" si="5"/>
        <v>0</v>
      </c>
      <c r="J40" s="64">
        <f t="shared" si="6"/>
        <v>0</v>
      </c>
      <c r="K40" s="64">
        <f t="shared" si="7"/>
        <v>0</v>
      </c>
      <c r="L40" s="64">
        <f t="shared" si="8"/>
        <v>0</v>
      </c>
      <c r="M40" s="75">
        <f t="shared" si="9"/>
        <v>0</v>
      </c>
      <c r="N40" s="64">
        <f t="shared" si="10"/>
        <v>1</v>
      </c>
      <c r="O40" s="64">
        <f t="shared" si="11"/>
        <v>0</v>
      </c>
      <c r="P40" s="64">
        <f t="shared" si="12"/>
        <v>0</v>
      </c>
      <c r="Q40" s="64">
        <f t="shared" si="13"/>
        <v>0</v>
      </c>
      <c r="R40" s="64">
        <f t="shared" si="14"/>
        <v>0</v>
      </c>
      <c r="S40" s="64">
        <f t="shared" si="15"/>
        <v>0</v>
      </c>
      <c r="T40" s="64">
        <f t="shared" si="16"/>
        <v>0</v>
      </c>
      <c r="U40" s="64" t="s">
        <v>70</v>
      </c>
      <c r="V40" s="64" t="s">
        <v>38</v>
      </c>
      <c r="W40" s="64">
        <v>273</v>
      </c>
      <c r="X40" s="64">
        <v>254</v>
      </c>
      <c r="Y40" s="64">
        <v>213</v>
      </c>
      <c r="Z40" s="64">
        <v>247</v>
      </c>
      <c r="AA40" s="64">
        <v>296</v>
      </c>
      <c r="AB40" s="64">
        <v>217</v>
      </c>
      <c r="AC40" s="64">
        <v>-26</v>
      </c>
      <c r="AD40" s="64">
        <v>42</v>
      </c>
      <c r="AE40" s="64">
        <v>4</v>
      </c>
      <c r="AF40" s="64">
        <v>-26</v>
      </c>
      <c r="AG40" s="64">
        <v>42</v>
      </c>
      <c r="AH40" s="64">
        <v>4</v>
      </c>
      <c r="AI40" s="115">
        <f t="shared" si="17"/>
        <v>0</v>
      </c>
      <c r="AJ40" s="104">
        <f t="shared" si="18"/>
        <v>1</v>
      </c>
      <c r="AK40" s="75">
        <f t="shared" si="19"/>
        <v>1</v>
      </c>
      <c r="AL40" s="115">
        <f t="shared" si="20"/>
        <v>1</v>
      </c>
      <c r="AM40" s="104">
        <f t="shared" si="21"/>
        <v>0</v>
      </c>
      <c r="AN40" s="75">
        <f t="shared" si="22"/>
        <v>0</v>
      </c>
      <c r="AO40" s="115">
        <f t="shared" si="23"/>
        <v>0</v>
      </c>
      <c r="AP40" s="104">
        <f t="shared" si="24"/>
        <v>0</v>
      </c>
      <c r="AQ40" s="75">
        <f t="shared" si="25"/>
        <v>0</v>
      </c>
      <c r="BL40" s="64">
        <v>-26</v>
      </c>
    </row>
    <row r="41" spans="1:64" s="64" customFormat="1">
      <c r="A41" s="64" t="s">
        <v>71</v>
      </c>
      <c r="B41" s="64">
        <v>180</v>
      </c>
      <c r="C41" s="64" t="s">
        <v>38</v>
      </c>
      <c r="D41" s="64" t="s">
        <v>32</v>
      </c>
      <c r="E41" s="64">
        <v>5</v>
      </c>
      <c r="F41" s="64">
        <v>4</v>
      </c>
      <c r="G41" s="64">
        <f t="shared" si="3"/>
        <v>0</v>
      </c>
      <c r="H41" s="64">
        <f t="shared" si="4"/>
        <v>0</v>
      </c>
      <c r="I41" s="64">
        <f t="shared" si="5"/>
        <v>0</v>
      </c>
      <c r="J41" s="64">
        <f t="shared" si="6"/>
        <v>0</v>
      </c>
      <c r="K41" s="64">
        <f t="shared" si="7"/>
        <v>1</v>
      </c>
      <c r="L41" s="64">
        <f t="shared" si="8"/>
        <v>0</v>
      </c>
      <c r="M41" s="75">
        <f t="shared" si="9"/>
        <v>0</v>
      </c>
      <c r="N41" s="64">
        <f t="shared" si="10"/>
        <v>0</v>
      </c>
      <c r="O41" s="64">
        <f t="shared" si="11"/>
        <v>0</v>
      </c>
      <c r="P41" s="64">
        <f t="shared" si="12"/>
        <v>0</v>
      </c>
      <c r="Q41" s="64">
        <f t="shared" si="13"/>
        <v>1</v>
      </c>
      <c r="R41" s="64">
        <f t="shared" si="14"/>
        <v>0</v>
      </c>
      <c r="S41" s="64">
        <f t="shared" si="15"/>
        <v>0</v>
      </c>
      <c r="T41" s="64">
        <f t="shared" si="16"/>
        <v>0</v>
      </c>
      <c r="U41" s="64" t="s">
        <v>71</v>
      </c>
      <c r="V41" s="64" t="s">
        <v>38</v>
      </c>
      <c r="W41" s="64">
        <v>1921</v>
      </c>
      <c r="X41" s="64">
        <v>1533</v>
      </c>
      <c r="Y41" s="64">
        <v>1289</v>
      </c>
      <c r="Z41" s="64">
        <v>1619</v>
      </c>
      <c r="AA41" s="64">
        <v>1488</v>
      </c>
      <c r="AB41" s="64">
        <v>1311</v>
      </c>
      <c r="AC41" s="64">
        <v>-302</v>
      </c>
      <c r="AD41" s="64">
        <v>-45</v>
      </c>
      <c r="AE41" s="64">
        <v>22</v>
      </c>
      <c r="AF41" s="64">
        <v>-302</v>
      </c>
      <c r="AG41" s="64">
        <v>-43</v>
      </c>
      <c r="AH41" s="64">
        <v>22</v>
      </c>
      <c r="AI41" s="115">
        <f t="shared" si="17"/>
        <v>0</v>
      </c>
      <c r="AJ41" s="104">
        <f t="shared" si="18"/>
        <v>0</v>
      </c>
      <c r="AK41" s="75">
        <f t="shared" si="19"/>
        <v>1</v>
      </c>
      <c r="AL41" s="115">
        <f t="shared" si="20"/>
        <v>1</v>
      </c>
      <c r="AM41" s="104">
        <f t="shared" si="21"/>
        <v>1</v>
      </c>
      <c r="AN41" s="75">
        <f t="shared" si="22"/>
        <v>0</v>
      </c>
      <c r="AO41" s="115">
        <f t="shared" si="23"/>
        <v>0</v>
      </c>
      <c r="AP41" s="104">
        <f t="shared" si="24"/>
        <v>0</v>
      </c>
      <c r="AQ41" s="75">
        <f t="shared" si="25"/>
        <v>0</v>
      </c>
      <c r="BL41" s="64">
        <v>-302</v>
      </c>
    </row>
    <row r="42" spans="1:64" s="64" customFormat="1">
      <c r="A42" s="64" t="s">
        <v>72</v>
      </c>
      <c r="B42" s="64">
        <v>225</v>
      </c>
      <c r="C42" s="64" t="s">
        <v>38</v>
      </c>
      <c r="D42" s="64" t="s">
        <v>32</v>
      </c>
      <c r="E42" s="64">
        <v>2</v>
      </c>
      <c r="F42" s="64">
        <v>5</v>
      </c>
      <c r="G42" s="64">
        <f t="shared" si="3"/>
        <v>0</v>
      </c>
      <c r="H42" s="64">
        <f t="shared" si="4"/>
        <v>1</v>
      </c>
      <c r="I42" s="64">
        <f t="shared" si="5"/>
        <v>0</v>
      </c>
      <c r="J42" s="64">
        <f t="shared" si="6"/>
        <v>0</v>
      </c>
      <c r="K42" s="64">
        <f t="shared" si="7"/>
        <v>0</v>
      </c>
      <c r="L42" s="64">
        <f t="shared" si="8"/>
        <v>0</v>
      </c>
      <c r="M42" s="75">
        <f t="shared" si="9"/>
        <v>0</v>
      </c>
      <c r="N42" s="64">
        <f t="shared" si="10"/>
        <v>0</v>
      </c>
      <c r="O42" s="64">
        <f t="shared" si="11"/>
        <v>0</v>
      </c>
      <c r="P42" s="64">
        <f t="shared" si="12"/>
        <v>0</v>
      </c>
      <c r="Q42" s="64">
        <f t="shared" si="13"/>
        <v>0</v>
      </c>
      <c r="R42" s="64">
        <f t="shared" si="14"/>
        <v>1</v>
      </c>
      <c r="S42" s="64">
        <f t="shared" si="15"/>
        <v>0</v>
      </c>
      <c r="T42" s="64">
        <f t="shared" si="16"/>
        <v>0</v>
      </c>
      <c r="U42" s="64" t="s">
        <v>72</v>
      </c>
      <c r="V42" s="64" t="s">
        <v>38</v>
      </c>
      <c r="W42" s="64">
        <v>460</v>
      </c>
      <c r="X42" s="64">
        <v>664</v>
      </c>
      <c r="Y42" s="64">
        <v>710</v>
      </c>
      <c r="Z42" s="64">
        <v>504</v>
      </c>
      <c r="AA42" s="64">
        <v>629</v>
      </c>
      <c r="AB42" s="64">
        <v>674</v>
      </c>
      <c r="AC42" s="64">
        <v>44</v>
      </c>
      <c r="AD42" s="64">
        <v>-35</v>
      </c>
      <c r="AE42" s="64">
        <v>-36</v>
      </c>
      <c r="AF42" s="64">
        <v>44</v>
      </c>
      <c r="AG42" s="64">
        <v>-35</v>
      </c>
      <c r="AH42" s="64">
        <v>-36</v>
      </c>
      <c r="AI42" s="115">
        <f t="shared" si="17"/>
        <v>1</v>
      </c>
      <c r="AJ42" s="104">
        <f t="shared" si="18"/>
        <v>0</v>
      </c>
      <c r="AK42" s="75">
        <f t="shared" si="19"/>
        <v>0</v>
      </c>
      <c r="AL42" s="115">
        <f t="shared" si="20"/>
        <v>0</v>
      </c>
      <c r="AM42" s="104">
        <f t="shared" si="21"/>
        <v>1</v>
      </c>
      <c r="AN42" s="75">
        <f t="shared" si="22"/>
        <v>1</v>
      </c>
      <c r="AO42" s="115">
        <f t="shared" si="23"/>
        <v>0</v>
      </c>
      <c r="AP42" s="104">
        <f t="shared" si="24"/>
        <v>0</v>
      </c>
      <c r="AQ42" s="75">
        <f t="shared" si="25"/>
        <v>0</v>
      </c>
      <c r="BL42" s="64">
        <v>44</v>
      </c>
    </row>
    <row r="43" spans="1:64" s="64" customFormat="1">
      <c r="A43" s="64" t="s">
        <v>73</v>
      </c>
      <c r="B43" s="64">
        <v>285</v>
      </c>
      <c r="C43" s="64" t="s">
        <v>38</v>
      </c>
      <c r="D43" s="64" t="s">
        <v>32</v>
      </c>
      <c r="E43" s="64">
        <v>3</v>
      </c>
      <c r="F43" s="64">
        <v>2</v>
      </c>
      <c r="G43" s="64">
        <f t="shared" si="3"/>
        <v>0</v>
      </c>
      <c r="H43" s="64">
        <f t="shared" si="4"/>
        <v>0</v>
      </c>
      <c r="I43" s="64">
        <f t="shared" si="5"/>
        <v>1</v>
      </c>
      <c r="J43" s="64">
        <f t="shared" si="6"/>
        <v>0</v>
      </c>
      <c r="K43" s="64">
        <f t="shared" si="7"/>
        <v>0</v>
      </c>
      <c r="L43" s="64">
        <f t="shared" si="8"/>
        <v>0</v>
      </c>
      <c r="M43" s="75">
        <f t="shared" si="9"/>
        <v>0</v>
      </c>
      <c r="N43" s="64">
        <f t="shared" si="10"/>
        <v>0</v>
      </c>
      <c r="O43" s="64">
        <f t="shared" si="11"/>
        <v>1</v>
      </c>
      <c r="P43" s="64">
        <f t="shared" si="12"/>
        <v>0</v>
      </c>
      <c r="Q43" s="64">
        <f t="shared" si="13"/>
        <v>0</v>
      </c>
      <c r="R43" s="64">
        <f t="shared" si="14"/>
        <v>0</v>
      </c>
      <c r="S43" s="64">
        <f t="shared" si="15"/>
        <v>0</v>
      </c>
      <c r="T43" s="64">
        <f t="shared" si="16"/>
        <v>0</v>
      </c>
      <c r="U43" s="64" t="s">
        <v>73</v>
      </c>
      <c r="V43" s="64" t="s">
        <v>38</v>
      </c>
      <c r="W43" s="203">
        <f>(AU43/1500)*285</f>
        <v>2260.4299999999998</v>
      </c>
      <c r="X43" s="203">
        <f t="shared" ref="X43:AH43" si="29">(AV43/1500)*285</f>
        <v>2262.14</v>
      </c>
      <c r="Y43" s="203">
        <f t="shared" si="29"/>
        <v>2635.87</v>
      </c>
      <c r="Z43" s="203">
        <f t="shared" si="29"/>
        <v>2242</v>
      </c>
      <c r="AA43" s="203">
        <f t="shared" si="29"/>
        <v>2560.44</v>
      </c>
      <c r="AB43" s="203">
        <f t="shared" si="29"/>
        <v>2568.9899999999998</v>
      </c>
      <c r="AC43" s="203">
        <f t="shared" si="29"/>
        <v>-18.43</v>
      </c>
      <c r="AD43" s="203">
        <f t="shared" si="29"/>
        <v>298.3</v>
      </c>
      <c r="AE43" s="203">
        <f t="shared" si="29"/>
        <v>-66.88</v>
      </c>
      <c r="AF43" s="203">
        <f t="shared" si="29"/>
        <v>-55.48</v>
      </c>
      <c r="AG43" s="203">
        <f t="shared" si="29"/>
        <v>298.3</v>
      </c>
      <c r="AH43" s="203">
        <f t="shared" si="29"/>
        <v>-66.88</v>
      </c>
      <c r="AI43" s="115">
        <f t="shared" si="17"/>
        <v>0</v>
      </c>
      <c r="AJ43" s="104">
        <f t="shared" si="18"/>
        <v>1</v>
      </c>
      <c r="AK43" s="75">
        <f t="shared" si="19"/>
        <v>0</v>
      </c>
      <c r="AL43" s="115">
        <f t="shared" si="20"/>
        <v>1</v>
      </c>
      <c r="AM43" s="104">
        <f t="shared" si="21"/>
        <v>0</v>
      </c>
      <c r="AN43" s="75">
        <f t="shared" si="22"/>
        <v>1</v>
      </c>
      <c r="AO43" s="115">
        <f t="shared" si="23"/>
        <v>0</v>
      </c>
      <c r="AP43" s="104">
        <f t="shared" si="24"/>
        <v>0</v>
      </c>
      <c r="AQ43" s="75">
        <f t="shared" si="25"/>
        <v>0</v>
      </c>
      <c r="AU43" s="64">
        <v>11897</v>
      </c>
      <c r="AV43" s="64">
        <v>11906</v>
      </c>
      <c r="AW43" s="64">
        <v>13873</v>
      </c>
      <c r="AX43" s="64">
        <v>11800</v>
      </c>
      <c r="AY43" s="64">
        <v>13476</v>
      </c>
      <c r="AZ43" s="64">
        <v>13521</v>
      </c>
      <c r="BA43" s="64">
        <v>-97</v>
      </c>
      <c r="BB43" s="64">
        <v>1570</v>
      </c>
      <c r="BC43" s="64">
        <v>-352</v>
      </c>
      <c r="BD43" s="64">
        <v>-292</v>
      </c>
      <c r="BE43" s="64">
        <v>1570</v>
      </c>
      <c r="BF43" s="64">
        <v>-352</v>
      </c>
      <c r="BL43" s="64">
        <v>-18.43</v>
      </c>
    </row>
    <row r="44" spans="1:64" s="64" customFormat="1">
      <c r="A44" s="64" t="s">
        <v>74</v>
      </c>
      <c r="B44" s="64">
        <v>100</v>
      </c>
      <c r="C44" s="64" t="s">
        <v>38</v>
      </c>
      <c r="D44" s="64" t="s">
        <v>35</v>
      </c>
      <c r="E44" s="64">
        <v>4</v>
      </c>
      <c r="F44" s="64">
        <v>6</v>
      </c>
      <c r="G44" s="64">
        <f t="shared" si="3"/>
        <v>0</v>
      </c>
      <c r="H44" s="64">
        <f t="shared" si="4"/>
        <v>0</v>
      </c>
      <c r="I44" s="64">
        <f t="shared" si="5"/>
        <v>0</v>
      </c>
      <c r="J44" s="64">
        <f t="shared" si="6"/>
        <v>1</v>
      </c>
      <c r="K44" s="64">
        <f t="shared" si="7"/>
        <v>0</v>
      </c>
      <c r="L44" s="64">
        <f t="shared" si="8"/>
        <v>0</v>
      </c>
      <c r="M44" s="75">
        <f t="shared" si="9"/>
        <v>0</v>
      </c>
      <c r="N44" s="64">
        <f t="shared" si="10"/>
        <v>0</v>
      </c>
      <c r="O44" s="64">
        <f t="shared" si="11"/>
        <v>0</v>
      </c>
      <c r="P44" s="64">
        <f t="shared" si="12"/>
        <v>0</v>
      </c>
      <c r="Q44" s="64">
        <f t="shared" si="13"/>
        <v>0</v>
      </c>
      <c r="R44" s="64">
        <f t="shared" si="14"/>
        <v>0</v>
      </c>
      <c r="S44" s="64">
        <f t="shared" si="15"/>
        <v>1</v>
      </c>
      <c r="T44" s="64">
        <f t="shared" si="16"/>
        <v>0</v>
      </c>
      <c r="U44" s="64" t="s">
        <v>74</v>
      </c>
      <c r="V44" s="64" t="s">
        <v>38</v>
      </c>
      <c r="W44" s="64">
        <v>140</v>
      </c>
      <c r="X44" s="64">
        <v>180</v>
      </c>
      <c r="Y44" s="64">
        <v>160</v>
      </c>
      <c r="Z44" s="64">
        <v>173</v>
      </c>
      <c r="AA44" s="64">
        <v>182</v>
      </c>
      <c r="AB44" s="64">
        <v>152</v>
      </c>
      <c r="AC44" s="64">
        <v>33</v>
      </c>
      <c r="AD44" s="64">
        <v>2</v>
      </c>
      <c r="AE44" s="64">
        <v>-8</v>
      </c>
      <c r="AF44" s="64">
        <v>33</v>
      </c>
      <c r="AG44" s="64">
        <v>2</v>
      </c>
      <c r="AH44" s="64">
        <v>-8</v>
      </c>
      <c r="AI44" s="115">
        <f t="shared" si="17"/>
        <v>1</v>
      </c>
      <c r="AJ44" s="104">
        <f t="shared" si="18"/>
        <v>1</v>
      </c>
      <c r="AK44" s="75">
        <f t="shared" si="19"/>
        <v>0</v>
      </c>
      <c r="AL44" s="115">
        <f t="shared" si="20"/>
        <v>0</v>
      </c>
      <c r="AM44" s="104">
        <f t="shared" si="21"/>
        <v>0</v>
      </c>
      <c r="AN44" s="75">
        <f t="shared" si="22"/>
        <v>1</v>
      </c>
      <c r="AO44" s="115">
        <f t="shared" si="23"/>
        <v>0</v>
      </c>
      <c r="AP44" s="104">
        <f t="shared" si="24"/>
        <v>0</v>
      </c>
      <c r="AQ44" s="75">
        <f t="shared" si="25"/>
        <v>0</v>
      </c>
      <c r="BL44" s="64">
        <v>33</v>
      </c>
    </row>
    <row r="45" spans="1:64" s="64" customFormat="1">
      <c r="A45" s="64" t="s">
        <v>83</v>
      </c>
      <c r="B45" s="64">
        <v>180</v>
      </c>
      <c r="C45" s="64" t="s">
        <v>38</v>
      </c>
      <c r="D45" s="64" t="s">
        <v>32</v>
      </c>
      <c r="E45" s="64">
        <v>5</v>
      </c>
      <c r="F45" s="64">
        <v>7</v>
      </c>
      <c r="G45" s="64">
        <f t="shared" si="3"/>
        <v>0</v>
      </c>
      <c r="H45" s="64">
        <f t="shared" si="4"/>
        <v>0</v>
      </c>
      <c r="I45" s="64">
        <f t="shared" si="5"/>
        <v>0</v>
      </c>
      <c r="J45" s="64">
        <f t="shared" si="6"/>
        <v>0</v>
      </c>
      <c r="K45" s="64">
        <f t="shared" si="7"/>
        <v>1</v>
      </c>
      <c r="L45" s="64">
        <f t="shared" si="8"/>
        <v>0</v>
      </c>
      <c r="M45" s="75">
        <f t="shared" si="9"/>
        <v>0</v>
      </c>
      <c r="N45" s="64">
        <f t="shared" si="10"/>
        <v>0</v>
      </c>
      <c r="O45" s="64">
        <f t="shared" si="11"/>
        <v>0</v>
      </c>
      <c r="P45" s="64">
        <f t="shared" si="12"/>
        <v>0</v>
      </c>
      <c r="Q45" s="64">
        <f t="shared" si="13"/>
        <v>0</v>
      </c>
      <c r="R45" s="64">
        <f t="shared" si="14"/>
        <v>0</v>
      </c>
      <c r="S45" s="64">
        <f t="shared" si="15"/>
        <v>0</v>
      </c>
      <c r="T45" s="64">
        <f t="shared" si="16"/>
        <v>1</v>
      </c>
      <c r="U45" s="64" t="s">
        <v>83</v>
      </c>
      <c r="V45" s="64" t="s">
        <v>38</v>
      </c>
      <c r="W45" s="64">
        <v>1384</v>
      </c>
      <c r="X45" s="64">
        <v>1041</v>
      </c>
      <c r="Y45" s="64">
        <v>1219</v>
      </c>
      <c r="Z45" s="64">
        <v>1251</v>
      </c>
      <c r="AA45" s="64">
        <v>1323</v>
      </c>
      <c r="AB45" s="64">
        <v>1157</v>
      </c>
      <c r="AC45" s="64">
        <v>-133</v>
      </c>
      <c r="AD45" s="64">
        <v>282</v>
      </c>
      <c r="AE45" s="64">
        <v>-62</v>
      </c>
      <c r="AF45" s="64">
        <v>-140</v>
      </c>
      <c r="AG45" s="64">
        <v>282</v>
      </c>
      <c r="AH45" s="64">
        <v>-62</v>
      </c>
      <c r="AI45" s="115">
        <f t="shared" si="17"/>
        <v>0</v>
      </c>
      <c r="AJ45" s="104">
        <f t="shared" si="18"/>
        <v>1</v>
      </c>
      <c r="AK45" s="75">
        <f t="shared" si="19"/>
        <v>0</v>
      </c>
      <c r="AL45" s="115">
        <f t="shared" si="20"/>
        <v>1</v>
      </c>
      <c r="AM45" s="104">
        <f t="shared" si="21"/>
        <v>0</v>
      </c>
      <c r="AN45" s="75">
        <f t="shared" si="22"/>
        <v>1</v>
      </c>
      <c r="AO45" s="115">
        <f t="shared" si="23"/>
        <v>0</v>
      </c>
      <c r="AP45" s="104">
        <f t="shared" si="24"/>
        <v>0</v>
      </c>
      <c r="AQ45" s="75">
        <f t="shared" si="25"/>
        <v>0</v>
      </c>
      <c r="BL45" s="64">
        <v>-133</v>
      </c>
    </row>
    <row r="46" spans="1:64" s="64" customFormat="1">
      <c r="A46" s="64" t="s">
        <v>84</v>
      </c>
      <c r="B46" s="64">
        <v>90</v>
      </c>
      <c r="C46" s="64" t="s">
        <v>38</v>
      </c>
      <c r="D46" s="64" t="s">
        <v>33</v>
      </c>
      <c r="E46" s="64">
        <v>2</v>
      </c>
      <c r="F46" s="64">
        <v>2</v>
      </c>
      <c r="G46" s="64">
        <f t="shared" si="3"/>
        <v>0</v>
      </c>
      <c r="H46" s="64">
        <f t="shared" si="4"/>
        <v>1</v>
      </c>
      <c r="I46" s="64">
        <f t="shared" si="5"/>
        <v>0</v>
      </c>
      <c r="J46" s="64">
        <f t="shared" si="6"/>
        <v>0</v>
      </c>
      <c r="K46" s="64">
        <f t="shared" si="7"/>
        <v>0</v>
      </c>
      <c r="L46" s="64">
        <f t="shared" si="8"/>
        <v>0</v>
      </c>
      <c r="M46" s="75">
        <f t="shared" si="9"/>
        <v>0</v>
      </c>
      <c r="N46" s="64">
        <f t="shared" si="10"/>
        <v>0</v>
      </c>
      <c r="O46" s="64">
        <f t="shared" si="11"/>
        <v>1</v>
      </c>
      <c r="P46" s="64">
        <f t="shared" si="12"/>
        <v>0</v>
      </c>
      <c r="Q46" s="64">
        <f t="shared" si="13"/>
        <v>0</v>
      </c>
      <c r="R46" s="64">
        <f t="shared" si="14"/>
        <v>0</v>
      </c>
      <c r="S46" s="64">
        <f t="shared" si="15"/>
        <v>0</v>
      </c>
      <c r="T46" s="64">
        <f t="shared" si="16"/>
        <v>0</v>
      </c>
      <c r="U46" s="64" t="s">
        <v>84</v>
      </c>
      <c r="V46" s="64" t="s">
        <v>38</v>
      </c>
      <c r="W46" s="64">
        <v>617</v>
      </c>
      <c r="X46" s="64">
        <v>650</v>
      </c>
      <c r="Y46" s="64">
        <v>525</v>
      </c>
      <c r="Z46" s="64">
        <v>618</v>
      </c>
      <c r="AA46" s="64">
        <v>558</v>
      </c>
      <c r="AB46" s="64">
        <v>584</v>
      </c>
      <c r="AC46" s="64">
        <v>1</v>
      </c>
      <c r="AD46" s="64">
        <v>-92</v>
      </c>
      <c r="AE46" s="64">
        <v>59</v>
      </c>
      <c r="AF46" s="64">
        <v>1</v>
      </c>
      <c r="AG46" s="64">
        <v>-92</v>
      </c>
      <c r="AH46" s="64">
        <v>59</v>
      </c>
      <c r="AI46" s="115">
        <f t="shared" si="17"/>
        <v>1</v>
      </c>
      <c r="AJ46" s="104">
        <f t="shared" si="18"/>
        <v>0</v>
      </c>
      <c r="AK46" s="75">
        <f t="shared" si="19"/>
        <v>1</v>
      </c>
      <c r="AL46" s="115">
        <f t="shared" si="20"/>
        <v>0</v>
      </c>
      <c r="AM46" s="104">
        <f t="shared" si="21"/>
        <v>1</v>
      </c>
      <c r="AN46" s="75">
        <f t="shared" si="22"/>
        <v>0</v>
      </c>
      <c r="AO46" s="115">
        <f t="shared" si="23"/>
        <v>0</v>
      </c>
      <c r="AP46" s="104">
        <f t="shared" si="24"/>
        <v>0</v>
      </c>
      <c r="AQ46" s="75">
        <f t="shared" si="25"/>
        <v>0</v>
      </c>
      <c r="BL46" s="64">
        <v>1</v>
      </c>
    </row>
    <row r="47" spans="1:64" s="64" customFormat="1">
      <c r="A47" s="64" t="s">
        <v>85</v>
      </c>
      <c r="B47" s="64">
        <v>80</v>
      </c>
      <c r="C47" s="64" t="s">
        <v>38</v>
      </c>
      <c r="D47" s="64" t="s">
        <v>35</v>
      </c>
      <c r="E47" s="64">
        <v>3</v>
      </c>
      <c r="F47" s="64">
        <v>6</v>
      </c>
      <c r="G47" s="64">
        <f t="shared" si="3"/>
        <v>0</v>
      </c>
      <c r="H47" s="64">
        <f t="shared" si="4"/>
        <v>0</v>
      </c>
      <c r="I47" s="64">
        <f t="shared" si="5"/>
        <v>1</v>
      </c>
      <c r="J47" s="64">
        <f t="shared" si="6"/>
        <v>0</v>
      </c>
      <c r="K47" s="64">
        <f t="shared" si="7"/>
        <v>0</v>
      </c>
      <c r="L47" s="64">
        <f t="shared" si="8"/>
        <v>0</v>
      </c>
      <c r="M47" s="75">
        <f t="shared" si="9"/>
        <v>0</v>
      </c>
      <c r="N47" s="64">
        <f t="shared" si="10"/>
        <v>0</v>
      </c>
      <c r="O47" s="64">
        <f t="shared" si="11"/>
        <v>0</v>
      </c>
      <c r="P47" s="64">
        <f t="shared" si="12"/>
        <v>0</v>
      </c>
      <c r="Q47" s="64">
        <f t="shared" si="13"/>
        <v>0</v>
      </c>
      <c r="R47" s="64">
        <f t="shared" si="14"/>
        <v>0</v>
      </c>
      <c r="S47" s="64">
        <f t="shared" si="15"/>
        <v>1</v>
      </c>
      <c r="T47" s="64">
        <f t="shared" si="16"/>
        <v>0</v>
      </c>
      <c r="U47" s="64" t="s">
        <v>85</v>
      </c>
      <c r="V47" s="64" t="s">
        <v>38</v>
      </c>
      <c r="W47" s="64">
        <v>408</v>
      </c>
      <c r="X47" s="64">
        <v>449</v>
      </c>
      <c r="Y47" s="64">
        <v>557</v>
      </c>
      <c r="Z47" s="64">
        <v>386</v>
      </c>
      <c r="AA47" s="64">
        <v>448</v>
      </c>
      <c r="AB47" s="64">
        <v>540</v>
      </c>
      <c r="AC47" s="64">
        <v>-22</v>
      </c>
      <c r="AD47" s="64">
        <v>-1</v>
      </c>
      <c r="AE47" s="64">
        <v>-17</v>
      </c>
      <c r="AF47" s="64">
        <v>-23</v>
      </c>
      <c r="AG47" s="64">
        <v>-1</v>
      </c>
      <c r="AH47" s="64">
        <v>-18</v>
      </c>
      <c r="AI47" s="115">
        <f t="shared" si="17"/>
        <v>0</v>
      </c>
      <c r="AJ47" s="104">
        <f t="shared" si="18"/>
        <v>0</v>
      </c>
      <c r="AK47" s="75">
        <f t="shared" si="19"/>
        <v>0</v>
      </c>
      <c r="AL47" s="115">
        <f t="shared" si="20"/>
        <v>1</v>
      </c>
      <c r="AM47" s="104">
        <f t="shared" si="21"/>
        <v>1</v>
      </c>
      <c r="AN47" s="75">
        <f t="shared" si="22"/>
        <v>1</v>
      </c>
      <c r="AO47" s="115">
        <f t="shared" si="23"/>
        <v>0</v>
      </c>
      <c r="AP47" s="104">
        <f t="shared" si="24"/>
        <v>0</v>
      </c>
      <c r="AQ47" s="75">
        <f t="shared" si="25"/>
        <v>0</v>
      </c>
      <c r="BL47" s="64">
        <v>-22</v>
      </c>
    </row>
    <row r="48" spans="1:64" s="64" customFormat="1">
      <c r="A48" s="64" t="s">
        <v>86</v>
      </c>
      <c r="B48" s="64">
        <v>50</v>
      </c>
      <c r="C48" s="64" t="s">
        <v>38</v>
      </c>
      <c r="D48" s="64" t="s">
        <v>33</v>
      </c>
      <c r="E48" s="64">
        <v>4</v>
      </c>
      <c r="F48" s="64">
        <v>4</v>
      </c>
      <c r="G48" s="64">
        <f t="shared" si="3"/>
        <v>0</v>
      </c>
      <c r="H48" s="64">
        <f t="shared" si="4"/>
        <v>0</v>
      </c>
      <c r="I48" s="64">
        <f t="shared" si="5"/>
        <v>0</v>
      </c>
      <c r="J48" s="64">
        <f t="shared" si="6"/>
        <v>1</v>
      </c>
      <c r="K48" s="64">
        <f t="shared" si="7"/>
        <v>0</v>
      </c>
      <c r="L48" s="64">
        <f t="shared" si="8"/>
        <v>0</v>
      </c>
      <c r="M48" s="75">
        <f t="shared" si="9"/>
        <v>0</v>
      </c>
      <c r="N48" s="64">
        <f t="shared" si="10"/>
        <v>0</v>
      </c>
      <c r="O48" s="64">
        <f t="shared" si="11"/>
        <v>0</v>
      </c>
      <c r="P48" s="64">
        <f t="shared" si="12"/>
        <v>0</v>
      </c>
      <c r="Q48" s="64">
        <f t="shared" si="13"/>
        <v>1</v>
      </c>
      <c r="R48" s="64">
        <f t="shared" si="14"/>
        <v>0</v>
      </c>
      <c r="S48" s="64">
        <f t="shared" si="15"/>
        <v>0</v>
      </c>
      <c r="T48" s="64">
        <f t="shared" si="16"/>
        <v>0</v>
      </c>
      <c r="U48" s="64" t="s">
        <v>86</v>
      </c>
      <c r="V48" s="64" t="s">
        <v>38</v>
      </c>
      <c r="W48" s="64">
        <v>234</v>
      </c>
      <c r="X48" s="64">
        <v>206</v>
      </c>
      <c r="Y48" s="64">
        <v>341</v>
      </c>
      <c r="Z48" s="64">
        <v>234</v>
      </c>
      <c r="AA48" s="64">
        <v>274</v>
      </c>
      <c r="AB48" s="64">
        <v>279</v>
      </c>
      <c r="AC48" s="64">
        <v>0</v>
      </c>
      <c r="AD48" s="64">
        <v>68</v>
      </c>
      <c r="AE48" s="64">
        <v>-62</v>
      </c>
      <c r="AF48" s="64">
        <v>0</v>
      </c>
      <c r="AG48" s="64">
        <v>68</v>
      </c>
      <c r="AH48" s="64">
        <v>-62</v>
      </c>
      <c r="AI48" s="115">
        <f t="shared" si="17"/>
        <v>0</v>
      </c>
      <c r="AJ48" s="104">
        <f t="shared" si="18"/>
        <v>1</v>
      </c>
      <c r="AK48" s="75">
        <f t="shared" si="19"/>
        <v>0</v>
      </c>
      <c r="AL48" s="115">
        <f t="shared" si="20"/>
        <v>0</v>
      </c>
      <c r="AM48" s="104">
        <f t="shared" si="21"/>
        <v>0</v>
      </c>
      <c r="AN48" s="75">
        <f t="shared" si="22"/>
        <v>1</v>
      </c>
      <c r="AO48" s="115">
        <f t="shared" si="23"/>
        <v>1</v>
      </c>
      <c r="AP48" s="104">
        <f t="shared" si="24"/>
        <v>0</v>
      </c>
      <c r="AQ48" s="75">
        <f t="shared" si="25"/>
        <v>0</v>
      </c>
      <c r="BL48" s="64">
        <v>0</v>
      </c>
    </row>
    <row r="49" spans="1:64" s="64" customFormat="1">
      <c r="A49" s="64" t="s">
        <v>91</v>
      </c>
      <c r="B49" s="64">
        <v>70</v>
      </c>
      <c r="C49" s="64" t="s">
        <v>38</v>
      </c>
      <c r="D49" s="64" t="s">
        <v>35</v>
      </c>
      <c r="E49" s="64">
        <v>4</v>
      </c>
      <c r="F49" s="64">
        <v>5</v>
      </c>
      <c r="G49" s="64">
        <f t="shared" si="3"/>
        <v>0</v>
      </c>
      <c r="H49" s="64">
        <f t="shared" si="4"/>
        <v>0</v>
      </c>
      <c r="I49" s="64">
        <f t="shared" si="5"/>
        <v>0</v>
      </c>
      <c r="J49" s="64">
        <f t="shared" si="6"/>
        <v>1</v>
      </c>
      <c r="K49" s="64">
        <f t="shared" si="7"/>
        <v>0</v>
      </c>
      <c r="L49" s="64">
        <f t="shared" si="8"/>
        <v>0</v>
      </c>
      <c r="M49" s="75">
        <f t="shared" si="9"/>
        <v>0</v>
      </c>
      <c r="N49" s="64">
        <f t="shared" si="10"/>
        <v>0</v>
      </c>
      <c r="O49" s="64">
        <f t="shared" si="11"/>
        <v>0</v>
      </c>
      <c r="P49" s="64">
        <f t="shared" si="12"/>
        <v>0</v>
      </c>
      <c r="Q49" s="64">
        <f t="shared" si="13"/>
        <v>0</v>
      </c>
      <c r="R49" s="64">
        <f t="shared" si="14"/>
        <v>1</v>
      </c>
      <c r="S49" s="64">
        <f t="shared" si="15"/>
        <v>0</v>
      </c>
      <c r="T49" s="64">
        <f t="shared" si="16"/>
        <v>0</v>
      </c>
      <c r="U49" s="64" t="s">
        <v>91</v>
      </c>
      <c r="V49" s="64" t="s">
        <v>38</v>
      </c>
      <c r="W49" s="64">
        <v>201</v>
      </c>
      <c r="X49" s="64">
        <v>257</v>
      </c>
      <c r="Y49" s="64">
        <v>211</v>
      </c>
      <c r="Z49" s="64">
        <v>310</v>
      </c>
      <c r="AA49" s="64">
        <v>160</v>
      </c>
      <c r="AB49" s="64">
        <v>427</v>
      </c>
      <c r="AC49" s="64">
        <v>109</v>
      </c>
      <c r="AD49" s="64">
        <v>-97</v>
      </c>
      <c r="AE49" s="64">
        <v>216</v>
      </c>
      <c r="AF49" s="64">
        <v>109</v>
      </c>
      <c r="AG49" s="64">
        <v>-97</v>
      </c>
      <c r="AH49" s="64">
        <v>216</v>
      </c>
      <c r="AI49" s="115">
        <f t="shared" si="17"/>
        <v>1</v>
      </c>
      <c r="AJ49" s="104">
        <f t="shared" si="18"/>
        <v>0</v>
      </c>
      <c r="AK49" s="75">
        <f t="shared" si="19"/>
        <v>1</v>
      </c>
      <c r="AL49" s="115">
        <f t="shared" si="20"/>
        <v>0</v>
      </c>
      <c r="AM49" s="104">
        <f t="shared" si="21"/>
        <v>1</v>
      </c>
      <c r="AN49" s="75">
        <f t="shared" si="22"/>
        <v>0</v>
      </c>
      <c r="AO49" s="115">
        <f t="shared" si="23"/>
        <v>0</v>
      </c>
      <c r="AP49" s="104">
        <f t="shared" si="24"/>
        <v>0</v>
      </c>
      <c r="AQ49" s="75">
        <f t="shared" si="25"/>
        <v>0</v>
      </c>
      <c r="BL49" s="64">
        <v>109</v>
      </c>
    </row>
    <row r="50" spans="1:64" s="64" customFormat="1">
      <c r="A50" s="64" t="s">
        <v>95</v>
      </c>
      <c r="B50" s="64">
        <v>255</v>
      </c>
      <c r="C50" s="64" t="s">
        <v>38</v>
      </c>
      <c r="D50" s="64" t="s">
        <v>35</v>
      </c>
      <c r="E50" s="64">
        <v>3</v>
      </c>
      <c r="F50" s="64">
        <v>3</v>
      </c>
      <c r="G50" s="64">
        <f t="shared" si="3"/>
        <v>0</v>
      </c>
      <c r="H50" s="64">
        <f t="shared" si="4"/>
        <v>0</v>
      </c>
      <c r="I50" s="64">
        <f t="shared" si="5"/>
        <v>1</v>
      </c>
      <c r="J50" s="64">
        <f t="shared" si="6"/>
        <v>0</v>
      </c>
      <c r="K50" s="64">
        <f t="shared" si="7"/>
        <v>0</v>
      </c>
      <c r="L50" s="64">
        <f t="shared" si="8"/>
        <v>0</v>
      </c>
      <c r="M50" s="75">
        <f t="shared" si="9"/>
        <v>0</v>
      </c>
      <c r="N50" s="64">
        <f t="shared" si="10"/>
        <v>0</v>
      </c>
      <c r="O50" s="64">
        <f t="shared" si="11"/>
        <v>0</v>
      </c>
      <c r="P50" s="64">
        <f t="shared" si="12"/>
        <v>1</v>
      </c>
      <c r="Q50" s="64">
        <f t="shared" si="13"/>
        <v>0</v>
      </c>
      <c r="R50" s="64">
        <f t="shared" si="14"/>
        <v>0</v>
      </c>
      <c r="S50" s="64">
        <f t="shared" si="15"/>
        <v>0</v>
      </c>
      <c r="T50" s="64">
        <f t="shared" si="16"/>
        <v>0</v>
      </c>
      <c r="U50" s="64" t="s">
        <v>95</v>
      </c>
      <c r="V50" s="64" t="s">
        <v>38</v>
      </c>
      <c r="W50" s="64">
        <v>3108</v>
      </c>
      <c r="X50" s="64">
        <v>3956</v>
      </c>
      <c r="Y50" s="64">
        <v>4737</v>
      </c>
      <c r="Z50" s="64">
        <v>3680</v>
      </c>
      <c r="AA50" s="64">
        <v>4670</v>
      </c>
      <c r="AB50" s="64">
        <v>5024</v>
      </c>
      <c r="AC50" s="64">
        <v>572</v>
      </c>
      <c r="AD50" s="64">
        <v>714</v>
      </c>
      <c r="AE50" s="64">
        <v>287</v>
      </c>
      <c r="AF50" s="64">
        <v>395</v>
      </c>
      <c r="AG50" s="64">
        <v>714</v>
      </c>
      <c r="AH50" s="64">
        <v>287</v>
      </c>
      <c r="AI50" s="115">
        <f t="shared" si="17"/>
        <v>1</v>
      </c>
      <c r="AJ50" s="104">
        <f t="shared" si="18"/>
        <v>1</v>
      </c>
      <c r="AK50" s="75">
        <f t="shared" si="19"/>
        <v>1</v>
      </c>
      <c r="AL50" s="115">
        <f t="shared" si="20"/>
        <v>0</v>
      </c>
      <c r="AM50" s="104">
        <f t="shared" si="21"/>
        <v>0</v>
      </c>
      <c r="AN50" s="75">
        <f t="shared" si="22"/>
        <v>0</v>
      </c>
      <c r="AO50" s="115">
        <f t="shared" si="23"/>
        <v>0</v>
      </c>
      <c r="AP50" s="104">
        <f t="shared" si="24"/>
        <v>0</v>
      </c>
      <c r="AQ50" s="75">
        <f t="shared" si="25"/>
        <v>0</v>
      </c>
      <c r="BL50" s="64">
        <v>572</v>
      </c>
    </row>
    <row r="51" spans="1:64" s="64" customFormat="1">
      <c r="A51" s="64" t="s">
        <v>110</v>
      </c>
      <c r="B51" s="64">
        <v>230</v>
      </c>
      <c r="C51" s="64" t="s">
        <v>38</v>
      </c>
      <c r="D51" s="64" t="s">
        <v>32</v>
      </c>
      <c r="E51" s="64">
        <v>5</v>
      </c>
      <c r="F51" s="64">
        <v>3</v>
      </c>
      <c r="G51" s="64">
        <f t="shared" si="3"/>
        <v>0</v>
      </c>
      <c r="H51" s="64">
        <f t="shared" si="4"/>
        <v>0</v>
      </c>
      <c r="I51" s="64">
        <f t="shared" si="5"/>
        <v>0</v>
      </c>
      <c r="J51" s="64">
        <f t="shared" si="6"/>
        <v>0</v>
      </c>
      <c r="K51" s="64">
        <f t="shared" si="7"/>
        <v>1</v>
      </c>
      <c r="L51" s="64">
        <f t="shared" si="8"/>
        <v>0</v>
      </c>
      <c r="M51" s="75">
        <f t="shared" si="9"/>
        <v>0</v>
      </c>
      <c r="N51" s="64">
        <f t="shared" si="10"/>
        <v>0</v>
      </c>
      <c r="O51" s="64">
        <f t="shared" si="11"/>
        <v>0</v>
      </c>
      <c r="P51" s="64">
        <f t="shared" si="12"/>
        <v>1</v>
      </c>
      <c r="Q51" s="64">
        <f t="shared" si="13"/>
        <v>0</v>
      </c>
      <c r="R51" s="64">
        <f t="shared" si="14"/>
        <v>0</v>
      </c>
      <c r="S51" s="64">
        <f t="shared" si="15"/>
        <v>0</v>
      </c>
      <c r="T51" s="64">
        <f t="shared" si="16"/>
        <v>0</v>
      </c>
      <c r="U51" s="64" t="s">
        <v>110</v>
      </c>
      <c r="V51" s="64" t="s">
        <v>38</v>
      </c>
      <c r="W51" s="64">
        <v>426</v>
      </c>
      <c r="X51" s="64">
        <v>588</v>
      </c>
      <c r="Y51" s="64">
        <v>1018</v>
      </c>
      <c r="Z51" s="64">
        <v>426</v>
      </c>
      <c r="AA51" s="64">
        <v>588</v>
      </c>
      <c r="AB51" s="64">
        <v>765</v>
      </c>
      <c r="AC51" s="64">
        <v>0</v>
      </c>
      <c r="AD51" s="64">
        <v>0</v>
      </c>
      <c r="AE51" s="64">
        <v>-253</v>
      </c>
      <c r="AF51" s="64">
        <v>0</v>
      </c>
      <c r="AG51" s="64">
        <v>0</v>
      </c>
      <c r="AH51" s="64">
        <v>-253</v>
      </c>
      <c r="AI51" s="115">
        <f t="shared" si="17"/>
        <v>0</v>
      </c>
      <c r="AJ51" s="104">
        <f t="shared" si="18"/>
        <v>0</v>
      </c>
      <c r="AK51" s="75">
        <f t="shared" si="19"/>
        <v>0</v>
      </c>
      <c r="AL51" s="115">
        <f t="shared" si="20"/>
        <v>0</v>
      </c>
      <c r="AM51" s="104">
        <f t="shared" si="21"/>
        <v>0</v>
      </c>
      <c r="AN51" s="75">
        <f t="shared" si="22"/>
        <v>1</v>
      </c>
      <c r="AO51" s="115">
        <f t="shared" si="23"/>
        <v>1</v>
      </c>
      <c r="AP51" s="104">
        <f t="shared" si="24"/>
        <v>1</v>
      </c>
      <c r="AQ51" s="75">
        <f t="shared" si="25"/>
        <v>0</v>
      </c>
      <c r="BL51" s="64">
        <v>0</v>
      </c>
    </row>
    <row r="52" spans="1:64" s="64" customFormat="1">
      <c r="A52" s="64" t="s">
        <v>111</v>
      </c>
      <c r="B52" s="64">
        <v>420</v>
      </c>
      <c r="C52" s="64" t="s">
        <v>38</v>
      </c>
      <c r="D52" s="64" t="s">
        <v>35</v>
      </c>
      <c r="E52" s="64">
        <v>5</v>
      </c>
      <c r="F52" s="64">
        <v>2</v>
      </c>
      <c r="G52" s="64">
        <f t="shared" si="3"/>
        <v>0</v>
      </c>
      <c r="H52" s="64">
        <f t="shared" si="4"/>
        <v>0</v>
      </c>
      <c r="I52" s="64">
        <f t="shared" si="5"/>
        <v>0</v>
      </c>
      <c r="J52" s="64">
        <f t="shared" si="6"/>
        <v>0</v>
      </c>
      <c r="K52" s="64">
        <f t="shared" si="7"/>
        <v>1</v>
      </c>
      <c r="L52" s="64">
        <f t="shared" si="8"/>
        <v>0</v>
      </c>
      <c r="M52" s="75">
        <f t="shared" si="9"/>
        <v>0</v>
      </c>
      <c r="N52" s="64">
        <f t="shared" si="10"/>
        <v>0</v>
      </c>
      <c r="O52" s="64">
        <f t="shared" si="11"/>
        <v>1</v>
      </c>
      <c r="P52" s="64">
        <f t="shared" si="12"/>
        <v>0</v>
      </c>
      <c r="Q52" s="64">
        <f t="shared" si="13"/>
        <v>0</v>
      </c>
      <c r="R52" s="64">
        <f t="shared" si="14"/>
        <v>0</v>
      </c>
      <c r="S52" s="64">
        <f t="shared" si="15"/>
        <v>0</v>
      </c>
      <c r="T52" s="64">
        <f t="shared" si="16"/>
        <v>0</v>
      </c>
      <c r="U52" s="64" t="s">
        <v>111</v>
      </c>
      <c r="V52" s="64" t="s">
        <v>38</v>
      </c>
      <c r="W52" s="64">
        <v>58</v>
      </c>
      <c r="X52" s="64">
        <v>111</v>
      </c>
      <c r="Y52" s="64">
        <v>97</v>
      </c>
      <c r="Z52" s="64">
        <v>90</v>
      </c>
      <c r="AA52" s="64">
        <v>159</v>
      </c>
      <c r="AB52" s="64">
        <v>145</v>
      </c>
      <c r="AC52" s="64">
        <v>32</v>
      </c>
      <c r="AD52" s="64">
        <v>48</v>
      </c>
      <c r="AE52" s="64">
        <v>48</v>
      </c>
      <c r="AF52" s="64">
        <v>32</v>
      </c>
      <c r="AG52" s="64">
        <v>48</v>
      </c>
      <c r="AH52" s="64">
        <v>48</v>
      </c>
      <c r="AI52" s="115">
        <f t="shared" si="17"/>
        <v>1</v>
      </c>
      <c r="AJ52" s="104">
        <f t="shared" si="18"/>
        <v>1</v>
      </c>
      <c r="AK52" s="75">
        <f t="shared" si="19"/>
        <v>1</v>
      </c>
      <c r="AL52" s="115">
        <f t="shared" si="20"/>
        <v>0</v>
      </c>
      <c r="AM52" s="104">
        <f t="shared" si="21"/>
        <v>0</v>
      </c>
      <c r="AN52" s="75">
        <f t="shared" si="22"/>
        <v>0</v>
      </c>
      <c r="AO52" s="115">
        <f t="shared" si="23"/>
        <v>0</v>
      </c>
      <c r="AP52" s="104">
        <f t="shared" si="24"/>
        <v>0</v>
      </c>
      <c r="AQ52" s="75">
        <f t="shared" si="25"/>
        <v>0</v>
      </c>
      <c r="BL52" s="64">
        <v>32</v>
      </c>
    </row>
    <row r="53" spans="1:64" s="64" customFormat="1">
      <c r="A53" s="64" t="s">
        <v>112</v>
      </c>
      <c r="B53" s="64">
        <v>125</v>
      </c>
      <c r="C53" s="64" t="s">
        <v>38</v>
      </c>
      <c r="D53" s="64" t="s">
        <v>35</v>
      </c>
      <c r="E53" s="64">
        <v>1</v>
      </c>
      <c r="F53" s="64">
        <v>2</v>
      </c>
      <c r="G53" s="64">
        <f t="shared" si="3"/>
        <v>1</v>
      </c>
      <c r="H53" s="64">
        <f t="shared" si="4"/>
        <v>0</v>
      </c>
      <c r="I53" s="64">
        <f t="shared" si="5"/>
        <v>0</v>
      </c>
      <c r="J53" s="64">
        <f t="shared" si="6"/>
        <v>0</v>
      </c>
      <c r="K53" s="64">
        <f t="shared" si="7"/>
        <v>0</v>
      </c>
      <c r="L53" s="64">
        <f t="shared" si="8"/>
        <v>0</v>
      </c>
      <c r="M53" s="75">
        <f t="shared" si="9"/>
        <v>0</v>
      </c>
      <c r="N53" s="64">
        <f t="shared" si="10"/>
        <v>0</v>
      </c>
      <c r="O53" s="64">
        <f t="shared" si="11"/>
        <v>1</v>
      </c>
      <c r="P53" s="64">
        <f t="shared" si="12"/>
        <v>0</v>
      </c>
      <c r="Q53" s="64">
        <f t="shared" si="13"/>
        <v>0</v>
      </c>
      <c r="R53" s="64">
        <f t="shared" si="14"/>
        <v>0</v>
      </c>
      <c r="S53" s="64">
        <f t="shared" si="15"/>
        <v>0</v>
      </c>
      <c r="T53" s="64">
        <f t="shared" si="16"/>
        <v>0</v>
      </c>
      <c r="U53" s="64" t="s">
        <v>112</v>
      </c>
      <c r="V53" s="64" t="s">
        <v>38</v>
      </c>
      <c r="W53" s="203">
        <f>(AU53/1125)*125</f>
        <v>1953.3333333333333</v>
      </c>
      <c r="X53" s="203">
        <f t="shared" ref="X53:AH53" si="30">(AV53/1125)*125</f>
        <v>1930.2222222222222</v>
      </c>
      <c r="Y53" s="203">
        <f t="shared" si="30"/>
        <v>347.44444444444446</v>
      </c>
      <c r="Z53" s="203">
        <f t="shared" si="30"/>
        <v>2097.5555555555557</v>
      </c>
      <c r="AA53" s="203">
        <f t="shared" si="30"/>
        <v>2138.2222222222222</v>
      </c>
      <c r="AB53" s="203">
        <f t="shared" si="30"/>
        <v>323.88888888888891</v>
      </c>
      <c r="AC53" s="203">
        <f t="shared" si="30"/>
        <v>144.22222222222223</v>
      </c>
      <c r="AD53" s="203">
        <f t="shared" si="30"/>
        <v>208</v>
      </c>
      <c r="AE53" s="203">
        <f t="shared" si="30"/>
        <v>-23.555555555555554</v>
      </c>
      <c r="AF53" s="203">
        <f t="shared" si="30"/>
        <v>117.66666666666667</v>
      </c>
      <c r="AG53" s="203">
        <f t="shared" si="30"/>
        <v>208.33333333333334</v>
      </c>
      <c r="AH53" s="203">
        <f t="shared" si="30"/>
        <v>-23.555555555555554</v>
      </c>
      <c r="AI53" s="115">
        <f t="shared" si="17"/>
        <v>1</v>
      </c>
      <c r="AJ53" s="104">
        <f t="shared" si="18"/>
        <v>1</v>
      </c>
      <c r="AK53" s="75">
        <f t="shared" si="19"/>
        <v>0</v>
      </c>
      <c r="AL53" s="115">
        <f t="shared" si="20"/>
        <v>0</v>
      </c>
      <c r="AM53" s="104">
        <f t="shared" si="21"/>
        <v>0</v>
      </c>
      <c r="AN53" s="75">
        <f t="shared" si="22"/>
        <v>1</v>
      </c>
      <c r="AO53" s="115">
        <f t="shared" si="23"/>
        <v>0</v>
      </c>
      <c r="AP53" s="104">
        <f t="shared" si="24"/>
        <v>0</v>
      </c>
      <c r="AQ53" s="75">
        <f t="shared" si="25"/>
        <v>0</v>
      </c>
      <c r="AU53" s="64">
        <v>17580</v>
      </c>
      <c r="AV53" s="64">
        <v>17372</v>
      </c>
      <c r="AW53" s="64">
        <v>3127</v>
      </c>
      <c r="AX53" s="64">
        <v>18878</v>
      </c>
      <c r="AY53" s="64">
        <v>19244</v>
      </c>
      <c r="AZ53" s="64">
        <v>2915</v>
      </c>
      <c r="BA53" s="64">
        <v>1298</v>
      </c>
      <c r="BB53" s="64">
        <v>1872</v>
      </c>
      <c r="BC53" s="64">
        <v>-212</v>
      </c>
      <c r="BD53" s="64">
        <v>1059</v>
      </c>
      <c r="BE53" s="64">
        <v>1875</v>
      </c>
      <c r="BF53" s="64">
        <v>-212</v>
      </c>
      <c r="BL53" s="64">
        <v>144.22222222222223</v>
      </c>
    </row>
    <row r="54" spans="1:64" s="64" customFormat="1">
      <c r="A54" s="64" t="s">
        <v>113</v>
      </c>
      <c r="B54" s="64">
        <v>100</v>
      </c>
      <c r="C54" s="64" t="s">
        <v>38</v>
      </c>
      <c r="D54" s="64" t="s">
        <v>35</v>
      </c>
      <c r="E54" s="64">
        <v>4</v>
      </c>
      <c r="F54" s="64">
        <v>6</v>
      </c>
      <c r="G54" s="64">
        <f t="shared" si="3"/>
        <v>0</v>
      </c>
      <c r="H54" s="64">
        <f t="shared" si="4"/>
        <v>0</v>
      </c>
      <c r="I54" s="64">
        <f t="shared" si="5"/>
        <v>0</v>
      </c>
      <c r="J54" s="64">
        <f t="shared" si="6"/>
        <v>1</v>
      </c>
      <c r="K54" s="64">
        <f t="shared" si="7"/>
        <v>0</v>
      </c>
      <c r="L54" s="64">
        <f t="shared" si="8"/>
        <v>0</v>
      </c>
      <c r="M54" s="75">
        <f t="shared" si="9"/>
        <v>0</v>
      </c>
      <c r="N54" s="64">
        <f t="shared" si="10"/>
        <v>0</v>
      </c>
      <c r="O54" s="64">
        <f t="shared" si="11"/>
        <v>0</v>
      </c>
      <c r="P54" s="64">
        <f t="shared" si="12"/>
        <v>0</v>
      </c>
      <c r="Q54" s="64">
        <f t="shared" si="13"/>
        <v>0</v>
      </c>
      <c r="R54" s="64">
        <f t="shared" si="14"/>
        <v>0</v>
      </c>
      <c r="S54" s="64">
        <f t="shared" si="15"/>
        <v>1</v>
      </c>
      <c r="T54" s="64">
        <f t="shared" si="16"/>
        <v>0</v>
      </c>
      <c r="U54" s="64" t="s">
        <v>113</v>
      </c>
      <c r="V54" s="64" t="s">
        <v>38</v>
      </c>
      <c r="W54" s="64">
        <v>383</v>
      </c>
      <c r="X54" s="64">
        <v>313</v>
      </c>
      <c r="Y54" s="64">
        <v>297</v>
      </c>
      <c r="Z54" s="64">
        <v>483</v>
      </c>
      <c r="AA54" s="64">
        <v>298</v>
      </c>
      <c r="AB54" s="64">
        <v>373</v>
      </c>
      <c r="AC54" s="64">
        <v>100</v>
      </c>
      <c r="AD54" s="64">
        <v>-15</v>
      </c>
      <c r="AE54" s="64">
        <v>76</v>
      </c>
      <c r="AF54" s="64">
        <v>100</v>
      </c>
      <c r="AG54" s="64">
        <v>-15</v>
      </c>
      <c r="AH54" s="64">
        <v>76</v>
      </c>
      <c r="AI54" s="115">
        <f t="shared" si="17"/>
        <v>1</v>
      </c>
      <c r="AJ54" s="104">
        <f t="shared" si="18"/>
        <v>0</v>
      </c>
      <c r="AK54" s="75">
        <f t="shared" si="19"/>
        <v>1</v>
      </c>
      <c r="AL54" s="115">
        <f t="shared" si="20"/>
        <v>0</v>
      </c>
      <c r="AM54" s="104">
        <f t="shared" si="21"/>
        <v>1</v>
      </c>
      <c r="AN54" s="75">
        <f t="shared" si="22"/>
        <v>0</v>
      </c>
      <c r="AO54" s="115">
        <f t="shared" si="23"/>
        <v>0</v>
      </c>
      <c r="AP54" s="104">
        <f t="shared" si="24"/>
        <v>0</v>
      </c>
      <c r="AQ54" s="75">
        <f t="shared" si="25"/>
        <v>0</v>
      </c>
      <c r="BL54" s="64">
        <v>100</v>
      </c>
    </row>
    <row r="55" spans="1:64" s="64" customFormat="1">
      <c r="A55" s="64" t="s">
        <v>114</v>
      </c>
      <c r="B55" s="64">
        <v>195</v>
      </c>
      <c r="C55" s="64" t="s">
        <v>38</v>
      </c>
      <c r="D55" s="64" t="s">
        <v>33</v>
      </c>
      <c r="E55" s="64">
        <v>4</v>
      </c>
      <c r="F55" s="64">
        <v>5</v>
      </c>
      <c r="G55" s="64">
        <f t="shared" si="3"/>
        <v>0</v>
      </c>
      <c r="H55" s="64">
        <f t="shared" si="4"/>
        <v>0</v>
      </c>
      <c r="I55" s="64">
        <f t="shared" si="5"/>
        <v>0</v>
      </c>
      <c r="J55" s="64">
        <f t="shared" si="6"/>
        <v>1</v>
      </c>
      <c r="K55" s="64">
        <f t="shared" si="7"/>
        <v>0</v>
      </c>
      <c r="L55" s="64">
        <f t="shared" si="8"/>
        <v>0</v>
      </c>
      <c r="M55" s="75">
        <f t="shared" si="9"/>
        <v>0</v>
      </c>
      <c r="N55" s="64">
        <f t="shared" si="10"/>
        <v>0</v>
      </c>
      <c r="O55" s="64">
        <f t="shared" si="11"/>
        <v>0</v>
      </c>
      <c r="P55" s="64">
        <f t="shared" si="12"/>
        <v>0</v>
      </c>
      <c r="Q55" s="64">
        <f t="shared" si="13"/>
        <v>0</v>
      </c>
      <c r="R55" s="64">
        <f t="shared" si="14"/>
        <v>1</v>
      </c>
      <c r="S55" s="64">
        <f t="shared" si="15"/>
        <v>0</v>
      </c>
      <c r="T55" s="64">
        <f t="shared" si="16"/>
        <v>0</v>
      </c>
      <c r="U55" s="64" t="s">
        <v>114</v>
      </c>
      <c r="V55" s="64" t="s">
        <v>38</v>
      </c>
      <c r="W55" s="64">
        <v>917</v>
      </c>
      <c r="X55" s="64">
        <v>2041</v>
      </c>
      <c r="Y55" s="64">
        <v>1248</v>
      </c>
      <c r="Z55" s="64">
        <v>972</v>
      </c>
      <c r="AA55" s="64">
        <v>2031</v>
      </c>
      <c r="AB55" s="64">
        <v>1243</v>
      </c>
      <c r="AC55" s="64">
        <v>55</v>
      </c>
      <c r="AD55" s="64">
        <v>-10</v>
      </c>
      <c r="AE55" s="64">
        <v>-5</v>
      </c>
      <c r="AF55" s="64">
        <v>55</v>
      </c>
      <c r="AG55" s="64">
        <v>-10</v>
      </c>
      <c r="AH55" s="64">
        <v>-5</v>
      </c>
      <c r="AI55" s="115">
        <f t="shared" si="17"/>
        <v>1</v>
      </c>
      <c r="AJ55" s="104">
        <f t="shared" si="18"/>
        <v>0</v>
      </c>
      <c r="AK55" s="75">
        <f t="shared" si="19"/>
        <v>0</v>
      </c>
      <c r="AL55" s="115">
        <f t="shared" si="20"/>
        <v>0</v>
      </c>
      <c r="AM55" s="104">
        <f t="shared" si="21"/>
        <v>1</v>
      </c>
      <c r="AN55" s="75">
        <f t="shared" si="22"/>
        <v>1</v>
      </c>
      <c r="AO55" s="115">
        <f t="shared" si="23"/>
        <v>0</v>
      </c>
      <c r="AP55" s="104">
        <f t="shared" si="24"/>
        <v>0</v>
      </c>
      <c r="AQ55" s="75">
        <f t="shared" si="25"/>
        <v>0</v>
      </c>
      <c r="BL55" s="64">
        <v>55</v>
      </c>
    </row>
    <row r="56" spans="1:64" s="64" customFormat="1">
      <c r="A56" s="64" t="s">
        <v>115</v>
      </c>
      <c r="B56" s="64">
        <v>112</v>
      </c>
      <c r="C56" s="64" t="s">
        <v>38</v>
      </c>
      <c r="D56" s="64" t="s">
        <v>35</v>
      </c>
      <c r="E56" s="64">
        <v>1</v>
      </c>
      <c r="F56" s="64">
        <v>2</v>
      </c>
      <c r="G56" s="64">
        <f t="shared" si="3"/>
        <v>1</v>
      </c>
      <c r="H56" s="64">
        <f t="shared" si="4"/>
        <v>0</v>
      </c>
      <c r="I56" s="64">
        <f t="shared" si="5"/>
        <v>0</v>
      </c>
      <c r="J56" s="64">
        <f t="shared" si="6"/>
        <v>0</v>
      </c>
      <c r="K56" s="64">
        <f t="shared" si="7"/>
        <v>0</v>
      </c>
      <c r="L56" s="64">
        <f t="shared" si="8"/>
        <v>0</v>
      </c>
      <c r="M56" s="75">
        <f t="shared" si="9"/>
        <v>0</v>
      </c>
      <c r="N56" s="64">
        <f t="shared" si="10"/>
        <v>0</v>
      </c>
      <c r="O56" s="64">
        <f t="shared" si="11"/>
        <v>1</v>
      </c>
      <c r="P56" s="64">
        <f t="shared" si="12"/>
        <v>0</v>
      </c>
      <c r="Q56" s="64">
        <f t="shared" si="13"/>
        <v>0</v>
      </c>
      <c r="R56" s="64">
        <f t="shared" si="14"/>
        <v>0</v>
      </c>
      <c r="S56" s="64">
        <f t="shared" si="15"/>
        <v>0</v>
      </c>
      <c r="T56" s="64">
        <f t="shared" si="16"/>
        <v>0</v>
      </c>
      <c r="U56" s="64" t="s">
        <v>115</v>
      </c>
      <c r="V56" s="64" t="s">
        <v>38</v>
      </c>
      <c r="W56" s="64">
        <v>74</v>
      </c>
      <c r="X56" s="64">
        <v>76</v>
      </c>
      <c r="Y56" s="64">
        <v>69</v>
      </c>
      <c r="Z56" s="64">
        <v>80</v>
      </c>
      <c r="AA56" s="64">
        <v>76</v>
      </c>
      <c r="AB56" s="64">
        <v>69</v>
      </c>
      <c r="AC56" s="64">
        <v>6</v>
      </c>
      <c r="AD56" s="64">
        <v>0</v>
      </c>
      <c r="AE56" s="64">
        <v>0</v>
      </c>
      <c r="AF56" s="64">
        <v>6</v>
      </c>
      <c r="AG56" s="64">
        <v>0</v>
      </c>
      <c r="AH56" s="64">
        <v>0</v>
      </c>
      <c r="AI56" s="115">
        <f t="shared" si="17"/>
        <v>1</v>
      </c>
      <c r="AJ56" s="104">
        <f t="shared" si="18"/>
        <v>0</v>
      </c>
      <c r="AK56" s="75">
        <f t="shared" si="19"/>
        <v>0</v>
      </c>
      <c r="AL56" s="115">
        <f t="shared" si="20"/>
        <v>0</v>
      </c>
      <c r="AM56" s="104">
        <f t="shared" si="21"/>
        <v>0</v>
      </c>
      <c r="AN56" s="75">
        <f t="shared" si="22"/>
        <v>0</v>
      </c>
      <c r="AO56" s="115">
        <f t="shared" si="23"/>
        <v>0</v>
      </c>
      <c r="AP56" s="104">
        <f t="shared" si="24"/>
        <v>1</v>
      </c>
      <c r="AQ56" s="75">
        <f t="shared" si="25"/>
        <v>1</v>
      </c>
      <c r="BL56" s="64">
        <v>6</v>
      </c>
    </row>
    <row r="57" spans="1:64" s="64" customFormat="1">
      <c r="A57" s="64" t="s">
        <v>116</v>
      </c>
      <c r="B57" s="64">
        <v>130</v>
      </c>
      <c r="C57" s="64" t="s">
        <v>38</v>
      </c>
      <c r="D57" s="64" t="s">
        <v>33</v>
      </c>
      <c r="E57" s="64">
        <v>1</v>
      </c>
      <c r="F57" s="64">
        <v>1</v>
      </c>
      <c r="G57" s="64">
        <f t="shared" si="3"/>
        <v>1</v>
      </c>
      <c r="H57" s="64">
        <f t="shared" si="4"/>
        <v>0</v>
      </c>
      <c r="I57" s="64">
        <f t="shared" si="5"/>
        <v>0</v>
      </c>
      <c r="J57" s="64">
        <f t="shared" si="6"/>
        <v>0</v>
      </c>
      <c r="K57" s="64">
        <f t="shared" si="7"/>
        <v>0</v>
      </c>
      <c r="L57" s="64">
        <f t="shared" si="8"/>
        <v>0</v>
      </c>
      <c r="M57" s="75">
        <f t="shared" si="9"/>
        <v>0</v>
      </c>
      <c r="N57" s="64">
        <f t="shared" si="10"/>
        <v>1</v>
      </c>
      <c r="O57" s="64">
        <f t="shared" si="11"/>
        <v>0</v>
      </c>
      <c r="P57" s="64">
        <f t="shared" si="12"/>
        <v>0</v>
      </c>
      <c r="Q57" s="64">
        <f t="shared" si="13"/>
        <v>0</v>
      </c>
      <c r="R57" s="64">
        <f t="shared" si="14"/>
        <v>0</v>
      </c>
      <c r="S57" s="64">
        <f t="shared" si="15"/>
        <v>0</v>
      </c>
      <c r="T57" s="64">
        <f t="shared" si="16"/>
        <v>0</v>
      </c>
      <c r="U57" s="64" t="s">
        <v>116</v>
      </c>
      <c r="V57" s="64" t="s">
        <v>38</v>
      </c>
      <c r="W57" s="64">
        <v>641</v>
      </c>
      <c r="X57" s="64">
        <v>442</v>
      </c>
      <c r="Y57" s="64">
        <v>404</v>
      </c>
      <c r="Z57" s="64">
        <v>364</v>
      </c>
      <c r="AA57" s="64">
        <v>481</v>
      </c>
      <c r="AB57" s="64">
        <v>489</v>
      </c>
      <c r="AC57" s="64">
        <v>-277</v>
      </c>
      <c r="AD57" s="64">
        <v>39</v>
      </c>
      <c r="AE57" s="64">
        <v>85</v>
      </c>
      <c r="AF57" s="64">
        <v>34</v>
      </c>
      <c r="AG57" s="64">
        <v>39</v>
      </c>
      <c r="AH57" s="64">
        <v>85</v>
      </c>
      <c r="AI57" s="115">
        <f t="shared" si="17"/>
        <v>0</v>
      </c>
      <c r="AJ57" s="104">
        <f t="shared" si="18"/>
        <v>1</v>
      </c>
      <c r="AK57" s="75">
        <f t="shared" si="19"/>
        <v>1</v>
      </c>
      <c r="AL57" s="115">
        <f t="shared" si="20"/>
        <v>1</v>
      </c>
      <c r="AM57" s="104">
        <f t="shared" si="21"/>
        <v>0</v>
      </c>
      <c r="AN57" s="75">
        <f t="shared" si="22"/>
        <v>0</v>
      </c>
      <c r="AO57" s="115">
        <f t="shared" si="23"/>
        <v>0</v>
      </c>
      <c r="AP57" s="104">
        <f t="shared" si="24"/>
        <v>0</v>
      </c>
      <c r="AQ57" s="75">
        <f t="shared" si="25"/>
        <v>0</v>
      </c>
      <c r="BL57" s="64">
        <v>-277</v>
      </c>
    </row>
    <row r="58" spans="1:64" s="64" customFormat="1">
      <c r="A58" s="64" t="s">
        <v>117</v>
      </c>
      <c r="B58" s="64">
        <v>187</v>
      </c>
      <c r="C58" s="64" t="s">
        <v>38</v>
      </c>
      <c r="D58" s="64" t="s">
        <v>32</v>
      </c>
      <c r="E58" s="64">
        <v>3</v>
      </c>
      <c r="F58" s="64">
        <v>5</v>
      </c>
      <c r="G58" s="64">
        <f t="shared" si="3"/>
        <v>0</v>
      </c>
      <c r="H58" s="64">
        <f t="shared" si="4"/>
        <v>0</v>
      </c>
      <c r="I58" s="64">
        <f t="shared" si="5"/>
        <v>1</v>
      </c>
      <c r="J58" s="64">
        <f t="shared" si="6"/>
        <v>0</v>
      </c>
      <c r="K58" s="64">
        <f t="shared" si="7"/>
        <v>0</v>
      </c>
      <c r="L58" s="64">
        <f t="shared" si="8"/>
        <v>0</v>
      </c>
      <c r="M58" s="75">
        <f t="shared" si="9"/>
        <v>0</v>
      </c>
      <c r="N58" s="64">
        <f t="shared" si="10"/>
        <v>0</v>
      </c>
      <c r="O58" s="64">
        <f t="shared" si="11"/>
        <v>0</v>
      </c>
      <c r="P58" s="64">
        <f t="shared" si="12"/>
        <v>0</v>
      </c>
      <c r="Q58" s="64">
        <f t="shared" si="13"/>
        <v>0</v>
      </c>
      <c r="R58" s="64">
        <f t="shared" si="14"/>
        <v>1</v>
      </c>
      <c r="S58" s="64">
        <f t="shared" si="15"/>
        <v>0</v>
      </c>
      <c r="T58" s="64">
        <f t="shared" si="16"/>
        <v>0</v>
      </c>
      <c r="U58" s="64" t="s">
        <v>117</v>
      </c>
      <c r="V58" s="64" t="s">
        <v>38</v>
      </c>
      <c r="W58" s="64">
        <v>512</v>
      </c>
      <c r="X58" s="64">
        <v>623</v>
      </c>
      <c r="Y58" s="64">
        <v>644</v>
      </c>
      <c r="Z58" s="64">
        <v>576</v>
      </c>
      <c r="AA58" s="64">
        <v>677</v>
      </c>
      <c r="AB58" s="64">
        <v>704</v>
      </c>
      <c r="AC58" s="64">
        <v>64</v>
      </c>
      <c r="AD58" s="64">
        <v>54</v>
      </c>
      <c r="AE58" s="64">
        <v>60</v>
      </c>
      <c r="AF58" s="64">
        <v>64</v>
      </c>
      <c r="AG58" s="64">
        <v>54</v>
      </c>
      <c r="AH58" s="64">
        <v>60</v>
      </c>
      <c r="AI58" s="115">
        <f t="shared" si="17"/>
        <v>1</v>
      </c>
      <c r="AJ58" s="104">
        <f t="shared" si="18"/>
        <v>1</v>
      </c>
      <c r="AK58" s="75">
        <f t="shared" si="19"/>
        <v>1</v>
      </c>
      <c r="AL58" s="115">
        <f t="shared" si="20"/>
        <v>0</v>
      </c>
      <c r="AM58" s="104">
        <f t="shared" si="21"/>
        <v>0</v>
      </c>
      <c r="AN58" s="75">
        <f t="shared" si="22"/>
        <v>0</v>
      </c>
      <c r="AO58" s="115">
        <f t="shared" si="23"/>
        <v>0</v>
      </c>
      <c r="AP58" s="104">
        <f t="shared" si="24"/>
        <v>0</v>
      </c>
      <c r="AQ58" s="75">
        <f t="shared" si="25"/>
        <v>0</v>
      </c>
      <c r="BL58" s="64">
        <v>64</v>
      </c>
    </row>
    <row r="59" spans="1:64" s="64" customFormat="1">
      <c r="A59" s="64" t="s">
        <v>118</v>
      </c>
      <c r="B59" s="64">
        <v>55</v>
      </c>
      <c r="C59" s="64" t="s">
        <v>38</v>
      </c>
      <c r="D59" s="64" t="s">
        <v>35</v>
      </c>
      <c r="E59" s="64">
        <v>4</v>
      </c>
      <c r="F59" s="64">
        <v>6</v>
      </c>
      <c r="G59" s="64">
        <f t="shared" si="3"/>
        <v>0</v>
      </c>
      <c r="H59" s="64">
        <f t="shared" si="4"/>
        <v>0</v>
      </c>
      <c r="I59" s="64">
        <f t="shared" si="5"/>
        <v>0</v>
      </c>
      <c r="J59" s="64">
        <f t="shared" si="6"/>
        <v>1</v>
      </c>
      <c r="K59" s="64">
        <f t="shared" si="7"/>
        <v>0</v>
      </c>
      <c r="L59" s="64">
        <f t="shared" si="8"/>
        <v>0</v>
      </c>
      <c r="M59" s="75">
        <f t="shared" si="9"/>
        <v>0</v>
      </c>
      <c r="N59" s="64">
        <f t="shared" si="10"/>
        <v>0</v>
      </c>
      <c r="O59" s="64">
        <f t="shared" si="11"/>
        <v>0</v>
      </c>
      <c r="P59" s="64">
        <f t="shared" si="12"/>
        <v>0</v>
      </c>
      <c r="Q59" s="64">
        <f t="shared" si="13"/>
        <v>0</v>
      </c>
      <c r="R59" s="64">
        <f t="shared" si="14"/>
        <v>0</v>
      </c>
      <c r="S59" s="64">
        <f t="shared" si="15"/>
        <v>1</v>
      </c>
      <c r="T59" s="64">
        <f t="shared" si="16"/>
        <v>0</v>
      </c>
      <c r="U59" s="64" t="s">
        <v>118</v>
      </c>
      <c r="V59" s="64" t="s">
        <v>38</v>
      </c>
      <c r="W59" s="64">
        <v>229</v>
      </c>
      <c r="X59" s="64">
        <v>240</v>
      </c>
      <c r="Y59" s="64">
        <v>334</v>
      </c>
      <c r="Z59" s="64">
        <v>229</v>
      </c>
      <c r="AA59" s="64">
        <v>240</v>
      </c>
      <c r="AB59" s="64">
        <v>352</v>
      </c>
      <c r="AC59" s="64">
        <v>0</v>
      </c>
      <c r="AD59" s="64">
        <v>0</v>
      </c>
      <c r="AE59" s="64">
        <v>18</v>
      </c>
      <c r="AF59" s="64">
        <v>0</v>
      </c>
      <c r="AG59" s="64">
        <v>0</v>
      </c>
      <c r="AH59" s="64">
        <v>18</v>
      </c>
      <c r="AI59" s="115">
        <f t="shared" si="17"/>
        <v>0</v>
      </c>
      <c r="AJ59" s="104">
        <f t="shared" si="18"/>
        <v>0</v>
      </c>
      <c r="AK59" s="75">
        <f t="shared" si="19"/>
        <v>1</v>
      </c>
      <c r="AL59" s="115">
        <f t="shared" si="20"/>
        <v>0</v>
      </c>
      <c r="AM59" s="104">
        <f t="shared" si="21"/>
        <v>0</v>
      </c>
      <c r="AN59" s="75">
        <f t="shared" si="22"/>
        <v>0</v>
      </c>
      <c r="AO59" s="115">
        <f t="shared" si="23"/>
        <v>1</v>
      </c>
      <c r="AP59" s="104">
        <f t="shared" si="24"/>
        <v>1</v>
      </c>
      <c r="AQ59" s="75">
        <f t="shared" si="25"/>
        <v>0</v>
      </c>
      <c r="BL59" s="64">
        <v>0</v>
      </c>
    </row>
    <row r="60" spans="1:64" s="64" customFormat="1">
      <c r="A60" s="64" t="s">
        <v>119</v>
      </c>
      <c r="B60" s="64">
        <v>336</v>
      </c>
      <c r="C60" s="64" t="s">
        <v>38</v>
      </c>
      <c r="D60" s="64" t="s">
        <v>32</v>
      </c>
      <c r="E60" s="64">
        <v>1</v>
      </c>
      <c r="F60" s="64">
        <v>2</v>
      </c>
      <c r="G60" s="64">
        <f t="shared" si="3"/>
        <v>1</v>
      </c>
      <c r="H60" s="64">
        <f t="shared" si="4"/>
        <v>0</v>
      </c>
      <c r="I60" s="64">
        <f t="shared" si="5"/>
        <v>0</v>
      </c>
      <c r="J60" s="64">
        <f t="shared" si="6"/>
        <v>0</v>
      </c>
      <c r="K60" s="64">
        <f t="shared" si="7"/>
        <v>0</v>
      </c>
      <c r="L60" s="64">
        <f t="shared" si="8"/>
        <v>0</v>
      </c>
      <c r="M60" s="75">
        <f t="shared" si="9"/>
        <v>0</v>
      </c>
      <c r="N60" s="64">
        <f t="shared" si="10"/>
        <v>0</v>
      </c>
      <c r="O60" s="64">
        <f t="shared" si="11"/>
        <v>1</v>
      </c>
      <c r="P60" s="64">
        <f t="shared" si="12"/>
        <v>0</v>
      </c>
      <c r="Q60" s="64">
        <f t="shared" si="13"/>
        <v>0</v>
      </c>
      <c r="R60" s="64">
        <f t="shared" si="14"/>
        <v>0</v>
      </c>
      <c r="S60" s="64">
        <f t="shared" si="15"/>
        <v>0</v>
      </c>
      <c r="T60" s="64">
        <f t="shared" si="16"/>
        <v>0</v>
      </c>
      <c r="U60" s="64" t="s">
        <v>119</v>
      </c>
      <c r="V60" s="64" t="s">
        <v>38</v>
      </c>
      <c r="W60" s="64">
        <v>2912</v>
      </c>
      <c r="X60" s="64">
        <v>3378</v>
      </c>
      <c r="Y60" s="64">
        <v>3150</v>
      </c>
      <c r="Z60" s="64">
        <v>2935</v>
      </c>
      <c r="AA60" s="64">
        <v>3383</v>
      </c>
      <c r="AB60" s="64">
        <v>3154</v>
      </c>
      <c r="AC60" s="64">
        <v>23</v>
      </c>
      <c r="AD60" s="64">
        <v>5</v>
      </c>
      <c r="AE60" s="64">
        <v>4</v>
      </c>
      <c r="AF60" s="64">
        <v>23</v>
      </c>
      <c r="AG60" s="64">
        <v>5</v>
      </c>
      <c r="AH60" s="64">
        <v>4</v>
      </c>
      <c r="AI60" s="115">
        <f t="shared" si="17"/>
        <v>1</v>
      </c>
      <c r="AJ60" s="104">
        <f t="shared" si="18"/>
        <v>1</v>
      </c>
      <c r="AK60" s="75">
        <f t="shared" si="19"/>
        <v>1</v>
      </c>
      <c r="AL60" s="115">
        <f t="shared" si="20"/>
        <v>0</v>
      </c>
      <c r="AM60" s="104">
        <f t="shared" si="21"/>
        <v>0</v>
      </c>
      <c r="AN60" s="75">
        <f t="shared" si="22"/>
        <v>0</v>
      </c>
      <c r="AO60" s="115">
        <f t="shared" si="23"/>
        <v>0</v>
      </c>
      <c r="AP60" s="104">
        <f t="shared" si="24"/>
        <v>0</v>
      </c>
      <c r="AQ60" s="75">
        <f t="shared" si="25"/>
        <v>0</v>
      </c>
      <c r="BL60" s="64">
        <v>23</v>
      </c>
    </row>
    <row r="61" spans="1:64" s="64" customFormat="1">
      <c r="A61" s="64" t="s">
        <v>120</v>
      </c>
      <c r="B61" s="64">
        <v>104</v>
      </c>
      <c r="C61" s="64" t="s">
        <v>38</v>
      </c>
      <c r="D61" s="64" t="s">
        <v>32</v>
      </c>
      <c r="E61" s="64">
        <v>2</v>
      </c>
      <c r="F61" s="64">
        <v>3</v>
      </c>
      <c r="G61" s="64">
        <f t="shared" si="3"/>
        <v>0</v>
      </c>
      <c r="H61" s="64">
        <f t="shared" si="4"/>
        <v>1</v>
      </c>
      <c r="I61" s="64">
        <f t="shared" si="5"/>
        <v>0</v>
      </c>
      <c r="J61" s="64">
        <f t="shared" si="6"/>
        <v>0</v>
      </c>
      <c r="K61" s="64">
        <f t="shared" si="7"/>
        <v>0</v>
      </c>
      <c r="L61" s="64">
        <f t="shared" si="8"/>
        <v>0</v>
      </c>
      <c r="M61" s="75">
        <f t="shared" si="9"/>
        <v>0</v>
      </c>
      <c r="N61" s="64">
        <f t="shared" si="10"/>
        <v>0</v>
      </c>
      <c r="O61" s="64">
        <f t="shared" si="11"/>
        <v>0</v>
      </c>
      <c r="P61" s="64">
        <f t="shared" si="12"/>
        <v>1</v>
      </c>
      <c r="Q61" s="64">
        <f t="shared" si="13"/>
        <v>0</v>
      </c>
      <c r="R61" s="64">
        <f t="shared" si="14"/>
        <v>0</v>
      </c>
      <c r="S61" s="64">
        <f t="shared" si="15"/>
        <v>0</v>
      </c>
      <c r="T61" s="64">
        <f t="shared" si="16"/>
        <v>0</v>
      </c>
      <c r="U61" s="64" t="s">
        <v>120</v>
      </c>
      <c r="V61" s="64" t="s">
        <v>38</v>
      </c>
      <c r="W61" s="64">
        <v>426</v>
      </c>
      <c r="X61" s="64">
        <v>646</v>
      </c>
      <c r="Y61" s="64">
        <v>757</v>
      </c>
      <c r="Z61" s="64">
        <v>479</v>
      </c>
      <c r="AA61" s="64">
        <v>764</v>
      </c>
      <c r="AB61" s="64">
        <v>934</v>
      </c>
      <c r="AC61" s="64">
        <v>53</v>
      </c>
      <c r="AD61" s="64">
        <v>118</v>
      </c>
      <c r="AE61" s="64">
        <v>177</v>
      </c>
      <c r="AF61" s="64">
        <v>53</v>
      </c>
      <c r="AG61" s="64">
        <v>118</v>
      </c>
      <c r="AH61" s="64">
        <v>177</v>
      </c>
      <c r="AI61" s="115">
        <f t="shared" si="17"/>
        <v>1</v>
      </c>
      <c r="AJ61" s="104">
        <f t="shared" si="18"/>
        <v>1</v>
      </c>
      <c r="AK61" s="75">
        <f t="shared" si="19"/>
        <v>1</v>
      </c>
      <c r="AL61" s="115">
        <f t="shared" si="20"/>
        <v>0</v>
      </c>
      <c r="AM61" s="104">
        <f t="shared" si="21"/>
        <v>0</v>
      </c>
      <c r="AN61" s="75">
        <f t="shared" si="22"/>
        <v>0</v>
      </c>
      <c r="AO61" s="115">
        <f t="shared" si="23"/>
        <v>0</v>
      </c>
      <c r="AP61" s="104">
        <f t="shared" si="24"/>
        <v>0</v>
      </c>
      <c r="AQ61" s="75">
        <f t="shared" si="25"/>
        <v>0</v>
      </c>
      <c r="BL61" s="64">
        <v>53</v>
      </c>
    </row>
    <row r="62" spans="1:64" s="64" customFormat="1">
      <c r="A62" s="64" t="s">
        <v>121</v>
      </c>
      <c r="B62" s="64">
        <v>127</v>
      </c>
      <c r="C62" s="64" t="s">
        <v>38</v>
      </c>
      <c r="D62" s="64" t="s">
        <v>35</v>
      </c>
      <c r="E62" s="64">
        <v>2</v>
      </c>
      <c r="F62" s="64">
        <v>5</v>
      </c>
      <c r="G62" s="64">
        <f t="shared" si="3"/>
        <v>0</v>
      </c>
      <c r="H62" s="64">
        <f t="shared" si="4"/>
        <v>1</v>
      </c>
      <c r="I62" s="64">
        <f t="shared" si="5"/>
        <v>0</v>
      </c>
      <c r="J62" s="64">
        <f t="shared" si="6"/>
        <v>0</v>
      </c>
      <c r="K62" s="64">
        <f t="shared" si="7"/>
        <v>0</v>
      </c>
      <c r="L62" s="64">
        <f t="shared" si="8"/>
        <v>0</v>
      </c>
      <c r="M62" s="75">
        <f t="shared" si="9"/>
        <v>0</v>
      </c>
      <c r="N62" s="64">
        <f t="shared" si="10"/>
        <v>0</v>
      </c>
      <c r="O62" s="64">
        <f t="shared" si="11"/>
        <v>0</v>
      </c>
      <c r="P62" s="64">
        <f t="shared" si="12"/>
        <v>0</v>
      </c>
      <c r="Q62" s="64">
        <f t="shared" si="13"/>
        <v>0</v>
      </c>
      <c r="R62" s="64">
        <f t="shared" si="14"/>
        <v>1</v>
      </c>
      <c r="S62" s="64">
        <f t="shared" si="15"/>
        <v>0</v>
      </c>
      <c r="T62" s="64">
        <f t="shared" si="16"/>
        <v>0</v>
      </c>
      <c r="U62" s="64" t="s">
        <v>121</v>
      </c>
      <c r="V62" s="64" t="s">
        <v>38</v>
      </c>
      <c r="W62" s="64">
        <v>486</v>
      </c>
      <c r="X62" s="64">
        <v>519</v>
      </c>
      <c r="Y62" s="64">
        <v>598</v>
      </c>
      <c r="Z62" s="64">
        <v>481</v>
      </c>
      <c r="AA62" s="64">
        <v>610</v>
      </c>
      <c r="AB62" s="64">
        <v>761</v>
      </c>
      <c r="AC62" s="64">
        <v>-5</v>
      </c>
      <c r="AD62" s="64">
        <v>91</v>
      </c>
      <c r="AE62" s="64">
        <v>163</v>
      </c>
      <c r="AF62" s="64">
        <v>-5</v>
      </c>
      <c r="AG62" s="64">
        <v>91</v>
      </c>
      <c r="AH62" s="64">
        <v>163</v>
      </c>
      <c r="AI62" s="115">
        <f t="shared" si="17"/>
        <v>0</v>
      </c>
      <c r="AJ62" s="104">
        <f t="shared" si="18"/>
        <v>1</v>
      </c>
      <c r="AK62" s="75">
        <f t="shared" si="19"/>
        <v>1</v>
      </c>
      <c r="AL62" s="115">
        <f t="shared" si="20"/>
        <v>1</v>
      </c>
      <c r="AM62" s="104">
        <f t="shared" si="21"/>
        <v>0</v>
      </c>
      <c r="AN62" s="75">
        <f t="shared" si="22"/>
        <v>0</v>
      </c>
      <c r="AO62" s="115">
        <f t="shared" si="23"/>
        <v>0</v>
      </c>
      <c r="AP62" s="104">
        <f t="shared" si="24"/>
        <v>0</v>
      </c>
      <c r="AQ62" s="75">
        <f t="shared" si="25"/>
        <v>0</v>
      </c>
      <c r="BL62" s="64">
        <v>-5</v>
      </c>
    </row>
    <row r="63" spans="1:64" s="64" customFormat="1">
      <c r="A63" s="64" t="s">
        <v>122</v>
      </c>
      <c r="B63" s="64">
        <v>147</v>
      </c>
      <c r="C63" s="64" t="s">
        <v>38</v>
      </c>
      <c r="D63" s="64" t="s">
        <v>35</v>
      </c>
      <c r="E63" s="64">
        <v>2</v>
      </c>
      <c r="F63" s="64">
        <v>5</v>
      </c>
      <c r="G63" s="64">
        <f t="shared" si="3"/>
        <v>0</v>
      </c>
      <c r="H63" s="64">
        <f t="shared" si="4"/>
        <v>1</v>
      </c>
      <c r="I63" s="64">
        <f t="shared" si="5"/>
        <v>0</v>
      </c>
      <c r="J63" s="64">
        <f t="shared" si="6"/>
        <v>0</v>
      </c>
      <c r="K63" s="64">
        <f t="shared" si="7"/>
        <v>0</v>
      </c>
      <c r="L63" s="64">
        <f t="shared" si="8"/>
        <v>0</v>
      </c>
      <c r="M63" s="75">
        <f t="shared" si="9"/>
        <v>0</v>
      </c>
      <c r="N63" s="64">
        <f t="shared" si="10"/>
        <v>0</v>
      </c>
      <c r="O63" s="64">
        <f t="shared" si="11"/>
        <v>0</v>
      </c>
      <c r="P63" s="64">
        <f t="shared" si="12"/>
        <v>0</v>
      </c>
      <c r="Q63" s="64">
        <f t="shared" si="13"/>
        <v>0</v>
      </c>
      <c r="R63" s="64">
        <f t="shared" si="14"/>
        <v>1</v>
      </c>
      <c r="S63" s="64">
        <f t="shared" si="15"/>
        <v>0</v>
      </c>
      <c r="T63" s="64">
        <f t="shared" si="16"/>
        <v>0</v>
      </c>
      <c r="U63" s="64" t="s">
        <v>122</v>
      </c>
      <c r="V63" s="64" t="s">
        <v>38</v>
      </c>
      <c r="W63" s="64">
        <v>381</v>
      </c>
      <c r="X63" s="64">
        <v>488</v>
      </c>
      <c r="Y63" s="64">
        <v>541</v>
      </c>
      <c r="Z63" s="64">
        <v>440</v>
      </c>
      <c r="AA63" s="64">
        <v>635</v>
      </c>
      <c r="AB63" s="64">
        <v>628</v>
      </c>
      <c r="AC63" s="64">
        <v>59</v>
      </c>
      <c r="AD63" s="64">
        <v>147</v>
      </c>
      <c r="AE63" s="64">
        <v>87</v>
      </c>
      <c r="AF63" s="64">
        <v>59</v>
      </c>
      <c r="AG63" s="64">
        <v>147</v>
      </c>
      <c r="AH63" s="64">
        <v>87</v>
      </c>
      <c r="AI63" s="115">
        <f t="shared" si="17"/>
        <v>1</v>
      </c>
      <c r="AJ63" s="104">
        <f t="shared" si="18"/>
        <v>1</v>
      </c>
      <c r="AK63" s="75">
        <f t="shared" si="19"/>
        <v>1</v>
      </c>
      <c r="AL63" s="115">
        <f t="shared" si="20"/>
        <v>0</v>
      </c>
      <c r="AM63" s="104">
        <f t="shared" si="21"/>
        <v>0</v>
      </c>
      <c r="AN63" s="75">
        <f t="shared" si="22"/>
        <v>0</v>
      </c>
      <c r="AO63" s="115">
        <f t="shared" si="23"/>
        <v>0</v>
      </c>
      <c r="AP63" s="104">
        <f t="shared" si="24"/>
        <v>0</v>
      </c>
      <c r="AQ63" s="75">
        <f t="shared" si="25"/>
        <v>0</v>
      </c>
      <c r="BL63" s="64">
        <v>59</v>
      </c>
    </row>
    <row r="64" spans="1:64" s="64" customFormat="1">
      <c r="A64" s="64" t="s">
        <v>123</v>
      </c>
      <c r="B64" s="64">
        <v>45</v>
      </c>
      <c r="C64" s="64" t="s">
        <v>38</v>
      </c>
      <c r="D64" s="64" t="s">
        <v>35</v>
      </c>
      <c r="E64" s="64">
        <v>2</v>
      </c>
      <c r="F64" s="64">
        <v>3</v>
      </c>
      <c r="G64" s="64">
        <f t="shared" si="3"/>
        <v>0</v>
      </c>
      <c r="H64" s="64">
        <f t="shared" si="4"/>
        <v>1</v>
      </c>
      <c r="I64" s="64">
        <f t="shared" si="5"/>
        <v>0</v>
      </c>
      <c r="J64" s="64">
        <f t="shared" si="6"/>
        <v>0</v>
      </c>
      <c r="K64" s="64">
        <f t="shared" si="7"/>
        <v>0</v>
      </c>
      <c r="L64" s="64">
        <f t="shared" si="8"/>
        <v>0</v>
      </c>
      <c r="M64" s="75">
        <f t="shared" si="9"/>
        <v>0</v>
      </c>
      <c r="N64" s="64">
        <f t="shared" si="10"/>
        <v>0</v>
      </c>
      <c r="O64" s="64">
        <f t="shared" si="11"/>
        <v>0</v>
      </c>
      <c r="P64" s="64">
        <f t="shared" si="12"/>
        <v>1</v>
      </c>
      <c r="Q64" s="64">
        <f t="shared" si="13"/>
        <v>0</v>
      </c>
      <c r="R64" s="64">
        <f t="shared" si="14"/>
        <v>0</v>
      </c>
      <c r="S64" s="64">
        <f t="shared" si="15"/>
        <v>0</v>
      </c>
      <c r="T64" s="64">
        <f t="shared" si="16"/>
        <v>0</v>
      </c>
      <c r="U64" s="64" t="s">
        <v>123</v>
      </c>
      <c r="V64" s="64" t="s">
        <v>38</v>
      </c>
      <c r="W64" s="64">
        <v>115</v>
      </c>
      <c r="X64" s="64">
        <v>309</v>
      </c>
      <c r="Y64" s="64">
        <v>274</v>
      </c>
      <c r="Z64" s="64">
        <v>95</v>
      </c>
      <c r="AA64" s="64">
        <v>430</v>
      </c>
      <c r="AB64" s="64">
        <v>259</v>
      </c>
      <c r="AC64" s="64">
        <v>-20</v>
      </c>
      <c r="AD64" s="64">
        <v>121</v>
      </c>
      <c r="AE64" s="64">
        <v>-15</v>
      </c>
      <c r="AF64" s="64">
        <v>-20</v>
      </c>
      <c r="AG64" s="64">
        <v>121</v>
      </c>
      <c r="AH64" s="64">
        <v>-15</v>
      </c>
      <c r="AI64" s="115">
        <f t="shared" si="17"/>
        <v>0</v>
      </c>
      <c r="AJ64" s="104">
        <f t="shared" si="18"/>
        <v>1</v>
      </c>
      <c r="AK64" s="75">
        <f t="shared" si="19"/>
        <v>0</v>
      </c>
      <c r="AL64" s="115">
        <f t="shared" si="20"/>
        <v>1</v>
      </c>
      <c r="AM64" s="104">
        <f t="shared" si="21"/>
        <v>0</v>
      </c>
      <c r="AN64" s="75">
        <f t="shared" si="22"/>
        <v>1</v>
      </c>
      <c r="AO64" s="115">
        <f t="shared" si="23"/>
        <v>0</v>
      </c>
      <c r="AP64" s="104">
        <f t="shared" si="24"/>
        <v>0</v>
      </c>
      <c r="AQ64" s="75">
        <f t="shared" si="25"/>
        <v>0</v>
      </c>
      <c r="BL64" s="64">
        <v>-20</v>
      </c>
    </row>
    <row r="65" spans="1:64" s="64" customFormat="1">
      <c r="A65" s="64" t="s">
        <v>124</v>
      </c>
      <c r="B65" s="64">
        <v>120</v>
      </c>
      <c r="C65" s="64" t="s">
        <v>38</v>
      </c>
      <c r="D65" s="64" t="s">
        <v>35</v>
      </c>
      <c r="E65" s="64">
        <v>4</v>
      </c>
      <c r="F65" s="64">
        <v>7</v>
      </c>
      <c r="G65" s="64">
        <f t="shared" si="3"/>
        <v>0</v>
      </c>
      <c r="H65" s="64">
        <f t="shared" si="4"/>
        <v>0</v>
      </c>
      <c r="I65" s="64">
        <f t="shared" si="5"/>
        <v>0</v>
      </c>
      <c r="J65" s="64">
        <f t="shared" si="6"/>
        <v>1</v>
      </c>
      <c r="K65" s="64">
        <f t="shared" si="7"/>
        <v>0</v>
      </c>
      <c r="L65" s="64">
        <f t="shared" si="8"/>
        <v>0</v>
      </c>
      <c r="M65" s="75">
        <f t="shared" si="9"/>
        <v>0</v>
      </c>
      <c r="N65" s="64">
        <f t="shared" si="10"/>
        <v>0</v>
      </c>
      <c r="O65" s="64">
        <f t="shared" si="11"/>
        <v>0</v>
      </c>
      <c r="P65" s="64">
        <f t="shared" si="12"/>
        <v>0</v>
      </c>
      <c r="Q65" s="64">
        <f t="shared" si="13"/>
        <v>0</v>
      </c>
      <c r="R65" s="64">
        <f t="shared" si="14"/>
        <v>0</v>
      </c>
      <c r="S65" s="64">
        <f t="shared" si="15"/>
        <v>0</v>
      </c>
      <c r="T65" s="64">
        <f t="shared" si="16"/>
        <v>1</v>
      </c>
      <c r="U65" s="64" t="s">
        <v>124</v>
      </c>
      <c r="V65" s="64" t="s">
        <v>38</v>
      </c>
      <c r="W65" s="64">
        <v>1203</v>
      </c>
      <c r="X65" s="64">
        <v>457</v>
      </c>
      <c r="Y65" s="64">
        <v>362</v>
      </c>
      <c r="Z65" s="64">
        <v>933</v>
      </c>
      <c r="AA65" s="64">
        <v>537</v>
      </c>
      <c r="AB65" s="64">
        <v>365</v>
      </c>
      <c r="AC65" s="64">
        <v>-270</v>
      </c>
      <c r="AD65" s="64">
        <v>80</v>
      </c>
      <c r="AE65" s="64">
        <v>3</v>
      </c>
      <c r="AF65" s="64">
        <v>-270</v>
      </c>
      <c r="AG65" s="64">
        <v>80</v>
      </c>
      <c r="AH65" s="64">
        <v>3</v>
      </c>
      <c r="AI65" s="115">
        <f t="shared" si="17"/>
        <v>0</v>
      </c>
      <c r="AJ65" s="104">
        <f t="shared" si="18"/>
        <v>1</v>
      </c>
      <c r="AK65" s="75">
        <f t="shared" si="19"/>
        <v>1</v>
      </c>
      <c r="AL65" s="115">
        <f t="shared" si="20"/>
        <v>1</v>
      </c>
      <c r="AM65" s="104">
        <f t="shared" si="21"/>
        <v>0</v>
      </c>
      <c r="AN65" s="75">
        <f t="shared" si="22"/>
        <v>0</v>
      </c>
      <c r="AO65" s="115">
        <f t="shared" si="23"/>
        <v>0</v>
      </c>
      <c r="AP65" s="104">
        <f t="shared" si="24"/>
        <v>0</v>
      </c>
      <c r="AQ65" s="75">
        <f t="shared" si="25"/>
        <v>0</v>
      </c>
      <c r="BL65" s="64">
        <v>-270</v>
      </c>
    </row>
    <row r="66" spans="1:64" s="64" customFormat="1">
      <c r="A66" s="64" t="s">
        <v>125</v>
      </c>
      <c r="B66" s="64">
        <v>110</v>
      </c>
      <c r="C66" s="64" t="s">
        <v>38</v>
      </c>
      <c r="D66" s="64" t="s">
        <v>35</v>
      </c>
      <c r="E66" s="64">
        <v>1</v>
      </c>
      <c r="F66" s="64">
        <v>5</v>
      </c>
      <c r="G66" s="64">
        <f t="shared" si="3"/>
        <v>1</v>
      </c>
      <c r="H66" s="64">
        <f t="shared" si="4"/>
        <v>0</v>
      </c>
      <c r="I66" s="64">
        <f t="shared" si="5"/>
        <v>0</v>
      </c>
      <c r="J66" s="64">
        <f t="shared" si="6"/>
        <v>0</v>
      </c>
      <c r="K66" s="64">
        <f t="shared" si="7"/>
        <v>0</v>
      </c>
      <c r="L66" s="64">
        <f t="shared" si="8"/>
        <v>0</v>
      </c>
      <c r="M66" s="75">
        <f t="shared" si="9"/>
        <v>0</v>
      </c>
      <c r="N66" s="64">
        <f t="shared" si="10"/>
        <v>0</v>
      </c>
      <c r="O66" s="64">
        <f t="shared" si="11"/>
        <v>0</v>
      </c>
      <c r="P66" s="64">
        <f t="shared" si="12"/>
        <v>0</v>
      </c>
      <c r="Q66" s="64">
        <f t="shared" si="13"/>
        <v>0</v>
      </c>
      <c r="R66" s="64">
        <f t="shared" si="14"/>
        <v>1</v>
      </c>
      <c r="S66" s="64">
        <f t="shared" si="15"/>
        <v>0</v>
      </c>
      <c r="T66" s="64">
        <f t="shared" si="16"/>
        <v>0</v>
      </c>
      <c r="U66" s="64" t="s">
        <v>125</v>
      </c>
      <c r="V66" s="64" t="s">
        <v>38</v>
      </c>
      <c r="W66" s="64">
        <v>282</v>
      </c>
      <c r="X66" s="64">
        <v>406</v>
      </c>
      <c r="Y66" s="64">
        <v>325</v>
      </c>
      <c r="Z66" s="64">
        <v>312</v>
      </c>
      <c r="AA66" s="64">
        <v>324</v>
      </c>
      <c r="AB66" s="64">
        <v>408</v>
      </c>
      <c r="AC66" s="64">
        <v>30</v>
      </c>
      <c r="AD66" s="64">
        <v>-82</v>
      </c>
      <c r="AE66" s="64">
        <v>83</v>
      </c>
      <c r="AF66" s="64">
        <v>30</v>
      </c>
      <c r="AG66" s="64">
        <v>18</v>
      </c>
      <c r="AH66" s="64">
        <v>83</v>
      </c>
      <c r="AI66" s="115">
        <f t="shared" si="17"/>
        <v>1</v>
      </c>
      <c r="AJ66" s="104">
        <f t="shared" si="18"/>
        <v>0</v>
      </c>
      <c r="AK66" s="75">
        <f t="shared" si="19"/>
        <v>1</v>
      </c>
      <c r="AL66" s="115">
        <f t="shared" si="20"/>
        <v>0</v>
      </c>
      <c r="AM66" s="104">
        <f t="shared" si="21"/>
        <v>1</v>
      </c>
      <c r="AN66" s="75">
        <f t="shared" si="22"/>
        <v>0</v>
      </c>
      <c r="AO66" s="115">
        <f t="shared" si="23"/>
        <v>0</v>
      </c>
      <c r="AP66" s="104">
        <f t="shared" si="24"/>
        <v>0</v>
      </c>
      <c r="AQ66" s="75">
        <f t="shared" si="25"/>
        <v>0</v>
      </c>
      <c r="BL66" s="64">
        <v>30</v>
      </c>
    </row>
    <row r="67" spans="1:64" s="64" customFormat="1">
      <c r="A67" s="64" t="s">
        <v>126</v>
      </c>
      <c r="B67" s="64">
        <v>76</v>
      </c>
      <c r="C67" s="64" t="s">
        <v>38</v>
      </c>
      <c r="D67" s="64" t="s">
        <v>33</v>
      </c>
      <c r="E67" s="64">
        <v>3</v>
      </c>
      <c r="F67" s="64">
        <v>4</v>
      </c>
      <c r="G67" s="64">
        <f t="shared" si="3"/>
        <v>0</v>
      </c>
      <c r="H67" s="64">
        <f t="shared" si="4"/>
        <v>0</v>
      </c>
      <c r="I67" s="64">
        <f t="shared" si="5"/>
        <v>1</v>
      </c>
      <c r="J67" s="64">
        <f t="shared" si="6"/>
        <v>0</v>
      </c>
      <c r="K67" s="64">
        <f t="shared" si="7"/>
        <v>0</v>
      </c>
      <c r="L67" s="64">
        <f t="shared" si="8"/>
        <v>0</v>
      </c>
      <c r="M67" s="75">
        <f t="shared" si="9"/>
        <v>0</v>
      </c>
      <c r="N67" s="64">
        <f t="shared" si="10"/>
        <v>0</v>
      </c>
      <c r="O67" s="64">
        <f t="shared" si="11"/>
        <v>0</v>
      </c>
      <c r="P67" s="64">
        <f t="shared" si="12"/>
        <v>0</v>
      </c>
      <c r="Q67" s="64">
        <f t="shared" si="13"/>
        <v>1</v>
      </c>
      <c r="R67" s="64">
        <f t="shared" si="14"/>
        <v>0</v>
      </c>
      <c r="S67" s="64">
        <f t="shared" si="15"/>
        <v>0</v>
      </c>
      <c r="T67" s="64">
        <f t="shared" si="16"/>
        <v>0</v>
      </c>
      <c r="U67" s="64" t="s">
        <v>126</v>
      </c>
      <c r="V67" s="64" t="s">
        <v>38</v>
      </c>
      <c r="W67" s="64">
        <v>192</v>
      </c>
      <c r="X67" s="64">
        <v>128</v>
      </c>
      <c r="Y67" s="64">
        <v>128</v>
      </c>
      <c r="Z67" s="64">
        <v>158</v>
      </c>
      <c r="AA67" s="64">
        <v>149</v>
      </c>
      <c r="AB67" s="64">
        <v>137</v>
      </c>
      <c r="AC67" s="64">
        <v>-34</v>
      </c>
      <c r="AD67" s="64">
        <v>21</v>
      </c>
      <c r="AE67" s="64">
        <v>9</v>
      </c>
      <c r="AF67" s="64">
        <v>-34</v>
      </c>
      <c r="AG67" s="64">
        <v>21</v>
      </c>
      <c r="AH67" s="64">
        <v>9</v>
      </c>
      <c r="AI67" s="115">
        <f t="shared" si="17"/>
        <v>0</v>
      </c>
      <c r="AJ67" s="104">
        <f t="shared" si="18"/>
        <v>1</v>
      </c>
      <c r="AK67" s="75">
        <f t="shared" si="19"/>
        <v>1</v>
      </c>
      <c r="AL67" s="115">
        <f t="shared" si="20"/>
        <v>1</v>
      </c>
      <c r="AM67" s="104">
        <f t="shared" si="21"/>
        <v>0</v>
      </c>
      <c r="AN67" s="75">
        <f t="shared" si="22"/>
        <v>0</v>
      </c>
      <c r="AO67" s="115">
        <f t="shared" si="23"/>
        <v>0</v>
      </c>
      <c r="AP67" s="104">
        <f t="shared" si="24"/>
        <v>0</v>
      </c>
      <c r="AQ67" s="75">
        <f t="shared" si="25"/>
        <v>0</v>
      </c>
      <c r="BL67" s="64">
        <v>-34</v>
      </c>
    </row>
    <row r="68" spans="1:64" s="64" customFormat="1">
      <c r="A68" s="64" t="s">
        <v>127</v>
      </c>
      <c r="B68" s="64">
        <v>111</v>
      </c>
      <c r="C68" s="64" t="s">
        <v>38</v>
      </c>
      <c r="D68" s="64" t="s">
        <v>35</v>
      </c>
      <c r="E68" s="64">
        <v>2</v>
      </c>
      <c r="F68" s="64">
        <v>6</v>
      </c>
      <c r="G68" s="64">
        <f t="shared" ref="G68:G95" si="31">IF($E68=1,1,0)</f>
        <v>0</v>
      </c>
      <c r="H68" s="64">
        <f t="shared" ref="H68:H95" si="32">IF($E68=2,1,0)</f>
        <v>1</v>
      </c>
      <c r="I68" s="64">
        <f t="shared" ref="I68:I95" si="33">IF($E68=3,1,0)</f>
        <v>0</v>
      </c>
      <c r="J68" s="64">
        <f t="shared" ref="J68:J95" si="34">IF($E68=4,1,0)</f>
        <v>0</v>
      </c>
      <c r="K68" s="64">
        <f t="shared" ref="K68:K95" si="35">IF($E68=5,1,0)</f>
        <v>0</v>
      </c>
      <c r="L68" s="64">
        <f t="shared" ref="L68:L95" si="36">IF($E68=6,1,0)</f>
        <v>0</v>
      </c>
      <c r="M68" s="75">
        <f t="shared" ref="M68:M95" si="37">IF($E68=7,1,0)</f>
        <v>0</v>
      </c>
      <c r="N68" s="64">
        <f t="shared" ref="N68:N95" si="38">IF($F68=1,1,0)</f>
        <v>0</v>
      </c>
      <c r="O68" s="64">
        <f t="shared" ref="O68:O95" si="39">IF($F68=2,1,0)</f>
        <v>0</v>
      </c>
      <c r="P68" s="64">
        <f t="shared" ref="P68:P95" si="40">IF($F68=3,1,0)</f>
        <v>0</v>
      </c>
      <c r="Q68" s="64">
        <f t="shared" ref="Q68:Q95" si="41">IF($F68=4,1,0)</f>
        <v>0</v>
      </c>
      <c r="R68" s="64">
        <f t="shared" ref="R68:R95" si="42">IF($F68=5,1,0)</f>
        <v>0</v>
      </c>
      <c r="S68" s="64">
        <f t="shared" ref="S68:S95" si="43">IF($F68=6,1,0)</f>
        <v>1</v>
      </c>
      <c r="T68" s="64">
        <f t="shared" ref="T68:T95" si="44">IF($F68=7,1,0)</f>
        <v>0</v>
      </c>
      <c r="U68" s="64" t="s">
        <v>127</v>
      </c>
      <c r="V68" s="64" t="s">
        <v>38</v>
      </c>
      <c r="W68" s="64">
        <v>227</v>
      </c>
      <c r="X68" s="64">
        <v>215</v>
      </c>
      <c r="Y68" s="64">
        <v>305</v>
      </c>
      <c r="Z68" s="64">
        <v>208</v>
      </c>
      <c r="AA68" s="64">
        <v>277</v>
      </c>
      <c r="AB68" s="64">
        <v>316</v>
      </c>
      <c r="AC68" s="64">
        <v>-19</v>
      </c>
      <c r="AD68" s="64">
        <v>62</v>
      </c>
      <c r="AE68" s="64">
        <v>11</v>
      </c>
      <c r="AF68" s="64">
        <v>-19</v>
      </c>
      <c r="AG68" s="64">
        <v>62</v>
      </c>
      <c r="AH68" s="64">
        <v>11</v>
      </c>
      <c r="AI68" s="115">
        <f t="shared" ref="AI68:AI95" si="45">IF(AC68&gt;0,1,0)</f>
        <v>0</v>
      </c>
      <c r="AJ68" s="104">
        <f t="shared" ref="AJ68:AJ95" si="46">IF(AD68&gt;0,1,0)</f>
        <v>1</v>
      </c>
      <c r="AK68" s="75">
        <f t="shared" ref="AK68:AK95" si="47">IF(AE68&gt;0,1,0)</f>
        <v>1</v>
      </c>
      <c r="AL68" s="115">
        <f t="shared" ref="AL68:AL95" si="48">IF(AC68&lt;0,1,0)</f>
        <v>1</v>
      </c>
      <c r="AM68" s="104">
        <f t="shared" ref="AM68:AM95" si="49">IF(AD68&lt;0,1,0)</f>
        <v>0</v>
      </c>
      <c r="AN68" s="75">
        <f t="shared" ref="AN68:AN95" si="50">IF(AE68&lt;0,1,0)</f>
        <v>0</v>
      </c>
      <c r="AO68" s="115">
        <f t="shared" ref="AO68:AO95" si="51">IF(AC68=0,1,0)</f>
        <v>0</v>
      </c>
      <c r="AP68" s="104">
        <f t="shared" ref="AP68:AP95" si="52">IF(AD68=0,1,0)</f>
        <v>0</v>
      </c>
      <c r="AQ68" s="75">
        <f t="shared" ref="AQ68:AQ95" si="53">IF(AE68=0,1,0)</f>
        <v>0</v>
      </c>
      <c r="BL68" s="64">
        <v>-19</v>
      </c>
    </row>
    <row r="69" spans="1:64" s="64" customFormat="1">
      <c r="A69" s="64" t="s">
        <v>128</v>
      </c>
      <c r="B69" s="64">
        <v>105</v>
      </c>
      <c r="C69" s="64" t="s">
        <v>38</v>
      </c>
      <c r="D69" s="64" t="s">
        <v>35</v>
      </c>
      <c r="E69" s="64">
        <v>3</v>
      </c>
      <c r="F69" s="64">
        <v>6</v>
      </c>
      <c r="G69" s="64">
        <f t="shared" si="31"/>
        <v>0</v>
      </c>
      <c r="H69" s="64">
        <f t="shared" si="32"/>
        <v>0</v>
      </c>
      <c r="I69" s="64">
        <f t="shared" si="33"/>
        <v>1</v>
      </c>
      <c r="J69" s="64">
        <f t="shared" si="34"/>
        <v>0</v>
      </c>
      <c r="K69" s="64">
        <f t="shared" si="35"/>
        <v>0</v>
      </c>
      <c r="L69" s="64">
        <f t="shared" si="36"/>
        <v>0</v>
      </c>
      <c r="M69" s="75">
        <f t="shared" si="37"/>
        <v>0</v>
      </c>
      <c r="N69" s="64">
        <f t="shared" si="38"/>
        <v>0</v>
      </c>
      <c r="O69" s="64">
        <f t="shared" si="39"/>
        <v>0</v>
      </c>
      <c r="P69" s="64">
        <f t="shared" si="40"/>
        <v>0</v>
      </c>
      <c r="Q69" s="64">
        <f t="shared" si="41"/>
        <v>0</v>
      </c>
      <c r="R69" s="64">
        <f t="shared" si="42"/>
        <v>0</v>
      </c>
      <c r="S69" s="64">
        <f t="shared" si="43"/>
        <v>1</v>
      </c>
      <c r="T69" s="64">
        <f t="shared" si="44"/>
        <v>0</v>
      </c>
      <c r="U69" s="64" t="s">
        <v>128</v>
      </c>
      <c r="V69" s="64" t="s">
        <v>38</v>
      </c>
      <c r="W69" s="64">
        <v>172</v>
      </c>
      <c r="X69" s="64">
        <v>445</v>
      </c>
      <c r="Y69" s="64">
        <v>409</v>
      </c>
      <c r="Z69" s="64">
        <v>106</v>
      </c>
      <c r="AA69" s="64">
        <v>473</v>
      </c>
      <c r="AB69" s="64">
        <v>415</v>
      </c>
      <c r="AC69" s="64">
        <v>-66</v>
      </c>
      <c r="AD69" s="64">
        <v>28</v>
      </c>
      <c r="AE69" s="64">
        <v>6</v>
      </c>
      <c r="AF69" s="64">
        <v>-66</v>
      </c>
      <c r="AG69" s="64">
        <v>28</v>
      </c>
      <c r="AH69" s="64">
        <v>6</v>
      </c>
      <c r="AI69" s="115">
        <f t="shared" si="45"/>
        <v>0</v>
      </c>
      <c r="AJ69" s="104">
        <f t="shared" si="46"/>
        <v>1</v>
      </c>
      <c r="AK69" s="75">
        <f t="shared" si="47"/>
        <v>1</v>
      </c>
      <c r="AL69" s="115">
        <f t="shared" si="48"/>
        <v>1</v>
      </c>
      <c r="AM69" s="104">
        <f t="shared" si="49"/>
        <v>0</v>
      </c>
      <c r="AN69" s="75">
        <f t="shared" si="50"/>
        <v>0</v>
      </c>
      <c r="AO69" s="115">
        <f t="shared" si="51"/>
        <v>0</v>
      </c>
      <c r="AP69" s="104">
        <f t="shared" si="52"/>
        <v>0</v>
      </c>
      <c r="AQ69" s="75">
        <f t="shared" si="53"/>
        <v>0</v>
      </c>
      <c r="BL69" s="64">
        <v>-66</v>
      </c>
    </row>
    <row r="70" spans="1:64" s="64" customFormat="1">
      <c r="A70" s="64" t="s">
        <v>129</v>
      </c>
      <c r="B70" s="64">
        <v>278</v>
      </c>
      <c r="C70" s="64" t="s">
        <v>38</v>
      </c>
      <c r="D70" s="64" t="s">
        <v>33</v>
      </c>
      <c r="E70" s="64">
        <v>4</v>
      </c>
      <c r="F70" s="64">
        <v>5</v>
      </c>
      <c r="G70" s="64">
        <f t="shared" si="31"/>
        <v>0</v>
      </c>
      <c r="H70" s="64">
        <f t="shared" si="32"/>
        <v>0</v>
      </c>
      <c r="I70" s="64">
        <f t="shared" si="33"/>
        <v>0</v>
      </c>
      <c r="J70" s="64">
        <f t="shared" si="34"/>
        <v>1</v>
      </c>
      <c r="K70" s="64">
        <f t="shared" si="35"/>
        <v>0</v>
      </c>
      <c r="L70" s="64">
        <f t="shared" si="36"/>
        <v>0</v>
      </c>
      <c r="M70" s="75">
        <f t="shared" si="37"/>
        <v>0</v>
      </c>
      <c r="N70" s="64">
        <f t="shared" si="38"/>
        <v>0</v>
      </c>
      <c r="O70" s="64">
        <f t="shared" si="39"/>
        <v>0</v>
      </c>
      <c r="P70" s="64">
        <f t="shared" si="40"/>
        <v>0</v>
      </c>
      <c r="Q70" s="64">
        <f t="shared" si="41"/>
        <v>0</v>
      </c>
      <c r="R70" s="64">
        <f t="shared" si="42"/>
        <v>1</v>
      </c>
      <c r="S70" s="64">
        <f t="shared" si="43"/>
        <v>0</v>
      </c>
      <c r="T70" s="64">
        <f t="shared" si="44"/>
        <v>0</v>
      </c>
      <c r="U70" s="64" t="s">
        <v>129</v>
      </c>
      <c r="V70" s="64" t="s">
        <v>38</v>
      </c>
      <c r="W70" s="64">
        <v>863</v>
      </c>
      <c r="X70" s="64">
        <v>696</v>
      </c>
      <c r="Y70" s="64">
        <v>770</v>
      </c>
      <c r="Z70" s="64">
        <v>890</v>
      </c>
      <c r="AA70" s="64">
        <v>670</v>
      </c>
      <c r="AB70" s="64">
        <v>679</v>
      </c>
      <c r="AC70" s="64">
        <v>27</v>
      </c>
      <c r="AD70" s="64">
        <v>-26</v>
      </c>
      <c r="AE70" s="64">
        <v>-91</v>
      </c>
      <c r="AF70" s="64">
        <v>27</v>
      </c>
      <c r="AG70" s="64">
        <v>-26</v>
      </c>
      <c r="AH70" s="64">
        <v>-91</v>
      </c>
      <c r="AI70" s="115">
        <f t="shared" si="45"/>
        <v>1</v>
      </c>
      <c r="AJ70" s="104">
        <f t="shared" si="46"/>
        <v>0</v>
      </c>
      <c r="AK70" s="75">
        <f t="shared" si="47"/>
        <v>0</v>
      </c>
      <c r="AL70" s="115">
        <f t="shared" si="48"/>
        <v>0</v>
      </c>
      <c r="AM70" s="104">
        <f t="shared" si="49"/>
        <v>1</v>
      </c>
      <c r="AN70" s="75">
        <f t="shared" si="50"/>
        <v>1</v>
      </c>
      <c r="AO70" s="115">
        <f t="shared" si="51"/>
        <v>0</v>
      </c>
      <c r="AP70" s="104">
        <f t="shared" si="52"/>
        <v>0</v>
      </c>
      <c r="AQ70" s="75">
        <f t="shared" si="53"/>
        <v>0</v>
      </c>
      <c r="BL70" s="64">
        <v>27</v>
      </c>
    </row>
    <row r="71" spans="1:64" s="64" customFormat="1">
      <c r="A71" s="64" t="s">
        <v>130</v>
      </c>
      <c r="B71" s="64">
        <v>138</v>
      </c>
      <c r="C71" s="64" t="s">
        <v>38</v>
      </c>
      <c r="D71" s="64" t="s">
        <v>32</v>
      </c>
      <c r="E71" s="64">
        <v>3</v>
      </c>
      <c r="F71" s="64">
        <v>6</v>
      </c>
      <c r="G71" s="64">
        <f t="shared" si="31"/>
        <v>0</v>
      </c>
      <c r="H71" s="64">
        <f t="shared" si="32"/>
        <v>0</v>
      </c>
      <c r="I71" s="64">
        <f t="shared" si="33"/>
        <v>1</v>
      </c>
      <c r="J71" s="64">
        <f t="shared" si="34"/>
        <v>0</v>
      </c>
      <c r="K71" s="64">
        <f t="shared" si="35"/>
        <v>0</v>
      </c>
      <c r="L71" s="64">
        <f t="shared" si="36"/>
        <v>0</v>
      </c>
      <c r="M71" s="75">
        <f t="shared" si="37"/>
        <v>0</v>
      </c>
      <c r="N71" s="64">
        <f t="shared" si="38"/>
        <v>0</v>
      </c>
      <c r="O71" s="64">
        <f t="shared" si="39"/>
        <v>0</v>
      </c>
      <c r="P71" s="64">
        <f t="shared" si="40"/>
        <v>0</v>
      </c>
      <c r="Q71" s="64">
        <f t="shared" si="41"/>
        <v>0</v>
      </c>
      <c r="R71" s="64">
        <f t="shared" si="42"/>
        <v>0</v>
      </c>
      <c r="S71" s="64">
        <f t="shared" si="43"/>
        <v>1</v>
      </c>
      <c r="T71" s="64">
        <f t="shared" si="44"/>
        <v>0</v>
      </c>
      <c r="U71" s="64" t="s">
        <v>130</v>
      </c>
      <c r="V71" s="64" t="s">
        <v>38</v>
      </c>
      <c r="W71" s="64">
        <v>845</v>
      </c>
      <c r="X71" s="64">
        <v>1040</v>
      </c>
      <c r="Y71" s="64">
        <v>1021</v>
      </c>
      <c r="Z71" s="64">
        <v>962</v>
      </c>
      <c r="AA71" s="64">
        <v>1056</v>
      </c>
      <c r="AB71" s="64">
        <v>1650</v>
      </c>
      <c r="AC71" s="64">
        <v>117</v>
      </c>
      <c r="AD71" s="64">
        <v>16</v>
      </c>
      <c r="AE71" s="64">
        <v>629</v>
      </c>
      <c r="AF71" s="64">
        <v>117</v>
      </c>
      <c r="AG71" s="64">
        <v>16</v>
      </c>
      <c r="AH71" s="64">
        <v>629</v>
      </c>
      <c r="AI71" s="115">
        <f t="shared" si="45"/>
        <v>1</v>
      </c>
      <c r="AJ71" s="104">
        <f t="shared" si="46"/>
        <v>1</v>
      </c>
      <c r="AK71" s="75">
        <f t="shared" si="47"/>
        <v>1</v>
      </c>
      <c r="AL71" s="115">
        <f t="shared" si="48"/>
        <v>0</v>
      </c>
      <c r="AM71" s="104">
        <f t="shared" si="49"/>
        <v>0</v>
      </c>
      <c r="AN71" s="75">
        <f t="shared" si="50"/>
        <v>0</v>
      </c>
      <c r="AO71" s="115">
        <f t="shared" si="51"/>
        <v>0</v>
      </c>
      <c r="AP71" s="104">
        <f t="shared" si="52"/>
        <v>0</v>
      </c>
      <c r="AQ71" s="75">
        <f t="shared" si="53"/>
        <v>0</v>
      </c>
      <c r="BL71" s="64">
        <v>117</v>
      </c>
    </row>
    <row r="72" spans="1:64" s="64" customFormat="1">
      <c r="A72" s="64" t="s">
        <v>131</v>
      </c>
      <c r="B72" s="64">
        <v>105</v>
      </c>
      <c r="C72" s="64" t="s">
        <v>38</v>
      </c>
      <c r="D72" s="64" t="s">
        <v>35</v>
      </c>
      <c r="E72" s="64">
        <v>5</v>
      </c>
      <c r="F72" s="64">
        <v>6</v>
      </c>
      <c r="G72" s="64">
        <f t="shared" si="31"/>
        <v>0</v>
      </c>
      <c r="H72" s="64">
        <f t="shared" si="32"/>
        <v>0</v>
      </c>
      <c r="I72" s="64">
        <f t="shared" si="33"/>
        <v>0</v>
      </c>
      <c r="J72" s="64">
        <f t="shared" si="34"/>
        <v>0</v>
      </c>
      <c r="K72" s="64">
        <f t="shared" si="35"/>
        <v>1</v>
      </c>
      <c r="L72" s="64">
        <f t="shared" si="36"/>
        <v>0</v>
      </c>
      <c r="M72" s="75">
        <f t="shared" si="37"/>
        <v>0</v>
      </c>
      <c r="N72" s="64">
        <f t="shared" si="38"/>
        <v>0</v>
      </c>
      <c r="O72" s="64">
        <f t="shared" si="39"/>
        <v>0</v>
      </c>
      <c r="P72" s="64">
        <f t="shared" si="40"/>
        <v>0</v>
      </c>
      <c r="Q72" s="64">
        <f t="shared" si="41"/>
        <v>0</v>
      </c>
      <c r="R72" s="64">
        <f t="shared" si="42"/>
        <v>0</v>
      </c>
      <c r="S72" s="64">
        <f t="shared" si="43"/>
        <v>1</v>
      </c>
      <c r="T72" s="64">
        <f t="shared" si="44"/>
        <v>0</v>
      </c>
      <c r="U72" s="64" t="s">
        <v>131</v>
      </c>
      <c r="V72" s="64" t="s">
        <v>38</v>
      </c>
      <c r="W72" s="64">
        <v>1551</v>
      </c>
      <c r="X72" s="64">
        <v>1572</v>
      </c>
      <c r="Y72" s="64">
        <v>1469</v>
      </c>
      <c r="Z72" s="64">
        <v>3420</v>
      </c>
      <c r="AA72" s="64">
        <v>3098</v>
      </c>
      <c r="AB72" s="64">
        <v>1571</v>
      </c>
      <c r="AC72" s="64">
        <v>1869</v>
      </c>
      <c r="AD72" s="64">
        <v>1526</v>
      </c>
      <c r="AE72" s="64">
        <v>102</v>
      </c>
      <c r="AF72" s="64">
        <v>1869</v>
      </c>
      <c r="AG72" s="64">
        <v>1526</v>
      </c>
      <c r="AH72" s="64">
        <v>102</v>
      </c>
      <c r="AI72" s="115">
        <f t="shared" si="45"/>
        <v>1</v>
      </c>
      <c r="AJ72" s="104">
        <f t="shared" si="46"/>
        <v>1</v>
      </c>
      <c r="AK72" s="75">
        <f t="shared" si="47"/>
        <v>1</v>
      </c>
      <c r="AL72" s="115">
        <f t="shared" si="48"/>
        <v>0</v>
      </c>
      <c r="AM72" s="104">
        <f t="shared" si="49"/>
        <v>0</v>
      </c>
      <c r="AN72" s="75">
        <f t="shared" si="50"/>
        <v>0</v>
      </c>
      <c r="AO72" s="115">
        <f t="shared" si="51"/>
        <v>0</v>
      </c>
      <c r="AP72" s="104">
        <f t="shared" si="52"/>
        <v>0</v>
      </c>
      <c r="AQ72" s="75">
        <f t="shared" si="53"/>
        <v>0</v>
      </c>
      <c r="BL72" s="64">
        <v>1869</v>
      </c>
    </row>
    <row r="73" spans="1:64" s="64" customFormat="1">
      <c r="A73" s="64" t="s">
        <v>132</v>
      </c>
      <c r="B73" s="64">
        <v>124</v>
      </c>
      <c r="C73" s="64" t="s">
        <v>38</v>
      </c>
      <c r="D73" s="64" t="s">
        <v>33</v>
      </c>
      <c r="E73" s="64">
        <v>2</v>
      </c>
      <c r="F73" s="64">
        <v>2</v>
      </c>
      <c r="G73" s="64">
        <f t="shared" si="31"/>
        <v>0</v>
      </c>
      <c r="H73" s="64">
        <f t="shared" si="32"/>
        <v>1</v>
      </c>
      <c r="I73" s="64">
        <f t="shared" si="33"/>
        <v>0</v>
      </c>
      <c r="J73" s="64">
        <f t="shared" si="34"/>
        <v>0</v>
      </c>
      <c r="K73" s="64">
        <f t="shared" si="35"/>
        <v>0</v>
      </c>
      <c r="L73" s="64">
        <f t="shared" si="36"/>
        <v>0</v>
      </c>
      <c r="M73" s="75">
        <f t="shared" si="37"/>
        <v>0</v>
      </c>
      <c r="N73" s="64">
        <f t="shared" si="38"/>
        <v>0</v>
      </c>
      <c r="O73" s="64">
        <f t="shared" si="39"/>
        <v>1</v>
      </c>
      <c r="P73" s="64">
        <f t="shared" si="40"/>
        <v>0</v>
      </c>
      <c r="Q73" s="64">
        <f t="shared" si="41"/>
        <v>0</v>
      </c>
      <c r="R73" s="64">
        <f t="shared" si="42"/>
        <v>0</v>
      </c>
      <c r="S73" s="64">
        <f t="shared" si="43"/>
        <v>0</v>
      </c>
      <c r="T73" s="64">
        <f t="shared" si="44"/>
        <v>0</v>
      </c>
      <c r="U73" s="64" t="s">
        <v>132</v>
      </c>
      <c r="V73" s="64" t="s">
        <v>38</v>
      </c>
      <c r="W73" s="64">
        <v>88</v>
      </c>
      <c r="X73" s="64">
        <v>129</v>
      </c>
      <c r="Y73" s="64">
        <v>227</v>
      </c>
      <c r="Z73" s="64">
        <v>101</v>
      </c>
      <c r="AA73" s="64">
        <v>142</v>
      </c>
      <c r="AB73" s="64">
        <v>245</v>
      </c>
      <c r="AC73" s="64">
        <v>13</v>
      </c>
      <c r="AD73" s="64">
        <v>13</v>
      </c>
      <c r="AE73" s="64">
        <v>18</v>
      </c>
      <c r="AF73" s="64">
        <v>13</v>
      </c>
      <c r="AG73" s="64">
        <v>13</v>
      </c>
      <c r="AH73" s="64">
        <v>18</v>
      </c>
      <c r="AI73" s="115">
        <f t="shared" si="45"/>
        <v>1</v>
      </c>
      <c r="AJ73" s="104">
        <f t="shared" si="46"/>
        <v>1</v>
      </c>
      <c r="AK73" s="75">
        <f t="shared" si="47"/>
        <v>1</v>
      </c>
      <c r="AL73" s="115">
        <f t="shared" si="48"/>
        <v>0</v>
      </c>
      <c r="AM73" s="104">
        <f t="shared" si="49"/>
        <v>0</v>
      </c>
      <c r="AN73" s="75">
        <f t="shared" si="50"/>
        <v>0</v>
      </c>
      <c r="AO73" s="115">
        <f t="shared" si="51"/>
        <v>0</v>
      </c>
      <c r="AP73" s="104">
        <f t="shared" si="52"/>
        <v>0</v>
      </c>
      <c r="AQ73" s="75">
        <f t="shared" si="53"/>
        <v>0</v>
      </c>
      <c r="BL73" s="64">
        <v>13</v>
      </c>
    </row>
    <row r="74" spans="1:64" s="64" customFormat="1">
      <c r="A74" s="64" t="s">
        <v>137</v>
      </c>
      <c r="B74" s="64">
        <v>138</v>
      </c>
      <c r="C74" s="64" t="s">
        <v>38</v>
      </c>
      <c r="D74" s="64" t="s">
        <v>32</v>
      </c>
      <c r="E74" s="64">
        <v>6</v>
      </c>
      <c r="F74" s="64">
        <v>6</v>
      </c>
      <c r="G74" s="64">
        <f t="shared" si="31"/>
        <v>0</v>
      </c>
      <c r="H74" s="64">
        <f t="shared" si="32"/>
        <v>0</v>
      </c>
      <c r="I74" s="64">
        <f t="shared" si="33"/>
        <v>0</v>
      </c>
      <c r="J74" s="64">
        <f t="shared" si="34"/>
        <v>0</v>
      </c>
      <c r="K74" s="64">
        <f t="shared" si="35"/>
        <v>0</v>
      </c>
      <c r="L74" s="64">
        <f t="shared" si="36"/>
        <v>1</v>
      </c>
      <c r="M74" s="75">
        <f t="shared" si="37"/>
        <v>0</v>
      </c>
      <c r="N74" s="64">
        <f t="shared" si="38"/>
        <v>0</v>
      </c>
      <c r="O74" s="64">
        <f t="shared" si="39"/>
        <v>0</v>
      </c>
      <c r="P74" s="64">
        <f t="shared" si="40"/>
        <v>0</v>
      </c>
      <c r="Q74" s="64">
        <f t="shared" si="41"/>
        <v>0</v>
      </c>
      <c r="R74" s="64">
        <f t="shared" si="42"/>
        <v>0</v>
      </c>
      <c r="S74" s="64">
        <f t="shared" si="43"/>
        <v>1</v>
      </c>
      <c r="T74" s="64">
        <f t="shared" si="44"/>
        <v>0</v>
      </c>
      <c r="U74" s="64" t="s">
        <v>137</v>
      </c>
      <c r="V74" s="64" t="s">
        <v>38</v>
      </c>
      <c r="W74" s="64">
        <v>696</v>
      </c>
      <c r="X74" s="64">
        <v>743</v>
      </c>
      <c r="Y74" s="64">
        <v>632</v>
      </c>
      <c r="Z74" s="64">
        <v>702</v>
      </c>
      <c r="AA74" s="64">
        <v>786</v>
      </c>
      <c r="AB74" s="64">
        <v>645</v>
      </c>
      <c r="AC74" s="64">
        <v>6</v>
      </c>
      <c r="AD74" s="64">
        <v>43</v>
      </c>
      <c r="AE74" s="64">
        <v>13</v>
      </c>
      <c r="AF74" s="64">
        <v>6</v>
      </c>
      <c r="AG74" s="64">
        <v>43</v>
      </c>
      <c r="AH74" s="64">
        <v>13</v>
      </c>
      <c r="AI74" s="115">
        <f t="shared" si="45"/>
        <v>1</v>
      </c>
      <c r="AJ74" s="104">
        <f t="shared" si="46"/>
        <v>1</v>
      </c>
      <c r="AK74" s="75">
        <f t="shared" si="47"/>
        <v>1</v>
      </c>
      <c r="AL74" s="115">
        <f t="shared" si="48"/>
        <v>0</v>
      </c>
      <c r="AM74" s="104">
        <f t="shared" si="49"/>
        <v>0</v>
      </c>
      <c r="AN74" s="75">
        <f t="shared" si="50"/>
        <v>0</v>
      </c>
      <c r="AO74" s="115">
        <f t="shared" si="51"/>
        <v>0</v>
      </c>
      <c r="AP74" s="104">
        <f t="shared" si="52"/>
        <v>0</v>
      </c>
      <c r="AQ74" s="75">
        <f t="shared" si="53"/>
        <v>0</v>
      </c>
      <c r="BL74" s="64">
        <v>6</v>
      </c>
    </row>
    <row r="75" spans="1:64" s="64" customFormat="1">
      <c r="A75" s="64" t="s">
        <v>138</v>
      </c>
      <c r="B75" s="64">
        <v>85</v>
      </c>
      <c r="C75" s="64" t="s">
        <v>38</v>
      </c>
      <c r="D75" s="64" t="s">
        <v>32</v>
      </c>
      <c r="E75" s="64">
        <v>1</v>
      </c>
      <c r="F75" s="64">
        <v>7</v>
      </c>
      <c r="G75" s="64">
        <f t="shared" si="31"/>
        <v>1</v>
      </c>
      <c r="H75" s="64">
        <f t="shared" si="32"/>
        <v>0</v>
      </c>
      <c r="I75" s="64">
        <f t="shared" si="33"/>
        <v>0</v>
      </c>
      <c r="J75" s="64">
        <f t="shared" si="34"/>
        <v>0</v>
      </c>
      <c r="K75" s="64">
        <f t="shared" si="35"/>
        <v>0</v>
      </c>
      <c r="L75" s="64">
        <f t="shared" si="36"/>
        <v>0</v>
      </c>
      <c r="M75" s="75">
        <f t="shared" si="37"/>
        <v>0</v>
      </c>
      <c r="N75" s="64">
        <f t="shared" si="38"/>
        <v>0</v>
      </c>
      <c r="O75" s="64">
        <f t="shared" si="39"/>
        <v>0</v>
      </c>
      <c r="P75" s="64">
        <f t="shared" si="40"/>
        <v>0</v>
      </c>
      <c r="Q75" s="64">
        <f t="shared" si="41"/>
        <v>0</v>
      </c>
      <c r="R75" s="64">
        <f t="shared" si="42"/>
        <v>0</v>
      </c>
      <c r="S75" s="64">
        <f t="shared" si="43"/>
        <v>0</v>
      </c>
      <c r="T75" s="64">
        <f t="shared" si="44"/>
        <v>1</v>
      </c>
      <c r="U75" s="64" t="s">
        <v>138</v>
      </c>
      <c r="V75" s="64" t="s">
        <v>38</v>
      </c>
      <c r="W75" s="64">
        <v>489</v>
      </c>
      <c r="X75" s="64">
        <v>603</v>
      </c>
      <c r="Y75" s="64">
        <v>671</v>
      </c>
      <c r="Z75" s="64">
        <v>583</v>
      </c>
      <c r="AA75" s="64">
        <v>604</v>
      </c>
      <c r="AB75" s="64">
        <v>726</v>
      </c>
      <c r="AC75" s="64">
        <v>94</v>
      </c>
      <c r="AD75" s="64">
        <v>1</v>
      </c>
      <c r="AE75" s="64">
        <v>55</v>
      </c>
      <c r="AF75" s="64">
        <v>62</v>
      </c>
      <c r="AG75" s="64">
        <v>1</v>
      </c>
      <c r="AH75" s="64">
        <v>55</v>
      </c>
      <c r="AI75" s="115">
        <f t="shared" si="45"/>
        <v>1</v>
      </c>
      <c r="AJ75" s="104">
        <f t="shared" si="46"/>
        <v>1</v>
      </c>
      <c r="AK75" s="75">
        <f t="shared" si="47"/>
        <v>1</v>
      </c>
      <c r="AL75" s="115">
        <f t="shared" si="48"/>
        <v>0</v>
      </c>
      <c r="AM75" s="104">
        <f t="shared" si="49"/>
        <v>0</v>
      </c>
      <c r="AN75" s="75">
        <f t="shared" si="50"/>
        <v>0</v>
      </c>
      <c r="AO75" s="115">
        <f t="shared" si="51"/>
        <v>0</v>
      </c>
      <c r="AP75" s="104">
        <f t="shared" si="52"/>
        <v>0</v>
      </c>
      <c r="AQ75" s="75">
        <f t="shared" si="53"/>
        <v>0</v>
      </c>
      <c r="BL75" s="64">
        <v>94</v>
      </c>
    </row>
    <row r="76" spans="1:64" s="12" customFormat="1">
      <c r="A76" s="12" t="s">
        <v>133</v>
      </c>
      <c r="B76" s="12">
        <v>95</v>
      </c>
      <c r="C76" s="12" t="s">
        <v>39</v>
      </c>
      <c r="D76" s="12" t="s">
        <v>32</v>
      </c>
      <c r="E76" s="12">
        <v>6</v>
      </c>
      <c r="F76" s="12">
        <v>7</v>
      </c>
      <c r="G76" s="12">
        <f t="shared" si="31"/>
        <v>0</v>
      </c>
      <c r="H76" s="12">
        <f t="shared" si="32"/>
        <v>0</v>
      </c>
      <c r="I76" s="12">
        <f t="shared" si="33"/>
        <v>0</v>
      </c>
      <c r="J76" s="12">
        <f t="shared" si="34"/>
        <v>0</v>
      </c>
      <c r="K76" s="12">
        <f t="shared" si="35"/>
        <v>0</v>
      </c>
      <c r="L76" s="12">
        <f t="shared" si="36"/>
        <v>1</v>
      </c>
      <c r="M76" s="76">
        <f t="shared" si="37"/>
        <v>0</v>
      </c>
      <c r="N76" s="12">
        <f t="shared" si="38"/>
        <v>0</v>
      </c>
      <c r="O76" s="12">
        <f t="shared" si="39"/>
        <v>0</v>
      </c>
      <c r="P76" s="12">
        <f t="shared" si="40"/>
        <v>0</v>
      </c>
      <c r="Q76" s="12">
        <f t="shared" si="41"/>
        <v>0</v>
      </c>
      <c r="R76" s="12">
        <f t="shared" si="42"/>
        <v>0</v>
      </c>
      <c r="S76" s="12">
        <f t="shared" si="43"/>
        <v>0</v>
      </c>
      <c r="T76" s="12">
        <f t="shared" si="44"/>
        <v>1</v>
      </c>
      <c r="U76" s="12" t="s">
        <v>133</v>
      </c>
      <c r="V76" s="12" t="s">
        <v>39</v>
      </c>
      <c r="W76" s="12">
        <v>342</v>
      </c>
      <c r="X76" s="12">
        <v>503</v>
      </c>
      <c r="Y76" s="12">
        <v>398</v>
      </c>
      <c r="Z76" s="12">
        <v>461</v>
      </c>
      <c r="AA76" s="12">
        <v>569</v>
      </c>
      <c r="AB76" s="12">
        <v>524</v>
      </c>
      <c r="AC76" s="12">
        <v>119</v>
      </c>
      <c r="AD76" s="12">
        <v>66</v>
      </c>
      <c r="AE76" s="12">
        <v>126</v>
      </c>
      <c r="AF76" s="12">
        <v>119</v>
      </c>
      <c r="AG76" s="12">
        <v>65</v>
      </c>
      <c r="AH76" s="12">
        <v>126</v>
      </c>
      <c r="AI76" s="116">
        <f t="shared" si="45"/>
        <v>1</v>
      </c>
      <c r="AJ76" s="105">
        <f t="shared" si="46"/>
        <v>1</v>
      </c>
      <c r="AK76" s="76">
        <f t="shared" si="47"/>
        <v>1</v>
      </c>
      <c r="AL76" s="116">
        <f t="shared" si="48"/>
        <v>0</v>
      </c>
      <c r="AM76" s="105">
        <f t="shared" si="49"/>
        <v>0</v>
      </c>
      <c r="AN76" s="76">
        <f t="shared" si="50"/>
        <v>0</v>
      </c>
      <c r="AO76" s="116">
        <f t="shared" si="51"/>
        <v>0</v>
      </c>
      <c r="AP76" s="105">
        <f t="shared" si="52"/>
        <v>0</v>
      </c>
      <c r="AQ76" s="76">
        <f t="shared" si="53"/>
        <v>0</v>
      </c>
      <c r="BL76" s="12">
        <v>119</v>
      </c>
    </row>
    <row r="77" spans="1:64" s="65" customFormat="1">
      <c r="A77" s="65" t="s">
        <v>75</v>
      </c>
      <c r="B77" s="65">
        <v>50</v>
      </c>
      <c r="C77" s="65" t="s">
        <v>40</v>
      </c>
      <c r="D77" s="65" t="s">
        <v>35</v>
      </c>
      <c r="E77" s="65">
        <v>2</v>
      </c>
      <c r="F77" s="65">
        <v>2</v>
      </c>
      <c r="G77" s="65">
        <f t="shared" si="31"/>
        <v>0</v>
      </c>
      <c r="H77" s="65">
        <f t="shared" si="32"/>
        <v>1</v>
      </c>
      <c r="I77" s="65">
        <f t="shared" si="33"/>
        <v>0</v>
      </c>
      <c r="J77" s="65">
        <f t="shared" si="34"/>
        <v>0</v>
      </c>
      <c r="K77" s="65">
        <f t="shared" si="35"/>
        <v>0</v>
      </c>
      <c r="L77" s="65">
        <f t="shared" si="36"/>
        <v>0</v>
      </c>
      <c r="M77" s="77">
        <f t="shared" si="37"/>
        <v>0</v>
      </c>
      <c r="N77" s="65">
        <f t="shared" si="38"/>
        <v>0</v>
      </c>
      <c r="O77" s="65">
        <f t="shared" si="39"/>
        <v>1</v>
      </c>
      <c r="P77" s="65">
        <f t="shared" si="40"/>
        <v>0</v>
      </c>
      <c r="Q77" s="65">
        <f t="shared" si="41"/>
        <v>0</v>
      </c>
      <c r="R77" s="65">
        <f t="shared" si="42"/>
        <v>0</v>
      </c>
      <c r="S77" s="65">
        <f t="shared" si="43"/>
        <v>0</v>
      </c>
      <c r="T77" s="65">
        <f t="shared" si="44"/>
        <v>0</v>
      </c>
      <c r="U77" s="65" t="s">
        <v>75</v>
      </c>
      <c r="V77" s="65" t="s">
        <v>40</v>
      </c>
      <c r="W77" s="65">
        <v>219</v>
      </c>
      <c r="X77" s="65">
        <v>136</v>
      </c>
      <c r="Y77" s="65">
        <v>161</v>
      </c>
      <c r="Z77" s="65">
        <v>230</v>
      </c>
      <c r="AA77" s="65">
        <v>163</v>
      </c>
      <c r="AB77" s="65">
        <v>172</v>
      </c>
      <c r="AC77" s="65">
        <v>11</v>
      </c>
      <c r="AD77" s="65">
        <v>27</v>
      </c>
      <c r="AE77" s="65">
        <v>11</v>
      </c>
      <c r="AF77" s="65">
        <v>11</v>
      </c>
      <c r="AG77" s="65">
        <v>27</v>
      </c>
      <c r="AH77" s="65">
        <v>11</v>
      </c>
      <c r="AI77" s="117">
        <f t="shared" si="45"/>
        <v>1</v>
      </c>
      <c r="AJ77" s="106">
        <f t="shared" si="46"/>
        <v>1</v>
      </c>
      <c r="AK77" s="77">
        <f t="shared" si="47"/>
        <v>1</v>
      </c>
      <c r="AL77" s="117">
        <f t="shared" si="48"/>
        <v>0</v>
      </c>
      <c r="AM77" s="106">
        <f t="shared" si="49"/>
        <v>0</v>
      </c>
      <c r="AN77" s="77">
        <f t="shared" si="50"/>
        <v>0</v>
      </c>
      <c r="AO77" s="117">
        <f t="shared" si="51"/>
        <v>0</v>
      </c>
      <c r="AP77" s="106">
        <f t="shared" si="52"/>
        <v>0</v>
      </c>
      <c r="AQ77" s="77">
        <f t="shared" si="53"/>
        <v>0</v>
      </c>
      <c r="BL77" s="65">
        <v>11</v>
      </c>
    </row>
    <row r="78" spans="1:64" s="45" customFormat="1">
      <c r="A78" s="45" t="s">
        <v>76</v>
      </c>
      <c r="B78" s="45">
        <v>40</v>
      </c>
      <c r="C78" s="45" t="s">
        <v>41</v>
      </c>
      <c r="D78" s="45" t="s">
        <v>33</v>
      </c>
      <c r="E78" s="45">
        <v>1</v>
      </c>
      <c r="F78" s="45">
        <v>2</v>
      </c>
      <c r="G78" s="45">
        <f t="shared" si="31"/>
        <v>1</v>
      </c>
      <c r="H78" s="45">
        <f t="shared" si="32"/>
        <v>0</v>
      </c>
      <c r="I78" s="45">
        <f t="shared" si="33"/>
        <v>0</v>
      </c>
      <c r="J78" s="45">
        <f t="shared" si="34"/>
        <v>0</v>
      </c>
      <c r="K78" s="45">
        <f t="shared" si="35"/>
        <v>0</v>
      </c>
      <c r="L78" s="45">
        <f t="shared" si="36"/>
        <v>0</v>
      </c>
      <c r="M78" s="73">
        <f t="shared" si="37"/>
        <v>0</v>
      </c>
      <c r="N78" s="45">
        <f t="shared" si="38"/>
        <v>0</v>
      </c>
      <c r="O78" s="45">
        <f t="shared" si="39"/>
        <v>1</v>
      </c>
      <c r="P78" s="45">
        <f t="shared" si="40"/>
        <v>0</v>
      </c>
      <c r="Q78" s="45">
        <f t="shared" si="41"/>
        <v>0</v>
      </c>
      <c r="R78" s="45">
        <f t="shared" si="42"/>
        <v>0</v>
      </c>
      <c r="S78" s="45">
        <f t="shared" si="43"/>
        <v>0</v>
      </c>
      <c r="T78" s="45">
        <f t="shared" si="44"/>
        <v>0</v>
      </c>
      <c r="U78" s="45" t="s">
        <v>76</v>
      </c>
      <c r="V78" s="45" t="s">
        <v>41</v>
      </c>
      <c r="W78" s="46">
        <f>(AU78/1969)*40</f>
        <v>394.18994413407825</v>
      </c>
      <c r="X78" s="46">
        <f t="shared" ref="X78:AH78" si="54">(AV78/1969)*40</f>
        <v>574.26104621635341</v>
      </c>
      <c r="Y78" s="46">
        <f t="shared" si="54"/>
        <v>541.24936515997967</v>
      </c>
      <c r="Z78" s="46">
        <f t="shared" si="54"/>
        <v>391.73184357541902</v>
      </c>
      <c r="AA78" s="46">
        <f t="shared" si="54"/>
        <v>489.73082783138648</v>
      </c>
      <c r="AB78" s="46">
        <f t="shared" si="54"/>
        <v>743.44337227018798</v>
      </c>
      <c r="AC78" s="46">
        <f t="shared" si="54"/>
        <v>-2.4581005586592179</v>
      </c>
      <c r="AD78" s="46">
        <f t="shared" si="54"/>
        <v>-84.530218384966986</v>
      </c>
      <c r="AE78" s="46">
        <f t="shared" si="54"/>
        <v>202.19400711020822</v>
      </c>
      <c r="AF78" s="46">
        <f t="shared" si="54"/>
        <v>-9.2026409344845099</v>
      </c>
      <c r="AG78" s="46">
        <f t="shared" si="54"/>
        <v>-84.530218384966986</v>
      </c>
      <c r="AH78" s="46">
        <f t="shared" si="54"/>
        <v>202.19400711020822</v>
      </c>
      <c r="AI78" s="113">
        <f t="shared" si="45"/>
        <v>0</v>
      </c>
      <c r="AJ78" s="102">
        <f t="shared" si="46"/>
        <v>0</v>
      </c>
      <c r="AK78" s="73">
        <f t="shared" si="47"/>
        <v>1</v>
      </c>
      <c r="AL78" s="113">
        <f t="shared" si="48"/>
        <v>1</v>
      </c>
      <c r="AM78" s="102">
        <f t="shared" si="49"/>
        <v>1</v>
      </c>
      <c r="AN78" s="73">
        <f t="shared" si="50"/>
        <v>0</v>
      </c>
      <c r="AO78" s="113">
        <f t="shared" si="51"/>
        <v>0</v>
      </c>
      <c r="AP78" s="102">
        <f t="shared" si="52"/>
        <v>0</v>
      </c>
      <c r="AQ78" s="73">
        <f t="shared" si="53"/>
        <v>0</v>
      </c>
      <c r="AU78" s="45">
        <v>19404</v>
      </c>
      <c r="AV78" s="45">
        <v>28268</v>
      </c>
      <c r="AW78" s="45">
        <v>26643</v>
      </c>
      <c r="AX78" s="45">
        <v>19283</v>
      </c>
      <c r="AY78" s="45">
        <v>24107</v>
      </c>
      <c r="AZ78" s="45">
        <v>36596</v>
      </c>
      <c r="BA78" s="45">
        <v>-121</v>
      </c>
      <c r="BB78" s="45">
        <v>-4161</v>
      </c>
      <c r="BC78" s="45">
        <v>9953</v>
      </c>
      <c r="BD78" s="45">
        <v>-453</v>
      </c>
      <c r="BE78" s="45">
        <v>-4161</v>
      </c>
      <c r="BF78" s="45">
        <v>9953</v>
      </c>
      <c r="BL78" s="45">
        <v>-2.4581005586592179</v>
      </c>
    </row>
    <row r="79" spans="1:64" s="45" customFormat="1">
      <c r="A79" s="45" t="s">
        <v>79</v>
      </c>
      <c r="B79" s="45">
        <v>30</v>
      </c>
      <c r="C79" s="45" t="s">
        <v>41</v>
      </c>
      <c r="D79" s="45" t="s">
        <v>33</v>
      </c>
      <c r="E79" s="45">
        <v>3</v>
      </c>
      <c r="F79" s="45">
        <v>1</v>
      </c>
      <c r="G79" s="45">
        <f t="shared" si="31"/>
        <v>0</v>
      </c>
      <c r="H79" s="45">
        <f t="shared" si="32"/>
        <v>0</v>
      </c>
      <c r="I79" s="45">
        <f t="shared" si="33"/>
        <v>1</v>
      </c>
      <c r="J79" s="45">
        <f t="shared" si="34"/>
        <v>0</v>
      </c>
      <c r="K79" s="45">
        <f t="shared" si="35"/>
        <v>0</v>
      </c>
      <c r="L79" s="45">
        <f t="shared" si="36"/>
        <v>0</v>
      </c>
      <c r="M79" s="73">
        <f t="shared" si="37"/>
        <v>0</v>
      </c>
      <c r="N79" s="45">
        <f t="shared" si="38"/>
        <v>1</v>
      </c>
      <c r="O79" s="45">
        <f t="shared" si="39"/>
        <v>0</v>
      </c>
      <c r="P79" s="45">
        <f t="shared" si="40"/>
        <v>0</v>
      </c>
      <c r="Q79" s="45">
        <f t="shared" si="41"/>
        <v>0</v>
      </c>
      <c r="R79" s="45">
        <f t="shared" si="42"/>
        <v>0</v>
      </c>
      <c r="S79" s="45">
        <f t="shared" si="43"/>
        <v>0</v>
      </c>
      <c r="T79" s="45">
        <f t="shared" si="44"/>
        <v>0</v>
      </c>
      <c r="U79" s="45" t="s">
        <v>79</v>
      </c>
      <c r="V79" s="45" t="s">
        <v>41</v>
      </c>
      <c r="W79" s="45">
        <v>247</v>
      </c>
      <c r="X79" s="45">
        <v>179</v>
      </c>
      <c r="Y79" s="45">
        <v>296</v>
      </c>
      <c r="Z79" s="45">
        <v>224</v>
      </c>
      <c r="AA79" s="45">
        <v>210</v>
      </c>
      <c r="AB79" s="45">
        <v>293</v>
      </c>
      <c r="AC79" s="45">
        <v>-23</v>
      </c>
      <c r="AD79" s="45">
        <v>31</v>
      </c>
      <c r="AE79" s="45">
        <v>-3</v>
      </c>
      <c r="AF79" s="45">
        <v>-23</v>
      </c>
      <c r="AG79" s="45">
        <v>31</v>
      </c>
      <c r="AH79" s="45">
        <v>-3</v>
      </c>
      <c r="AI79" s="113">
        <f t="shared" si="45"/>
        <v>0</v>
      </c>
      <c r="AJ79" s="102">
        <f t="shared" si="46"/>
        <v>1</v>
      </c>
      <c r="AK79" s="73">
        <f t="shared" si="47"/>
        <v>0</v>
      </c>
      <c r="AL79" s="113">
        <f t="shared" si="48"/>
        <v>1</v>
      </c>
      <c r="AM79" s="102">
        <f t="shared" si="49"/>
        <v>0</v>
      </c>
      <c r="AN79" s="73">
        <f t="shared" si="50"/>
        <v>1</v>
      </c>
      <c r="AO79" s="113">
        <f t="shared" si="51"/>
        <v>0</v>
      </c>
      <c r="AP79" s="102">
        <f t="shared" si="52"/>
        <v>0</v>
      </c>
      <c r="AQ79" s="73">
        <f t="shared" si="53"/>
        <v>0</v>
      </c>
      <c r="BL79" s="45">
        <v>-23</v>
      </c>
    </row>
    <row r="80" spans="1:64" s="45" customFormat="1">
      <c r="A80" s="45" t="s">
        <v>87</v>
      </c>
      <c r="B80" s="45">
        <v>120</v>
      </c>
      <c r="C80" s="45" t="s">
        <v>41</v>
      </c>
      <c r="D80" s="45" t="s">
        <v>35</v>
      </c>
      <c r="E80" s="45">
        <v>5</v>
      </c>
      <c r="F80" s="45">
        <v>7</v>
      </c>
      <c r="G80" s="45">
        <f t="shared" si="31"/>
        <v>0</v>
      </c>
      <c r="H80" s="45">
        <f t="shared" si="32"/>
        <v>0</v>
      </c>
      <c r="I80" s="45">
        <f t="shared" si="33"/>
        <v>0</v>
      </c>
      <c r="J80" s="45">
        <f t="shared" si="34"/>
        <v>0</v>
      </c>
      <c r="K80" s="45">
        <f t="shared" si="35"/>
        <v>1</v>
      </c>
      <c r="L80" s="45">
        <f t="shared" si="36"/>
        <v>0</v>
      </c>
      <c r="M80" s="73">
        <f t="shared" si="37"/>
        <v>0</v>
      </c>
      <c r="N80" s="45">
        <f t="shared" si="38"/>
        <v>0</v>
      </c>
      <c r="O80" s="45">
        <f t="shared" si="39"/>
        <v>0</v>
      </c>
      <c r="P80" s="45">
        <f t="shared" si="40"/>
        <v>0</v>
      </c>
      <c r="Q80" s="45">
        <f t="shared" si="41"/>
        <v>0</v>
      </c>
      <c r="R80" s="45">
        <f t="shared" si="42"/>
        <v>0</v>
      </c>
      <c r="S80" s="45">
        <f t="shared" si="43"/>
        <v>0</v>
      </c>
      <c r="T80" s="45">
        <f t="shared" si="44"/>
        <v>1</v>
      </c>
      <c r="U80" s="45" t="s">
        <v>87</v>
      </c>
      <c r="V80" s="45" t="s">
        <v>41</v>
      </c>
      <c r="W80" s="45">
        <v>151</v>
      </c>
      <c r="X80" s="45">
        <v>278</v>
      </c>
      <c r="Y80" s="45">
        <v>181</v>
      </c>
      <c r="Z80" s="45">
        <v>210</v>
      </c>
      <c r="AA80" s="45">
        <v>258</v>
      </c>
      <c r="AB80" s="45">
        <v>231</v>
      </c>
      <c r="AC80" s="45">
        <v>59</v>
      </c>
      <c r="AD80" s="45">
        <v>-20</v>
      </c>
      <c r="AE80" s="45">
        <v>50</v>
      </c>
      <c r="AF80" s="45">
        <v>59</v>
      </c>
      <c r="AG80" s="45">
        <v>-20</v>
      </c>
      <c r="AH80" s="45">
        <v>50</v>
      </c>
      <c r="AI80" s="113">
        <f t="shared" si="45"/>
        <v>1</v>
      </c>
      <c r="AJ80" s="102">
        <f t="shared" si="46"/>
        <v>0</v>
      </c>
      <c r="AK80" s="73">
        <f t="shared" si="47"/>
        <v>1</v>
      </c>
      <c r="AL80" s="113">
        <f t="shared" si="48"/>
        <v>0</v>
      </c>
      <c r="AM80" s="102">
        <f t="shared" si="49"/>
        <v>1</v>
      </c>
      <c r="AN80" s="73">
        <f t="shared" si="50"/>
        <v>0</v>
      </c>
      <c r="AO80" s="113">
        <f t="shared" si="51"/>
        <v>0</v>
      </c>
      <c r="AP80" s="102">
        <f t="shared" si="52"/>
        <v>0</v>
      </c>
      <c r="AQ80" s="73">
        <f t="shared" si="53"/>
        <v>0</v>
      </c>
      <c r="BL80" s="45">
        <v>59</v>
      </c>
    </row>
    <row r="81" spans="1:64" s="45" customFormat="1">
      <c r="A81" s="45" t="s">
        <v>98</v>
      </c>
      <c r="B81" s="45">
        <v>31</v>
      </c>
      <c r="C81" s="45" t="s">
        <v>41</v>
      </c>
      <c r="D81" s="45" t="s">
        <v>32</v>
      </c>
      <c r="E81" s="45">
        <v>5</v>
      </c>
      <c r="F81" s="45">
        <v>6</v>
      </c>
      <c r="G81" s="45">
        <f t="shared" si="31"/>
        <v>0</v>
      </c>
      <c r="H81" s="45">
        <f t="shared" si="32"/>
        <v>0</v>
      </c>
      <c r="I81" s="45">
        <f t="shared" si="33"/>
        <v>0</v>
      </c>
      <c r="J81" s="45">
        <f t="shared" si="34"/>
        <v>0</v>
      </c>
      <c r="K81" s="45">
        <f t="shared" si="35"/>
        <v>1</v>
      </c>
      <c r="L81" s="45">
        <f t="shared" si="36"/>
        <v>0</v>
      </c>
      <c r="M81" s="73">
        <f t="shared" si="37"/>
        <v>0</v>
      </c>
      <c r="N81" s="45">
        <f t="shared" si="38"/>
        <v>0</v>
      </c>
      <c r="O81" s="45">
        <f t="shared" si="39"/>
        <v>0</v>
      </c>
      <c r="P81" s="45">
        <f t="shared" si="40"/>
        <v>0</v>
      </c>
      <c r="Q81" s="45">
        <f t="shared" si="41"/>
        <v>0</v>
      </c>
      <c r="R81" s="45">
        <f t="shared" si="42"/>
        <v>0</v>
      </c>
      <c r="S81" s="45">
        <f t="shared" si="43"/>
        <v>1</v>
      </c>
      <c r="T81" s="45">
        <f t="shared" si="44"/>
        <v>0</v>
      </c>
      <c r="U81" s="45" t="s">
        <v>98</v>
      </c>
      <c r="V81" s="45" t="s">
        <v>41</v>
      </c>
      <c r="W81" s="45">
        <v>136</v>
      </c>
      <c r="X81" s="45">
        <v>138</v>
      </c>
      <c r="Y81" s="45">
        <v>229</v>
      </c>
      <c r="Z81" s="45">
        <v>136</v>
      </c>
      <c r="AA81" s="45">
        <v>153</v>
      </c>
      <c r="AB81" s="45">
        <v>264</v>
      </c>
      <c r="AC81" s="45">
        <v>0</v>
      </c>
      <c r="AD81" s="45">
        <v>15</v>
      </c>
      <c r="AE81" s="45">
        <v>35</v>
      </c>
      <c r="AF81" s="45">
        <v>0</v>
      </c>
      <c r="AG81" s="45">
        <v>15</v>
      </c>
      <c r="AH81" s="45">
        <v>35</v>
      </c>
      <c r="AI81" s="113">
        <f t="shared" si="45"/>
        <v>0</v>
      </c>
      <c r="AJ81" s="102">
        <f t="shared" si="46"/>
        <v>1</v>
      </c>
      <c r="AK81" s="73">
        <f t="shared" si="47"/>
        <v>1</v>
      </c>
      <c r="AL81" s="113">
        <f t="shared" si="48"/>
        <v>0</v>
      </c>
      <c r="AM81" s="102">
        <f t="shared" si="49"/>
        <v>0</v>
      </c>
      <c r="AN81" s="73">
        <f t="shared" si="50"/>
        <v>0</v>
      </c>
      <c r="AO81" s="113">
        <f t="shared" si="51"/>
        <v>1</v>
      </c>
      <c r="AP81" s="102">
        <f t="shared" si="52"/>
        <v>0</v>
      </c>
      <c r="AQ81" s="73">
        <f t="shared" si="53"/>
        <v>0</v>
      </c>
      <c r="BL81" s="45">
        <v>0</v>
      </c>
    </row>
    <row r="82" spans="1:64" s="66" customFormat="1">
      <c r="A82" s="66" t="s">
        <v>53</v>
      </c>
      <c r="B82" s="66">
        <v>140</v>
      </c>
      <c r="C82" s="66" t="s">
        <v>34</v>
      </c>
      <c r="D82" s="66" t="s">
        <v>32</v>
      </c>
      <c r="E82" s="66">
        <v>7</v>
      </c>
      <c r="F82" s="66">
        <v>7</v>
      </c>
      <c r="G82" s="66">
        <f t="shared" si="31"/>
        <v>0</v>
      </c>
      <c r="H82" s="66">
        <f t="shared" si="32"/>
        <v>0</v>
      </c>
      <c r="I82" s="66">
        <f t="shared" si="33"/>
        <v>0</v>
      </c>
      <c r="J82" s="66">
        <f t="shared" si="34"/>
        <v>0</v>
      </c>
      <c r="K82" s="66">
        <f t="shared" si="35"/>
        <v>0</v>
      </c>
      <c r="L82" s="66">
        <f t="shared" si="36"/>
        <v>0</v>
      </c>
      <c r="M82" s="78">
        <f t="shared" si="37"/>
        <v>1</v>
      </c>
      <c r="N82" s="66">
        <f t="shared" si="38"/>
        <v>0</v>
      </c>
      <c r="O82" s="66">
        <f t="shared" si="39"/>
        <v>0</v>
      </c>
      <c r="P82" s="66">
        <f t="shared" si="40"/>
        <v>0</v>
      </c>
      <c r="Q82" s="66">
        <f t="shared" si="41"/>
        <v>0</v>
      </c>
      <c r="R82" s="66">
        <f t="shared" si="42"/>
        <v>0</v>
      </c>
      <c r="S82" s="66">
        <f t="shared" si="43"/>
        <v>0</v>
      </c>
      <c r="T82" s="66">
        <f t="shared" si="44"/>
        <v>1</v>
      </c>
      <c r="U82" s="66" t="s">
        <v>53</v>
      </c>
      <c r="V82" s="66" t="s">
        <v>34</v>
      </c>
      <c r="W82" s="204">
        <f>(AU82/2000)*140</f>
        <v>1115.73</v>
      </c>
      <c r="X82" s="204">
        <f t="shared" ref="X82:AH82" si="55">(AV82/2000)*140</f>
        <v>1120.49</v>
      </c>
      <c r="Y82" s="204">
        <f t="shared" si="55"/>
        <v>1312.7800000000002</v>
      </c>
      <c r="Z82" s="204">
        <f t="shared" si="55"/>
        <v>1033.83</v>
      </c>
      <c r="AA82" s="204">
        <f t="shared" si="55"/>
        <v>1114.68</v>
      </c>
      <c r="AB82" s="204">
        <f t="shared" si="55"/>
        <v>1301.02</v>
      </c>
      <c r="AC82" s="204">
        <f t="shared" si="55"/>
        <v>-81.899999999999991</v>
      </c>
      <c r="AD82" s="204">
        <f t="shared" si="55"/>
        <v>-5.8100000000000005</v>
      </c>
      <c r="AE82" s="204">
        <f t="shared" si="55"/>
        <v>-11.760000000000002</v>
      </c>
      <c r="AF82" s="204">
        <f t="shared" si="55"/>
        <v>-82.039999999999992</v>
      </c>
      <c r="AG82" s="204">
        <f t="shared" si="55"/>
        <v>-5.8100000000000005</v>
      </c>
      <c r="AH82" s="204">
        <f t="shared" si="55"/>
        <v>-11.760000000000002</v>
      </c>
      <c r="AI82" s="118">
        <f t="shared" si="45"/>
        <v>0</v>
      </c>
      <c r="AJ82" s="107">
        <f t="shared" si="46"/>
        <v>0</v>
      </c>
      <c r="AK82" s="78">
        <f t="shared" si="47"/>
        <v>0</v>
      </c>
      <c r="AL82" s="118">
        <f t="shared" si="48"/>
        <v>1</v>
      </c>
      <c r="AM82" s="107">
        <f t="shared" si="49"/>
        <v>1</v>
      </c>
      <c r="AN82" s="78">
        <f t="shared" si="50"/>
        <v>1</v>
      </c>
      <c r="AO82" s="118">
        <f t="shared" si="51"/>
        <v>0</v>
      </c>
      <c r="AP82" s="107">
        <f t="shared" si="52"/>
        <v>0</v>
      </c>
      <c r="AQ82" s="78">
        <f t="shared" si="53"/>
        <v>0</v>
      </c>
      <c r="AU82" s="66">
        <v>15939</v>
      </c>
      <c r="AV82" s="66">
        <v>16007</v>
      </c>
      <c r="AW82" s="66">
        <v>18754</v>
      </c>
      <c r="AX82" s="66">
        <v>14769</v>
      </c>
      <c r="AY82" s="66">
        <v>15924</v>
      </c>
      <c r="AZ82" s="66">
        <v>18586</v>
      </c>
      <c r="BA82" s="66">
        <v>-1170</v>
      </c>
      <c r="BB82" s="66">
        <v>-83</v>
      </c>
      <c r="BC82" s="66">
        <v>-168</v>
      </c>
      <c r="BD82" s="66">
        <v>-1172</v>
      </c>
      <c r="BE82" s="66">
        <v>-83</v>
      </c>
      <c r="BF82" s="66">
        <v>-168</v>
      </c>
      <c r="BL82" s="66">
        <v>-81.899999999999991</v>
      </c>
    </row>
    <row r="83" spans="1:64" s="66" customFormat="1">
      <c r="A83" s="66" t="s">
        <v>88</v>
      </c>
      <c r="B83" s="66">
        <v>180</v>
      </c>
      <c r="C83" s="66" t="s">
        <v>34</v>
      </c>
      <c r="D83" s="66" t="s">
        <v>33</v>
      </c>
      <c r="E83" s="66">
        <v>3</v>
      </c>
      <c r="F83" s="66">
        <v>5</v>
      </c>
      <c r="G83" s="66">
        <f t="shared" si="31"/>
        <v>0</v>
      </c>
      <c r="H83" s="66">
        <f t="shared" si="32"/>
        <v>0</v>
      </c>
      <c r="I83" s="66">
        <f t="shared" si="33"/>
        <v>1</v>
      </c>
      <c r="J83" s="66">
        <f t="shared" si="34"/>
        <v>0</v>
      </c>
      <c r="K83" s="66">
        <f t="shared" si="35"/>
        <v>0</v>
      </c>
      <c r="L83" s="66">
        <f t="shared" si="36"/>
        <v>0</v>
      </c>
      <c r="M83" s="78">
        <f t="shared" si="37"/>
        <v>0</v>
      </c>
      <c r="N83" s="66">
        <f t="shared" si="38"/>
        <v>0</v>
      </c>
      <c r="O83" s="66">
        <f t="shared" si="39"/>
        <v>0</v>
      </c>
      <c r="P83" s="66">
        <f t="shared" si="40"/>
        <v>0</v>
      </c>
      <c r="Q83" s="66">
        <f t="shared" si="41"/>
        <v>0</v>
      </c>
      <c r="R83" s="66">
        <f t="shared" si="42"/>
        <v>1</v>
      </c>
      <c r="S83" s="66">
        <f t="shared" si="43"/>
        <v>0</v>
      </c>
      <c r="T83" s="66">
        <f t="shared" si="44"/>
        <v>0</v>
      </c>
      <c r="U83" s="66" t="s">
        <v>88</v>
      </c>
      <c r="V83" s="66" t="s">
        <v>34</v>
      </c>
      <c r="W83" s="66">
        <v>1409</v>
      </c>
      <c r="X83" s="66">
        <v>1448</v>
      </c>
      <c r="Y83" s="66">
        <v>1447</v>
      </c>
      <c r="Z83" s="66">
        <v>1487</v>
      </c>
      <c r="AA83" s="66">
        <v>1548</v>
      </c>
      <c r="AB83" s="66">
        <v>1471</v>
      </c>
      <c r="AC83" s="66">
        <v>78</v>
      </c>
      <c r="AD83" s="66">
        <v>100</v>
      </c>
      <c r="AE83" s="66">
        <v>24</v>
      </c>
      <c r="AF83" s="66">
        <v>78</v>
      </c>
      <c r="AG83" s="66">
        <v>100</v>
      </c>
      <c r="AH83" s="66">
        <v>24</v>
      </c>
      <c r="AI83" s="118">
        <f t="shared" si="45"/>
        <v>1</v>
      </c>
      <c r="AJ83" s="107">
        <f t="shared" si="46"/>
        <v>1</v>
      </c>
      <c r="AK83" s="78">
        <f t="shared" si="47"/>
        <v>1</v>
      </c>
      <c r="AL83" s="118">
        <f t="shared" si="48"/>
        <v>0</v>
      </c>
      <c r="AM83" s="107">
        <f t="shared" si="49"/>
        <v>0</v>
      </c>
      <c r="AN83" s="78">
        <f t="shared" si="50"/>
        <v>0</v>
      </c>
      <c r="AO83" s="118">
        <f t="shared" si="51"/>
        <v>0</v>
      </c>
      <c r="AP83" s="107">
        <f t="shared" si="52"/>
        <v>0</v>
      </c>
      <c r="AQ83" s="78">
        <f t="shared" si="53"/>
        <v>0</v>
      </c>
      <c r="BL83" s="66">
        <v>78</v>
      </c>
    </row>
    <row r="84" spans="1:64" s="66" customFormat="1">
      <c r="A84" s="66" t="s">
        <v>139</v>
      </c>
      <c r="B84" s="66">
        <v>350</v>
      </c>
      <c r="C84" s="66" t="s">
        <v>34</v>
      </c>
      <c r="D84" s="66" t="s">
        <v>33</v>
      </c>
      <c r="E84" s="66">
        <v>6</v>
      </c>
      <c r="F84" s="66">
        <v>7</v>
      </c>
      <c r="G84" s="66">
        <f t="shared" si="31"/>
        <v>0</v>
      </c>
      <c r="H84" s="66">
        <f t="shared" si="32"/>
        <v>0</v>
      </c>
      <c r="I84" s="66">
        <f t="shared" si="33"/>
        <v>0</v>
      </c>
      <c r="J84" s="66">
        <f t="shared" si="34"/>
        <v>0</v>
      </c>
      <c r="K84" s="66">
        <f t="shared" si="35"/>
        <v>0</v>
      </c>
      <c r="L84" s="66">
        <f t="shared" si="36"/>
        <v>1</v>
      </c>
      <c r="M84" s="78">
        <f t="shared" si="37"/>
        <v>0</v>
      </c>
      <c r="N84" s="66">
        <f t="shared" si="38"/>
        <v>0</v>
      </c>
      <c r="O84" s="66">
        <f t="shared" si="39"/>
        <v>0</v>
      </c>
      <c r="P84" s="66">
        <f t="shared" si="40"/>
        <v>0</v>
      </c>
      <c r="Q84" s="66">
        <f t="shared" si="41"/>
        <v>0</v>
      </c>
      <c r="R84" s="66">
        <f t="shared" si="42"/>
        <v>0</v>
      </c>
      <c r="S84" s="66">
        <f t="shared" si="43"/>
        <v>0</v>
      </c>
      <c r="T84" s="66">
        <f t="shared" si="44"/>
        <v>1</v>
      </c>
      <c r="U84" s="66" t="s">
        <v>139</v>
      </c>
      <c r="V84" s="66" t="s">
        <v>34</v>
      </c>
      <c r="W84" s="66">
        <v>3785</v>
      </c>
      <c r="X84" s="66">
        <v>4642</v>
      </c>
      <c r="Y84" s="66">
        <v>5306</v>
      </c>
      <c r="Z84" s="66">
        <v>3928</v>
      </c>
      <c r="AA84" s="66">
        <v>4088</v>
      </c>
      <c r="AB84" s="66">
        <v>5126</v>
      </c>
      <c r="AC84" s="66">
        <v>143</v>
      </c>
      <c r="AD84" s="66">
        <v>-554</v>
      </c>
      <c r="AE84" s="66">
        <v>-180</v>
      </c>
      <c r="AF84" s="66">
        <v>143</v>
      </c>
      <c r="AG84" s="66">
        <v>-554</v>
      </c>
      <c r="AH84" s="66">
        <v>-180</v>
      </c>
      <c r="AI84" s="118">
        <f t="shared" si="45"/>
        <v>1</v>
      </c>
      <c r="AJ84" s="107">
        <f t="shared" si="46"/>
        <v>0</v>
      </c>
      <c r="AK84" s="78">
        <f t="shared" si="47"/>
        <v>0</v>
      </c>
      <c r="AL84" s="118">
        <f t="shared" si="48"/>
        <v>0</v>
      </c>
      <c r="AM84" s="107">
        <f t="shared" si="49"/>
        <v>1</v>
      </c>
      <c r="AN84" s="78">
        <f t="shared" si="50"/>
        <v>1</v>
      </c>
      <c r="AO84" s="118">
        <f t="shared" si="51"/>
        <v>0</v>
      </c>
      <c r="AP84" s="107">
        <f t="shared" si="52"/>
        <v>0</v>
      </c>
      <c r="AQ84" s="78">
        <f t="shared" si="53"/>
        <v>0</v>
      </c>
      <c r="BL84" s="66">
        <v>143</v>
      </c>
    </row>
    <row r="85" spans="1:64" s="66" customFormat="1">
      <c r="A85" s="66" t="s">
        <v>140</v>
      </c>
      <c r="B85" s="66">
        <v>210</v>
      </c>
      <c r="C85" s="66" t="s">
        <v>34</v>
      </c>
      <c r="D85" s="66" t="s">
        <v>33</v>
      </c>
      <c r="E85" s="66">
        <v>4</v>
      </c>
      <c r="F85" s="66">
        <v>3</v>
      </c>
      <c r="G85" s="66">
        <f t="shared" si="31"/>
        <v>0</v>
      </c>
      <c r="H85" s="66">
        <f t="shared" si="32"/>
        <v>0</v>
      </c>
      <c r="I85" s="66">
        <f t="shared" si="33"/>
        <v>0</v>
      </c>
      <c r="J85" s="66">
        <f t="shared" si="34"/>
        <v>1</v>
      </c>
      <c r="K85" s="66">
        <f t="shared" si="35"/>
        <v>0</v>
      </c>
      <c r="L85" s="66">
        <f t="shared" si="36"/>
        <v>0</v>
      </c>
      <c r="M85" s="78">
        <f t="shared" si="37"/>
        <v>0</v>
      </c>
      <c r="N85" s="66">
        <f t="shared" si="38"/>
        <v>0</v>
      </c>
      <c r="O85" s="66">
        <f t="shared" si="39"/>
        <v>0</v>
      </c>
      <c r="P85" s="66">
        <f t="shared" si="40"/>
        <v>1</v>
      </c>
      <c r="Q85" s="66">
        <f t="shared" si="41"/>
        <v>0</v>
      </c>
      <c r="R85" s="66">
        <f t="shared" si="42"/>
        <v>0</v>
      </c>
      <c r="S85" s="66">
        <f t="shared" si="43"/>
        <v>0</v>
      </c>
      <c r="T85" s="66">
        <f t="shared" si="44"/>
        <v>0</v>
      </c>
      <c r="U85" s="66" t="s">
        <v>140</v>
      </c>
      <c r="V85" s="66" t="s">
        <v>34</v>
      </c>
      <c r="W85" s="66">
        <v>1195</v>
      </c>
      <c r="X85" s="66">
        <v>1496</v>
      </c>
      <c r="Y85" s="66">
        <v>1743</v>
      </c>
      <c r="Z85" s="66">
        <v>1339</v>
      </c>
      <c r="AA85" s="66">
        <v>1930</v>
      </c>
      <c r="AB85" s="66">
        <v>2027</v>
      </c>
      <c r="AC85" s="66">
        <v>144</v>
      </c>
      <c r="AD85" s="66">
        <v>434</v>
      </c>
      <c r="AE85" s="66">
        <v>284</v>
      </c>
      <c r="AF85" s="66">
        <v>144</v>
      </c>
      <c r="AG85" s="66">
        <v>434</v>
      </c>
      <c r="AH85" s="66">
        <v>284</v>
      </c>
      <c r="AI85" s="118">
        <f t="shared" si="45"/>
        <v>1</v>
      </c>
      <c r="AJ85" s="107">
        <f t="shared" si="46"/>
        <v>1</v>
      </c>
      <c r="AK85" s="78">
        <f t="shared" si="47"/>
        <v>1</v>
      </c>
      <c r="AL85" s="118">
        <f t="shared" si="48"/>
        <v>0</v>
      </c>
      <c r="AM85" s="107">
        <f t="shared" si="49"/>
        <v>0</v>
      </c>
      <c r="AN85" s="78">
        <f t="shared" si="50"/>
        <v>0</v>
      </c>
      <c r="AO85" s="118">
        <f t="shared" si="51"/>
        <v>0</v>
      </c>
      <c r="AP85" s="107">
        <f t="shared" si="52"/>
        <v>0</v>
      </c>
      <c r="AQ85" s="78">
        <f t="shared" si="53"/>
        <v>0</v>
      </c>
      <c r="BL85" s="66">
        <v>144</v>
      </c>
    </row>
    <row r="86" spans="1:64" s="67" customFormat="1">
      <c r="A86" s="67" t="s">
        <v>96</v>
      </c>
      <c r="B86" s="67">
        <v>92</v>
      </c>
      <c r="C86" s="67" t="s">
        <v>42</v>
      </c>
      <c r="D86" s="67" t="s">
        <v>32</v>
      </c>
      <c r="E86" s="67">
        <v>2</v>
      </c>
      <c r="F86" s="67">
        <v>5</v>
      </c>
      <c r="G86" s="67">
        <f t="shared" si="31"/>
        <v>0</v>
      </c>
      <c r="H86" s="67">
        <f t="shared" si="32"/>
        <v>1</v>
      </c>
      <c r="I86" s="67">
        <f t="shared" si="33"/>
        <v>0</v>
      </c>
      <c r="J86" s="67">
        <f t="shared" si="34"/>
        <v>0</v>
      </c>
      <c r="K86" s="67">
        <f t="shared" si="35"/>
        <v>0</v>
      </c>
      <c r="L86" s="67">
        <f t="shared" si="36"/>
        <v>0</v>
      </c>
      <c r="M86" s="79">
        <f t="shared" si="37"/>
        <v>0</v>
      </c>
      <c r="N86" s="67">
        <f t="shared" si="38"/>
        <v>0</v>
      </c>
      <c r="O86" s="67">
        <f t="shared" si="39"/>
        <v>0</v>
      </c>
      <c r="P86" s="67">
        <f t="shared" si="40"/>
        <v>0</v>
      </c>
      <c r="Q86" s="67">
        <f t="shared" si="41"/>
        <v>0</v>
      </c>
      <c r="R86" s="67">
        <f t="shared" si="42"/>
        <v>1</v>
      </c>
      <c r="S86" s="67">
        <f t="shared" si="43"/>
        <v>0</v>
      </c>
      <c r="T86" s="67">
        <f t="shared" si="44"/>
        <v>0</v>
      </c>
      <c r="U86" s="67" t="s">
        <v>96</v>
      </c>
      <c r="V86" s="67" t="s">
        <v>42</v>
      </c>
      <c r="W86" s="67">
        <v>524</v>
      </c>
      <c r="X86" s="67">
        <v>619</v>
      </c>
      <c r="Y86" s="67">
        <v>648</v>
      </c>
      <c r="Z86" s="67">
        <v>547</v>
      </c>
      <c r="AA86" s="67">
        <v>580</v>
      </c>
      <c r="AB86" s="67">
        <v>742</v>
      </c>
      <c r="AC86" s="67">
        <v>23</v>
      </c>
      <c r="AD86" s="67">
        <v>-39</v>
      </c>
      <c r="AE86" s="67">
        <v>94</v>
      </c>
      <c r="AF86" s="67">
        <v>23</v>
      </c>
      <c r="AG86" s="67">
        <v>-39</v>
      </c>
      <c r="AH86" s="67">
        <v>94</v>
      </c>
      <c r="AI86" s="119">
        <f t="shared" si="45"/>
        <v>1</v>
      </c>
      <c r="AJ86" s="108">
        <f t="shared" si="46"/>
        <v>0</v>
      </c>
      <c r="AK86" s="79">
        <f t="shared" si="47"/>
        <v>1</v>
      </c>
      <c r="AL86" s="119">
        <f t="shared" si="48"/>
        <v>0</v>
      </c>
      <c r="AM86" s="108">
        <f t="shared" si="49"/>
        <v>1</v>
      </c>
      <c r="AN86" s="79">
        <f t="shared" si="50"/>
        <v>0</v>
      </c>
      <c r="AO86" s="119">
        <f t="shared" si="51"/>
        <v>0</v>
      </c>
      <c r="AP86" s="108">
        <f t="shared" si="52"/>
        <v>0</v>
      </c>
      <c r="AQ86" s="79">
        <f t="shared" si="53"/>
        <v>0</v>
      </c>
      <c r="BL86" s="67">
        <v>23</v>
      </c>
    </row>
    <row r="87" spans="1:64" s="68" customFormat="1">
      <c r="A87" s="68" t="s">
        <v>77</v>
      </c>
      <c r="B87" s="68">
        <v>105</v>
      </c>
      <c r="C87" s="68" t="s">
        <v>43</v>
      </c>
      <c r="D87" s="68" t="s">
        <v>33</v>
      </c>
      <c r="E87" s="68">
        <v>1</v>
      </c>
      <c r="F87" s="68">
        <v>5</v>
      </c>
      <c r="G87" s="68">
        <f t="shared" si="31"/>
        <v>1</v>
      </c>
      <c r="H87" s="68">
        <f t="shared" si="32"/>
        <v>0</v>
      </c>
      <c r="I87" s="68">
        <f t="shared" si="33"/>
        <v>0</v>
      </c>
      <c r="J87" s="68">
        <f t="shared" si="34"/>
        <v>0</v>
      </c>
      <c r="K87" s="68">
        <f t="shared" si="35"/>
        <v>0</v>
      </c>
      <c r="L87" s="68">
        <f t="shared" si="36"/>
        <v>0</v>
      </c>
      <c r="M87" s="80">
        <f t="shared" si="37"/>
        <v>0</v>
      </c>
      <c r="N87" s="68">
        <f t="shared" si="38"/>
        <v>0</v>
      </c>
      <c r="O87" s="68">
        <f t="shared" si="39"/>
        <v>0</v>
      </c>
      <c r="P87" s="68">
        <f t="shared" si="40"/>
        <v>0</v>
      </c>
      <c r="Q87" s="68">
        <f t="shared" si="41"/>
        <v>0</v>
      </c>
      <c r="R87" s="68">
        <f t="shared" si="42"/>
        <v>1</v>
      </c>
      <c r="S87" s="68">
        <f t="shared" si="43"/>
        <v>0</v>
      </c>
      <c r="T87" s="68">
        <f t="shared" si="44"/>
        <v>0</v>
      </c>
      <c r="U87" s="68" t="s">
        <v>77</v>
      </c>
      <c r="V87" s="68" t="s">
        <v>43</v>
      </c>
      <c r="W87" s="68">
        <v>804</v>
      </c>
      <c r="X87" s="68">
        <v>873</v>
      </c>
      <c r="Y87" s="68">
        <v>1133</v>
      </c>
      <c r="Z87" s="68">
        <v>804</v>
      </c>
      <c r="AA87" s="68">
        <v>873</v>
      </c>
      <c r="AB87" s="68">
        <v>1133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120">
        <f t="shared" si="45"/>
        <v>0</v>
      </c>
      <c r="AJ87" s="109">
        <f t="shared" si="46"/>
        <v>0</v>
      </c>
      <c r="AK87" s="80">
        <f t="shared" si="47"/>
        <v>0</v>
      </c>
      <c r="AL87" s="120">
        <f t="shared" si="48"/>
        <v>0</v>
      </c>
      <c r="AM87" s="109">
        <f t="shared" si="49"/>
        <v>0</v>
      </c>
      <c r="AN87" s="80">
        <f t="shared" si="50"/>
        <v>0</v>
      </c>
      <c r="AO87" s="120">
        <f t="shared" si="51"/>
        <v>1</v>
      </c>
      <c r="AP87" s="109">
        <f t="shared" si="52"/>
        <v>1</v>
      </c>
      <c r="AQ87" s="80">
        <f t="shared" si="53"/>
        <v>1</v>
      </c>
      <c r="BL87" s="68">
        <v>0</v>
      </c>
    </row>
    <row r="88" spans="1:64" s="69" customFormat="1">
      <c r="A88" s="69" t="s">
        <v>78</v>
      </c>
      <c r="B88" s="69">
        <v>203</v>
      </c>
      <c r="C88" s="69" t="s">
        <v>44</v>
      </c>
      <c r="D88" s="69" t="s">
        <v>35</v>
      </c>
      <c r="E88" s="69">
        <v>5</v>
      </c>
      <c r="F88" s="69">
        <v>6</v>
      </c>
      <c r="G88" s="69">
        <f t="shared" si="31"/>
        <v>0</v>
      </c>
      <c r="H88" s="69">
        <f t="shared" si="32"/>
        <v>0</v>
      </c>
      <c r="I88" s="69">
        <f t="shared" si="33"/>
        <v>0</v>
      </c>
      <c r="J88" s="69">
        <f t="shared" si="34"/>
        <v>0</v>
      </c>
      <c r="K88" s="69">
        <f t="shared" si="35"/>
        <v>1</v>
      </c>
      <c r="L88" s="69">
        <f t="shared" si="36"/>
        <v>0</v>
      </c>
      <c r="M88" s="81">
        <f t="shared" si="37"/>
        <v>0</v>
      </c>
      <c r="N88" s="69">
        <f t="shared" si="38"/>
        <v>0</v>
      </c>
      <c r="O88" s="69">
        <f t="shared" si="39"/>
        <v>0</v>
      </c>
      <c r="P88" s="69">
        <f t="shared" si="40"/>
        <v>0</v>
      </c>
      <c r="Q88" s="69">
        <f t="shared" si="41"/>
        <v>0</v>
      </c>
      <c r="R88" s="69">
        <f t="shared" si="42"/>
        <v>0</v>
      </c>
      <c r="S88" s="69">
        <f t="shared" si="43"/>
        <v>1</v>
      </c>
      <c r="T88" s="69">
        <f t="shared" si="44"/>
        <v>0</v>
      </c>
      <c r="U88" s="69" t="s">
        <v>78</v>
      </c>
      <c r="V88" s="69" t="s">
        <v>44</v>
      </c>
      <c r="W88" s="69">
        <v>1590</v>
      </c>
      <c r="X88" s="69">
        <v>2018</v>
      </c>
      <c r="Y88" s="69">
        <v>1953</v>
      </c>
      <c r="Z88" s="69">
        <v>2065</v>
      </c>
      <c r="AA88" s="69">
        <v>2480</v>
      </c>
      <c r="AB88" s="69">
        <v>2190</v>
      </c>
      <c r="AC88" s="69">
        <v>475</v>
      </c>
      <c r="AD88" s="69">
        <v>462</v>
      </c>
      <c r="AE88" s="69">
        <v>237</v>
      </c>
      <c r="AF88" s="69">
        <v>475</v>
      </c>
      <c r="AG88" s="69">
        <v>462</v>
      </c>
      <c r="AH88" s="69">
        <v>237</v>
      </c>
      <c r="AI88" s="121">
        <f t="shared" si="45"/>
        <v>1</v>
      </c>
      <c r="AJ88" s="110">
        <f t="shared" si="46"/>
        <v>1</v>
      </c>
      <c r="AK88" s="81">
        <f t="shared" si="47"/>
        <v>1</v>
      </c>
      <c r="AL88" s="121">
        <f t="shared" si="48"/>
        <v>0</v>
      </c>
      <c r="AM88" s="110">
        <f t="shared" si="49"/>
        <v>0</v>
      </c>
      <c r="AN88" s="81">
        <f t="shared" si="50"/>
        <v>0</v>
      </c>
      <c r="AO88" s="121">
        <f t="shared" si="51"/>
        <v>0</v>
      </c>
      <c r="AP88" s="110">
        <f t="shared" si="52"/>
        <v>0</v>
      </c>
      <c r="AQ88" s="81">
        <f t="shared" si="53"/>
        <v>0</v>
      </c>
      <c r="BL88" s="69">
        <v>475</v>
      </c>
    </row>
    <row r="89" spans="1:64" s="69" customFormat="1">
      <c r="A89" s="69" t="s">
        <v>80</v>
      </c>
      <c r="B89" s="69">
        <v>180</v>
      </c>
      <c r="C89" s="69" t="s">
        <v>44</v>
      </c>
      <c r="D89" s="69" t="s">
        <v>35</v>
      </c>
      <c r="E89" s="69">
        <v>1</v>
      </c>
      <c r="F89" s="69">
        <v>1</v>
      </c>
      <c r="G89" s="69">
        <f t="shared" si="31"/>
        <v>1</v>
      </c>
      <c r="H89" s="69">
        <f t="shared" si="32"/>
        <v>0</v>
      </c>
      <c r="I89" s="69">
        <f t="shared" si="33"/>
        <v>0</v>
      </c>
      <c r="J89" s="69">
        <f t="shared" si="34"/>
        <v>0</v>
      </c>
      <c r="K89" s="69">
        <f t="shared" si="35"/>
        <v>0</v>
      </c>
      <c r="L89" s="69">
        <f t="shared" si="36"/>
        <v>0</v>
      </c>
      <c r="M89" s="81">
        <f t="shared" si="37"/>
        <v>0</v>
      </c>
      <c r="N89" s="69">
        <f t="shared" si="38"/>
        <v>1</v>
      </c>
      <c r="O89" s="69">
        <f t="shared" si="39"/>
        <v>0</v>
      </c>
      <c r="P89" s="69">
        <f t="shared" si="40"/>
        <v>0</v>
      </c>
      <c r="Q89" s="69">
        <f t="shared" si="41"/>
        <v>0</v>
      </c>
      <c r="R89" s="69">
        <f t="shared" si="42"/>
        <v>0</v>
      </c>
      <c r="S89" s="69">
        <f t="shared" si="43"/>
        <v>0</v>
      </c>
      <c r="T89" s="69">
        <f t="shared" si="44"/>
        <v>0</v>
      </c>
      <c r="U89" s="69" t="s">
        <v>80</v>
      </c>
      <c r="V89" s="69" t="s">
        <v>44</v>
      </c>
      <c r="W89" s="69">
        <v>1207</v>
      </c>
      <c r="X89" s="69">
        <v>1289</v>
      </c>
      <c r="Y89" s="69">
        <v>1089</v>
      </c>
      <c r="Z89" s="69">
        <v>975</v>
      </c>
      <c r="AA89" s="69">
        <v>817</v>
      </c>
      <c r="AB89" s="69">
        <v>786</v>
      </c>
      <c r="AC89" s="69">
        <v>-232</v>
      </c>
      <c r="AD89" s="69">
        <v>-472</v>
      </c>
      <c r="AE89" s="69">
        <v>-303</v>
      </c>
      <c r="AF89" s="69">
        <v>-232</v>
      </c>
      <c r="AG89" s="69">
        <v>-472</v>
      </c>
      <c r="AH89" s="69">
        <v>-303</v>
      </c>
      <c r="AI89" s="121">
        <f t="shared" si="45"/>
        <v>0</v>
      </c>
      <c r="AJ89" s="110">
        <f t="shared" si="46"/>
        <v>0</v>
      </c>
      <c r="AK89" s="81">
        <f t="shared" si="47"/>
        <v>0</v>
      </c>
      <c r="AL89" s="121">
        <f t="shared" si="48"/>
        <v>1</v>
      </c>
      <c r="AM89" s="110">
        <f t="shared" si="49"/>
        <v>1</v>
      </c>
      <c r="AN89" s="81">
        <f t="shared" si="50"/>
        <v>1</v>
      </c>
      <c r="AO89" s="121">
        <f t="shared" si="51"/>
        <v>0</v>
      </c>
      <c r="AP89" s="110">
        <f t="shared" si="52"/>
        <v>0</v>
      </c>
      <c r="AQ89" s="81">
        <f t="shared" si="53"/>
        <v>0</v>
      </c>
      <c r="BL89" s="69">
        <v>-232</v>
      </c>
    </row>
    <row r="90" spans="1:64" s="69" customFormat="1">
      <c r="A90" s="69" t="s">
        <v>89</v>
      </c>
      <c r="B90" s="69">
        <v>195</v>
      </c>
      <c r="C90" s="69" t="s">
        <v>44</v>
      </c>
      <c r="D90" s="69" t="s">
        <v>32</v>
      </c>
      <c r="E90" s="69">
        <v>5</v>
      </c>
      <c r="F90" s="69">
        <v>2</v>
      </c>
      <c r="G90" s="69">
        <f t="shared" si="31"/>
        <v>0</v>
      </c>
      <c r="H90" s="69">
        <f t="shared" si="32"/>
        <v>0</v>
      </c>
      <c r="I90" s="69">
        <f t="shared" si="33"/>
        <v>0</v>
      </c>
      <c r="J90" s="69">
        <f t="shared" si="34"/>
        <v>0</v>
      </c>
      <c r="K90" s="69">
        <f t="shared" si="35"/>
        <v>1</v>
      </c>
      <c r="L90" s="69">
        <f t="shared" si="36"/>
        <v>0</v>
      </c>
      <c r="M90" s="81">
        <f t="shared" si="37"/>
        <v>0</v>
      </c>
      <c r="N90" s="69">
        <f t="shared" si="38"/>
        <v>0</v>
      </c>
      <c r="O90" s="69">
        <f t="shared" si="39"/>
        <v>1</v>
      </c>
      <c r="P90" s="69">
        <f t="shared" si="40"/>
        <v>0</v>
      </c>
      <c r="Q90" s="69">
        <f t="shared" si="41"/>
        <v>0</v>
      </c>
      <c r="R90" s="69">
        <f t="shared" si="42"/>
        <v>0</v>
      </c>
      <c r="S90" s="69">
        <f t="shared" si="43"/>
        <v>0</v>
      </c>
      <c r="T90" s="69">
        <f t="shared" si="44"/>
        <v>0</v>
      </c>
      <c r="U90" s="69" t="s">
        <v>89</v>
      </c>
      <c r="V90" s="69" t="s">
        <v>44</v>
      </c>
      <c r="W90" s="69">
        <v>5572</v>
      </c>
      <c r="X90" s="69">
        <v>6712</v>
      </c>
      <c r="Y90" s="69">
        <v>7334</v>
      </c>
      <c r="Z90" s="69">
        <v>5598</v>
      </c>
      <c r="AA90" s="69">
        <v>6950</v>
      </c>
      <c r="AB90" s="69">
        <v>7612</v>
      </c>
      <c r="AC90" s="69">
        <v>26</v>
      </c>
      <c r="AD90" s="69">
        <v>238</v>
      </c>
      <c r="AE90" s="69">
        <v>278</v>
      </c>
      <c r="AF90" s="69">
        <v>170</v>
      </c>
      <c r="AG90" s="69">
        <v>370</v>
      </c>
      <c r="AH90" s="69">
        <v>278</v>
      </c>
      <c r="AI90" s="121">
        <f t="shared" si="45"/>
        <v>1</v>
      </c>
      <c r="AJ90" s="110">
        <f t="shared" si="46"/>
        <v>1</v>
      </c>
      <c r="AK90" s="81">
        <f t="shared" si="47"/>
        <v>1</v>
      </c>
      <c r="AL90" s="121">
        <f t="shared" si="48"/>
        <v>0</v>
      </c>
      <c r="AM90" s="110">
        <f t="shared" si="49"/>
        <v>0</v>
      </c>
      <c r="AN90" s="81">
        <f t="shared" si="50"/>
        <v>0</v>
      </c>
      <c r="AO90" s="121">
        <f t="shared" si="51"/>
        <v>0</v>
      </c>
      <c r="AP90" s="110">
        <f t="shared" si="52"/>
        <v>0</v>
      </c>
      <c r="AQ90" s="81">
        <f t="shared" si="53"/>
        <v>0</v>
      </c>
      <c r="BL90" s="69">
        <v>26</v>
      </c>
    </row>
    <row r="91" spans="1:64" s="69" customFormat="1">
      <c r="A91" s="69" t="s">
        <v>90</v>
      </c>
      <c r="B91" s="69">
        <v>65</v>
      </c>
      <c r="C91" s="69" t="s">
        <v>44</v>
      </c>
      <c r="D91" s="69" t="s">
        <v>33</v>
      </c>
      <c r="E91" s="69">
        <v>3</v>
      </c>
      <c r="F91" s="69">
        <v>2</v>
      </c>
      <c r="G91" s="69">
        <f t="shared" si="31"/>
        <v>0</v>
      </c>
      <c r="H91" s="69">
        <f t="shared" si="32"/>
        <v>0</v>
      </c>
      <c r="I91" s="69">
        <f t="shared" si="33"/>
        <v>1</v>
      </c>
      <c r="J91" s="69">
        <f t="shared" si="34"/>
        <v>0</v>
      </c>
      <c r="K91" s="69">
        <f t="shared" si="35"/>
        <v>0</v>
      </c>
      <c r="L91" s="69">
        <f t="shared" si="36"/>
        <v>0</v>
      </c>
      <c r="M91" s="81">
        <f t="shared" si="37"/>
        <v>0</v>
      </c>
      <c r="N91" s="69">
        <f t="shared" si="38"/>
        <v>0</v>
      </c>
      <c r="O91" s="69">
        <f t="shared" si="39"/>
        <v>1</v>
      </c>
      <c r="P91" s="69">
        <f t="shared" si="40"/>
        <v>0</v>
      </c>
      <c r="Q91" s="69">
        <f t="shared" si="41"/>
        <v>0</v>
      </c>
      <c r="R91" s="69">
        <f t="shared" si="42"/>
        <v>0</v>
      </c>
      <c r="S91" s="69">
        <f t="shared" si="43"/>
        <v>0</v>
      </c>
      <c r="T91" s="69">
        <f t="shared" si="44"/>
        <v>0</v>
      </c>
      <c r="U91" s="69" t="s">
        <v>90</v>
      </c>
      <c r="V91" s="69" t="s">
        <v>44</v>
      </c>
      <c r="W91" s="135">
        <f>(AU91/500)*65</f>
        <v>118.56</v>
      </c>
      <c r="X91" s="135">
        <f t="shared" ref="X91:AH91" si="56">(AV91/500)*65</f>
        <v>161.33000000000001</v>
      </c>
      <c r="Y91" s="135">
        <f t="shared" si="56"/>
        <v>191.49</v>
      </c>
      <c r="Z91" s="135">
        <f t="shared" si="56"/>
        <v>134.29</v>
      </c>
      <c r="AA91" s="135">
        <f t="shared" si="56"/>
        <v>164.19</v>
      </c>
      <c r="AB91" s="135">
        <f t="shared" si="56"/>
        <v>204.88</v>
      </c>
      <c r="AC91" s="135">
        <f t="shared" si="56"/>
        <v>15.73</v>
      </c>
      <c r="AD91" s="135">
        <f t="shared" si="56"/>
        <v>2.86</v>
      </c>
      <c r="AE91" s="135">
        <f t="shared" si="56"/>
        <v>13.389999999999999</v>
      </c>
      <c r="AF91" s="135">
        <f t="shared" si="56"/>
        <v>15.99</v>
      </c>
      <c r="AG91" s="135">
        <f t="shared" si="56"/>
        <v>2.73</v>
      </c>
      <c r="AH91" s="135">
        <f t="shared" si="56"/>
        <v>13.389999999999999</v>
      </c>
      <c r="AI91" s="121">
        <f t="shared" si="45"/>
        <v>1</v>
      </c>
      <c r="AJ91" s="110">
        <f t="shared" si="46"/>
        <v>1</v>
      </c>
      <c r="AK91" s="81">
        <f t="shared" si="47"/>
        <v>1</v>
      </c>
      <c r="AL91" s="121">
        <f t="shared" si="48"/>
        <v>0</v>
      </c>
      <c r="AM91" s="110">
        <f t="shared" si="49"/>
        <v>0</v>
      </c>
      <c r="AN91" s="81">
        <f t="shared" si="50"/>
        <v>0</v>
      </c>
      <c r="AO91" s="121">
        <f t="shared" si="51"/>
        <v>0</v>
      </c>
      <c r="AP91" s="110">
        <f t="shared" si="52"/>
        <v>0</v>
      </c>
      <c r="AQ91" s="81">
        <f t="shared" si="53"/>
        <v>0</v>
      </c>
      <c r="AU91" s="69">
        <v>912</v>
      </c>
      <c r="AV91" s="69">
        <v>1241</v>
      </c>
      <c r="AW91" s="69">
        <v>1473</v>
      </c>
      <c r="AX91" s="69">
        <v>1033</v>
      </c>
      <c r="AY91" s="69">
        <v>1263</v>
      </c>
      <c r="AZ91" s="69">
        <v>1576</v>
      </c>
      <c r="BA91" s="69">
        <v>121</v>
      </c>
      <c r="BB91" s="69">
        <v>22</v>
      </c>
      <c r="BC91" s="69">
        <v>103</v>
      </c>
      <c r="BD91" s="69">
        <v>123</v>
      </c>
      <c r="BE91" s="69">
        <v>21</v>
      </c>
      <c r="BF91" s="69">
        <v>103</v>
      </c>
      <c r="BL91" s="69">
        <v>15.73</v>
      </c>
    </row>
    <row r="92" spans="1:64" s="69" customFormat="1">
      <c r="A92" s="69" t="s">
        <v>97</v>
      </c>
      <c r="B92" s="69">
        <v>21</v>
      </c>
      <c r="C92" s="69" t="s">
        <v>44</v>
      </c>
      <c r="D92" s="69" t="s">
        <v>33</v>
      </c>
      <c r="E92" s="69">
        <v>1</v>
      </c>
      <c r="F92" s="69">
        <v>7</v>
      </c>
      <c r="G92" s="69">
        <f t="shared" si="31"/>
        <v>1</v>
      </c>
      <c r="H92" s="69">
        <f t="shared" si="32"/>
        <v>0</v>
      </c>
      <c r="I92" s="69">
        <f t="shared" si="33"/>
        <v>0</v>
      </c>
      <c r="J92" s="69">
        <f t="shared" si="34"/>
        <v>0</v>
      </c>
      <c r="K92" s="69">
        <f t="shared" si="35"/>
        <v>0</v>
      </c>
      <c r="L92" s="69">
        <f t="shared" si="36"/>
        <v>0</v>
      </c>
      <c r="M92" s="81">
        <f t="shared" si="37"/>
        <v>0</v>
      </c>
      <c r="N92" s="69">
        <f t="shared" si="38"/>
        <v>0</v>
      </c>
      <c r="O92" s="69">
        <f t="shared" si="39"/>
        <v>0</v>
      </c>
      <c r="P92" s="69">
        <f t="shared" si="40"/>
        <v>0</v>
      </c>
      <c r="Q92" s="69">
        <f t="shared" si="41"/>
        <v>0</v>
      </c>
      <c r="R92" s="69">
        <f t="shared" si="42"/>
        <v>0</v>
      </c>
      <c r="S92" s="69">
        <f t="shared" si="43"/>
        <v>0</v>
      </c>
      <c r="T92" s="69">
        <f t="shared" si="44"/>
        <v>1</v>
      </c>
      <c r="U92" s="69" t="s">
        <v>97</v>
      </c>
      <c r="V92" s="69" t="s">
        <v>44</v>
      </c>
      <c r="W92" s="135">
        <f>(AU92/350)*21</f>
        <v>118.08</v>
      </c>
      <c r="X92" s="135">
        <f t="shared" ref="X92:AH92" si="57">(AV92/350)*21</f>
        <v>108.84</v>
      </c>
      <c r="Y92" s="135">
        <f t="shared" si="57"/>
        <v>151.07999999999998</v>
      </c>
      <c r="Z92" s="135">
        <v>119</v>
      </c>
      <c r="AA92" s="135">
        <f t="shared" si="57"/>
        <v>118.38</v>
      </c>
      <c r="AB92" s="135">
        <f t="shared" si="57"/>
        <v>162.17999999999998</v>
      </c>
      <c r="AC92" s="135">
        <f>Z92-W92</f>
        <v>0.92000000000000171</v>
      </c>
      <c r="AD92" s="135">
        <f>AA92-X92</f>
        <v>9.539999999999992</v>
      </c>
      <c r="AE92" s="135">
        <f>AB92-Y92</f>
        <v>11.099999999999994</v>
      </c>
      <c r="AF92" s="135">
        <v>1</v>
      </c>
      <c r="AG92" s="135">
        <f t="shared" si="57"/>
        <v>9.5400000000000009</v>
      </c>
      <c r="AH92" s="135">
        <f t="shared" si="57"/>
        <v>11.1</v>
      </c>
      <c r="AI92" s="121">
        <f t="shared" si="45"/>
        <v>1</v>
      </c>
      <c r="AJ92" s="110">
        <f t="shared" si="46"/>
        <v>1</v>
      </c>
      <c r="AK92" s="81">
        <f t="shared" si="47"/>
        <v>1</v>
      </c>
      <c r="AL92" s="121">
        <f t="shared" si="48"/>
        <v>0</v>
      </c>
      <c r="AM92" s="110">
        <f t="shared" si="49"/>
        <v>0</v>
      </c>
      <c r="AN92" s="81">
        <f t="shared" si="50"/>
        <v>0</v>
      </c>
      <c r="AO92" s="121">
        <f t="shared" si="51"/>
        <v>0</v>
      </c>
      <c r="AP92" s="110">
        <f t="shared" si="52"/>
        <v>0</v>
      </c>
      <c r="AQ92" s="81">
        <f t="shared" si="53"/>
        <v>0</v>
      </c>
      <c r="AU92" s="69">
        <v>1968</v>
      </c>
      <c r="AV92" s="69">
        <v>1814</v>
      </c>
      <c r="AW92" s="69">
        <v>2518</v>
      </c>
      <c r="AX92" s="69">
        <v>1969</v>
      </c>
      <c r="AY92" s="69">
        <v>1973</v>
      </c>
      <c r="AZ92" s="69">
        <v>2703</v>
      </c>
      <c r="BA92" s="69">
        <v>1</v>
      </c>
      <c r="BB92" s="69">
        <v>159</v>
      </c>
      <c r="BC92" s="69">
        <v>185</v>
      </c>
      <c r="BD92" s="69">
        <v>2</v>
      </c>
      <c r="BE92" s="69">
        <v>159</v>
      </c>
      <c r="BF92" s="69">
        <v>185</v>
      </c>
      <c r="BL92" s="69">
        <v>0.92000000000000171</v>
      </c>
    </row>
    <row r="93" spans="1:64" s="69" customFormat="1">
      <c r="A93" s="69" t="s">
        <v>99</v>
      </c>
      <c r="B93" s="69">
        <v>217</v>
      </c>
      <c r="C93" s="69" t="s">
        <v>44</v>
      </c>
      <c r="D93" s="69" t="s">
        <v>32</v>
      </c>
      <c r="E93" s="69">
        <v>2</v>
      </c>
      <c r="F93" s="69">
        <v>5</v>
      </c>
      <c r="G93" s="69">
        <f t="shared" si="31"/>
        <v>0</v>
      </c>
      <c r="H93" s="69">
        <f t="shared" si="32"/>
        <v>1</v>
      </c>
      <c r="I93" s="69">
        <f t="shared" si="33"/>
        <v>0</v>
      </c>
      <c r="J93" s="69">
        <f t="shared" si="34"/>
        <v>0</v>
      </c>
      <c r="K93" s="69">
        <f t="shared" si="35"/>
        <v>0</v>
      </c>
      <c r="L93" s="69">
        <f t="shared" si="36"/>
        <v>0</v>
      </c>
      <c r="M93" s="81">
        <f t="shared" si="37"/>
        <v>0</v>
      </c>
      <c r="N93" s="69">
        <f t="shared" si="38"/>
        <v>0</v>
      </c>
      <c r="O93" s="69">
        <f t="shared" si="39"/>
        <v>0</v>
      </c>
      <c r="P93" s="69">
        <f t="shared" si="40"/>
        <v>0</v>
      </c>
      <c r="Q93" s="69">
        <f t="shared" si="41"/>
        <v>0</v>
      </c>
      <c r="R93" s="69">
        <f t="shared" si="42"/>
        <v>1</v>
      </c>
      <c r="S93" s="69">
        <f t="shared" si="43"/>
        <v>0</v>
      </c>
      <c r="T93" s="69">
        <f t="shared" si="44"/>
        <v>0</v>
      </c>
      <c r="U93" s="69" t="s">
        <v>99</v>
      </c>
      <c r="V93" s="69" t="s">
        <v>44</v>
      </c>
      <c r="W93" s="69">
        <v>84</v>
      </c>
      <c r="X93" s="69">
        <v>146</v>
      </c>
      <c r="Y93" s="69">
        <v>127</v>
      </c>
      <c r="Z93" s="69">
        <v>93</v>
      </c>
      <c r="AA93" s="69">
        <v>186</v>
      </c>
      <c r="AB93" s="69">
        <v>100</v>
      </c>
      <c r="AC93" s="69">
        <v>9</v>
      </c>
      <c r="AD93" s="69">
        <v>40</v>
      </c>
      <c r="AE93" s="69">
        <v>-27</v>
      </c>
      <c r="AF93" s="69">
        <v>9</v>
      </c>
      <c r="AG93" s="69">
        <v>40</v>
      </c>
      <c r="AH93" s="69">
        <v>-27</v>
      </c>
      <c r="AI93" s="121">
        <f t="shared" si="45"/>
        <v>1</v>
      </c>
      <c r="AJ93" s="110">
        <f t="shared" si="46"/>
        <v>1</v>
      </c>
      <c r="AK93" s="81">
        <f t="shared" si="47"/>
        <v>0</v>
      </c>
      <c r="AL93" s="121">
        <f t="shared" si="48"/>
        <v>0</v>
      </c>
      <c r="AM93" s="110">
        <f t="shared" si="49"/>
        <v>0</v>
      </c>
      <c r="AN93" s="81">
        <f t="shared" si="50"/>
        <v>1</v>
      </c>
      <c r="AO93" s="121">
        <f t="shared" si="51"/>
        <v>0</v>
      </c>
      <c r="AP93" s="110">
        <f t="shared" si="52"/>
        <v>0</v>
      </c>
      <c r="AQ93" s="81">
        <f t="shared" si="53"/>
        <v>0</v>
      </c>
      <c r="BL93" s="69">
        <v>9</v>
      </c>
    </row>
    <row r="94" spans="1:64" s="69" customFormat="1">
      <c r="A94" s="69" t="s">
        <v>135</v>
      </c>
      <c r="B94" s="69">
        <v>269</v>
      </c>
      <c r="C94" s="69" t="s">
        <v>44</v>
      </c>
      <c r="D94" s="69" t="s">
        <v>32</v>
      </c>
      <c r="E94" s="69">
        <v>3</v>
      </c>
      <c r="F94" s="69">
        <v>3</v>
      </c>
      <c r="G94" s="69">
        <f t="shared" si="31"/>
        <v>0</v>
      </c>
      <c r="H94" s="69">
        <f t="shared" si="32"/>
        <v>0</v>
      </c>
      <c r="I94" s="69">
        <f t="shared" si="33"/>
        <v>1</v>
      </c>
      <c r="J94" s="69">
        <f t="shared" si="34"/>
        <v>0</v>
      </c>
      <c r="K94" s="69">
        <f t="shared" si="35"/>
        <v>0</v>
      </c>
      <c r="L94" s="69">
        <f t="shared" si="36"/>
        <v>0</v>
      </c>
      <c r="M94" s="81">
        <f t="shared" si="37"/>
        <v>0</v>
      </c>
      <c r="N94" s="69">
        <f t="shared" si="38"/>
        <v>0</v>
      </c>
      <c r="O94" s="69">
        <f t="shared" si="39"/>
        <v>0</v>
      </c>
      <c r="P94" s="69">
        <f t="shared" si="40"/>
        <v>1</v>
      </c>
      <c r="Q94" s="69">
        <f t="shared" si="41"/>
        <v>0</v>
      </c>
      <c r="R94" s="69">
        <f t="shared" si="42"/>
        <v>0</v>
      </c>
      <c r="S94" s="69">
        <f t="shared" si="43"/>
        <v>0</v>
      </c>
      <c r="T94" s="69">
        <f t="shared" si="44"/>
        <v>0</v>
      </c>
      <c r="U94" s="69" t="s">
        <v>135</v>
      </c>
      <c r="V94" s="69" t="s">
        <v>44</v>
      </c>
      <c r="W94" s="69">
        <v>1494</v>
      </c>
      <c r="X94" s="69">
        <v>1376</v>
      </c>
      <c r="Y94" s="69">
        <v>1727</v>
      </c>
      <c r="Z94" s="69">
        <v>1506</v>
      </c>
      <c r="AA94" s="69">
        <v>1522</v>
      </c>
      <c r="AB94" s="69">
        <v>1785</v>
      </c>
      <c r="AC94" s="69">
        <v>12</v>
      </c>
      <c r="AD94" s="69">
        <v>146</v>
      </c>
      <c r="AE94" s="69">
        <v>58</v>
      </c>
      <c r="AF94" s="69">
        <v>12</v>
      </c>
      <c r="AG94" s="69">
        <v>146</v>
      </c>
      <c r="AH94" s="69">
        <v>58</v>
      </c>
      <c r="AI94" s="121">
        <f t="shared" si="45"/>
        <v>1</v>
      </c>
      <c r="AJ94" s="110">
        <f t="shared" si="46"/>
        <v>1</v>
      </c>
      <c r="AK94" s="81">
        <f t="shared" si="47"/>
        <v>1</v>
      </c>
      <c r="AL94" s="121">
        <f t="shared" si="48"/>
        <v>0</v>
      </c>
      <c r="AM94" s="110">
        <f t="shared" si="49"/>
        <v>0</v>
      </c>
      <c r="AN94" s="81">
        <f t="shared" si="50"/>
        <v>0</v>
      </c>
      <c r="AO94" s="121">
        <f t="shared" si="51"/>
        <v>0</v>
      </c>
      <c r="AP94" s="110">
        <f t="shared" si="52"/>
        <v>0</v>
      </c>
      <c r="AQ94" s="81">
        <f t="shared" si="53"/>
        <v>0</v>
      </c>
      <c r="BL94" s="69">
        <v>12</v>
      </c>
    </row>
    <row r="95" spans="1:64" s="70" customFormat="1">
      <c r="A95" s="70" t="s">
        <v>81</v>
      </c>
      <c r="B95" s="70">
        <v>70</v>
      </c>
      <c r="C95" s="70" t="s">
        <v>45</v>
      </c>
      <c r="D95" s="70" t="s">
        <v>33</v>
      </c>
      <c r="E95" s="70">
        <v>6</v>
      </c>
      <c r="F95" s="70">
        <v>6</v>
      </c>
      <c r="G95" s="70">
        <f t="shared" si="31"/>
        <v>0</v>
      </c>
      <c r="H95" s="70">
        <f t="shared" si="32"/>
        <v>0</v>
      </c>
      <c r="I95" s="70">
        <f t="shared" si="33"/>
        <v>0</v>
      </c>
      <c r="J95" s="70">
        <f t="shared" si="34"/>
        <v>0</v>
      </c>
      <c r="K95" s="70">
        <f t="shared" si="35"/>
        <v>0</v>
      </c>
      <c r="L95" s="70">
        <f t="shared" si="36"/>
        <v>1</v>
      </c>
      <c r="M95" s="82">
        <f t="shared" si="37"/>
        <v>0</v>
      </c>
      <c r="N95" s="70">
        <f t="shared" si="38"/>
        <v>0</v>
      </c>
      <c r="O95" s="70">
        <f t="shared" si="39"/>
        <v>0</v>
      </c>
      <c r="P95" s="70">
        <f t="shared" si="40"/>
        <v>0</v>
      </c>
      <c r="Q95" s="70">
        <f t="shared" si="41"/>
        <v>0</v>
      </c>
      <c r="R95" s="70">
        <f t="shared" si="42"/>
        <v>0</v>
      </c>
      <c r="S95" s="70">
        <f t="shared" si="43"/>
        <v>1</v>
      </c>
      <c r="T95" s="70">
        <f t="shared" si="44"/>
        <v>0</v>
      </c>
      <c r="U95" s="70" t="s">
        <v>81</v>
      </c>
      <c r="V95" s="70" t="s">
        <v>45</v>
      </c>
      <c r="W95" s="207">
        <f>(AU95/370)*70</f>
        <v>868.18918918918916</v>
      </c>
      <c r="X95" s="207">
        <f t="shared" ref="X95:AH95" si="58">(AV95/370)*70</f>
        <v>725.54054054054052</v>
      </c>
      <c r="Y95" s="207">
        <f t="shared" si="58"/>
        <v>735.75675675675677</v>
      </c>
      <c r="Z95" s="207">
        <f t="shared" si="58"/>
        <v>738.02702702702697</v>
      </c>
      <c r="AA95" s="207">
        <f t="shared" si="58"/>
        <v>651.18918918918916</v>
      </c>
      <c r="AB95" s="207">
        <f t="shared" si="58"/>
        <v>722.70270270270271</v>
      </c>
      <c r="AC95" s="207">
        <f t="shared" si="58"/>
        <v>-130.16216216216216</v>
      </c>
      <c r="AD95" s="207">
        <f t="shared" si="58"/>
        <v>-74.351351351351354</v>
      </c>
      <c r="AE95" s="207">
        <f t="shared" si="58"/>
        <v>-13.054054054054054</v>
      </c>
      <c r="AF95" s="207">
        <f t="shared" si="58"/>
        <v>-130.16216216216216</v>
      </c>
      <c r="AG95" s="207">
        <f t="shared" si="58"/>
        <v>-74.351351351351354</v>
      </c>
      <c r="AH95" s="207">
        <f t="shared" si="58"/>
        <v>-13.054054054054054</v>
      </c>
      <c r="AI95" s="122">
        <f t="shared" si="45"/>
        <v>0</v>
      </c>
      <c r="AJ95" s="84">
        <f t="shared" si="46"/>
        <v>0</v>
      </c>
      <c r="AK95" s="82">
        <f t="shared" si="47"/>
        <v>0</v>
      </c>
      <c r="AL95" s="122">
        <f t="shared" si="48"/>
        <v>1</v>
      </c>
      <c r="AM95" s="84">
        <f t="shared" si="49"/>
        <v>1</v>
      </c>
      <c r="AN95" s="82">
        <f t="shared" si="50"/>
        <v>1</v>
      </c>
      <c r="AO95" s="122">
        <f t="shared" si="51"/>
        <v>0</v>
      </c>
      <c r="AP95" s="84">
        <f t="shared" si="52"/>
        <v>0</v>
      </c>
      <c r="AQ95" s="82">
        <f t="shared" si="53"/>
        <v>0</v>
      </c>
      <c r="AU95" s="70">
        <v>4589</v>
      </c>
      <c r="AV95" s="70">
        <v>3835</v>
      </c>
      <c r="AW95" s="70">
        <v>3889</v>
      </c>
      <c r="AX95" s="70">
        <v>3901</v>
      </c>
      <c r="AY95" s="70">
        <v>3442</v>
      </c>
      <c r="AZ95" s="70">
        <v>3820</v>
      </c>
      <c r="BA95" s="70">
        <v>-688</v>
      </c>
      <c r="BB95" s="70">
        <v>-393</v>
      </c>
      <c r="BC95" s="70">
        <v>-69</v>
      </c>
      <c r="BD95" s="70">
        <v>-688</v>
      </c>
      <c r="BE95" s="70">
        <v>-393</v>
      </c>
      <c r="BF95" s="70">
        <v>-69</v>
      </c>
      <c r="BL95" s="70">
        <v>-130.16216216216216</v>
      </c>
    </row>
    <row r="96" spans="1:64">
      <c r="AI96">
        <f>SUM(AI3:AI95)</f>
        <v>54</v>
      </c>
      <c r="AJ96">
        <f t="shared" ref="AJ96:AK96" si="59">SUM(AJ3:AJ95)</f>
        <v>55</v>
      </c>
      <c r="AK96">
        <f t="shared" si="59"/>
        <v>65</v>
      </c>
      <c r="AL96">
        <f>SUM(AL3:AL95)</f>
        <v>33</v>
      </c>
      <c r="AM96">
        <f t="shared" ref="AM96" si="60">SUM(AM3:AM95)</f>
        <v>33</v>
      </c>
      <c r="AN96">
        <f t="shared" ref="AN96" si="61">SUM(AN3:AN95)</f>
        <v>24</v>
      </c>
      <c r="AO96">
        <f>SUM(AO3:AO95)</f>
        <v>6</v>
      </c>
      <c r="AP96">
        <f t="shared" ref="AP96:AQ96" si="62">SUM(AP3:AP95)</f>
        <v>5</v>
      </c>
      <c r="AQ96">
        <f t="shared" si="62"/>
        <v>4</v>
      </c>
      <c r="BL96" s="30">
        <v>-16</v>
      </c>
    </row>
    <row r="97" spans="1:64">
      <c r="BL97" s="30">
        <v>-34</v>
      </c>
    </row>
    <row r="98" spans="1:64">
      <c r="BL98" s="30">
        <v>224</v>
      </c>
    </row>
    <row r="99" spans="1:64">
      <c r="BL99" s="30">
        <v>-6</v>
      </c>
    </row>
    <row r="100" spans="1:64">
      <c r="B100" s="400" t="s">
        <v>468</v>
      </c>
      <c r="C100" s="400"/>
      <c r="D100" s="400"/>
      <c r="E100" s="400"/>
      <c r="F100" s="400"/>
      <c r="G100" s="400"/>
      <c r="H100" s="401"/>
      <c r="I100" s="403" t="s">
        <v>469</v>
      </c>
      <c r="J100" s="404"/>
      <c r="K100" s="404"/>
      <c r="L100" s="404"/>
      <c r="M100" s="404"/>
      <c r="N100" s="404"/>
      <c r="O100" s="404"/>
      <c r="P100" s="27"/>
      <c r="BL100" s="30">
        <v>-312</v>
      </c>
    </row>
    <row r="101" spans="1:64">
      <c r="B101" s="85" t="s">
        <v>385</v>
      </c>
      <c r="C101" s="85" t="s">
        <v>384</v>
      </c>
      <c r="D101" s="85" t="s">
        <v>386</v>
      </c>
      <c r="E101" s="85" t="s">
        <v>387</v>
      </c>
      <c r="F101" s="85" t="s">
        <v>388</v>
      </c>
      <c r="G101" s="85" t="s">
        <v>389</v>
      </c>
      <c r="H101" s="91" t="s">
        <v>390</v>
      </c>
      <c r="I101" s="88" t="s">
        <v>385</v>
      </c>
      <c r="J101" s="85" t="s">
        <v>384</v>
      </c>
      <c r="K101" s="85" t="s">
        <v>386</v>
      </c>
      <c r="L101" s="85" t="s">
        <v>387</v>
      </c>
      <c r="M101" s="85" t="s">
        <v>388</v>
      </c>
      <c r="N101" s="85" t="s">
        <v>389</v>
      </c>
      <c r="O101" s="85" t="s">
        <v>390</v>
      </c>
      <c r="P101" s="94" t="s">
        <v>376</v>
      </c>
      <c r="Q101" s="94" t="s">
        <v>470</v>
      </c>
      <c r="R101" s="94" t="s">
        <v>471</v>
      </c>
      <c r="BL101" s="30">
        <v>-12</v>
      </c>
    </row>
    <row r="102" spans="1:64">
      <c r="A102" s="10" t="s">
        <v>31</v>
      </c>
      <c r="B102" s="85">
        <f>SUM(G3:G15)</f>
        <v>0</v>
      </c>
      <c r="C102" s="86">
        <f>SUM(H3:H15)</f>
        <v>3</v>
      </c>
      <c r="D102" s="85">
        <f t="shared" ref="D102:H102" si="63">SUM(I3:I15)</f>
        <v>2</v>
      </c>
      <c r="E102" s="85">
        <f t="shared" si="63"/>
        <v>2</v>
      </c>
      <c r="F102" s="86">
        <f t="shared" si="63"/>
        <v>3</v>
      </c>
      <c r="G102" s="85">
        <f t="shared" si="63"/>
        <v>2</v>
      </c>
      <c r="H102" s="91">
        <f t="shared" si="63"/>
        <v>1</v>
      </c>
      <c r="I102" s="88">
        <f t="shared" ref="I102" si="64">SUM(N3:N15)</f>
        <v>0</v>
      </c>
      <c r="J102" s="85">
        <f t="shared" ref="J102" si="65">SUM(O3:O15)</f>
        <v>0</v>
      </c>
      <c r="K102" s="85">
        <f t="shared" ref="K102" si="66">SUM(P3:P15)</f>
        <v>1</v>
      </c>
      <c r="L102" s="85">
        <f t="shared" ref="L102" si="67">SUM(Q3:Q15)</f>
        <v>1</v>
      </c>
      <c r="M102" s="85">
        <f t="shared" ref="M102" si="68">SUM(R3:R15)</f>
        <v>3</v>
      </c>
      <c r="N102" s="86">
        <f t="shared" ref="N102" si="69">SUM(S3:S15)</f>
        <v>6</v>
      </c>
      <c r="O102" s="85">
        <f>SUM(T3:T15)</f>
        <v>2</v>
      </c>
      <c r="P102" s="94">
        <f>SUM(I102:O102)</f>
        <v>13</v>
      </c>
      <c r="Q102" s="94">
        <f>F102/P102</f>
        <v>0.23076923076923078</v>
      </c>
      <c r="R102">
        <f>N102/P102</f>
        <v>0.46153846153846156</v>
      </c>
      <c r="BL102" s="30">
        <v>275</v>
      </c>
    </row>
    <row r="103" spans="1:64">
      <c r="A103" s="10" t="s">
        <v>36</v>
      </c>
      <c r="B103" s="85">
        <f>SUM(G16:G17)</f>
        <v>1</v>
      </c>
      <c r="C103" s="85">
        <f t="shared" ref="C103:H103" si="70">SUM(H16:H17)</f>
        <v>0</v>
      </c>
      <c r="D103" s="86">
        <f t="shared" si="70"/>
        <v>1</v>
      </c>
      <c r="E103" s="85">
        <f t="shared" si="70"/>
        <v>0</v>
      </c>
      <c r="F103" s="85">
        <f t="shared" si="70"/>
        <v>0</v>
      </c>
      <c r="G103" s="85">
        <f t="shared" si="70"/>
        <v>0</v>
      </c>
      <c r="H103" s="91">
        <f t="shared" si="70"/>
        <v>0</v>
      </c>
      <c r="I103" s="88">
        <f t="shared" ref="I103" si="71">SUM(N16:N17)</f>
        <v>0</v>
      </c>
      <c r="J103" s="85">
        <f t="shared" ref="J103" si="72">SUM(O16:O17)</f>
        <v>1</v>
      </c>
      <c r="K103" s="85">
        <f t="shared" ref="K103" si="73">SUM(P16:P17)</f>
        <v>0</v>
      </c>
      <c r="L103" s="85">
        <f t="shared" ref="L103" si="74">SUM(Q16:Q17)</f>
        <v>0</v>
      </c>
      <c r="M103" s="86">
        <f t="shared" ref="M103" si="75">SUM(R16:R17)</f>
        <v>1</v>
      </c>
      <c r="N103" s="85">
        <f t="shared" ref="N103" si="76">SUM(S16:S17)</f>
        <v>0</v>
      </c>
      <c r="O103" s="85">
        <f t="shared" ref="O103" si="77">SUM(T16:T17)</f>
        <v>0</v>
      </c>
      <c r="P103" s="94">
        <f t="shared" ref="P103:P115" si="78">SUM(I103:O103)</f>
        <v>2</v>
      </c>
      <c r="BL103" s="30">
        <v>0.53749999999999998</v>
      </c>
    </row>
    <row r="104" spans="1:64">
      <c r="A104" s="10" t="s">
        <v>46</v>
      </c>
      <c r="B104" s="85">
        <f>SUM(G18)</f>
        <v>0</v>
      </c>
      <c r="C104" s="85">
        <f t="shared" ref="C104:H104" si="79">SUM(H18)</f>
        <v>0</v>
      </c>
      <c r="D104" s="86">
        <f t="shared" si="79"/>
        <v>1</v>
      </c>
      <c r="E104" s="85">
        <f t="shared" si="79"/>
        <v>0</v>
      </c>
      <c r="F104" s="85">
        <f t="shared" si="79"/>
        <v>0</v>
      </c>
      <c r="G104" s="85">
        <f t="shared" si="79"/>
        <v>0</v>
      </c>
      <c r="H104" s="91">
        <f t="shared" si="79"/>
        <v>0</v>
      </c>
      <c r="I104" s="88">
        <f t="shared" ref="I104" si="80">SUM(N18)</f>
        <v>0</v>
      </c>
      <c r="J104" s="85">
        <f t="shared" ref="J104" si="81">SUM(O18)</f>
        <v>0</v>
      </c>
      <c r="K104" s="85">
        <f t="shared" ref="K104" si="82">SUM(P18)</f>
        <v>0</v>
      </c>
      <c r="L104" s="85">
        <f t="shared" ref="L104" si="83">SUM(Q18)</f>
        <v>0</v>
      </c>
      <c r="M104" s="86">
        <f t="shared" ref="M104" si="84">SUM(R18)</f>
        <v>1</v>
      </c>
      <c r="N104" s="85">
        <f t="shared" ref="N104" si="85">SUM(S18)</f>
        <v>0</v>
      </c>
      <c r="O104" s="85">
        <f t="shared" ref="O104" si="86">SUM(T18)</f>
        <v>0</v>
      </c>
      <c r="P104" s="94">
        <f t="shared" si="78"/>
        <v>1</v>
      </c>
      <c r="BL104" s="30">
        <v>-244</v>
      </c>
    </row>
    <row r="105" spans="1:64">
      <c r="A105" s="10" t="s">
        <v>37</v>
      </c>
      <c r="B105" s="85">
        <f>SUM(G19:G28)</f>
        <v>1</v>
      </c>
      <c r="C105" s="85">
        <f t="shared" ref="C105:H105" si="87">SUM(H19:H28)</f>
        <v>1</v>
      </c>
      <c r="D105" s="85">
        <f t="shared" si="87"/>
        <v>1</v>
      </c>
      <c r="E105" s="86">
        <f t="shared" si="87"/>
        <v>4</v>
      </c>
      <c r="F105" s="85">
        <f t="shared" si="87"/>
        <v>2</v>
      </c>
      <c r="G105" s="85">
        <f t="shared" si="87"/>
        <v>0</v>
      </c>
      <c r="H105" s="91">
        <f t="shared" si="87"/>
        <v>1</v>
      </c>
      <c r="I105" s="88">
        <f t="shared" ref="I105" si="88">SUM(N19:N28)</f>
        <v>1</v>
      </c>
      <c r="J105" s="85">
        <f t="shared" ref="J105" si="89">SUM(O19:O28)</f>
        <v>0</v>
      </c>
      <c r="K105" s="85">
        <f t="shared" ref="K105" si="90">SUM(P19:P28)</f>
        <v>0</v>
      </c>
      <c r="L105" s="85">
        <f t="shared" ref="L105" si="91">SUM(Q19:Q28)</f>
        <v>2</v>
      </c>
      <c r="M105" s="86">
        <f t="shared" ref="M105" si="92">SUM(R19:R28)</f>
        <v>3</v>
      </c>
      <c r="N105" s="85">
        <f t="shared" ref="N105" si="93">SUM(S19:S28)</f>
        <v>2</v>
      </c>
      <c r="O105" s="85">
        <f t="shared" ref="O105" si="94">SUM(T19:T28)</f>
        <v>2</v>
      </c>
      <c r="P105" s="94">
        <f t="shared" si="78"/>
        <v>10</v>
      </c>
      <c r="Q105" s="94">
        <f>E105/P105</f>
        <v>0.4</v>
      </c>
      <c r="R105">
        <f>M105/P105</f>
        <v>0.3</v>
      </c>
      <c r="BL105" s="30">
        <v>0</v>
      </c>
    </row>
    <row r="106" spans="1:64">
      <c r="A106" s="10" t="s">
        <v>38</v>
      </c>
      <c r="B106" s="86">
        <f>SUM(G29:G75)</f>
        <v>11</v>
      </c>
      <c r="C106" s="85">
        <f t="shared" ref="C106:H106" si="95">SUM(H29:H75)</f>
        <v>9</v>
      </c>
      <c r="D106" s="85">
        <f t="shared" si="95"/>
        <v>9</v>
      </c>
      <c r="E106" s="85">
        <f t="shared" si="95"/>
        <v>10</v>
      </c>
      <c r="F106" s="85">
        <f t="shared" si="95"/>
        <v>7</v>
      </c>
      <c r="G106" s="85">
        <f t="shared" si="95"/>
        <v>1</v>
      </c>
      <c r="H106" s="91">
        <f t="shared" si="95"/>
        <v>0</v>
      </c>
      <c r="I106" s="88">
        <f t="shared" ref="I106" si="96">SUM(N29:N75)</f>
        <v>4</v>
      </c>
      <c r="J106" s="86">
        <f t="shared" ref="J106" si="97">SUM(O29:O75)</f>
        <v>10</v>
      </c>
      <c r="K106" s="85">
        <f t="shared" ref="K106" si="98">SUM(P29:P75)</f>
        <v>5</v>
      </c>
      <c r="L106" s="85">
        <f t="shared" ref="L106" si="99">SUM(Q29:Q75)</f>
        <v>5</v>
      </c>
      <c r="M106" s="86">
        <f t="shared" ref="M106" si="100">SUM(R29:R75)</f>
        <v>10</v>
      </c>
      <c r="N106" s="85">
        <f t="shared" ref="N106" si="101">SUM(S29:S75)</f>
        <v>9</v>
      </c>
      <c r="O106" s="85">
        <f t="shared" ref="O106" si="102">SUM(T29:T75)</f>
        <v>4</v>
      </c>
      <c r="P106" s="94">
        <f t="shared" si="78"/>
        <v>47</v>
      </c>
      <c r="Q106" s="94">
        <f>B106/P106</f>
        <v>0.23404255319148937</v>
      </c>
      <c r="BL106" s="30">
        <v>1193</v>
      </c>
    </row>
    <row r="107" spans="1:64">
      <c r="A107" s="10" t="s">
        <v>39</v>
      </c>
      <c r="B107" s="85">
        <f>SUM(G76)</f>
        <v>0</v>
      </c>
      <c r="C107" s="85">
        <f t="shared" ref="C107:H107" si="103">SUM(H76)</f>
        <v>0</v>
      </c>
      <c r="D107" s="85">
        <f t="shared" si="103"/>
        <v>0</v>
      </c>
      <c r="E107" s="85">
        <f t="shared" si="103"/>
        <v>0</v>
      </c>
      <c r="F107" s="85">
        <f t="shared" si="103"/>
        <v>0</v>
      </c>
      <c r="G107" s="86">
        <f t="shared" si="103"/>
        <v>1</v>
      </c>
      <c r="H107" s="91">
        <f t="shared" si="103"/>
        <v>0</v>
      </c>
      <c r="I107" s="88">
        <f t="shared" ref="I107" si="104">SUM(N76)</f>
        <v>0</v>
      </c>
      <c r="J107" s="85">
        <f t="shared" ref="J107" si="105">SUM(O76)</f>
        <v>0</v>
      </c>
      <c r="K107" s="85">
        <f t="shared" ref="K107" si="106">SUM(P76)</f>
        <v>0</v>
      </c>
      <c r="L107" s="85">
        <f t="shared" ref="L107" si="107">SUM(Q76)</f>
        <v>0</v>
      </c>
      <c r="M107" s="85">
        <f t="shared" ref="M107" si="108">SUM(R76)</f>
        <v>0</v>
      </c>
      <c r="N107" s="85">
        <f t="shared" ref="N107" si="109">SUM(S76)</f>
        <v>0</v>
      </c>
      <c r="O107" s="86">
        <f t="shared" ref="O107" si="110">SUM(T76)</f>
        <v>1</v>
      </c>
      <c r="P107" s="94">
        <f t="shared" si="78"/>
        <v>1</v>
      </c>
      <c r="BL107" s="30">
        <v>6.954545454545455</v>
      </c>
    </row>
    <row r="108" spans="1:64">
      <c r="A108" s="10" t="s">
        <v>40</v>
      </c>
      <c r="B108" s="86">
        <f>SUM(H77)</f>
        <v>1</v>
      </c>
      <c r="C108" s="85">
        <f t="shared" ref="C108:H108" si="111">SUM(I77)</f>
        <v>0</v>
      </c>
      <c r="D108" s="85">
        <f t="shared" si="111"/>
        <v>0</v>
      </c>
      <c r="E108" s="85">
        <f t="shared" si="111"/>
        <v>0</v>
      </c>
      <c r="F108" s="85">
        <f t="shared" si="111"/>
        <v>0</v>
      </c>
      <c r="G108" s="85">
        <f t="shared" si="111"/>
        <v>0</v>
      </c>
      <c r="H108" s="91">
        <f t="shared" si="111"/>
        <v>0</v>
      </c>
      <c r="I108" s="89">
        <f t="shared" ref="I108" si="112">SUM(O77)</f>
        <v>1</v>
      </c>
      <c r="J108" s="85">
        <f t="shared" ref="J108" si="113">SUM(P77)</f>
        <v>0</v>
      </c>
      <c r="K108" s="85">
        <f t="shared" ref="K108" si="114">SUM(Q77)</f>
        <v>0</v>
      </c>
      <c r="L108" s="85">
        <f t="shared" ref="L108" si="115">SUM(R77)</f>
        <v>0</v>
      </c>
      <c r="M108" s="85">
        <f t="shared" ref="M108" si="116">SUM(S77)</f>
        <v>0</v>
      </c>
      <c r="N108" s="85">
        <f t="shared" ref="N108" si="117">SUM(T77)</f>
        <v>0</v>
      </c>
      <c r="O108" s="85">
        <f t="shared" ref="O108" si="118">SUM(U77)</f>
        <v>0</v>
      </c>
      <c r="P108" s="94">
        <f t="shared" si="78"/>
        <v>1</v>
      </c>
      <c r="BL108" s="30">
        <v>1193</v>
      </c>
    </row>
    <row r="109" spans="1:64">
      <c r="A109" s="10" t="s">
        <v>41</v>
      </c>
      <c r="B109" s="85">
        <f>SUM(G78:G81)</f>
        <v>1</v>
      </c>
      <c r="C109" s="85">
        <f t="shared" ref="C109:H109" si="119">SUM(H78:H81)</f>
        <v>0</v>
      </c>
      <c r="D109" s="85">
        <f t="shared" si="119"/>
        <v>1</v>
      </c>
      <c r="E109" s="85">
        <f t="shared" si="119"/>
        <v>0</v>
      </c>
      <c r="F109" s="86">
        <f t="shared" si="119"/>
        <v>2</v>
      </c>
      <c r="G109" s="85">
        <f t="shared" si="119"/>
        <v>0</v>
      </c>
      <c r="H109" s="91">
        <f t="shared" si="119"/>
        <v>0</v>
      </c>
      <c r="I109" s="89">
        <f t="shared" ref="I109" si="120">SUM(N78:N81)</f>
        <v>1</v>
      </c>
      <c r="J109" s="86">
        <f t="shared" ref="J109" si="121">SUM(O78:O81)</f>
        <v>1</v>
      </c>
      <c r="K109" s="85">
        <f t="shared" ref="K109" si="122">SUM(P78:P81)</f>
        <v>0</v>
      </c>
      <c r="L109" s="85">
        <f t="shared" ref="L109" si="123">SUM(Q78:Q81)</f>
        <v>0</v>
      </c>
      <c r="M109" s="85">
        <f t="shared" ref="M109" si="124">SUM(R78:R81)</f>
        <v>0</v>
      </c>
      <c r="N109" s="86">
        <f t="shared" ref="N109" si="125">SUM(S78:S81)</f>
        <v>1</v>
      </c>
      <c r="O109" s="86">
        <f t="shared" ref="O109" si="126">SUM(T78:T81)</f>
        <v>1</v>
      </c>
      <c r="P109" s="94">
        <f t="shared" si="78"/>
        <v>4</v>
      </c>
      <c r="Q109" s="94">
        <f>F109/P109</f>
        <v>0.5</v>
      </c>
      <c r="BL109" s="32">
        <v>-6</v>
      </c>
    </row>
    <row r="110" spans="1:64">
      <c r="A110" s="10" t="s">
        <v>34</v>
      </c>
      <c r="B110" s="85">
        <f>SUM(G82:G85)</f>
        <v>0</v>
      </c>
      <c r="C110" s="85">
        <f t="shared" ref="C110:H110" si="127">SUM(H82:H85)</f>
        <v>0</v>
      </c>
      <c r="D110" s="86">
        <f t="shared" si="127"/>
        <v>1</v>
      </c>
      <c r="E110" s="86">
        <f t="shared" si="127"/>
        <v>1</v>
      </c>
      <c r="F110" s="85">
        <f t="shared" si="127"/>
        <v>0</v>
      </c>
      <c r="G110" s="86">
        <f t="shared" si="127"/>
        <v>1</v>
      </c>
      <c r="H110" s="92">
        <f t="shared" si="127"/>
        <v>1</v>
      </c>
      <c r="I110" s="88">
        <f t="shared" ref="I110" si="128">SUM(N82:N85)</f>
        <v>0</v>
      </c>
      <c r="J110" s="85">
        <f t="shared" ref="J110" si="129">SUM(O82:O85)</f>
        <v>0</v>
      </c>
      <c r="K110" s="85">
        <f t="shared" ref="K110" si="130">SUM(P82:P85)</f>
        <v>1</v>
      </c>
      <c r="L110" s="85">
        <f t="shared" ref="L110" si="131">SUM(Q82:Q85)</f>
        <v>0</v>
      </c>
      <c r="M110" s="85">
        <f t="shared" ref="M110" si="132">SUM(R82:R85)</f>
        <v>1</v>
      </c>
      <c r="N110" s="85">
        <f t="shared" ref="N110" si="133">SUM(S82:S85)</f>
        <v>0</v>
      </c>
      <c r="O110" s="86">
        <f t="shared" ref="O110" si="134">SUM(T82:T85)</f>
        <v>2</v>
      </c>
      <c r="P110" s="94">
        <f t="shared" si="78"/>
        <v>4</v>
      </c>
      <c r="BL110" s="32">
        <v>-228</v>
      </c>
    </row>
    <row r="111" spans="1:64">
      <c r="A111" s="10" t="s">
        <v>42</v>
      </c>
      <c r="B111" s="85">
        <f t="shared" ref="B111:H111" si="135">SUM(G86)</f>
        <v>0</v>
      </c>
      <c r="C111" s="86">
        <f t="shared" si="135"/>
        <v>1</v>
      </c>
      <c r="D111" s="85">
        <f t="shared" si="135"/>
        <v>0</v>
      </c>
      <c r="E111" s="85">
        <f t="shared" si="135"/>
        <v>0</v>
      </c>
      <c r="F111" s="85">
        <f t="shared" si="135"/>
        <v>0</v>
      </c>
      <c r="G111" s="85">
        <f t="shared" si="135"/>
        <v>0</v>
      </c>
      <c r="H111" s="91">
        <f t="shared" si="135"/>
        <v>0</v>
      </c>
      <c r="I111" s="88">
        <f t="shared" ref="I111:O112" si="136">SUM(N86)</f>
        <v>0</v>
      </c>
      <c r="J111" s="85">
        <f t="shared" si="136"/>
        <v>0</v>
      </c>
      <c r="K111" s="85">
        <f t="shared" si="136"/>
        <v>0</v>
      </c>
      <c r="L111" s="85">
        <f t="shared" si="136"/>
        <v>0</v>
      </c>
      <c r="M111" s="86">
        <f t="shared" si="136"/>
        <v>1</v>
      </c>
      <c r="N111" s="85">
        <f t="shared" si="136"/>
        <v>0</v>
      </c>
      <c r="O111" s="85">
        <f t="shared" si="136"/>
        <v>0</v>
      </c>
      <c r="P111" s="94">
        <f t="shared" si="78"/>
        <v>1</v>
      </c>
      <c r="BL111" s="45">
        <v>-63</v>
      </c>
    </row>
    <row r="112" spans="1:64">
      <c r="A112" s="10" t="s">
        <v>43</v>
      </c>
      <c r="B112" s="86">
        <f>SUM(G87)</f>
        <v>1</v>
      </c>
      <c r="C112" s="85">
        <f t="shared" ref="C112:H112" si="137">SUM(H87)</f>
        <v>0</v>
      </c>
      <c r="D112" s="85">
        <f t="shared" si="137"/>
        <v>0</v>
      </c>
      <c r="E112" s="85">
        <f t="shared" si="137"/>
        <v>0</v>
      </c>
      <c r="F112" s="85">
        <f t="shared" si="137"/>
        <v>0</v>
      </c>
      <c r="G112" s="85">
        <f t="shared" si="137"/>
        <v>0</v>
      </c>
      <c r="H112" s="91">
        <f t="shared" si="137"/>
        <v>0</v>
      </c>
      <c r="I112" s="88">
        <f t="shared" si="136"/>
        <v>0</v>
      </c>
      <c r="J112" s="85">
        <f t="shared" si="136"/>
        <v>0</v>
      </c>
      <c r="K112" s="85">
        <f t="shared" si="136"/>
        <v>0</v>
      </c>
      <c r="L112" s="85">
        <f t="shared" si="136"/>
        <v>0</v>
      </c>
      <c r="M112" s="86">
        <f t="shared" si="136"/>
        <v>1</v>
      </c>
      <c r="N112" s="85">
        <f t="shared" si="136"/>
        <v>0</v>
      </c>
      <c r="O112" s="85">
        <f t="shared" si="136"/>
        <v>0</v>
      </c>
      <c r="P112" s="94">
        <f t="shared" si="78"/>
        <v>1</v>
      </c>
      <c r="BL112" s="62">
        <v>-391</v>
      </c>
    </row>
    <row r="113" spans="1:64">
      <c r="A113" s="10" t="s">
        <v>44</v>
      </c>
      <c r="B113" s="86">
        <f>SUM(G88:G94)</f>
        <v>2</v>
      </c>
      <c r="C113" s="85">
        <f t="shared" ref="C113:H113" si="138">SUM(H88:H94)</f>
        <v>1</v>
      </c>
      <c r="D113" s="86">
        <f t="shared" si="138"/>
        <v>2</v>
      </c>
      <c r="E113" s="85">
        <f t="shared" si="138"/>
        <v>0</v>
      </c>
      <c r="F113" s="86">
        <f t="shared" si="138"/>
        <v>2</v>
      </c>
      <c r="G113" s="85">
        <f t="shared" si="138"/>
        <v>0</v>
      </c>
      <c r="H113" s="91">
        <f t="shared" si="138"/>
        <v>0</v>
      </c>
      <c r="I113" s="88">
        <f t="shared" ref="I113" si="139">SUM(N88:N94)</f>
        <v>1</v>
      </c>
      <c r="J113" s="86">
        <f t="shared" ref="J113" si="140">SUM(O88:O94)</f>
        <v>2</v>
      </c>
      <c r="K113" s="85">
        <f t="shared" ref="K113" si="141">SUM(P88:P94)</f>
        <v>1</v>
      </c>
      <c r="L113" s="85">
        <f t="shared" ref="L113" si="142">SUM(Q88:Q94)</f>
        <v>0</v>
      </c>
      <c r="M113" s="85">
        <f t="shared" ref="M113" si="143">SUM(R88:R94)</f>
        <v>1</v>
      </c>
      <c r="N113" s="85">
        <f t="shared" ref="N113" si="144">SUM(S88:S94)</f>
        <v>1</v>
      </c>
      <c r="O113" s="85">
        <f t="shared" ref="O113" si="145">SUM(T88:T94)</f>
        <v>1</v>
      </c>
      <c r="P113" s="94">
        <f t="shared" si="78"/>
        <v>7</v>
      </c>
      <c r="BL113" s="62">
        <v>250</v>
      </c>
    </row>
    <row r="114" spans="1:64">
      <c r="A114" s="10" t="s">
        <v>45</v>
      </c>
      <c r="B114" s="85">
        <f>SUM(G95)</f>
        <v>0</v>
      </c>
      <c r="C114" s="85">
        <f t="shared" ref="C114:H114" si="146">SUM(H95)</f>
        <v>0</v>
      </c>
      <c r="D114" s="85">
        <f t="shared" si="146"/>
        <v>0</v>
      </c>
      <c r="E114" s="85">
        <f t="shared" si="146"/>
        <v>0</v>
      </c>
      <c r="F114" s="85">
        <f t="shared" si="146"/>
        <v>0</v>
      </c>
      <c r="G114" s="86">
        <f t="shared" si="146"/>
        <v>1</v>
      </c>
      <c r="H114" s="91">
        <f t="shared" si="146"/>
        <v>0</v>
      </c>
      <c r="I114" s="88">
        <f t="shared" ref="I114" si="147">SUM(N95)</f>
        <v>0</v>
      </c>
      <c r="J114" s="85">
        <f t="shared" ref="J114" si="148">SUM(O95)</f>
        <v>0</v>
      </c>
      <c r="K114" s="85">
        <f t="shared" ref="K114" si="149">SUM(P95)</f>
        <v>0</v>
      </c>
      <c r="L114" s="85">
        <f t="shared" ref="L114" si="150">SUM(Q95)</f>
        <v>0</v>
      </c>
      <c r="M114" s="85">
        <f t="shared" ref="M114" si="151">SUM(R95)</f>
        <v>0</v>
      </c>
      <c r="N114" s="86">
        <f t="shared" ref="N114" si="152">SUM(S95)</f>
        <v>1</v>
      </c>
      <c r="O114" s="85">
        <f t="shared" ref="O114" si="153">SUM(T95)</f>
        <v>0</v>
      </c>
      <c r="P114" s="94">
        <f t="shared" si="78"/>
        <v>1</v>
      </c>
      <c r="BL114" s="62">
        <v>189</v>
      </c>
    </row>
    <row r="115" spans="1:64">
      <c r="A115" s="10" t="s">
        <v>376</v>
      </c>
      <c r="B115" s="87">
        <f>SUM(B102:B114)</f>
        <v>18</v>
      </c>
      <c r="C115" s="87">
        <f t="shared" ref="C115:O115" si="154">SUM(C102:C114)</f>
        <v>15</v>
      </c>
      <c r="D115" s="87">
        <f t="shared" si="154"/>
        <v>18</v>
      </c>
      <c r="E115" s="87">
        <f t="shared" si="154"/>
        <v>17</v>
      </c>
      <c r="F115" s="87">
        <f t="shared" si="154"/>
        <v>16</v>
      </c>
      <c r="G115" s="87">
        <f t="shared" si="154"/>
        <v>6</v>
      </c>
      <c r="H115" s="93">
        <f t="shared" si="154"/>
        <v>3</v>
      </c>
      <c r="I115" s="90">
        <f t="shared" si="154"/>
        <v>8</v>
      </c>
      <c r="J115" s="87">
        <f t="shared" si="154"/>
        <v>14</v>
      </c>
      <c r="K115" s="87">
        <f t="shared" si="154"/>
        <v>8</v>
      </c>
      <c r="L115" s="87">
        <f t="shared" si="154"/>
        <v>8</v>
      </c>
      <c r="M115" s="87">
        <f t="shared" si="154"/>
        <v>22</v>
      </c>
      <c r="N115" s="87">
        <f t="shared" si="154"/>
        <v>20</v>
      </c>
      <c r="O115" s="87">
        <f t="shared" si="154"/>
        <v>13</v>
      </c>
      <c r="P115" s="94">
        <f t="shared" si="78"/>
        <v>93</v>
      </c>
      <c r="BL115" s="62">
        <v>14</v>
      </c>
    </row>
    <row r="116" spans="1:64">
      <c r="BL116" s="62">
        <v>55</v>
      </c>
    </row>
    <row r="117" spans="1:64">
      <c r="BL117" s="62">
        <v>-1.6319018404907977</v>
      </c>
    </row>
    <row r="118" spans="1:64">
      <c r="BL118" s="62">
        <v>88</v>
      </c>
    </row>
    <row r="119" spans="1:64">
      <c r="BL119" s="62">
        <v>10</v>
      </c>
    </row>
    <row r="120" spans="1:64">
      <c r="BL120" s="62">
        <v>16</v>
      </c>
    </row>
    <row r="121" spans="1:64" ht="45" customHeight="1">
      <c r="A121" s="402" t="s">
        <v>469</v>
      </c>
      <c r="B121" s="402"/>
      <c r="C121" s="402"/>
      <c r="D121" s="402"/>
      <c r="G121" s="399" t="s">
        <v>468</v>
      </c>
      <c r="H121" s="399"/>
      <c r="I121" s="399"/>
      <c r="J121" s="399"/>
      <c r="BL121" s="62">
        <v>-85</v>
      </c>
    </row>
    <row r="122" spans="1:64">
      <c r="A122" s="9" t="s">
        <v>370</v>
      </c>
      <c r="B122" t="s">
        <v>373</v>
      </c>
      <c r="D122" t="s">
        <v>472</v>
      </c>
      <c r="G122" s="9" t="s">
        <v>370</v>
      </c>
      <c r="H122" t="s">
        <v>373</v>
      </c>
      <c r="I122" t="s">
        <v>473</v>
      </c>
      <c r="J122" t="s">
        <v>472</v>
      </c>
      <c r="BL122" s="64">
        <v>-67</v>
      </c>
    </row>
    <row r="123" spans="1:64">
      <c r="A123" s="10">
        <v>1</v>
      </c>
      <c r="B123" s="7">
        <v>7</v>
      </c>
      <c r="C123" t="s">
        <v>385</v>
      </c>
      <c r="D123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provoz.]",1)/GETPIVOTDATA("Název klubu",$A$122)</f>
        <v>7.5268817204301078E-2</v>
      </c>
      <c r="E123" s="406">
        <f>SUM(B123:B125)</f>
        <v>30</v>
      </c>
      <c r="F123" s="405">
        <f>E123/GETPIVOTDATA("Název klubu",$A$122)</f>
        <v>0.32258064516129031</v>
      </c>
      <c r="G123" s="10">
        <v>1</v>
      </c>
      <c r="H123" s="7">
        <v>17</v>
      </c>
      <c r="I123" t="s">
        <v>385</v>
      </c>
      <c r="J123" s="20">
        <f>GETPIVOTDATA("Název klubu",$G$122,"Interní prostředí (je reprezentováno vlivy, které přicházejí zevnitř organizace) [V rámci našeho klubu máme dostatek finančních zdrojů.]",1)/GETPIVOTDATA("Název klubu",$G$122)</f>
        <v>0.18279569892473119</v>
      </c>
      <c r="K123" s="402">
        <f>SUM(H123:H125)</f>
        <v>51</v>
      </c>
      <c r="L123" s="405">
        <f>K123/GETPIVOTDATA("Název klubu",$G$122)</f>
        <v>0.54838709677419351</v>
      </c>
      <c r="BL123" s="64">
        <v>-75</v>
      </c>
    </row>
    <row r="124" spans="1:64">
      <c r="A124" s="10">
        <v>2</v>
      </c>
      <c r="B124" s="7">
        <v>15</v>
      </c>
      <c r="C124" t="s">
        <v>384</v>
      </c>
      <c r="D124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provoz.]",2)/GETPIVOTDATA("Název klubu",$A$122)</f>
        <v>0.16129032258064516</v>
      </c>
      <c r="E124" s="406"/>
      <c r="F124" s="405"/>
      <c r="G124" s="10">
        <v>2</v>
      </c>
      <c r="H124" s="7">
        <v>16</v>
      </c>
      <c r="I124" t="s">
        <v>384</v>
      </c>
      <c r="J124" s="20">
        <f>GETPIVOTDATA("Název klubu",$G$122,"Interní prostředí (je reprezentováno vlivy, které přicházejí zevnitř organizace) [V rámci našeho klubu máme dostatek finančních zdrojů.]",2)/GETPIVOTDATA("Název klubu",$G$122)</f>
        <v>0.17204301075268819</v>
      </c>
      <c r="K124" s="402"/>
      <c r="L124" s="405"/>
      <c r="BL124" s="64">
        <v>10</v>
      </c>
    </row>
    <row r="125" spans="1:64">
      <c r="A125" s="10">
        <v>3</v>
      </c>
      <c r="B125" s="7">
        <v>8</v>
      </c>
      <c r="C125" t="s">
        <v>386</v>
      </c>
      <c r="D125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provoz.]",3)/GETPIVOTDATA("Název klubu",$A$122)</f>
        <v>8.6021505376344093E-2</v>
      </c>
      <c r="E125" s="406"/>
      <c r="F125" s="405"/>
      <c r="G125" s="10">
        <v>3</v>
      </c>
      <c r="H125" s="7">
        <v>18</v>
      </c>
      <c r="I125" t="s">
        <v>386</v>
      </c>
      <c r="J125" s="20">
        <f>GETPIVOTDATA("Název klubu",$G$122,"Interní prostředí (je reprezentováno vlivy, které přicházejí zevnitř organizace) [V rámci našeho klubu máme dostatek finančních zdrojů.]",3)/GETPIVOTDATA("Název klubu",$G$122)</f>
        <v>0.19354838709677419</v>
      </c>
      <c r="K125" s="402"/>
      <c r="L125" s="405"/>
      <c r="BL125" s="64">
        <v>32</v>
      </c>
    </row>
    <row r="126" spans="1:64">
      <c r="A126" s="10">
        <v>4</v>
      </c>
      <c r="B126" s="7">
        <v>8</v>
      </c>
      <c r="C126" t="s">
        <v>387</v>
      </c>
      <c r="D126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provoz.]",4)/GETPIVOTDATA("Název klubu",$A$122)</f>
        <v>8.6021505376344093E-2</v>
      </c>
      <c r="E126" s="96">
        <f>SUM(GETPIVOTDATA("Název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provoz.]",4))</f>
        <v>8</v>
      </c>
      <c r="F126" s="56">
        <f>E126/GETPIVOTDATA("Název klubu",$A$122)</f>
        <v>8.6021505376344093E-2</v>
      </c>
      <c r="G126" s="10">
        <v>4</v>
      </c>
      <c r="H126" s="7">
        <v>17</v>
      </c>
      <c r="I126" t="s">
        <v>387</v>
      </c>
      <c r="J126" s="20">
        <f>GETPIVOTDATA("Název klubu",$G$122,"Interní prostředí (je reprezentováno vlivy, které přicházejí zevnitř organizace) [V rámci našeho klubu máme dostatek finančních zdrojů.]",4)/GETPIVOTDATA("Název klubu",$G$122)</f>
        <v>0.18279569892473119</v>
      </c>
      <c r="K126" s="27">
        <f>SUM(GETPIVOTDATA("Název klubu",$G$122,"Interní prostředí (je reprezentováno vlivy, které přicházejí zevnitř organizace) [V rámci našeho klubu máme dostatek finančních zdrojů.]",4))</f>
        <v>17</v>
      </c>
      <c r="L126" s="56">
        <f>K126/GETPIVOTDATA("Název klubu",$G$122)</f>
        <v>0.18279569892473119</v>
      </c>
      <c r="BL126" s="64">
        <v>73</v>
      </c>
    </row>
    <row r="127" spans="1:64">
      <c r="A127" s="10">
        <v>5</v>
      </c>
      <c r="B127" s="7">
        <v>22</v>
      </c>
      <c r="C127" t="s">
        <v>388</v>
      </c>
      <c r="D127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provoz.]",5)/GETPIVOTDATA("Název klubu",$A$122)</f>
        <v>0.23655913978494625</v>
      </c>
      <c r="E127" s="407">
        <f>SUM(B127:B129)</f>
        <v>55</v>
      </c>
      <c r="F127" s="405">
        <f>E127/GETPIVOTDATA("Název klubu",$A$122)</f>
        <v>0.59139784946236562</v>
      </c>
      <c r="G127" s="10">
        <v>5</v>
      </c>
      <c r="H127" s="7">
        <v>16</v>
      </c>
      <c r="I127" t="s">
        <v>388</v>
      </c>
      <c r="J127" s="20">
        <f>GETPIVOTDATA("Název klubu",$G$122,"Interní prostředí (je reprezentováno vlivy, které přicházejí zevnitř organizace) [V rámci našeho klubu máme dostatek finančních zdrojů.]",5)/GETPIVOTDATA("Název klubu",$G$122)</f>
        <v>0.17204301075268819</v>
      </c>
      <c r="K127" s="402">
        <f>SUM(H127:H129)</f>
        <v>25</v>
      </c>
      <c r="L127" s="405">
        <f>K127/GETPIVOTDATA("Název klubu",$G$122)</f>
        <v>0.26881720430107525</v>
      </c>
      <c r="BL127" s="64">
        <v>-291</v>
      </c>
    </row>
    <row r="128" spans="1:64">
      <c r="A128" s="10">
        <v>6</v>
      </c>
      <c r="B128" s="7">
        <v>20</v>
      </c>
      <c r="C128" t="s">
        <v>389</v>
      </c>
      <c r="D128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provoz.]",6)/GETPIVOTDATA("Název klubu",$A$122)</f>
        <v>0.21505376344086022</v>
      </c>
      <c r="E128" s="407"/>
      <c r="F128" s="405"/>
      <c r="G128" s="10">
        <v>6</v>
      </c>
      <c r="H128" s="7">
        <v>6</v>
      </c>
      <c r="I128" t="s">
        <v>389</v>
      </c>
      <c r="J128" s="20">
        <f>GETPIVOTDATA("Název klubu",$G$122,"Interní prostředí (je reprezentováno vlivy, které přicházejí zevnitř organizace) [V rámci našeho klubu máme dostatek finančních zdrojů.]",6)/GETPIVOTDATA("Název klubu",$G$122)</f>
        <v>6.4516129032258063E-2</v>
      </c>
      <c r="K128" s="402"/>
      <c r="L128" s="405"/>
      <c r="N128">
        <f>24/3</f>
        <v>8</v>
      </c>
      <c r="BL128" s="64">
        <v>161</v>
      </c>
    </row>
    <row r="129" spans="1:64">
      <c r="A129" s="10">
        <v>7</v>
      </c>
      <c r="B129" s="7">
        <v>13</v>
      </c>
      <c r="C129" t="s">
        <v>390</v>
      </c>
      <c r="D129" s="20">
        <f>GETPIVOTDATA("Název klubu",$A$122,"Kontrola strategie - Vyberte prosím na 7-mi bodové Likertově škále, do jaké míry souhlasíte či nesouhlasíte s danými tvrzeními. (1- rozhodně nesouhlasím, 7 - rozhodně souhlasím)   [Příjmy našeho klubu bez problémů pokrývají jeho provoz.]",7)/GETPIVOTDATA("Název klubu",$A$122)</f>
        <v>0.13978494623655913</v>
      </c>
      <c r="E129" s="407"/>
      <c r="F129" s="405"/>
      <c r="G129" s="10">
        <v>7</v>
      </c>
      <c r="H129" s="7">
        <v>3</v>
      </c>
      <c r="I129" t="s">
        <v>390</v>
      </c>
      <c r="J129" s="20">
        <f>GETPIVOTDATA("Název klubu",$G$122,"Interní prostředí (je reprezentováno vlivy, které přicházejí zevnitř organizace) [V rámci našeho klubu máme dostatek finančních zdrojů.]",7)/GETPIVOTDATA("Název klubu",$G$122)</f>
        <v>3.2258064516129031E-2</v>
      </c>
      <c r="K129" s="402"/>
      <c r="L129" s="405"/>
      <c r="BL129" s="64">
        <v>1</v>
      </c>
    </row>
    <row r="130" spans="1:64">
      <c r="A130" s="10" t="s">
        <v>371</v>
      </c>
      <c r="B130" s="7">
        <v>93</v>
      </c>
      <c r="D130" s="95"/>
      <c r="G130" s="10" t="s">
        <v>371</v>
      </c>
      <c r="H130" s="7">
        <v>93</v>
      </c>
      <c r="BL130" s="64">
        <v>-40</v>
      </c>
    </row>
    <row r="131" spans="1:64">
      <c r="F131" s="7">
        <v>93</v>
      </c>
      <c r="BL131" s="64">
        <v>40</v>
      </c>
    </row>
    <row r="132" spans="1:64">
      <c r="BL132" s="64">
        <v>-315</v>
      </c>
    </row>
    <row r="133" spans="1:64">
      <c r="B133" s="402" t="s">
        <v>474</v>
      </c>
      <c r="C133" s="402"/>
      <c r="D133" s="402"/>
      <c r="E133" s="402" t="s">
        <v>475</v>
      </c>
      <c r="F133" s="402"/>
      <c r="G133" s="402"/>
      <c r="H133" s="402" t="s">
        <v>476</v>
      </c>
      <c r="I133" s="402"/>
      <c r="J133" s="402"/>
      <c r="BL133" s="64">
        <v>42</v>
      </c>
    </row>
    <row r="134" spans="1:64">
      <c r="B134">
        <v>2015</v>
      </c>
      <c r="C134">
        <v>2016</v>
      </c>
      <c r="D134">
        <v>2017</v>
      </c>
      <c r="E134">
        <v>2015</v>
      </c>
      <c r="F134">
        <v>2016</v>
      </c>
      <c r="G134">
        <v>2017</v>
      </c>
      <c r="H134">
        <v>2015</v>
      </c>
      <c r="I134">
        <v>2016</v>
      </c>
      <c r="J134">
        <v>2017</v>
      </c>
      <c r="K134" t="s">
        <v>376</v>
      </c>
      <c r="L134" s="130" t="s">
        <v>477</v>
      </c>
      <c r="M134" t="s">
        <v>478</v>
      </c>
      <c r="N134" t="s">
        <v>479</v>
      </c>
      <c r="O134" s="27" t="s">
        <v>480</v>
      </c>
      <c r="P134" s="27" t="s">
        <v>481</v>
      </c>
      <c r="Q134" s="27">
        <v>0</v>
      </c>
      <c r="S134" s="27" t="s">
        <v>495</v>
      </c>
      <c r="BL134" s="64">
        <v>-45</v>
      </c>
    </row>
    <row r="135" spans="1:64">
      <c r="A135" s="10" t="s">
        <v>31</v>
      </c>
      <c r="B135">
        <f>SUM(AI3:AI15)</f>
        <v>7</v>
      </c>
      <c r="C135">
        <f t="shared" ref="C135:J135" si="155">SUM(AJ3:AJ15)</f>
        <v>6</v>
      </c>
      <c r="D135">
        <f t="shared" si="155"/>
        <v>11</v>
      </c>
      <c r="E135">
        <f t="shared" si="155"/>
        <v>5</v>
      </c>
      <c r="F135">
        <f t="shared" si="155"/>
        <v>6</v>
      </c>
      <c r="G135">
        <f t="shared" si="155"/>
        <v>1</v>
      </c>
      <c r="H135">
        <f t="shared" si="155"/>
        <v>1</v>
      </c>
      <c r="I135">
        <f t="shared" si="155"/>
        <v>1</v>
      </c>
      <c r="J135">
        <f t="shared" si="155"/>
        <v>1</v>
      </c>
      <c r="K135">
        <v>13</v>
      </c>
      <c r="L135" s="130">
        <f>SUM(B135:D135)</f>
        <v>24</v>
      </c>
      <c r="M135">
        <f>SUM(E135:G135)</f>
        <v>12</v>
      </c>
      <c r="N135">
        <f>SUM(H135:J135)</f>
        <v>3</v>
      </c>
      <c r="O135" s="19">
        <f>L135/39</f>
        <v>0.61538461538461542</v>
      </c>
      <c r="P135" s="19">
        <f t="shared" ref="P135:Q135" si="156">M135/39</f>
        <v>0.30769230769230771</v>
      </c>
      <c r="Q135" s="19">
        <f t="shared" si="156"/>
        <v>7.6923076923076927E-2</v>
      </c>
      <c r="S135" s="19">
        <v>0.61538461538461542</v>
      </c>
      <c r="BL135" s="64">
        <v>-35</v>
      </c>
    </row>
    <row r="136" spans="1:64">
      <c r="A136" s="10" t="s">
        <v>36</v>
      </c>
      <c r="B136">
        <f>SUM(AI16:AI17)</f>
        <v>0</v>
      </c>
      <c r="C136">
        <f t="shared" ref="C136:J136" si="157">SUM(AJ16:AJ17)</f>
        <v>0</v>
      </c>
      <c r="D136">
        <f t="shared" si="157"/>
        <v>1</v>
      </c>
      <c r="E136">
        <f t="shared" si="157"/>
        <v>2</v>
      </c>
      <c r="F136">
        <f t="shared" si="157"/>
        <v>2</v>
      </c>
      <c r="G136">
        <f t="shared" si="157"/>
        <v>1</v>
      </c>
      <c r="H136">
        <f t="shared" si="157"/>
        <v>0</v>
      </c>
      <c r="I136">
        <f t="shared" si="157"/>
        <v>0</v>
      </c>
      <c r="J136">
        <f t="shared" si="157"/>
        <v>0</v>
      </c>
      <c r="K136">
        <v>2</v>
      </c>
      <c r="L136" s="130">
        <f t="shared" ref="L136:L148" si="158">SUM(B136:D136)</f>
        <v>1</v>
      </c>
      <c r="M136">
        <f t="shared" ref="M136:M148" si="159">SUM(E136:G136)</f>
        <v>5</v>
      </c>
      <c r="N136">
        <f t="shared" ref="N136:N148" si="160">SUM(H136:J136)</f>
        <v>0</v>
      </c>
      <c r="O136" s="19">
        <f>L136/($K$136*3)</f>
        <v>0.16666666666666666</v>
      </c>
      <c r="P136" s="19">
        <f>M136/(K136*3)</f>
        <v>0.83333333333333337</v>
      </c>
      <c r="Q136" s="19">
        <f>N136/(K136*3)</f>
        <v>0</v>
      </c>
      <c r="S136" s="19">
        <v>0.66666666666666663</v>
      </c>
      <c r="BL136" s="64">
        <v>298.3</v>
      </c>
    </row>
    <row r="137" spans="1:64">
      <c r="A137" s="10" t="s">
        <v>46</v>
      </c>
      <c r="B137">
        <f>SUM(AI18)</f>
        <v>1</v>
      </c>
      <c r="C137">
        <f t="shared" ref="C137:J137" si="161">SUM(AJ18)</f>
        <v>0</v>
      </c>
      <c r="D137">
        <f t="shared" si="161"/>
        <v>1</v>
      </c>
      <c r="E137">
        <f t="shared" si="161"/>
        <v>0</v>
      </c>
      <c r="F137">
        <f t="shared" si="161"/>
        <v>1</v>
      </c>
      <c r="G137">
        <f t="shared" si="161"/>
        <v>0</v>
      </c>
      <c r="H137">
        <f t="shared" si="161"/>
        <v>0</v>
      </c>
      <c r="I137">
        <f t="shared" si="161"/>
        <v>0</v>
      </c>
      <c r="J137">
        <f t="shared" si="161"/>
        <v>0</v>
      </c>
      <c r="K137">
        <v>1</v>
      </c>
      <c r="L137" s="130">
        <f t="shared" si="158"/>
        <v>2</v>
      </c>
      <c r="M137">
        <f t="shared" si="159"/>
        <v>1</v>
      </c>
      <c r="N137">
        <f t="shared" si="160"/>
        <v>0</v>
      </c>
      <c r="O137" s="19">
        <f>L137/($K$137*3)</f>
        <v>0.66666666666666663</v>
      </c>
      <c r="P137" s="19">
        <f t="shared" ref="P137:P148" si="162">M137/(K137*3)</f>
        <v>0.33333333333333331</v>
      </c>
      <c r="Q137" s="19">
        <f t="shared" ref="Q137:Q148" si="163">N137/(K137*3)</f>
        <v>0</v>
      </c>
      <c r="S137" s="19">
        <v>0.6333333333333333</v>
      </c>
      <c r="BL137" s="64">
        <v>2</v>
      </c>
    </row>
    <row r="138" spans="1:64">
      <c r="A138" s="10" t="s">
        <v>37</v>
      </c>
      <c r="B138">
        <f>SUM(AI19:AI28)</f>
        <v>5</v>
      </c>
      <c r="C138">
        <f t="shared" ref="C138:J138" si="164">SUM(AJ19:AJ28)</f>
        <v>7</v>
      </c>
      <c r="D138">
        <f t="shared" si="164"/>
        <v>7</v>
      </c>
      <c r="E138">
        <f t="shared" si="164"/>
        <v>5</v>
      </c>
      <c r="F138">
        <f t="shared" si="164"/>
        <v>3</v>
      </c>
      <c r="G138">
        <f t="shared" si="164"/>
        <v>2</v>
      </c>
      <c r="H138">
        <f t="shared" si="164"/>
        <v>0</v>
      </c>
      <c r="I138">
        <f t="shared" si="164"/>
        <v>0</v>
      </c>
      <c r="J138">
        <f t="shared" si="164"/>
        <v>1</v>
      </c>
      <c r="K138">
        <v>10</v>
      </c>
      <c r="L138" s="130">
        <f t="shared" si="158"/>
        <v>19</v>
      </c>
      <c r="M138">
        <f t="shared" si="159"/>
        <v>10</v>
      </c>
      <c r="N138">
        <f t="shared" si="160"/>
        <v>1</v>
      </c>
      <c r="O138" s="19">
        <f>L138/(K138*3)</f>
        <v>0.6333333333333333</v>
      </c>
      <c r="P138" s="19">
        <f t="shared" si="162"/>
        <v>0.33333333333333331</v>
      </c>
      <c r="Q138" s="19">
        <f t="shared" si="163"/>
        <v>3.3333333333333333E-2</v>
      </c>
      <c r="S138" s="19">
        <v>0.63829787234042556</v>
      </c>
      <c r="BL138" s="64">
        <v>282</v>
      </c>
    </row>
    <row r="139" spans="1:64">
      <c r="A139" s="10" t="s">
        <v>38</v>
      </c>
      <c r="B139">
        <f>SUM(AI29:AI75)</f>
        <v>28</v>
      </c>
      <c r="C139">
        <f t="shared" ref="C139:J139" si="165">SUM(AJ29:AJ75)</f>
        <v>30</v>
      </c>
      <c r="D139">
        <f t="shared" si="165"/>
        <v>32</v>
      </c>
      <c r="E139">
        <f t="shared" si="165"/>
        <v>16</v>
      </c>
      <c r="F139">
        <f t="shared" si="165"/>
        <v>14</v>
      </c>
      <c r="G139">
        <f t="shared" si="165"/>
        <v>14</v>
      </c>
      <c r="H139">
        <f t="shared" si="165"/>
        <v>3</v>
      </c>
      <c r="I139">
        <f t="shared" si="165"/>
        <v>3</v>
      </c>
      <c r="J139">
        <f t="shared" si="165"/>
        <v>1</v>
      </c>
      <c r="K139">
        <v>47</v>
      </c>
      <c r="L139" s="130">
        <f t="shared" si="158"/>
        <v>90</v>
      </c>
      <c r="M139">
        <f t="shared" si="159"/>
        <v>44</v>
      </c>
      <c r="N139">
        <f t="shared" si="160"/>
        <v>7</v>
      </c>
      <c r="O139" s="19">
        <f t="shared" ref="O139:O147" si="166">L139/(K139*3)</f>
        <v>0.63829787234042556</v>
      </c>
      <c r="P139" s="19">
        <f t="shared" si="162"/>
        <v>0.31205673758865249</v>
      </c>
      <c r="Q139" s="19">
        <f t="shared" si="163"/>
        <v>4.9645390070921988E-2</v>
      </c>
      <c r="S139" s="19">
        <v>0.66666666666666663</v>
      </c>
      <c r="BL139" s="64">
        <v>-92</v>
      </c>
    </row>
    <row r="140" spans="1:64">
      <c r="A140" s="10" t="s">
        <v>39</v>
      </c>
      <c r="B140">
        <f>SUM(AI76)</f>
        <v>1</v>
      </c>
      <c r="C140">
        <f t="shared" ref="C140:J140" si="167">SUM(AJ76)</f>
        <v>1</v>
      </c>
      <c r="D140">
        <f t="shared" si="167"/>
        <v>1</v>
      </c>
      <c r="E140">
        <f t="shared" si="167"/>
        <v>0</v>
      </c>
      <c r="F140">
        <f t="shared" si="167"/>
        <v>0</v>
      </c>
      <c r="G140">
        <f t="shared" si="167"/>
        <v>0</v>
      </c>
      <c r="H140">
        <f t="shared" si="167"/>
        <v>0</v>
      </c>
      <c r="I140">
        <f t="shared" si="167"/>
        <v>0</v>
      </c>
      <c r="J140">
        <f t="shared" si="167"/>
        <v>0</v>
      </c>
      <c r="K140">
        <v>1</v>
      </c>
      <c r="L140" s="130">
        <f t="shared" si="158"/>
        <v>3</v>
      </c>
      <c r="M140">
        <f t="shared" si="159"/>
        <v>0</v>
      </c>
      <c r="N140">
        <f t="shared" si="160"/>
        <v>0</v>
      </c>
      <c r="O140" s="19">
        <f t="shared" si="166"/>
        <v>1</v>
      </c>
      <c r="P140" s="19">
        <f t="shared" si="162"/>
        <v>0</v>
      </c>
      <c r="Q140" s="19">
        <f t="shared" si="163"/>
        <v>0</v>
      </c>
      <c r="S140" s="19"/>
      <c r="BL140" s="64">
        <v>-1</v>
      </c>
    </row>
    <row r="141" spans="1:64">
      <c r="A141" s="10" t="s">
        <v>40</v>
      </c>
      <c r="B141">
        <f>SUM(AI77)</f>
        <v>1</v>
      </c>
      <c r="C141">
        <f t="shared" ref="C141:J141" si="168">SUM(AJ77)</f>
        <v>1</v>
      </c>
      <c r="D141">
        <f t="shared" si="168"/>
        <v>1</v>
      </c>
      <c r="E141">
        <f t="shared" si="168"/>
        <v>0</v>
      </c>
      <c r="F141">
        <f t="shared" si="168"/>
        <v>0</v>
      </c>
      <c r="G141">
        <f t="shared" si="168"/>
        <v>0</v>
      </c>
      <c r="H141">
        <f t="shared" si="168"/>
        <v>0</v>
      </c>
      <c r="I141">
        <f t="shared" si="168"/>
        <v>0</v>
      </c>
      <c r="J141">
        <f t="shared" si="168"/>
        <v>0</v>
      </c>
      <c r="K141">
        <v>1</v>
      </c>
      <c r="L141" s="130">
        <f t="shared" si="158"/>
        <v>3</v>
      </c>
      <c r="M141">
        <f t="shared" si="159"/>
        <v>0</v>
      </c>
      <c r="N141">
        <f t="shared" si="160"/>
        <v>0</v>
      </c>
      <c r="O141" s="19">
        <f t="shared" si="166"/>
        <v>1</v>
      </c>
      <c r="P141" s="19">
        <f t="shared" si="162"/>
        <v>0</v>
      </c>
      <c r="Q141" s="19">
        <f t="shared" si="163"/>
        <v>0</v>
      </c>
      <c r="S141" s="20">
        <f>STDEVPA(S135:S140)</f>
        <v>1.996328353807536E-2</v>
      </c>
      <c r="BL141" s="64">
        <v>68</v>
      </c>
    </row>
    <row r="142" spans="1:64">
      <c r="A142" s="10" t="s">
        <v>41</v>
      </c>
      <c r="B142">
        <f>SUM(AI78:AI81)</f>
        <v>1</v>
      </c>
      <c r="C142">
        <f t="shared" ref="C142:J142" si="169">SUM(AJ78:AJ81)</f>
        <v>2</v>
      </c>
      <c r="D142">
        <f t="shared" si="169"/>
        <v>3</v>
      </c>
      <c r="E142">
        <f t="shared" si="169"/>
        <v>2</v>
      </c>
      <c r="F142">
        <f t="shared" si="169"/>
        <v>2</v>
      </c>
      <c r="G142">
        <f t="shared" si="169"/>
        <v>1</v>
      </c>
      <c r="H142">
        <f t="shared" si="169"/>
        <v>1</v>
      </c>
      <c r="I142">
        <f t="shared" si="169"/>
        <v>0</v>
      </c>
      <c r="J142">
        <f t="shared" si="169"/>
        <v>0</v>
      </c>
      <c r="K142">
        <v>4</v>
      </c>
      <c r="L142" s="130">
        <f t="shared" si="158"/>
        <v>6</v>
      </c>
      <c r="M142">
        <f t="shared" si="159"/>
        <v>5</v>
      </c>
      <c r="N142">
        <f t="shared" si="160"/>
        <v>1</v>
      </c>
      <c r="O142" s="19">
        <f t="shared" si="166"/>
        <v>0.5</v>
      </c>
      <c r="P142" s="19">
        <f t="shared" si="162"/>
        <v>0.41666666666666669</v>
      </c>
      <c r="Q142" s="19">
        <f t="shared" si="163"/>
        <v>8.3333333333333329E-2</v>
      </c>
      <c r="S142" s="19">
        <f>AVERAGEA(S135:S140)</f>
        <v>0.64406983087834146</v>
      </c>
      <c r="BL142" s="64">
        <v>-97</v>
      </c>
    </row>
    <row r="143" spans="1:64">
      <c r="A143" s="10" t="s">
        <v>34</v>
      </c>
      <c r="B143">
        <f>SUM(AI82:AI85)</f>
        <v>3</v>
      </c>
      <c r="C143">
        <f t="shared" ref="C143:J143" si="170">SUM(AJ82:AJ85)</f>
        <v>2</v>
      </c>
      <c r="D143">
        <f t="shared" si="170"/>
        <v>2</v>
      </c>
      <c r="E143">
        <f t="shared" si="170"/>
        <v>1</v>
      </c>
      <c r="F143">
        <f t="shared" si="170"/>
        <v>2</v>
      </c>
      <c r="G143">
        <f t="shared" si="170"/>
        <v>2</v>
      </c>
      <c r="H143">
        <f t="shared" si="170"/>
        <v>0</v>
      </c>
      <c r="I143">
        <f t="shared" si="170"/>
        <v>0</v>
      </c>
      <c r="J143">
        <f t="shared" si="170"/>
        <v>0</v>
      </c>
      <c r="K143">
        <v>4</v>
      </c>
      <c r="L143" s="130">
        <f t="shared" si="158"/>
        <v>7</v>
      </c>
      <c r="M143">
        <f t="shared" si="159"/>
        <v>5</v>
      </c>
      <c r="N143">
        <f t="shared" si="160"/>
        <v>0</v>
      </c>
      <c r="O143" s="19">
        <f t="shared" si="166"/>
        <v>0.58333333333333337</v>
      </c>
      <c r="P143" s="19">
        <f t="shared" si="162"/>
        <v>0.41666666666666669</v>
      </c>
      <c r="Q143" s="19">
        <f t="shared" si="163"/>
        <v>0</v>
      </c>
      <c r="BL143" s="64">
        <v>714</v>
      </c>
    </row>
    <row r="144" spans="1:64">
      <c r="A144" s="10" t="s">
        <v>42</v>
      </c>
      <c r="B144">
        <f t="shared" ref="B144:J144" si="171">SUM(AI86)</f>
        <v>1</v>
      </c>
      <c r="C144">
        <f t="shared" si="171"/>
        <v>0</v>
      </c>
      <c r="D144">
        <f t="shared" si="171"/>
        <v>1</v>
      </c>
      <c r="E144">
        <f t="shared" si="171"/>
        <v>0</v>
      </c>
      <c r="F144">
        <f t="shared" si="171"/>
        <v>1</v>
      </c>
      <c r="G144">
        <f t="shared" si="171"/>
        <v>0</v>
      </c>
      <c r="H144">
        <f t="shared" si="171"/>
        <v>0</v>
      </c>
      <c r="I144">
        <f t="shared" si="171"/>
        <v>0</v>
      </c>
      <c r="J144">
        <f t="shared" si="171"/>
        <v>0</v>
      </c>
      <c r="K144">
        <v>1</v>
      </c>
      <c r="L144" s="130">
        <f t="shared" si="158"/>
        <v>2</v>
      </c>
      <c r="M144">
        <f t="shared" si="159"/>
        <v>1</v>
      </c>
      <c r="N144">
        <f t="shared" si="160"/>
        <v>0</v>
      </c>
      <c r="O144" s="19">
        <f t="shared" si="166"/>
        <v>0.66666666666666663</v>
      </c>
      <c r="P144" s="19">
        <f t="shared" si="162"/>
        <v>0.33333333333333331</v>
      </c>
      <c r="Q144" s="19">
        <f t="shared" si="163"/>
        <v>0</v>
      </c>
      <c r="BL144" s="64">
        <v>0</v>
      </c>
    </row>
    <row r="145" spans="1:64">
      <c r="A145" s="10" t="s">
        <v>43</v>
      </c>
      <c r="B145">
        <f>SUM(AI87)</f>
        <v>0</v>
      </c>
      <c r="C145">
        <f t="shared" ref="C145:J145" si="172">SUM(AJ87)</f>
        <v>0</v>
      </c>
      <c r="D145">
        <f t="shared" si="172"/>
        <v>0</v>
      </c>
      <c r="E145">
        <f t="shared" si="172"/>
        <v>0</v>
      </c>
      <c r="F145">
        <f t="shared" si="172"/>
        <v>0</v>
      </c>
      <c r="G145">
        <f t="shared" si="172"/>
        <v>0</v>
      </c>
      <c r="H145">
        <f t="shared" si="172"/>
        <v>1</v>
      </c>
      <c r="I145">
        <f t="shared" si="172"/>
        <v>1</v>
      </c>
      <c r="J145">
        <f t="shared" si="172"/>
        <v>1</v>
      </c>
      <c r="K145">
        <v>1</v>
      </c>
      <c r="L145" s="130">
        <f t="shared" si="158"/>
        <v>0</v>
      </c>
      <c r="M145">
        <f t="shared" si="159"/>
        <v>0</v>
      </c>
      <c r="N145">
        <f t="shared" si="160"/>
        <v>3</v>
      </c>
      <c r="O145" s="19">
        <f t="shared" si="166"/>
        <v>0</v>
      </c>
      <c r="P145" s="19">
        <f t="shared" si="162"/>
        <v>0</v>
      </c>
      <c r="Q145" s="19">
        <f t="shared" si="163"/>
        <v>1</v>
      </c>
      <c r="BL145" s="64">
        <v>48</v>
      </c>
    </row>
    <row r="146" spans="1:64">
      <c r="A146" s="10" t="s">
        <v>44</v>
      </c>
      <c r="B146">
        <f>SUM(AI88:AI94)</f>
        <v>6</v>
      </c>
      <c r="C146">
        <f t="shared" ref="C146:J146" si="173">SUM(AJ88:AJ94)</f>
        <v>6</v>
      </c>
      <c r="D146">
        <f t="shared" si="173"/>
        <v>5</v>
      </c>
      <c r="E146">
        <f t="shared" si="173"/>
        <v>1</v>
      </c>
      <c r="F146">
        <f t="shared" si="173"/>
        <v>1</v>
      </c>
      <c r="G146">
        <f t="shared" si="173"/>
        <v>2</v>
      </c>
      <c r="H146">
        <f t="shared" si="173"/>
        <v>0</v>
      </c>
      <c r="I146">
        <f t="shared" si="173"/>
        <v>0</v>
      </c>
      <c r="J146">
        <f t="shared" si="173"/>
        <v>0</v>
      </c>
      <c r="K146">
        <v>7</v>
      </c>
      <c r="L146" s="130">
        <f t="shared" si="158"/>
        <v>17</v>
      </c>
      <c r="M146">
        <f t="shared" si="159"/>
        <v>4</v>
      </c>
      <c r="N146">
        <f t="shared" si="160"/>
        <v>0</v>
      </c>
      <c r="O146" s="19">
        <f t="shared" si="166"/>
        <v>0.80952380952380953</v>
      </c>
      <c r="P146" s="19">
        <f t="shared" si="162"/>
        <v>0.19047619047619047</v>
      </c>
      <c r="Q146" s="19">
        <f t="shared" si="163"/>
        <v>0</v>
      </c>
      <c r="BL146" s="64">
        <v>208</v>
      </c>
    </row>
    <row r="147" spans="1:64">
      <c r="A147" s="10" t="s">
        <v>45</v>
      </c>
      <c r="B147">
        <f>SUM(AI95)</f>
        <v>0</v>
      </c>
      <c r="C147">
        <f t="shared" ref="C147:J147" si="174">SUM(AJ95)</f>
        <v>0</v>
      </c>
      <c r="D147">
        <f t="shared" si="174"/>
        <v>0</v>
      </c>
      <c r="E147">
        <f t="shared" si="174"/>
        <v>1</v>
      </c>
      <c r="F147">
        <f t="shared" si="174"/>
        <v>1</v>
      </c>
      <c r="G147">
        <f t="shared" si="174"/>
        <v>1</v>
      </c>
      <c r="H147">
        <f t="shared" si="174"/>
        <v>0</v>
      </c>
      <c r="I147">
        <f t="shared" si="174"/>
        <v>0</v>
      </c>
      <c r="J147">
        <f t="shared" si="174"/>
        <v>0</v>
      </c>
      <c r="K147">
        <v>1</v>
      </c>
      <c r="L147" s="130">
        <f t="shared" si="158"/>
        <v>0</v>
      </c>
      <c r="M147">
        <f t="shared" si="159"/>
        <v>3</v>
      </c>
      <c r="N147">
        <f t="shared" si="160"/>
        <v>0</v>
      </c>
      <c r="O147" s="19">
        <f t="shared" si="166"/>
        <v>0</v>
      </c>
      <c r="P147" s="19">
        <f t="shared" si="162"/>
        <v>1</v>
      </c>
      <c r="Q147" s="19">
        <f t="shared" si="163"/>
        <v>0</v>
      </c>
      <c r="BL147" s="64">
        <v>-15</v>
      </c>
    </row>
    <row r="148" spans="1:64">
      <c r="A148" s="10" t="s">
        <v>376</v>
      </c>
      <c r="B148">
        <f>SUM(B135:B147)</f>
        <v>54</v>
      </c>
      <c r="C148">
        <f t="shared" ref="C148:K148" si="175">SUM(C135:C147)</f>
        <v>55</v>
      </c>
      <c r="D148">
        <f t="shared" si="175"/>
        <v>65</v>
      </c>
      <c r="E148">
        <f t="shared" si="175"/>
        <v>33</v>
      </c>
      <c r="F148">
        <f t="shared" si="175"/>
        <v>33</v>
      </c>
      <c r="G148">
        <f t="shared" si="175"/>
        <v>24</v>
      </c>
      <c r="H148">
        <f t="shared" si="175"/>
        <v>6</v>
      </c>
      <c r="I148">
        <f t="shared" si="175"/>
        <v>5</v>
      </c>
      <c r="J148">
        <f t="shared" si="175"/>
        <v>4</v>
      </c>
      <c r="K148">
        <f t="shared" si="175"/>
        <v>93</v>
      </c>
      <c r="L148" s="130">
        <f t="shared" si="158"/>
        <v>174</v>
      </c>
      <c r="M148">
        <f t="shared" si="159"/>
        <v>90</v>
      </c>
      <c r="N148">
        <f t="shared" si="160"/>
        <v>15</v>
      </c>
      <c r="O148" s="20">
        <f>L148/(K148*3)</f>
        <v>0.62365591397849462</v>
      </c>
      <c r="P148" s="20">
        <f t="shared" si="162"/>
        <v>0.32258064516129031</v>
      </c>
      <c r="Q148" s="20">
        <f t="shared" si="163"/>
        <v>5.3763440860215055E-2</v>
      </c>
      <c r="BL148" s="64">
        <v>-10</v>
      </c>
    </row>
    <row r="149" spans="1:64">
      <c r="A149" s="10" t="s">
        <v>375</v>
      </c>
      <c r="B149" s="410">
        <f>AVERAGEA(B148:D148)</f>
        <v>58</v>
      </c>
      <c r="C149" s="410"/>
      <c r="D149" s="410"/>
      <c r="E149" s="410">
        <f>AVERAGEA(E148:G148)</f>
        <v>30</v>
      </c>
      <c r="F149" s="410"/>
      <c r="G149" s="410"/>
      <c r="H149" s="410">
        <f>AVERAGEA(H148:J148)</f>
        <v>5</v>
      </c>
      <c r="I149" s="410"/>
      <c r="J149" s="410"/>
      <c r="L149" s="11"/>
      <c r="O149" s="19">
        <f>STDEVPA(O135:O148)</f>
        <v>0.30197124133959696</v>
      </c>
      <c r="BL149" s="64">
        <v>0</v>
      </c>
    </row>
    <row r="150" spans="1:64">
      <c r="A150" s="10" t="s">
        <v>31</v>
      </c>
      <c r="B150" s="123">
        <f>B135/$K135</f>
        <v>0.53846153846153844</v>
      </c>
      <c r="C150" s="123">
        <f t="shared" ref="C150:K150" si="176">C135/$K135</f>
        <v>0.46153846153846156</v>
      </c>
      <c r="D150" s="124">
        <f t="shared" si="176"/>
        <v>0.84615384615384615</v>
      </c>
      <c r="E150" s="128">
        <f t="shared" si="176"/>
        <v>0.38461538461538464</v>
      </c>
      <c r="F150" s="123">
        <f t="shared" si="176"/>
        <v>0.46153846153846156</v>
      </c>
      <c r="G150" s="124">
        <f t="shared" si="176"/>
        <v>7.6923076923076927E-2</v>
      </c>
      <c r="H150" s="128">
        <f t="shared" si="176"/>
        <v>7.6923076923076927E-2</v>
      </c>
      <c r="I150" s="123">
        <f t="shared" si="176"/>
        <v>7.6923076923076927E-2</v>
      </c>
      <c r="J150" s="124">
        <f t="shared" si="176"/>
        <v>7.6923076923076927E-2</v>
      </c>
      <c r="K150" s="20">
        <f t="shared" si="176"/>
        <v>1</v>
      </c>
      <c r="BL150" s="64">
        <v>39</v>
      </c>
    </row>
    <row r="151" spans="1:64">
      <c r="A151" s="10" t="s">
        <v>36</v>
      </c>
      <c r="B151" s="123"/>
      <c r="C151" s="123"/>
      <c r="D151" s="124">
        <f t="shared" ref="D151:K151" si="177">D136/$K136</f>
        <v>0.5</v>
      </c>
      <c r="E151" s="128">
        <f t="shared" si="177"/>
        <v>1</v>
      </c>
      <c r="F151" s="123">
        <f t="shared" si="177"/>
        <v>1</v>
      </c>
      <c r="G151" s="124">
        <f t="shared" si="177"/>
        <v>0.5</v>
      </c>
      <c r="H151" s="128"/>
      <c r="I151" s="123"/>
      <c r="J151" s="124"/>
      <c r="K151" s="20">
        <f t="shared" si="177"/>
        <v>1</v>
      </c>
      <c r="BL151" s="64">
        <v>54</v>
      </c>
    </row>
    <row r="152" spans="1:64">
      <c r="A152" s="10" t="s">
        <v>46</v>
      </c>
      <c r="B152" s="123">
        <f t="shared" ref="B152:K152" si="178">B137/$K137</f>
        <v>1</v>
      </c>
      <c r="C152" s="123"/>
      <c r="D152" s="124">
        <f t="shared" si="178"/>
        <v>1</v>
      </c>
      <c r="E152" s="128"/>
      <c r="F152" s="123">
        <f t="shared" si="178"/>
        <v>1</v>
      </c>
      <c r="G152" s="124"/>
      <c r="H152" s="128"/>
      <c r="I152" s="123"/>
      <c r="J152" s="124"/>
      <c r="K152" s="20">
        <f t="shared" si="178"/>
        <v>1</v>
      </c>
      <c r="N152">
        <f>SUM(B135:J135)</f>
        <v>39</v>
      </c>
      <c r="BL152" s="64">
        <v>0</v>
      </c>
    </row>
    <row r="153" spans="1:64">
      <c r="A153" s="10" t="s">
        <v>37</v>
      </c>
      <c r="B153" s="123">
        <f t="shared" ref="B153:K153" si="179">B138/$K138</f>
        <v>0.5</v>
      </c>
      <c r="C153" s="123">
        <f t="shared" si="179"/>
        <v>0.7</v>
      </c>
      <c r="D153" s="124">
        <f t="shared" si="179"/>
        <v>0.7</v>
      </c>
      <c r="E153" s="128">
        <f t="shared" si="179"/>
        <v>0.5</v>
      </c>
      <c r="F153" s="123">
        <f t="shared" si="179"/>
        <v>0.3</v>
      </c>
      <c r="G153" s="124">
        <f t="shared" si="179"/>
        <v>0.2</v>
      </c>
      <c r="H153" s="128"/>
      <c r="I153" s="123"/>
      <c r="J153" s="124">
        <f t="shared" si="179"/>
        <v>0.1</v>
      </c>
      <c r="K153" s="20">
        <f t="shared" si="179"/>
        <v>1</v>
      </c>
      <c r="N153">
        <f>N152/13</f>
        <v>3</v>
      </c>
      <c r="BL153" s="64">
        <v>5</v>
      </c>
    </row>
    <row r="154" spans="1:64">
      <c r="A154" s="10" t="s">
        <v>38</v>
      </c>
      <c r="B154" s="123">
        <f t="shared" ref="B154:K154" si="180">B139/$K139</f>
        <v>0.5957446808510638</v>
      </c>
      <c r="C154" s="123">
        <f t="shared" si="180"/>
        <v>0.63829787234042556</v>
      </c>
      <c r="D154" s="124">
        <f t="shared" si="180"/>
        <v>0.68085106382978722</v>
      </c>
      <c r="E154" s="128">
        <f t="shared" si="180"/>
        <v>0.34042553191489361</v>
      </c>
      <c r="F154" s="123">
        <f t="shared" si="180"/>
        <v>0.2978723404255319</v>
      </c>
      <c r="G154" s="124">
        <f t="shared" si="180"/>
        <v>0.2978723404255319</v>
      </c>
      <c r="H154" s="128">
        <f t="shared" si="180"/>
        <v>6.3829787234042548E-2</v>
      </c>
      <c r="I154" s="123">
        <f t="shared" si="180"/>
        <v>6.3829787234042548E-2</v>
      </c>
      <c r="J154" s="124">
        <f t="shared" si="180"/>
        <v>2.1276595744680851E-2</v>
      </c>
      <c r="K154" s="20">
        <f t="shared" si="180"/>
        <v>1</v>
      </c>
      <c r="BL154" s="64">
        <v>118</v>
      </c>
    </row>
    <row r="155" spans="1:64">
      <c r="A155" s="10" t="s">
        <v>39</v>
      </c>
      <c r="B155" s="123">
        <f t="shared" ref="B155:K155" si="181">B140/$K140</f>
        <v>1</v>
      </c>
      <c r="C155" s="123">
        <f t="shared" si="181"/>
        <v>1</v>
      </c>
      <c r="D155" s="124">
        <f t="shared" si="181"/>
        <v>1</v>
      </c>
      <c r="E155" s="128"/>
      <c r="F155" s="123"/>
      <c r="G155" s="124"/>
      <c r="H155" s="128"/>
      <c r="I155" s="123"/>
      <c r="J155" s="124"/>
      <c r="K155" s="20">
        <f t="shared" si="181"/>
        <v>1</v>
      </c>
      <c r="BL155" s="64">
        <v>91</v>
      </c>
    </row>
    <row r="156" spans="1:64">
      <c r="A156" s="10" t="s">
        <v>40</v>
      </c>
      <c r="B156" s="123">
        <f t="shared" ref="B156:K156" si="182">B141/$K141</f>
        <v>1</v>
      </c>
      <c r="C156" s="123">
        <f t="shared" si="182"/>
        <v>1</v>
      </c>
      <c r="D156" s="124">
        <f t="shared" si="182"/>
        <v>1</v>
      </c>
      <c r="E156" s="128"/>
      <c r="F156" s="123"/>
      <c r="G156" s="124"/>
      <c r="H156" s="128"/>
      <c r="I156" s="123"/>
      <c r="J156" s="124"/>
      <c r="K156" s="20">
        <f t="shared" si="182"/>
        <v>1</v>
      </c>
      <c r="BL156" s="64">
        <v>147</v>
      </c>
    </row>
    <row r="157" spans="1:64">
      <c r="A157" s="10" t="s">
        <v>41</v>
      </c>
      <c r="B157" s="123">
        <f t="shared" ref="B157:K157" si="183">B142/$K142</f>
        <v>0.25</v>
      </c>
      <c r="C157" s="123">
        <f t="shared" si="183"/>
        <v>0.5</v>
      </c>
      <c r="D157" s="124">
        <f t="shared" si="183"/>
        <v>0.75</v>
      </c>
      <c r="E157" s="128">
        <f t="shared" si="183"/>
        <v>0.5</v>
      </c>
      <c r="F157" s="123">
        <f t="shared" si="183"/>
        <v>0.5</v>
      </c>
      <c r="G157" s="124">
        <f t="shared" si="183"/>
        <v>0.25</v>
      </c>
      <c r="H157" s="128">
        <f t="shared" si="183"/>
        <v>0.25</v>
      </c>
      <c r="I157" s="123"/>
      <c r="J157" s="124"/>
      <c r="K157" s="20">
        <f t="shared" si="183"/>
        <v>1</v>
      </c>
      <c r="BL157" s="64">
        <v>121</v>
      </c>
    </row>
    <row r="158" spans="1:64">
      <c r="A158" s="10" t="s">
        <v>34</v>
      </c>
      <c r="B158" s="123">
        <f t="shared" ref="B158:K158" si="184">B143/$K143</f>
        <v>0.75</v>
      </c>
      <c r="C158" s="123">
        <f t="shared" si="184"/>
        <v>0.5</v>
      </c>
      <c r="D158" s="124">
        <f t="shared" si="184"/>
        <v>0.5</v>
      </c>
      <c r="E158" s="128">
        <f t="shared" si="184"/>
        <v>0.25</v>
      </c>
      <c r="F158" s="123">
        <f t="shared" si="184"/>
        <v>0.5</v>
      </c>
      <c r="G158" s="124">
        <f t="shared" si="184"/>
        <v>0.5</v>
      </c>
      <c r="H158" s="128"/>
      <c r="I158" s="123"/>
      <c r="J158" s="124"/>
      <c r="K158" s="20">
        <f t="shared" si="184"/>
        <v>1</v>
      </c>
      <c r="BL158" s="64">
        <v>80</v>
      </c>
    </row>
    <row r="159" spans="1:64">
      <c r="A159" s="10" t="s">
        <v>42</v>
      </c>
      <c r="B159" s="123">
        <f t="shared" ref="B159:K159" si="185">B144/$K144</f>
        <v>1</v>
      </c>
      <c r="C159" s="123"/>
      <c r="D159" s="124">
        <f t="shared" si="185"/>
        <v>1</v>
      </c>
      <c r="E159" s="128"/>
      <c r="F159" s="123">
        <f t="shared" si="185"/>
        <v>1</v>
      </c>
      <c r="G159" s="124"/>
      <c r="H159" s="128"/>
      <c r="I159" s="123"/>
      <c r="J159" s="124"/>
      <c r="K159" s="20">
        <f t="shared" si="185"/>
        <v>1</v>
      </c>
      <c r="BL159" s="64">
        <v>-82</v>
      </c>
    </row>
    <row r="160" spans="1:64">
      <c r="A160" s="10" t="s">
        <v>43</v>
      </c>
      <c r="B160" s="123"/>
      <c r="C160" s="123"/>
      <c r="D160" s="124"/>
      <c r="E160" s="128"/>
      <c r="F160" s="123"/>
      <c r="G160" s="124"/>
      <c r="H160" s="128">
        <f t="shared" ref="H160:K160" si="186">H145/$K145</f>
        <v>1</v>
      </c>
      <c r="I160" s="123">
        <f t="shared" si="186"/>
        <v>1</v>
      </c>
      <c r="J160" s="124">
        <f t="shared" si="186"/>
        <v>1</v>
      </c>
      <c r="K160" s="20">
        <f t="shared" si="186"/>
        <v>1</v>
      </c>
      <c r="BL160" s="64">
        <v>21</v>
      </c>
    </row>
    <row r="161" spans="1:64">
      <c r="A161" s="10" t="s">
        <v>44</v>
      </c>
      <c r="B161" s="123">
        <f t="shared" ref="B161:K161" si="187">B146/$K146</f>
        <v>0.8571428571428571</v>
      </c>
      <c r="C161" s="123">
        <f t="shared" si="187"/>
        <v>0.8571428571428571</v>
      </c>
      <c r="D161" s="124">
        <f t="shared" si="187"/>
        <v>0.7142857142857143</v>
      </c>
      <c r="E161" s="128">
        <f t="shared" si="187"/>
        <v>0.14285714285714285</v>
      </c>
      <c r="F161" s="123">
        <f t="shared" si="187"/>
        <v>0.14285714285714285</v>
      </c>
      <c r="G161" s="124">
        <f t="shared" si="187"/>
        <v>0.2857142857142857</v>
      </c>
      <c r="H161" s="128"/>
      <c r="I161" s="123"/>
      <c r="J161" s="124"/>
      <c r="K161" s="20">
        <f t="shared" si="187"/>
        <v>1</v>
      </c>
      <c r="BL161" s="64">
        <v>62</v>
      </c>
    </row>
    <row r="162" spans="1:64">
      <c r="A162" s="10" t="s">
        <v>45</v>
      </c>
      <c r="B162" s="123"/>
      <c r="C162" s="123"/>
      <c r="D162" s="124"/>
      <c r="E162" s="128">
        <f t="shared" ref="B162:K163" si="188">E147/$K147</f>
        <v>1</v>
      </c>
      <c r="F162" s="123">
        <f t="shared" si="188"/>
        <v>1</v>
      </c>
      <c r="G162" s="124">
        <f t="shared" si="188"/>
        <v>1</v>
      </c>
      <c r="H162" s="128"/>
      <c r="I162" s="123"/>
      <c r="J162" s="124"/>
      <c r="K162" s="20">
        <f t="shared" si="188"/>
        <v>1</v>
      </c>
      <c r="BL162" s="64">
        <v>28</v>
      </c>
    </row>
    <row r="163" spans="1:64">
      <c r="A163" s="10" t="s">
        <v>376</v>
      </c>
      <c r="B163" s="125">
        <f t="shared" si="188"/>
        <v>0.58064516129032262</v>
      </c>
      <c r="C163" s="126">
        <f t="shared" si="188"/>
        <v>0.59139784946236562</v>
      </c>
      <c r="D163" s="127">
        <f t="shared" si="188"/>
        <v>0.69892473118279574</v>
      </c>
      <c r="E163" s="129">
        <f t="shared" si="188"/>
        <v>0.35483870967741937</v>
      </c>
      <c r="F163" s="126">
        <f t="shared" si="188"/>
        <v>0.35483870967741937</v>
      </c>
      <c r="G163" s="127">
        <f t="shared" si="188"/>
        <v>0.25806451612903225</v>
      </c>
      <c r="H163" s="129">
        <f t="shared" si="188"/>
        <v>6.4516129032258063E-2</v>
      </c>
      <c r="I163" s="126">
        <f t="shared" si="188"/>
        <v>5.3763440860215055E-2</v>
      </c>
      <c r="J163" s="127">
        <f t="shared" si="188"/>
        <v>4.3010752688172046E-2</v>
      </c>
      <c r="K163" s="20">
        <f t="shared" si="188"/>
        <v>1</v>
      </c>
      <c r="BL163" s="64">
        <v>-26</v>
      </c>
    </row>
    <row r="164" spans="1:64">
      <c r="A164" s="10" t="s">
        <v>375</v>
      </c>
      <c r="B164" s="405">
        <f>B149/$K$148</f>
        <v>0.62365591397849462</v>
      </c>
      <c r="C164" s="405"/>
      <c r="D164" s="405"/>
      <c r="E164" s="405">
        <f t="shared" ref="E164" si="189">E149/$K$148</f>
        <v>0.32258064516129031</v>
      </c>
      <c r="F164" s="405"/>
      <c r="G164" s="405"/>
      <c r="H164" s="405">
        <f t="shared" ref="H164" si="190">H149/$K$148</f>
        <v>5.3763440860215055E-2</v>
      </c>
      <c r="I164" s="405"/>
      <c r="J164" s="405"/>
      <c r="K164" s="20">
        <f>SUM(B164:J164)</f>
        <v>1</v>
      </c>
      <c r="BL164" s="64">
        <v>16</v>
      </c>
    </row>
    <row r="165" spans="1:64">
      <c r="BL165" s="64">
        <v>1526</v>
      </c>
    </row>
    <row r="166" spans="1:64">
      <c r="BL166" s="64">
        <v>13</v>
      </c>
    </row>
    <row r="167" spans="1:64">
      <c r="BL167" s="64">
        <v>43</v>
      </c>
    </row>
    <row r="168" spans="1:64">
      <c r="BL168" s="64">
        <v>1</v>
      </c>
    </row>
    <row r="169" spans="1:64">
      <c r="BL169" s="12">
        <v>66</v>
      </c>
    </row>
    <row r="170" spans="1:64">
      <c r="BL170" s="65">
        <v>27</v>
      </c>
    </row>
    <row r="171" spans="1:64">
      <c r="BL171" s="45">
        <v>-84.530218384966986</v>
      </c>
    </row>
    <row r="172" spans="1:64">
      <c r="BL172" s="45">
        <v>31</v>
      </c>
    </row>
    <row r="173" spans="1:64">
      <c r="BL173" s="45">
        <v>-20</v>
      </c>
    </row>
    <row r="174" spans="1:64">
      <c r="B174" t="s">
        <v>477</v>
      </c>
      <c r="C174" t="s">
        <v>478</v>
      </c>
      <c r="D174" t="s">
        <v>479</v>
      </c>
      <c r="BL174" s="45">
        <v>15</v>
      </c>
    </row>
    <row r="175" spans="1:64">
      <c r="A175" s="10" t="s">
        <v>31</v>
      </c>
      <c r="B175">
        <v>24</v>
      </c>
      <c r="C175">
        <v>12</v>
      </c>
      <c r="D175">
        <v>3</v>
      </c>
      <c r="BL175" s="66">
        <v>-5.8100000000000005</v>
      </c>
    </row>
    <row r="176" spans="1:64">
      <c r="A176" s="10" t="s">
        <v>36</v>
      </c>
      <c r="B176">
        <v>1</v>
      </c>
      <c r="C176">
        <v>5</v>
      </c>
      <c r="D176">
        <v>0</v>
      </c>
      <c r="BL176" s="66">
        <v>100</v>
      </c>
    </row>
    <row r="177" spans="1:64">
      <c r="A177" s="10" t="s">
        <v>46</v>
      </c>
      <c r="B177">
        <v>2</v>
      </c>
      <c r="C177">
        <v>1</v>
      </c>
      <c r="D177">
        <v>0</v>
      </c>
      <c r="BL177" s="66">
        <v>-554</v>
      </c>
    </row>
    <row r="178" spans="1:64">
      <c r="A178" s="10" t="s">
        <v>37</v>
      </c>
      <c r="B178">
        <v>19</v>
      </c>
      <c r="C178">
        <v>10</v>
      </c>
      <c r="D178">
        <v>1</v>
      </c>
      <c r="BL178" s="66">
        <v>434</v>
      </c>
    </row>
    <row r="179" spans="1:64">
      <c r="A179" s="10" t="s">
        <v>38</v>
      </c>
      <c r="B179">
        <v>90</v>
      </c>
      <c r="C179">
        <v>44</v>
      </c>
      <c r="D179">
        <v>7</v>
      </c>
      <c r="BL179" s="67">
        <v>-39</v>
      </c>
    </row>
    <row r="180" spans="1:64">
      <c r="A180" s="10" t="s">
        <v>39</v>
      </c>
      <c r="B180">
        <v>3</v>
      </c>
      <c r="C180">
        <v>0</v>
      </c>
      <c r="D180">
        <v>0</v>
      </c>
      <c r="BL180" s="68">
        <v>0</v>
      </c>
    </row>
    <row r="181" spans="1:64">
      <c r="A181" s="10" t="s">
        <v>40</v>
      </c>
      <c r="B181">
        <v>3</v>
      </c>
      <c r="C181">
        <v>0</v>
      </c>
      <c r="D181">
        <v>0</v>
      </c>
      <c r="BL181" s="69">
        <v>462</v>
      </c>
    </row>
    <row r="182" spans="1:64">
      <c r="A182" s="10" t="s">
        <v>41</v>
      </c>
      <c r="B182">
        <v>6</v>
      </c>
      <c r="C182">
        <v>5</v>
      </c>
      <c r="D182">
        <v>1</v>
      </c>
      <c r="BL182" s="69">
        <v>-472</v>
      </c>
    </row>
    <row r="183" spans="1:64">
      <c r="A183" s="10" t="s">
        <v>34</v>
      </c>
      <c r="B183">
        <v>7</v>
      </c>
      <c r="C183">
        <v>5</v>
      </c>
      <c r="D183">
        <v>0</v>
      </c>
      <c r="BL183" s="69">
        <v>238</v>
      </c>
    </row>
    <row r="184" spans="1:64">
      <c r="A184" s="10" t="s">
        <v>42</v>
      </c>
      <c r="B184">
        <v>2</v>
      </c>
      <c r="C184">
        <v>1</v>
      </c>
      <c r="D184">
        <v>0</v>
      </c>
      <c r="BL184" s="69">
        <v>2.86</v>
      </c>
    </row>
    <row r="185" spans="1:64">
      <c r="A185" s="10" t="s">
        <v>43</v>
      </c>
      <c r="B185">
        <v>0</v>
      </c>
      <c r="C185">
        <v>0</v>
      </c>
      <c r="D185">
        <v>3</v>
      </c>
      <c r="BL185" s="69">
        <v>9.539999999999992</v>
      </c>
    </row>
    <row r="186" spans="1:64">
      <c r="A186" s="10" t="s">
        <v>44</v>
      </c>
      <c r="B186">
        <v>17</v>
      </c>
      <c r="C186">
        <v>4</v>
      </c>
      <c r="D186">
        <v>0</v>
      </c>
      <c r="BL186" s="69">
        <v>40</v>
      </c>
    </row>
    <row r="187" spans="1:64">
      <c r="A187" s="10" t="s">
        <v>45</v>
      </c>
      <c r="B187">
        <v>0</v>
      </c>
      <c r="C187">
        <v>3</v>
      </c>
      <c r="D187">
        <v>0</v>
      </c>
      <c r="BL187" s="69">
        <v>146</v>
      </c>
    </row>
    <row r="188" spans="1:64">
      <c r="B188">
        <v>174</v>
      </c>
      <c r="C188">
        <v>90</v>
      </c>
      <c r="D188">
        <v>15</v>
      </c>
      <c r="BL188" s="70">
        <v>-74.351351351351354</v>
      </c>
    </row>
    <row r="189" spans="1:64">
      <c r="BL189" s="30">
        <v>26</v>
      </c>
    </row>
    <row r="190" spans="1:64">
      <c r="BL190" s="30">
        <v>287</v>
      </c>
    </row>
    <row r="191" spans="1:64">
      <c r="BL191" s="30">
        <v>845</v>
      </c>
    </row>
    <row r="192" spans="1:64">
      <c r="BL192" s="30">
        <v>167</v>
      </c>
    </row>
    <row r="193" spans="64:64">
      <c r="BL193" s="30">
        <v>580</v>
      </c>
    </row>
    <row r="194" spans="64:64">
      <c r="BL194" s="30">
        <v>14</v>
      </c>
    </row>
    <row r="195" spans="64:64">
      <c r="BL195" s="30">
        <v>32</v>
      </c>
    </row>
    <row r="196" spans="64:64">
      <c r="BL196" s="30">
        <v>-12.725</v>
      </c>
    </row>
    <row r="197" spans="64:64">
      <c r="BL197" s="30">
        <v>46</v>
      </c>
    </row>
    <row r="198" spans="64:64">
      <c r="BL198" s="30">
        <v>0</v>
      </c>
    </row>
    <row r="199" spans="64:64">
      <c r="BL199" s="30">
        <v>1686</v>
      </c>
    </row>
    <row r="200" spans="64:64">
      <c r="BL200" s="30">
        <v>40.159090909090914</v>
      </c>
    </row>
    <row r="201" spans="64:64">
      <c r="BL201" s="30">
        <v>1686</v>
      </c>
    </row>
    <row r="202" spans="64:64">
      <c r="BL202" s="32">
        <v>2</v>
      </c>
    </row>
    <row r="203" spans="64:64">
      <c r="BL203" s="32">
        <v>-181</v>
      </c>
    </row>
    <row r="204" spans="64:64">
      <c r="BL204" s="45">
        <v>53</v>
      </c>
    </row>
    <row r="205" spans="64:64">
      <c r="BL205" s="62">
        <v>-348</v>
      </c>
    </row>
    <row r="206" spans="64:64">
      <c r="BL206" s="62">
        <v>124</v>
      </c>
    </row>
    <row r="207" spans="64:64">
      <c r="BL207" s="62">
        <v>260</v>
      </c>
    </row>
    <row r="208" spans="64:64">
      <c r="BL208" s="62">
        <v>90</v>
      </c>
    </row>
    <row r="209" spans="64:64">
      <c r="BL209" s="62">
        <v>90</v>
      </c>
    </row>
    <row r="210" spans="64:64">
      <c r="BL210" s="62">
        <v>-5.3619631901840483</v>
      </c>
    </row>
    <row r="211" spans="64:64">
      <c r="BL211" s="62">
        <v>90</v>
      </c>
    </row>
    <row r="212" spans="64:64">
      <c r="BL212" s="62">
        <v>0</v>
      </c>
    </row>
    <row r="213" spans="64:64">
      <c r="BL213" s="62">
        <v>165</v>
      </c>
    </row>
    <row r="214" spans="64:64">
      <c r="BL214" s="62">
        <v>202</v>
      </c>
    </row>
    <row r="215" spans="64:64">
      <c r="BL215" s="64">
        <v>-76</v>
      </c>
    </row>
    <row r="216" spans="64:64">
      <c r="BL216" s="64">
        <v>25</v>
      </c>
    </row>
    <row r="217" spans="64:64">
      <c r="BL217" s="64">
        <v>147</v>
      </c>
    </row>
    <row r="218" spans="64:64">
      <c r="BL218" s="64">
        <v>69</v>
      </c>
    </row>
    <row r="219" spans="64:64">
      <c r="BL219" s="64">
        <v>62</v>
      </c>
    </row>
    <row r="220" spans="64:64">
      <c r="BL220" s="64">
        <v>65</v>
      </c>
    </row>
    <row r="221" spans="64:64">
      <c r="BL221" s="64">
        <v>-31</v>
      </c>
    </row>
    <row r="222" spans="64:64">
      <c r="BL222" s="64">
        <v>4</v>
      </c>
    </row>
    <row r="223" spans="64:64">
      <c r="BL223" s="64">
        <v>-195</v>
      </c>
    </row>
    <row r="224" spans="64:64">
      <c r="BL224" s="64">
        <v>204</v>
      </c>
    </row>
    <row r="225" spans="64:64">
      <c r="BL225" s="64">
        <v>55</v>
      </c>
    </row>
    <row r="226" spans="64:64">
      <c r="BL226" s="64">
        <v>4</v>
      </c>
    </row>
    <row r="227" spans="64:64">
      <c r="BL227" s="64">
        <v>22</v>
      </c>
    </row>
    <row r="228" spans="64:64">
      <c r="BL228" s="64">
        <v>-36</v>
      </c>
    </row>
    <row r="229" spans="64:64">
      <c r="BL229" s="64">
        <v>-66.88</v>
      </c>
    </row>
    <row r="230" spans="64:64">
      <c r="BL230" s="64">
        <v>-8</v>
      </c>
    </row>
    <row r="231" spans="64:64">
      <c r="BL231" s="64">
        <v>-62</v>
      </c>
    </row>
    <row r="232" spans="64:64">
      <c r="BL232" s="64">
        <v>59</v>
      </c>
    </row>
    <row r="233" spans="64:64">
      <c r="BL233" s="64">
        <v>-17</v>
      </c>
    </row>
    <row r="234" spans="64:64">
      <c r="BL234" s="64">
        <v>-62</v>
      </c>
    </row>
    <row r="235" spans="64:64">
      <c r="BL235" s="64">
        <v>216</v>
      </c>
    </row>
    <row r="236" spans="64:64">
      <c r="BL236" s="64">
        <v>287</v>
      </c>
    </row>
    <row r="237" spans="64:64">
      <c r="BL237" s="64">
        <v>-253</v>
      </c>
    </row>
    <row r="238" spans="64:64">
      <c r="BL238" s="64">
        <v>48</v>
      </c>
    </row>
    <row r="239" spans="64:64">
      <c r="BL239" s="64">
        <v>-23.555555555555554</v>
      </c>
    </row>
    <row r="240" spans="64:64">
      <c r="BL240" s="64">
        <v>76</v>
      </c>
    </row>
    <row r="241" spans="64:64">
      <c r="BL241" s="64">
        <v>-5</v>
      </c>
    </row>
    <row r="242" spans="64:64">
      <c r="BL242" s="64">
        <v>0</v>
      </c>
    </row>
    <row r="243" spans="64:64">
      <c r="BL243" s="64">
        <v>85</v>
      </c>
    </row>
    <row r="244" spans="64:64">
      <c r="BL244" s="64">
        <v>60</v>
      </c>
    </row>
    <row r="245" spans="64:64">
      <c r="BL245" s="64">
        <v>18</v>
      </c>
    </row>
    <row r="246" spans="64:64">
      <c r="BL246" s="64">
        <v>4</v>
      </c>
    </row>
    <row r="247" spans="64:64">
      <c r="BL247" s="64">
        <v>177</v>
      </c>
    </row>
    <row r="248" spans="64:64">
      <c r="BL248" s="64">
        <v>163</v>
      </c>
    </row>
    <row r="249" spans="64:64">
      <c r="BL249" s="64">
        <v>87</v>
      </c>
    </row>
    <row r="250" spans="64:64">
      <c r="BL250" s="64">
        <v>-15</v>
      </c>
    </row>
    <row r="251" spans="64:64">
      <c r="BL251" s="64">
        <v>3</v>
      </c>
    </row>
    <row r="252" spans="64:64">
      <c r="BL252" s="64">
        <v>83</v>
      </c>
    </row>
    <row r="253" spans="64:64">
      <c r="BL253" s="64">
        <v>9</v>
      </c>
    </row>
    <row r="254" spans="64:64">
      <c r="BL254" s="64">
        <v>11</v>
      </c>
    </row>
    <row r="255" spans="64:64">
      <c r="BL255" s="64">
        <v>6</v>
      </c>
    </row>
    <row r="256" spans="64:64">
      <c r="BL256" s="64">
        <v>-91</v>
      </c>
    </row>
    <row r="257" spans="64:64">
      <c r="BL257" s="64">
        <v>629</v>
      </c>
    </row>
    <row r="258" spans="64:64">
      <c r="BL258" s="64">
        <v>102</v>
      </c>
    </row>
    <row r="259" spans="64:64">
      <c r="BL259" s="64">
        <v>18</v>
      </c>
    </row>
    <row r="260" spans="64:64">
      <c r="BL260" s="64">
        <v>13</v>
      </c>
    </row>
    <row r="261" spans="64:64">
      <c r="BL261" s="64">
        <v>55</v>
      </c>
    </row>
    <row r="262" spans="64:64">
      <c r="BL262" s="12">
        <v>126</v>
      </c>
    </row>
    <row r="263" spans="64:64">
      <c r="BL263" s="65">
        <v>11</v>
      </c>
    </row>
    <row r="264" spans="64:64">
      <c r="BL264" s="45">
        <v>202.19400711020822</v>
      </c>
    </row>
    <row r="265" spans="64:64">
      <c r="BL265" s="45">
        <v>-3</v>
      </c>
    </row>
    <row r="266" spans="64:64">
      <c r="BL266" s="45">
        <v>50</v>
      </c>
    </row>
    <row r="267" spans="64:64">
      <c r="BL267" s="45">
        <v>35</v>
      </c>
    </row>
    <row r="268" spans="64:64">
      <c r="BL268" s="66">
        <v>-11.760000000000002</v>
      </c>
    </row>
    <row r="269" spans="64:64">
      <c r="BL269" s="66">
        <v>24</v>
      </c>
    </row>
    <row r="270" spans="64:64">
      <c r="BL270" s="66">
        <v>-180</v>
      </c>
    </row>
    <row r="271" spans="64:64">
      <c r="BL271" s="66">
        <v>284</v>
      </c>
    </row>
    <row r="272" spans="64:64">
      <c r="BL272" s="67">
        <v>94</v>
      </c>
    </row>
    <row r="273" spans="64:64">
      <c r="BL273" s="68">
        <v>0</v>
      </c>
    </row>
    <row r="274" spans="64:64">
      <c r="BL274" s="69">
        <v>237</v>
      </c>
    </row>
    <row r="275" spans="64:64">
      <c r="BL275" s="69">
        <v>-303</v>
      </c>
    </row>
    <row r="276" spans="64:64">
      <c r="BL276" s="69">
        <v>278</v>
      </c>
    </row>
    <row r="277" spans="64:64">
      <c r="BL277" s="69">
        <v>13.389999999999999</v>
      </c>
    </row>
    <row r="278" spans="64:64">
      <c r="BL278" s="69">
        <v>11.099999999999994</v>
      </c>
    </row>
    <row r="279" spans="64:64">
      <c r="BL279" s="69">
        <v>-27</v>
      </c>
    </row>
    <row r="280" spans="64:64">
      <c r="BL280" s="69">
        <v>58</v>
      </c>
    </row>
    <row r="281" spans="64:64">
      <c r="BL281" s="70">
        <v>-13.054054054054054</v>
      </c>
    </row>
  </sheetData>
  <autoFilter ref="U2:AH95" xr:uid="{D95F667A-5E93-0D44-9375-16E19B11AD73}">
    <sortState xmlns:xlrd2="http://schemas.microsoft.com/office/spreadsheetml/2017/richdata2" ref="U3:AH95">
      <sortCondition ref="V2:V95"/>
    </sortState>
  </autoFilter>
  <mergeCells count="26">
    <mergeCell ref="B149:D149"/>
    <mergeCell ref="E149:G149"/>
    <mergeCell ref="H149:J149"/>
    <mergeCell ref="B164:D164"/>
    <mergeCell ref="E164:G164"/>
    <mergeCell ref="H164:J164"/>
    <mergeCell ref="G1:M1"/>
    <mergeCell ref="N1:T1"/>
    <mergeCell ref="AI2:AK2"/>
    <mergeCell ref="AL2:AN2"/>
    <mergeCell ref="AO2:AQ2"/>
    <mergeCell ref="B100:H100"/>
    <mergeCell ref="A121:D121"/>
    <mergeCell ref="G121:J121"/>
    <mergeCell ref="I100:O100"/>
    <mergeCell ref="B133:D133"/>
    <mergeCell ref="E133:G133"/>
    <mergeCell ref="H133:J133"/>
    <mergeCell ref="K123:K125"/>
    <mergeCell ref="L123:L125"/>
    <mergeCell ref="K127:K129"/>
    <mergeCell ref="L127:L129"/>
    <mergeCell ref="E123:E125"/>
    <mergeCell ref="E127:E129"/>
    <mergeCell ref="F123:F125"/>
    <mergeCell ref="F127:F129"/>
  </mergeCells>
  <pageMargins left="0.7" right="0.7" top="0.78740157499999996" bottom="0.78740157499999996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29C54-EBC2-C44D-813C-2E969EDEC1B2}">
  <sheetPr>
    <tabColor rgb="FFA446EB"/>
  </sheetPr>
  <dimension ref="A1:GW371"/>
  <sheetViews>
    <sheetView topLeftCell="DO1" zoomScale="50" workbookViewId="0">
      <selection activeCell="CC119" sqref="CC119"/>
    </sheetView>
  </sheetViews>
  <sheetFormatPr baseColWidth="10" defaultColWidth="11" defaultRowHeight="16"/>
  <cols>
    <col min="1" max="1" width="29.1640625" customWidth="1"/>
    <col min="2" max="2" width="21.83203125" customWidth="1"/>
    <col min="3" max="3" width="19" customWidth="1"/>
    <col min="4" max="4" width="15.1640625" customWidth="1"/>
    <col min="5" max="5" width="15.6640625" bestFit="1" customWidth="1"/>
    <col min="6" max="6" width="14.1640625" bestFit="1" customWidth="1"/>
    <col min="7" max="7" width="15.83203125" bestFit="1" customWidth="1"/>
    <col min="8" max="8" width="9.5" style="83" bestFit="1" customWidth="1"/>
    <col min="9" max="9" width="12.1640625" style="83" bestFit="1" customWidth="1"/>
    <col min="10" max="10" width="18.83203125" style="83" customWidth="1"/>
    <col min="11" max="12" width="9.5" bestFit="1" customWidth="1"/>
    <col min="13" max="13" width="13.6640625" bestFit="1" customWidth="1"/>
    <col min="14" max="15" width="13.6640625" style="83" bestFit="1" customWidth="1"/>
    <col min="16" max="16" width="9" style="83" bestFit="1" customWidth="1"/>
    <col min="17" max="18" width="9.5" style="83" bestFit="1" customWidth="1"/>
    <col min="19" max="21" width="17.5" style="83" bestFit="1" customWidth="1"/>
    <col min="22" max="24" width="17.1640625" style="83" bestFit="1" customWidth="1"/>
    <col min="25" max="27" width="19" style="83" bestFit="1" customWidth="1"/>
    <col min="28" max="28" width="11.33203125" style="83" bestFit="1" customWidth="1"/>
    <col min="29" max="31" width="10.83203125" bestFit="1" customWidth="1"/>
    <col min="32" max="32" width="13.6640625" bestFit="1" customWidth="1"/>
    <col min="33" max="33" width="10.33203125" bestFit="1" customWidth="1"/>
    <col min="34" max="34" width="17.5" bestFit="1" customWidth="1"/>
    <col min="35" max="35" width="17.1640625" style="183" bestFit="1" customWidth="1"/>
    <col min="36" max="36" width="19" style="83" bestFit="1" customWidth="1"/>
    <col min="37" max="37" width="9" style="184" bestFit="1" customWidth="1"/>
    <col min="38" max="39" width="11.1640625" bestFit="1" customWidth="1"/>
    <col min="40" max="40" width="19.6640625" bestFit="1" customWidth="1"/>
    <col min="41" max="41" width="10.83203125" bestFit="1" customWidth="1"/>
    <col min="42" max="42" width="21.5" bestFit="1" customWidth="1"/>
    <col min="43" max="43" width="16.83203125" bestFit="1" customWidth="1"/>
    <col min="44" max="44" width="21.5" bestFit="1" customWidth="1"/>
    <col min="45" max="45" width="16.83203125" bestFit="1" customWidth="1"/>
    <col min="46" max="46" width="21.5" bestFit="1" customWidth="1"/>
    <col min="47" max="47" width="16.83203125" style="83" bestFit="1" customWidth="1"/>
    <col min="48" max="48" width="10.1640625" bestFit="1" customWidth="1"/>
    <col min="49" max="49" width="21.5" bestFit="1" customWidth="1"/>
    <col min="50" max="50" width="16.83203125" bestFit="1" customWidth="1"/>
    <col min="51" max="53" width="9.5" bestFit="1" customWidth="1"/>
    <col min="54" max="58" width="20.33203125" bestFit="1" customWidth="1"/>
    <col min="59" max="59" width="15.6640625" bestFit="1" customWidth="1"/>
    <col min="60" max="61" width="15.83203125" bestFit="1" customWidth="1"/>
    <col min="62" max="62" width="12.6640625" bestFit="1" customWidth="1"/>
    <col min="63" max="63" width="8.83203125" bestFit="1" customWidth="1"/>
    <col min="64" max="64" width="5.1640625" bestFit="1" customWidth="1"/>
    <col min="65" max="67" width="8.83203125" bestFit="1" customWidth="1"/>
    <col min="68" max="68" width="13.6640625" bestFit="1" customWidth="1"/>
    <col min="69" max="71" width="10" style="83" bestFit="1" customWidth="1"/>
    <col min="73" max="73" width="11.5" style="83" bestFit="1" customWidth="1"/>
    <col min="74" max="75" width="9.1640625" style="83" bestFit="1" customWidth="1"/>
    <col min="77" max="79" width="11.6640625" style="83" bestFit="1" customWidth="1"/>
    <col min="80" max="80" width="11.6640625" customWidth="1"/>
    <col min="81" max="81" width="11.6640625" style="83" bestFit="1" customWidth="1"/>
    <col min="82" max="83" width="10.83203125" style="83"/>
    <col min="93" max="96" width="10.83203125" style="83"/>
    <col min="100" max="102" width="10.83203125" style="83"/>
    <col min="104" max="106" width="10.83203125" style="83"/>
    <col min="110" max="110" width="10.83203125" style="83"/>
    <col min="113" max="115" width="10.83203125" style="83"/>
    <col min="119" max="121" width="10.83203125" style="83"/>
    <col min="128" max="128" width="11.83203125" bestFit="1" customWidth="1"/>
    <col min="130" max="130" width="10.83203125" style="11"/>
    <col min="150" max="154" width="10.83203125" style="83"/>
  </cols>
  <sheetData>
    <row r="1" spans="1:205" s="1" customFormat="1" ht="153">
      <c r="A1" s="1" t="s">
        <v>372</v>
      </c>
      <c r="B1" s="1" t="s">
        <v>16</v>
      </c>
      <c r="C1" s="1" t="s">
        <v>23</v>
      </c>
      <c r="D1" s="1" t="s">
        <v>24</v>
      </c>
      <c r="E1" s="1" t="s">
        <v>289</v>
      </c>
      <c r="F1" s="1" t="s">
        <v>198</v>
      </c>
      <c r="G1" s="1" t="s">
        <v>250</v>
      </c>
      <c r="H1" s="178" t="s">
        <v>290</v>
      </c>
      <c r="I1" s="178" t="s">
        <v>199</v>
      </c>
      <c r="J1" s="178" t="s">
        <v>251</v>
      </c>
      <c r="K1" s="1" t="s">
        <v>291</v>
      </c>
      <c r="L1" s="1" t="s">
        <v>200</v>
      </c>
      <c r="M1" s="1" t="s">
        <v>252</v>
      </c>
      <c r="N1" s="178" t="s">
        <v>292</v>
      </c>
      <c r="O1" s="178" t="s">
        <v>201</v>
      </c>
      <c r="P1" s="178" t="s">
        <v>253</v>
      </c>
      <c r="Q1" s="178" t="s">
        <v>293</v>
      </c>
      <c r="R1" s="178" t="s">
        <v>202</v>
      </c>
      <c r="S1" s="178" t="s">
        <v>254</v>
      </c>
      <c r="T1" s="178" t="s">
        <v>294</v>
      </c>
      <c r="U1" s="178" t="s">
        <v>203</v>
      </c>
      <c r="V1" s="178" t="s">
        <v>255</v>
      </c>
      <c r="W1" s="178" t="s">
        <v>295</v>
      </c>
      <c r="X1" s="178" t="s">
        <v>204</v>
      </c>
      <c r="Y1" s="178" t="s">
        <v>256</v>
      </c>
      <c r="Z1" s="178" t="s">
        <v>296</v>
      </c>
      <c r="AA1" s="178" t="s">
        <v>205</v>
      </c>
      <c r="AB1" s="178" t="s">
        <v>257</v>
      </c>
      <c r="AC1" s="1" t="s">
        <v>297</v>
      </c>
      <c r="AD1" s="1" t="s">
        <v>206</v>
      </c>
      <c r="AE1" s="1" t="s">
        <v>258</v>
      </c>
      <c r="AF1" s="1" t="s">
        <v>298</v>
      </c>
      <c r="AG1" s="1" t="s">
        <v>207</v>
      </c>
      <c r="AH1" s="1" t="s">
        <v>259</v>
      </c>
      <c r="AI1" s="139" t="s">
        <v>279</v>
      </c>
      <c r="AJ1" s="140" t="s">
        <v>208</v>
      </c>
      <c r="AK1" s="141" t="s">
        <v>260</v>
      </c>
      <c r="AL1" s="1" t="s">
        <v>287</v>
      </c>
      <c r="AM1" s="1" t="s">
        <v>217</v>
      </c>
      <c r="AN1" s="1" t="s">
        <v>269</v>
      </c>
      <c r="AO1" s="1" t="s">
        <v>288</v>
      </c>
      <c r="AP1" s="1" t="s">
        <v>218</v>
      </c>
      <c r="AQ1" s="1" t="s">
        <v>270</v>
      </c>
      <c r="AR1" s="1" t="s">
        <v>275</v>
      </c>
      <c r="AS1" s="1" t="s">
        <v>219</v>
      </c>
      <c r="AT1" s="1" t="s">
        <v>271</v>
      </c>
      <c r="AU1" s="178" t="s">
        <v>276</v>
      </c>
      <c r="AV1" s="1" t="s">
        <v>435</v>
      </c>
      <c r="AW1" s="1" t="s">
        <v>436</v>
      </c>
      <c r="AX1" s="1" t="s">
        <v>277</v>
      </c>
      <c r="AY1" s="1" t="s">
        <v>221</v>
      </c>
      <c r="AZ1" s="1" t="s">
        <v>273</v>
      </c>
      <c r="BA1" s="1" t="s">
        <v>278</v>
      </c>
      <c r="BB1" s="1" t="s">
        <v>222</v>
      </c>
      <c r="BC1" s="1" t="s">
        <v>274</v>
      </c>
      <c r="BE1" s="1" t="s">
        <v>328</v>
      </c>
      <c r="BF1" s="1" t="s">
        <v>329</v>
      </c>
      <c r="BG1" s="1" t="s">
        <v>330</v>
      </c>
      <c r="BI1" s="1" t="s">
        <v>331</v>
      </c>
      <c r="BJ1" s="1" t="s">
        <v>332</v>
      </c>
      <c r="BK1" s="1" t="s">
        <v>333</v>
      </c>
      <c r="BM1" s="1" t="s">
        <v>334</v>
      </c>
      <c r="BN1" s="1" t="s">
        <v>335</v>
      </c>
      <c r="BO1" s="1" t="s">
        <v>336</v>
      </c>
      <c r="BQ1" s="178" t="s">
        <v>337</v>
      </c>
      <c r="BR1" s="178" t="s">
        <v>338</v>
      </c>
      <c r="BS1" s="178" t="s">
        <v>339</v>
      </c>
      <c r="BU1" s="178" t="s">
        <v>340</v>
      </c>
      <c r="BV1" s="178" t="s">
        <v>341</v>
      </c>
      <c r="BW1" s="178" t="s">
        <v>342</v>
      </c>
      <c r="BY1" s="178" t="s">
        <v>343</v>
      </c>
      <c r="BZ1" s="178" t="s">
        <v>344</v>
      </c>
      <c r="CA1" s="178" t="s">
        <v>345</v>
      </c>
      <c r="CC1" s="178" t="s">
        <v>352</v>
      </c>
      <c r="CD1" s="178" t="s">
        <v>353</v>
      </c>
      <c r="CE1" s="178" t="s">
        <v>354</v>
      </c>
      <c r="CG1" s="1" t="s">
        <v>482</v>
      </c>
      <c r="CH1" s="1" t="s">
        <v>483</v>
      </c>
      <c r="CI1" s="1" t="s">
        <v>484</v>
      </c>
      <c r="CK1" s="1" t="s">
        <v>346</v>
      </c>
      <c r="CL1" s="1" t="s">
        <v>347</v>
      </c>
      <c r="CM1" s="1" t="s">
        <v>348</v>
      </c>
      <c r="CO1" s="178" t="s">
        <v>496</v>
      </c>
      <c r="CP1" s="178" t="s">
        <v>497</v>
      </c>
      <c r="CQ1" s="178" t="s">
        <v>498</v>
      </c>
      <c r="CR1" s="178"/>
      <c r="CV1" s="178" t="s">
        <v>355</v>
      </c>
      <c r="CW1" s="178" t="s">
        <v>356</v>
      </c>
      <c r="CX1" s="178" t="s">
        <v>357</v>
      </c>
      <c r="CZ1" s="178" t="s">
        <v>506</v>
      </c>
      <c r="DA1" s="178" t="s">
        <v>507</v>
      </c>
      <c r="DB1" s="178" t="s">
        <v>508</v>
      </c>
      <c r="DC1" s="1" t="s">
        <v>509</v>
      </c>
      <c r="DD1" s="1" t="s">
        <v>510</v>
      </c>
      <c r="DE1" s="1" t="s">
        <v>511</v>
      </c>
      <c r="DF1" s="178" t="s">
        <v>512</v>
      </c>
      <c r="DG1" s="1" t="s">
        <v>513</v>
      </c>
      <c r="DH1" s="1" t="s">
        <v>514</v>
      </c>
      <c r="DI1" s="178" t="s">
        <v>515</v>
      </c>
      <c r="DJ1" s="178" t="s">
        <v>516</v>
      </c>
      <c r="DK1" s="178" t="s">
        <v>517</v>
      </c>
      <c r="DL1" s="1" t="s">
        <v>518</v>
      </c>
      <c r="DM1" s="1" t="s">
        <v>519</v>
      </c>
      <c r="DN1" s="1" t="s">
        <v>520</v>
      </c>
      <c r="DO1" s="178" t="s">
        <v>521</v>
      </c>
      <c r="DP1" s="178" t="s">
        <v>522</v>
      </c>
      <c r="DQ1" s="178" t="s">
        <v>523</v>
      </c>
      <c r="DR1" s="1" t="s">
        <v>524</v>
      </c>
      <c r="DS1" s="1" t="s">
        <v>525</v>
      </c>
      <c r="DT1" s="1" t="s">
        <v>526</v>
      </c>
      <c r="DU1" s="1" t="s">
        <v>563</v>
      </c>
      <c r="DV1" s="1" t="s">
        <v>564</v>
      </c>
      <c r="DW1" s="1" t="s">
        <v>565</v>
      </c>
      <c r="DX1" s="1" t="s">
        <v>375</v>
      </c>
      <c r="DY1" s="1" t="s">
        <v>566</v>
      </c>
      <c r="DZ1" s="224">
        <v>1</v>
      </c>
      <c r="EA1" s="1">
        <v>2</v>
      </c>
      <c r="EB1" s="1">
        <v>3</v>
      </c>
      <c r="EC1" s="1">
        <v>4</v>
      </c>
      <c r="ED1" s="1">
        <v>5</v>
      </c>
      <c r="EE1" s="1">
        <v>6</v>
      </c>
      <c r="EF1" s="1">
        <v>7</v>
      </c>
      <c r="EG1" s="1">
        <v>1</v>
      </c>
      <c r="EH1" s="1">
        <v>2</v>
      </c>
      <c r="EI1" s="1">
        <v>3</v>
      </c>
      <c r="EJ1" s="1">
        <v>4</v>
      </c>
      <c r="EK1" s="1">
        <v>5</v>
      </c>
      <c r="EL1" s="1">
        <v>6</v>
      </c>
      <c r="EM1" s="1">
        <v>7</v>
      </c>
      <c r="EN1" s="1">
        <v>1</v>
      </c>
      <c r="EO1" s="1">
        <v>2</v>
      </c>
      <c r="EP1" s="1">
        <v>3</v>
      </c>
      <c r="EQ1" s="1">
        <v>4</v>
      </c>
      <c r="ER1" s="1">
        <v>5</v>
      </c>
      <c r="ES1" s="1">
        <v>6</v>
      </c>
      <c r="ET1" s="178">
        <v>7</v>
      </c>
      <c r="EU1" s="178"/>
      <c r="EV1" s="178"/>
      <c r="EW1" s="178"/>
      <c r="EX1" s="178"/>
    </row>
    <row r="2" spans="1:205" s="69" customFormat="1">
      <c r="A2" s="69" t="s">
        <v>48</v>
      </c>
      <c r="B2" s="69">
        <v>50</v>
      </c>
      <c r="C2" s="69" t="s">
        <v>31</v>
      </c>
      <c r="D2" s="69" t="s">
        <v>32</v>
      </c>
      <c r="E2" s="69">
        <v>226</v>
      </c>
      <c r="F2" s="69">
        <v>273</v>
      </c>
      <c r="G2" s="69">
        <v>265</v>
      </c>
      <c r="H2" s="110">
        <v>0</v>
      </c>
      <c r="I2" s="110">
        <v>4</v>
      </c>
      <c r="J2" s="110">
        <v>47</v>
      </c>
      <c r="K2" s="69">
        <v>40</v>
      </c>
      <c r="L2" s="69">
        <v>22</v>
      </c>
      <c r="M2" s="69">
        <v>0</v>
      </c>
      <c r="N2" s="110">
        <v>49</v>
      </c>
      <c r="O2" s="110">
        <v>57</v>
      </c>
      <c r="P2" s="110">
        <v>39</v>
      </c>
      <c r="Q2" s="110">
        <v>0</v>
      </c>
      <c r="R2" s="110">
        <v>0</v>
      </c>
      <c r="S2" s="110">
        <v>0</v>
      </c>
      <c r="T2" s="110">
        <v>6</v>
      </c>
      <c r="U2" s="110">
        <v>14</v>
      </c>
      <c r="V2" s="110">
        <v>0</v>
      </c>
      <c r="W2" s="110">
        <v>43</v>
      </c>
      <c r="X2" s="110">
        <v>43</v>
      </c>
      <c r="Y2" s="110">
        <v>39</v>
      </c>
      <c r="Z2" s="110">
        <v>137</v>
      </c>
      <c r="AA2" s="110">
        <v>190</v>
      </c>
      <c r="AB2" s="110">
        <v>170</v>
      </c>
      <c r="AC2" s="69">
        <v>-22</v>
      </c>
      <c r="AD2" s="69">
        <v>-50</v>
      </c>
      <c r="AE2" s="69">
        <v>24</v>
      </c>
      <c r="AF2" s="69">
        <v>-22</v>
      </c>
      <c r="AG2" s="69">
        <v>-50</v>
      </c>
      <c r="AH2" s="69">
        <v>24</v>
      </c>
      <c r="AI2" s="142">
        <v>48</v>
      </c>
      <c r="AJ2" s="110">
        <v>34</v>
      </c>
      <c r="AK2" s="143">
        <v>2</v>
      </c>
      <c r="AL2" s="69">
        <v>48</v>
      </c>
      <c r="AM2" s="69">
        <v>34</v>
      </c>
      <c r="AN2" s="69">
        <v>2</v>
      </c>
      <c r="AO2" s="69">
        <v>48</v>
      </c>
      <c r="AP2" s="69">
        <v>34</v>
      </c>
      <c r="AQ2" s="69">
        <v>2</v>
      </c>
      <c r="AR2" s="69">
        <v>248</v>
      </c>
      <c r="AS2" s="69">
        <v>323</v>
      </c>
      <c r="AT2" s="69">
        <v>232</v>
      </c>
      <c r="AU2" s="110">
        <v>274</v>
      </c>
      <c r="AV2" s="69">
        <v>307</v>
      </c>
      <c r="AW2" s="69">
        <v>258</v>
      </c>
      <c r="AX2" s="69">
        <v>26</v>
      </c>
      <c r="AY2" s="69">
        <v>-16</v>
      </c>
      <c r="AZ2" s="69">
        <v>26</v>
      </c>
      <c r="BA2" s="69">
        <v>26</v>
      </c>
      <c r="BB2" s="69">
        <v>-16</v>
      </c>
      <c r="BC2" s="69">
        <v>26</v>
      </c>
      <c r="BE2" s="131">
        <f t="shared" ref="BE2:BE33" si="0">Z2/AU2</f>
        <v>0.5</v>
      </c>
      <c r="BF2" s="131">
        <f t="shared" ref="BF2:BF33" si="1">AA2/AV2</f>
        <v>0.61889250814332253</v>
      </c>
      <c r="BG2" s="131">
        <f t="shared" ref="BG2:BG33" si="2">AB2/AW2</f>
        <v>0.65891472868217049</v>
      </c>
      <c r="BI2" s="131">
        <f t="shared" ref="BI2:BI33" si="3">N2/AU2</f>
        <v>0.17883211678832117</v>
      </c>
      <c r="BJ2" s="131">
        <f t="shared" ref="BJ2:BJ33" si="4">O2/AV2</f>
        <v>0.18566775244299674</v>
      </c>
      <c r="BK2" s="131">
        <f t="shared" ref="BK2:BK33" si="5">P2/AW2</f>
        <v>0.15116279069767441</v>
      </c>
      <c r="BM2" s="131">
        <f t="shared" ref="BM2:BM33" si="6">Q2/AU2</f>
        <v>0</v>
      </c>
      <c r="BN2" s="131">
        <f t="shared" ref="BN2:BN33" si="7">R2/AV2</f>
        <v>0</v>
      </c>
      <c r="BO2" s="131">
        <f t="shared" ref="BO2:BO33" si="8">S2/AW2</f>
        <v>0</v>
      </c>
      <c r="BQ2" s="145">
        <f t="shared" ref="BQ2:BQ33" si="9">T2/AU2</f>
        <v>2.1897810218978103E-2</v>
      </c>
      <c r="BR2" s="145">
        <f t="shared" ref="BR2:BR33" si="10">U2/AV2</f>
        <v>4.5602605863192182E-2</v>
      </c>
      <c r="BS2" s="145">
        <f t="shared" ref="BS2:BS33" si="11">V2/AW2</f>
        <v>0</v>
      </c>
      <c r="BU2" s="145">
        <f t="shared" ref="BU2:BU33" si="12">W2/AU2</f>
        <v>0.15693430656934307</v>
      </c>
      <c r="BV2" s="145">
        <f t="shared" ref="BV2:BV33" si="13">X2/AV2</f>
        <v>0.14006514657980457</v>
      </c>
      <c r="BW2" s="145">
        <f t="shared" ref="BW2:BW33" si="14">Y2/AW2</f>
        <v>0.15116279069767441</v>
      </c>
      <c r="BY2" s="145">
        <f t="shared" ref="BY2:BY33" si="15">H2/AU2</f>
        <v>0</v>
      </c>
      <c r="BZ2" s="145">
        <f t="shared" ref="BZ2:BZ33" si="16">I2/AV2</f>
        <v>1.3029315960912053E-2</v>
      </c>
      <c r="CA2" s="145">
        <f t="shared" ref="CA2:CA33" si="17">J2/AW2</f>
        <v>0.18217054263565891</v>
      </c>
      <c r="CB2" s="131"/>
      <c r="CC2" s="145">
        <f t="shared" ref="CC2:CC33" si="18">AI2/AU2</f>
        <v>0.17518248175182483</v>
      </c>
      <c r="CD2" s="145">
        <f t="shared" ref="CD2:CD33" si="19">AJ2/AV2</f>
        <v>0.11074918566775244</v>
      </c>
      <c r="CE2" s="145">
        <f t="shared" ref="CE2:CE33" si="20">AK2/AW2</f>
        <v>7.7519379844961239E-3</v>
      </c>
      <c r="CG2" s="131">
        <f>BE2+BI2+BY2+CC2</f>
        <v>0.85401459854014594</v>
      </c>
      <c r="CH2" s="131">
        <f t="shared" ref="CH2:CI2" si="21">BF2+BJ2+BZ2+CD2</f>
        <v>0.92833876221498368</v>
      </c>
      <c r="CI2" s="131">
        <f t="shared" si="21"/>
        <v>0.99999999999999989</v>
      </c>
      <c r="CK2" s="131">
        <f>1-CG2</f>
        <v>0.14598540145985406</v>
      </c>
      <c r="CL2" s="131">
        <f t="shared" ref="CL2:CM2" si="22">1-CH2</f>
        <v>7.1661237785016318E-2</v>
      </c>
      <c r="CM2" s="131">
        <f t="shared" si="22"/>
        <v>0</v>
      </c>
      <c r="CO2" s="110">
        <f>AU2*CK2</f>
        <v>40.000000000000014</v>
      </c>
      <c r="CP2" s="110">
        <f t="shared" ref="CP2:CQ2" si="23">AV2*CL2</f>
        <v>22.000000000000011</v>
      </c>
      <c r="CQ2" s="110">
        <f t="shared" si="23"/>
        <v>0</v>
      </c>
      <c r="CR2" s="110"/>
      <c r="CS2" s="110"/>
      <c r="CT2" s="110">
        <v>6</v>
      </c>
      <c r="CV2" s="110">
        <f>Z2/B2</f>
        <v>2.74</v>
      </c>
      <c r="CW2" s="110">
        <f>AA2/B2</f>
        <v>3.8</v>
      </c>
      <c r="CX2" s="110">
        <f>AB2/B2</f>
        <v>3.4</v>
      </c>
      <c r="CZ2" s="110">
        <f>IF(0+Z2,1,0)</f>
        <v>1</v>
      </c>
      <c r="DA2" s="110">
        <f t="shared" ref="DA2:DB2" si="24">IF(0+AA2,1,0)</f>
        <v>1</v>
      </c>
      <c r="DB2" s="110">
        <f t="shared" si="24"/>
        <v>1</v>
      </c>
      <c r="DC2" s="110">
        <f>IF(0+Q2,1,0)</f>
        <v>0</v>
      </c>
      <c r="DD2" s="110">
        <f t="shared" ref="DD2:DE2" si="25">IF(0+R2,1,0)</f>
        <v>0</v>
      </c>
      <c r="DE2" s="110">
        <f t="shared" si="25"/>
        <v>0</v>
      </c>
      <c r="DF2" s="110">
        <f>IF(0+T2,1,0)</f>
        <v>1</v>
      </c>
      <c r="DG2" s="110">
        <f t="shared" ref="DG2:DH2" si="26">IF(0+U2,1,0)</f>
        <v>1</v>
      </c>
      <c r="DH2" s="110">
        <f t="shared" si="26"/>
        <v>0</v>
      </c>
      <c r="DI2" s="110">
        <f>IF(0+W2,1,0)</f>
        <v>1</v>
      </c>
      <c r="DJ2" s="110">
        <f t="shared" ref="DJ2:DK2" si="27">IF(0+X2,1,0)</f>
        <v>1</v>
      </c>
      <c r="DK2" s="110">
        <f t="shared" si="27"/>
        <v>1</v>
      </c>
      <c r="DL2" s="110">
        <f>IF(0+H2,1,0)</f>
        <v>0</v>
      </c>
      <c r="DM2" s="110">
        <f t="shared" ref="DM2:DN2" si="28">IF(0+I2,1,0)</f>
        <v>1</v>
      </c>
      <c r="DN2" s="110">
        <f t="shared" si="28"/>
        <v>1</v>
      </c>
      <c r="DO2" s="110">
        <f>IF(0+AI2,1,0)</f>
        <v>1</v>
      </c>
      <c r="DP2" s="110">
        <f t="shared" ref="DP2:DQ2" si="29">IF(0+AJ2,1,0)</f>
        <v>1</v>
      </c>
      <c r="DQ2" s="110">
        <f t="shared" si="29"/>
        <v>1</v>
      </c>
      <c r="DR2" s="110">
        <f>IF(0+CO2,1,0)</f>
        <v>1</v>
      </c>
      <c r="DS2" s="110">
        <f t="shared" ref="DS2:DT2" si="30">IF(0+CP2,1,0)</f>
        <v>1</v>
      </c>
      <c r="DT2" s="110">
        <f t="shared" si="30"/>
        <v>0</v>
      </c>
      <c r="DU2" s="69">
        <f>CZ2+DC2+DF2+DI2+DL2+DO2+DR2</f>
        <v>5</v>
      </c>
      <c r="DV2" s="69">
        <f t="shared" ref="DV2:DW2" si="31">DA2+DD2+DG2+DJ2+DM2+DP2+DS2</f>
        <v>6</v>
      </c>
      <c r="DW2" s="69">
        <f t="shared" si="31"/>
        <v>4</v>
      </c>
      <c r="DX2" s="69">
        <f>AVERAGEA(DU2:DW2)</f>
        <v>5</v>
      </c>
      <c r="DY2" s="69">
        <f>STDEVPA(DU2:DW2)</f>
        <v>0.81649658092772603</v>
      </c>
      <c r="DZ2" s="135">
        <f>IF($DU2=DZ$1,1,0)</f>
        <v>0</v>
      </c>
      <c r="EA2" s="69">
        <f t="shared" ref="EA2:EF17" si="32">IF($DU2=EA$1,1,0)</f>
        <v>0</v>
      </c>
      <c r="EB2" s="69">
        <f t="shared" si="32"/>
        <v>0</v>
      </c>
      <c r="EC2" s="69">
        <f t="shared" si="32"/>
        <v>0</v>
      </c>
      <c r="ED2" s="69">
        <f t="shared" si="32"/>
        <v>1</v>
      </c>
      <c r="EE2" s="69">
        <f t="shared" si="32"/>
        <v>0</v>
      </c>
      <c r="EF2" s="69">
        <f t="shared" si="32"/>
        <v>0</v>
      </c>
      <c r="EG2" s="69">
        <f>IF($DV2=EG$1,1,0)</f>
        <v>0</v>
      </c>
      <c r="EH2" s="69">
        <f t="shared" ref="EH2:EM17" si="33">IF($DV2=EH$1,1,0)</f>
        <v>0</v>
      </c>
      <c r="EI2" s="69">
        <f t="shared" si="33"/>
        <v>0</v>
      </c>
      <c r="EJ2" s="69">
        <f t="shared" si="33"/>
        <v>0</v>
      </c>
      <c r="EK2" s="69">
        <f t="shared" si="33"/>
        <v>0</v>
      </c>
      <c r="EL2" s="69">
        <f t="shared" si="33"/>
        <v>1</v>
      </c>
      <c r="EM2" s="69">
        <f t="shared" si="33"/>
        <v>0</v>
      </c>
      <c r="EN2" s="69">
        <f>IF($DW2=EN$1,1,0)</f>
        <v>0</v>
      </c>
      <c r="EO2" s="69">
        <f t="shared" ref="EO2:ET17" si="34">IF($DW2=EO$1,1,0)</f>
        <v>0</v>
      </c>
      <c r="EP2" s="69">
        <f t="shared" si="34"/>
        <v>0</v>
      </c>
      <c r="EQ2" s="69">
        <f t="shared" si="34"/>
        <v>1</v>
      </c>
      <c r="ER2" s="69">
        <f t="shared" si="34"/>
        <v>0</v>
      </c>
      <c r="ES2" s="69">
        <f t="shared" si="34"/>
        <v>0</v>
      </c>
      <c r="ET2" s="110">
        <f>IF($DW2=ET$1,1,0)</f>
        <v>0</v>
      </c>
    </row>
    <row r="3" spans="1:205" s="69" customFormat="1">
      <c r="A3" s="69" t="s">
        <v>49</v>
      </c>
      <c r="B3" s="69">
        <v>208</v>
      </c>
      <c r="C3" s="69" t="s">
        <v>31</v>
      </c>
      <c r="D3" s="69" t="s">
        <v>32</v>
      </c>
      <c r="E3" s="69">
        <v>668</v>
      </c>
      <c r="F3" s="69">
        <v>672</v>
      </c>
      <c r="G3" s="69">
        <v>1100</v>
      </c>
      <c r="H3" s="110">
        <v>84</v>
      </c>
      <c r="I3" s="110">
        <v>0</v>
      </c>
      <c r="J3" s="110">
        <v>0</v>
      </c>
      <c r="K3" s="69">
        <v>0</v>
      </c>
      <c r="L3" s="69">
        <v>0</v>
      </c>
      <c r="M3" s="69">
        <v>0</v>
      </c>
      <c r="N3" s="110">
        <v>387</v>
      </c>
      <c r="O3" s="110">
        <v>370</v>
      </c>
      <c r="P3" s="110">
        <v>428</v>
      </c>
      <c r="Q3" s="110">
        <v>0</v>
      </c>
      <c r="R3" s="110">
        <v>0</v>
      </c>
      <c r="S3" s="110">
        <v>0</v>
      </c>
      <c r="T3" s="110">
        <v>5</v>
      </c>
      <c r="U3" s="110">
        <v>10</v>
      </c>
      <c r="V3" s="110">
        <v>40</v>
      </c>
      <c r="W3" s="110">
        <v>382</v>
      </c>
      <c r="X3" s="110">
        <v>360</v>
      </c>
      <c r="Y3" s="110">
        <v>388</v>
      </c>
      <c r="Z3" s="110">
        <v>197</v>
      </c>
      <c r="AA3" s="110">
        <v>302</v>
      </c>
      <c r="AB3" s="110">
        <v>672</v>
      </c>
      <c r="AC3" s="69">
        <v>-54</v>
      </c>
      <c r="AD3" s="69">
        <v>-70</v>
      </c>
      <c r="AE3" s="69">
        <v>254</v>
      </c>
      <c r="AF3" s="69">
        <v>-54</v>
      </c>
      <c r="AG3" s="69">
        <v>-70</v>
      </c>
      <c r="AH3" s="69">
        <v>254</v>
      </c>
      <c r="AI3" s="142">
        <v>36</v>
      </c>
      <c r="AJ3" s="110">
        <v>55</v>
      </c>
      <c r="AK3" s="143">
        <v>59</v>
      </c>
      <c r="AL3" s="69">
        <v>14</v>
      </c>
      <c r="AM3" s="69">
        <v>36</v>
      </c>
      <c r="AN3" s="69">
        <v>33</v>
      </c>
      <c r="AO3" s="69">
        <v>14</v>
      </c>
      <c r="AP3" s="69">
        <v>36</v>
      </c>
      <c r="AQ3" s="69">
        <v>33</v>
      </c>
      <c r="AR3" s="69">
        <v>744</v>
      </c>
      <c r="AS3" s="69">
        <v>761</v>
      </c>
      <c r="AT3" s="69">
        <v>871</v>
      </c>
      <c r="AU3" s="110">
        <v>704</v>
      </c>
      <c r="AV3" s="69">
        <v>727</v>
      </c>
      <c r="AW3" s="69">
        <v>1159</v>
      </c>
      <c r="AX3" s="69">
        <v>-40</v>
      </c>
      <c r="AY3" s="69">
        <v>-34</v>
      </c>
      <c r="AZ3" s="69">
        <v>287</v>
      </c>
      <c r="BA3" s="69">
        <v>-40</v>
      </c>
      <c r="BB3" s="69">
        <v>-34</v>
      </c>
      <c r="BC3" s="69">
        <v>287</v>
      </c>
      <c r="BE3" s="131">
        <f t="shared" si="0"/>
        <v>0.27982954545454547</v>
      </c>
      <c r="BF3" s="131">
        <f t="shared" si="1"/>
        <v>0.4154057771664374</v>
      </c>
      <c r="BG3" s="131">
        <f t="shared" si="2"/>
        <v>0.57981018119068162</v>
      </c>
      <c r="BI3" s="131">
        <f t="shared" si="3"/>
        <v>0.54971590909090906</v>
      </c>
      <c r="BJ3" s="131">
        <f t="shared" si="4"/>
        <v>0.50894085281980739</v>
      </c>
      <c r="BK3" s="131">
        <f t="shared" si="5"/>
        <v>0.36928386540120794</v>
      </c>
      <c r="BM3" s="131">
        <f t="shared" si="6"/>
        <v>0</v>
      </c>
      <c r="BN3" s="131">
        <f t="shared" si="7"/>
        <v>0</v>
      </c>
      <c r="BO3" s="131">
        <f t="shared" si="8"/>
        <v>0</v>
      </c>
      <c r="BQ3" s="145">
        <f t="shared" si="9"/>
        <v>7.102272727272727E-3</v>
      </c>
      <c r="BR3" s="145">
        <f t="shared" si="10"/>
        <v>1.3755158184319119E-2</v>
      </c>
      <c r="BS3" s="145">
        <f t="shared" si="11"/>
        <v>3.4512510785159621E-2</v>
      </c>
      <c r="BU3" s="145">
        <f t="shared" si="12"/>
        <v>0.54261363636363635</v>
      </c>
      <c r="BV3" s="145">
        <f t="shared" si="13"/>
        <v>0.49518569463548828</v>
      </c>
      <c r="BW3" s="145">
        <f t="shared" si="14"/>
        <v>0.33477135461604834</v>
      </c>
      <c r="BY3" s="145">
        <f t="shared" si="15"/>
        <v>0.11931818181818182</v>
      </c>
      <c r="BZ3" s="145">
        <f t="shared" si="16"/>
        <v>0</v>
      </c>
      <c r="CA3" s="145">
        <f t="shared" si="17"/>
        <v>0</v>
      </c>
      <c r="CB3" s="131"/>
      <c r="CC3" s="145">
        <f t="shared" si="18"/>
        <v>5.113636363636364E-2</v>
      </c>
      <c r="CD3" s="145">
        <f t="shared" si="19"/>
        <v>7.5653370013755161E-2</v>
      </c>
      <c r="CE3" s="145">
        <f t="shared" si="20"/>
        <v>5.0905953408110438E-2</v>
      </c>
      <c r="CG3" s="131">
        <f t="shared" ref="CG3:CG66" si="35">BE3+BI3+BY3+CC3</f>
        <v>1</v>
      </c>
      <c r="CH3" s="131">
        <f t="shared" ref="CH3:CH66" si="36">BF3+BJ3+BZ3+CD3</f>
        <v>1</v>
      </c>
      <c r="CI3" s="131">
        <f t="shared" ref="CI3:CI66" si="37">BG3+BK3+CA3+CE3</f>
        <v>1</v>
      </c>
      <c r="CK3" s="131">
        <f t="shared" ref="CK3:CK66" si="38">1-CG3</f>
        <v>0</v>
      </c>
      <c r="CL3" s="131">
        <f t="shared" ref="CL3:CL66" si="39">1-CH3</f>
        <v>0</v>
      </c>
      <c r="CM3" s="131">
        <f t="shared" ref="CM3:CM66" si="40">1-CI3</f>
        <v>0</v>
      </c>
      <c r="CO3" s="110">
        <f t="shared" ref="CO3:CO66" si="41">AU3*CK3</f>
        <v>0</v>
      </c>
      <c r="CP3" s="110">
        <f t="shared" ref="CP3:CP66" si="42">AV3*CL3</f>
        <v>0</v>
      </c>
      <c r="CQ3" s="110">
        <f t="shared" ref="CQ3:CQ66" si="43">AW3*CM3</f>
        <v>0</v>
      </c>
      <c r="CR3" s="110"/>
      <c r="CS3" s="110"/>
      <c r="CT3" s="110">
        <v>5</v>
      </c>
      <c r="CV3" s="110">
        <f>Z3/B3</f>
        <v>0.94711538461538458</v>
      </c>
      <c r="CW3" s="110">
        <f t="shared" ref="CW3:CW66" si="44">AA3/B3</f>
        <v>1.4519230769230769</v>
      </c>
      <c r="CX3" s="110">
        <f t="shared" ref="CX3:CX66" si="45">AB3/B3</f>
        <v>3.2307692307692308</v>
      </c>
      <c r="CZ3" s="110">
        <f t="shared" ref="CZ3:CZ66" si="46">IF(0+Z3,1,0)</f>
        <v>1</v>
      </c>
      <c r="DA3" s="110">
        <f t="shared" ref="DA3:DA66" si="47">IF(0+AA3,1,0)</f>
        <v>1</v>
      </c>
      <c r="DB3" s="110">
        <f t="shared" ref="DB3:DB66" si="48">IF(0+AB3,1,0)</f>
        <v>1</v>
      </c>
      <c r="DC3" s="110">
        <f t="shared" ref="DC3:DC66" si="49">IF(0+Q3,1,0)</f>
        <v>0</v>
      </c>
      <c r="DD3" s="110">
        <f t="shared" ref="DD3:DD66" si="50">IF(0+R3,1,0)</f>
        <v>0</v>
      </c>
      <c r="DE3" s="110">
        <f t="shared" ref="DE3:DE66" si="51">IF(0+S3,1,0)</f>
        <v>0</v>
      </c>
      <c r="DF3" s="110">
        <f t="shared" ref="DF3:DF66" si="52">IF(0+T3,1,0)</f>
        <v>1</v>
      </c>
      <c r="DG3" s="110">
        <f t="shared" ref="DG3:DG66" si="53">IF(0+U3,1,0)</f>
        <v>1</v>
      </c>
      <c r="DH3" s="110">
        <f t="shared" ref="DH3:DH66" si="54">IF(0+V3,1,0)</f>
        <v>1</v>
      </c>
      <c r="DI3" s="110">
        <f t="shared" ref="DI3:DI66" si="55">IF(0+W3,1,0)</f>
        <v>1</v>
      </c>
      <c r="DJ3" s="110">
        <f t="shared" ref="DJ3:DJ66" si="56">IF(0+X3,1,0)</f>
        <v>1</v>
      </c>
      <c r="DK3" s="110">
        <f t="shared" ref="DK3:DK66" si="57">IF(0+Y3,1,0)</f>
        <v>1</v>
      </c>
      <c r="DL3" s="110">
        <f t="shared" ref="DL3:DL66" si="58">IF(0+H3,1,0)</f>
        <v>1</v>
      </c>
      <c r="DM3" s="110">
        <f t="shared" ref="DM3:DM66" si="59">IF(0+I3,1,0)</f>
        <v>0</v>
      </c>
      <c r="DN3" s="110">
        <f t="shared" ref="DN3:DN66" si="60">IF(0+J3,1,0)</f>
        <v>0</v>
      </c>
      <c r="DO3" s="110">
        <f t="shared" ref="DO3:DO66" si="61">IF(0+AI3,1,0)</f>
        <v>1</v>
      </c>
      <c r="DP3" s="110">
        <f t="shared" ref="DP3:DP66" si="62">IF(0+AJ3,1,0)</f>
        <v>1</v>
      </c>
      <c r="DQ3" s="110">
        <f t="shared" ref="DQ3:DQ66" si="63">IF(0+AK3,1,0)</f>
        <v>1</v>
      </c>
      <c r="DR3" s="110">
        <f t="shared" ref="DR3:DR66" si="64">IF(0+CO3,1,0)</f>
        <v>0</v>
      </c>
      <c r="DS3" s="110">
        <f t="shared" ref="DS3:DS66" si="65">IF(0+CP3,1,0)</f>
        <v>0</v>
      </c>
      <c r="DT3" s="110">
        <f t="shared" ref="DT3:DT66" si="66">IF(0+CQ3,1,0)</f>
        <v>0</v>
      </c>
      <c r="DU3" s="69">
        <f t="shared" ref="DU3:DU66" si="67">CZ3+DC3+DF3+DI3+DL3+DO3+DR3</f>
        <v>5</v>
      </c>
      <c r="DV3" s="69">
        <f t="shared" ref="DV3:DV66" si="68">DA3+DD3+DG3+DJ3+DM3+DP3+DS3</f>
        <v>4</v>
      </c>
      <c r="DW3" s="69">
        <f t="shared" ref="DW3:DW66" si="69">DB3+DE3+DH3+DK3+DN3+DQ3+DT3</f>
        <v>4</v>
      </c>
      <c r="DX3" s="69">
        <f t="shared" ref="DX3:DX66" si="70">AVERAGEA(DU3:DW3)</f>
        <v>4.333333333333333</v>
      </c>
      <c r="DY3" s="69">
        <f t="shared" ref="DY3:DY66" si="71">STDEVPA(DU3:DW3)</f>
        <v>0.47140452079103168</v>
      </c>
      <c r="DZ3" s="135">
        <f t="shared" ref="DZ3:EF34" si="72">IF($DU3=DZ$1,1,0)</f>
        <v>0</v>
      </c>
      <c r="EA3" s="69">
        <f t="shared" si="32"/>
        <v>0</v>
      </c>
      <c r="EB3" s="69">
        <f t="shared" si="32"/>
        <v>0</v>
      </c>
      <c r="EC3" s="69">
        <f t="shared" si="32"/>
        <v>0</v>
      </c>
      <c r="ED3" s="69">
        <f t="shared" si="32"/>
        <v>1</v>
      </c>
      <c r="EE3" s="69">
        <f t="shared" si="32"/>
        <v>0</v>
      </c>
      <c r="EF3" s="69">
        <f t="shared" si="32"/>
        <v>0</v>
      </c>
      <c r="EG3" s="69">
        <f t="shared" ref="EG3:EM34" si="73">IF($DV3=EG$1,1,0)</f>
        <v>0</v>
      </c>
      <c r="EH3" s="69">
        <f t="shared" si="33"/>
        <v>0</v>
      </c>
      <c r="EI3" s="69">
        <f t="shared" si="33"/>
        <v>0</v>
      </c>
      <c r="EJ3" s="69">
        <f t="shared" si="33"/>
        <v>1</v>
      </c>
      <c r="EK3" s="69">
        <f t="shared" si="33"/>
        <v>0</v>
      </c>
      <c r="EL3" s="69">
        <f t="shared" si="33"/>
        <v>0</v>
      </c>
      <c r="EM3" s="69">
        <f t="shared" si="33"/>
        <v>0</v>
      </c>
      <c r="EN3" s="69">
        <f t="shared" ref="EN3:ET34" si="74">IF($DW3=EN$1,1,0)</f>
        <v>0</v>
      </c>
      <c r="EO3" s="69">
        <f t="shared" si="34"/>
        <v>0</v>
      </c>
      <c r="EP3" s="69">
        <f t="shared" si="34"/>
        <v>0</v>
      </c>
      <c r="EQ3" s="69">
        <f t="shared" si="34"/>
        <v>1</v>
      </c>
      <c r="ER3" s="69">
        <f t="shared" si="34"/>
        <v>0</v>
      </c>
      <c r="ES3" s="69">
        <f t="shared" si="34"/>
        <v>0</v>
      </c>
      <c r="ET3" s="110">
        <f t="shared" si="34"/>
        <v>0</v>
      </c>
    </row>
    <row r="4" spans="1:205" s="69" customFormat="1">
      <c r="A4" s="69" t="s">
        <v>50</v>
      </c>
      <c r="B4" s="69">
        <v>350</v>
      </c>
      <c r="C4" s="69" t="s">
        <v>31</v>
      </c>
      <c r="D4" s="69" t="s">
        <v>33</v>
      </c>
      <c r="E4" s="69">
        <v>5125</v>
      </c>
      <c r="F4" s="69">
        <v>6566</v>
      </c>
      <c r="G4" s="69">
        <v>8734</v>
      </c>
      <c r="H4" s="110">
        <v>1331</v>
      </c>
      <c r="I4" s="110">
        <v>0</v>
      </c>
      <c r="J4" s="110">
        <v>2411</v>
      </c>
      <c r="K4" s="69">
        <v>0</v>
      </c>
      <c r="L4" s="69">
        <v>0</v>
      </c>
      <c r="M4" s="69">
        <v>1</v>
      </c>
      <c r="N4" s="110">
        <v>3788</v>
      </c>
      <c r="O4" s="110">
        <v>0</v>
      </c>
      <c r="P4" s="110">
        <v>5460</v>
      </c>
      <c r="Q4" s="110">
        <v>0</v>
      </c>
      <c r="R4" s="110">
        <v>0</v>
      </c>
      <c r="S4" s="110">
        <v>0</v>
      </c>
      <c r="T4" s="110">
        <v>1978</v>
      </c>
      <c r="U4" s="110">
        <v>0</v>
      </c>
      <c r="V4" s="110">
        <v>5142</v>
      </c>
      <c r="W4" s="110">
        <v>1810</v>
      </c>
      <c r="X4" s="110">
        <v>1810</v>
      </c>
      <c r="Y4" s="110">
        <v>318</v>
      </c>
      <c r="Z4" s="110">
        <v>0</v>
      </c>
      <c r="AA4" s="110">
        <v>0</v>
      </c>
      <c r="AB4" s="110">
        <v>862</v>
      </c>
      <c r="AC4" s="69">
        <v>0</v>
      </c>
      <c r="AD4" s="69">
        <v>224</v>
      </c>
      <c r="AE4" s="69">
        <v>845</v>
      </c>
      <c r="AF4" s="69">
        <v>-20</v>
      </c>
      <c r="AG4" s="69">
        <v>224</v>
      </c>
      <c r="AH4" s="69">
        <v>845</v>
      </c>
      <c r="AI4" s="142">
        <v>0</v>
      </c>
      <c r="AJ4" s="110">
        <v>0</v>
      </c>
      <c r="AK4" s="143">
        <v>0</v>
      </c>
      <c r="AL4" s="69">
        <v>0</v>
      </c>
      <c r="AM4" s="69">
        <v>0</v>
      </c>
      <c r="AN4" s="69">
        <v>0</v>
      </c>
      <c r="AO4" s="69">
        <v>0</v>
      </c>
      <c r="AP4" s="69">
        <v>0</v>
      </c>
      <c r="AQ4" s="69">
        <v>0</v>
      </c>
      <c r="AR4" s="69">
        <v>5145</v>
      </c>
      <c r="AS4" s="69">
        <v>6342</v>
      </c>
      <c r="AT4" s="69">
        <v>7889</v>
      </c>
      <c r="AU4" s="110">
        <v>5125</v>
      </c>
      <c r="AV4" s="69">
        <v>6566</v>
      </c>
      <c r="AW4" s="69">
        <v>8734</v>
      </c>
      <c r="AX4" s="69">
        <v>-20</v>
      </c>
      <c r="AY4" s="69">
        <v>224</v>
      </c>
      <c r="AZ4" s="69">
        <v>845</v>
      </c>
      <c r="BA4" s="69">
        <v>-20</v>
      </c>
      <c r="BB4" s="69">
        <v>224</v>
      </c>
      <c r="BC4" s="69">
        <v>845</v>
      </c>
      <c r="BE4" s="131">
        <f t="shared" si="0"/>
        <v>0</v>
      </c>
      <c r="BF4" s="131">
        <f t="shared" si="1"/>
        <v>0</v>
      </c>
      <c r="BG4" s="131">
        <f t="shared" si="2"/>
        <v>9.8694756125486602E-2</v>
      </c>
      <c r="BI4" s="131">
        <f t="shared" si="3"/>
        <v>0.73912195121951219</v>
      </c>
      <c r="BJ4" s="131">
        <f t="shared" si="4"/>
        <v>0</v>
      </c>
      <c r="BK4" s="131">
        <f t="shared" si="5"/>
        <v>0.62514311884588958</v>
      </c>
      <c r="BM4" s="131">
        <f t="shared" si="6"/>
        <v>0</v>
      </c>
      <c r="BN4" s="131">
        <f t="shared" si="7"/>
        <v>0</v>
      </c>
      <c r="BO4" s="131">
        <f t="shared" si="8"/>
        <v>0</v>
      </c>
      <c r="BQ4" s="145">
        <f t="shared" si="9"/>
        <v>0.38595121951219513</v>
      </c>
      <c r="BR4" s="145">
        <f t="shared" si="10"/>
        <v>0</v>
      </c>
      <c r="BS4" s="145">
        <f t="shared" si="11"/>
        <v>0.5887336844515686</v>
      </c>
      <c r="BU4" s="145">
        <f t="shared" si="12"/>
        <v>0.35317073170731705</v>
      </c>
      <c r="BV4" s="145">
        <f t="shared" si="13"/>
        <v>0.27566250380749313</v>
      </c>
      <c r="BW4" s="145">
        <f t="shared" si="14"/>
        <v>3.6409434394321046E-2</v>
      </c>
      <c r="BY4" s="145">
        <f t="shared" si="15"/>
        <v>0.25970731707317074</v>
      </c>
      <c r="BZ4" s="145">
        <f t="shared" si="16"/>
        <v>0</v>
      </c>
      <c r="CA4" s="145">
        <f t="shared" si="17"/>
        <v>0.27604762995191207</v>
      </c>
      <c r="CB4" s="131"/>
      <c r="CC4" s="145">
        <f t="shared" si="18"/>
        <v>0</v>
      </c>
      <c r="CD4" s="145">
        <f t="shared" si="19"/>
        <v>0</v>
      </c>
      <c r="CE4" s="145">
        <f t="shared" si="20"/>
        <v>0</v>
      </c>
      <c r="CG4" s="131">
        <f t="shared" si="35"/>
        <v>0.99882926829268293</v>
      </c>
      <c r="CH4" s="131">
        <f t="shared" si="36"/>
        <v>0</v>
      </c>
      <c r="CI4" s="131">
        <f t="shared" si="37"/>
        <v>0.9998855049232882</v>
      </c>
      <c r="CK4" s="131">
        <f t="shared" si="38"/>
        <v>1.1707317073170742E-3</v>
      </c>
      <c r="CL4" s="131">
        <f t="shared" si="39"/>
        <v>1</v>
      </c>
      <c r="CM4" s="131">
        <f t="shared" si="40"/>
        <v>1.1449507671179582E-4</v>
      </c>
      <c r="CO4" s="110">
        <f t="shared" si="41"/>
        <v>6.0000000000000053</v>
      </c>
      <c r="CP4" s="110">
        <f t="shared" si="42"/>
        <v>6566</v>
      </c>
      <c r="CQ4" s="110">
        <f t="shared" si="43"/>
        <v>1.0000000000008247</v>
      </c>
      <c r="CR4" s="110"/>
      <c r="CS4" s="110"/>
      <c r="CT4" s="110">
        <v>1978</v>
      </c>
      <c r="CV4" s="110">
        <f t="shared" ref="CV4:CV67" si="75">Z4/B4</f>
        <v>0</v>
      </c>
      <c r="CW4" s="110">
        <f t="shared" si="44"/>
        <v>0</v>
      </c>
      <c r="CX4" s="110">
        <f t="shared" si="45"/>
        <v>2.4628571428571431</v>
      </c>
      <c r="CZ4" s="110">
        <f t="shared" si="46"/>
        <v>0</v>
      </c>
      <c r="DA4" s="110">
        <f t="shared" si="47"/>
        <v>0</v>
      </c>
      <c r="DB4" s="110">
        <f t="shared" si="48"/>
        <v>1</v>
      </c>
      <c r="DC4" s="110">
        <f t="shared" si="49"/>
        <v>0</v>
      </c>
      <c r="DD4" s="110">
        <f t="shared" si="50"/>
        <v>0</v>
      </c>
      <c r="DE4" s="110">
        <f t="shared" si="51"/>
        <v>0</v>
      </c>
      <c r="DF4" s="110">
        <f t="shared" si="52"/>
        <v>1</v>
      </c>
      <c r="DG4" s="110">
        <f t="shared" si="53"/>
        <v>0</v>
      </c>
      <c r="DH4" s="110">
        <f t="shared" si="54"/>
        <v>1</v>
      </c>
      <c r="DI4" s="110">
        <f t="shared" si="55"/>
        <v>1</v>
      </c>
      <c r="DJ4" s="110">
        <f t="shared" si="56"/>
        <v>1</v>
      </c>
      <c r="DK4" s="110">
        <f t="shared" si="57"/>
        <v>1</v>
      </c>
      <c r="DL4" s="110">
        <f t="shared" si="58"/>
        <v>1</v>
      </c>
      <c r="DM4" s="110">
        <f t="shared" si="59"/>
        <v>0</v>
      </c>
      <c r="DN4" s="110">
        <f t="shared" si="60"/>
        <v>1</v>
      </c>
      <c r="DO4" s="110">
        <f t="shared" si="61"/>
        <v>0</v>
      </c>
      <c r="DP4" s="110">
        <f t="shared" si="62"/>
        <v>0</v>
      </c>
      <c r="DQ4" s="110">
        <f t="shared" si="63"/>
        <v>0</v>
      </c>
      <c r="DR4" s="110">
        <f t="shared" si="64"/>
        <v>1</v>
      </c>
      <c r="DS4" s="110">
        <f t="shared" si="65"/>
        <v>1</v>
      </c>
      <c r="DT4" s="110">
        <f t="shared" si="66"/>
        <v>1</v>
      </c>
      <c r="DU4" s="69">
        <f t="shared" si="67"/>
        <v>4</v>
      </c>
      <c r="DV4" s="69">
        <f t="shared" si="68"/>
        <v>2</v>
      </c>
      <c r="DW4" s="69">
        <f t="shared" si="69"/>
        <v>5</v>
      </c>
      <c r="DX4" s="69">
        <f t="shared" si="70"/>
        <v>3.6666666666666665</v>
      </c>
      <c r="DY4" s="69">
        <f t="shared" si="71"/>
        <v>1.247219128924647</v>
      </c>
      <c r="DZ4" s="135">
        <f t="shared" si="72"/>
        <v>0</v>
      </c>
      <c r="EA4" s="69">
        <f t="shared" si="32"/>
        <v>0</v>
      </c>
      <c r="EB4" s="69">
        <f t="shared" si="32"/>
        <v>0</v>
      </c>
      <c r="EC4" s="69">
        <f t="shared" si="32"/>
        <v>1</v>
      </c>
      <c r="ED4" s="69">
        <f t="shared" si="32"/>
        <v>0</v>
      </c>
      <c r="EE4" s="69">
        <f t="shared" si="32"/>
        <v>0</v>
      </c>
      <c r="EF4" s="69">
        <f t="shared" si="32"/>
        <v>0</v>
      </c>
      <c r="EG4" s="69">
        <f t="shared" si="73"/>
        <v>0</v>
      </c>
      <c r="EH4" s="69">
        <f t="shared" si="33"/>
        <v>1</v>
      </c>
      <c r="EI4" s="69">
        <f t="shared" si="33"/>
        <v>0</v>
      </c>
      <c r="EJ4" s="69">
        <f t="shared" si="33"/>
        <v>0</v>
      </c>
      <c r="EK4" s="69">
        <f t="shared" si="33"/>
        <v>0</v>
      </c>
      <c r="EL4" s="69">
        <f t="shared" si="33"/>
        <v>0</v>
      </c>
      <c r="EM4" s="69">
        <f t="shared" si="33"/>
        <v>0</v>
      </c>
      <c r="EN4" s="69">
        <f t="shared" si="74"/>
        <v>0</v>
      </c>
      <c r="EO4" s="69">
        <f t="shared" si="34"/>
        <v>0</v>
      </c>
      <c r="EP4" s="69">
        <f t="shared" si="34"/>
        <v>0</v>
      </c>
      <c r="EQ4" s="69">
        <f t="shared" si="34"/>
        <v>0</v>
      </c>
      <c r="ER4" s="69">
        <f t="shared" si="34"/>
        <v>1</v>
      </c>
      <c r="ES4" s="69">
        <f t="shared" si="34"/>
        <v>0</v>
      </c>
      <c r="ET4" s="110">
        <f t="shared" si="34"/>
        <v>0</v>
      </c>
    </row>
    <row r="5" spans="1:205" s="69" customFormat="1">
      <c r="A5" s="69" t="s">
        <v>51</v>
      </c>
      <c r="B5" s="69">
        <v>570</v>
      </c>
      <c r="C5" s="69" t="s">
        <v>31</v>
      </c>
      <c r="D5" s="69" t="s">
        <v>33</v>
      </c>
      <c r="E5" s="69">
        <v>4040</v>
      </c>
      <c r="F5" s="69">
        <v>4083</v>
      </c>
      <c r="G5" s="69">
        <v>5621</v>
      </c>
      <c r="H5" s="110">
        <v>231</v>
      </c>
      <c r="I5" s="110">
        <v>295</v>
      </c>
      <c r="J5" s="110">
        <v>917</v>
      </c>
      <c r="K5" s="69">
        <v>26</v>
      </c>
      <c r="L5" s="69">
        <v>1</v>
      </c>
      <c r="M5" s="69">
        <v>0</v>
      </c>
      <c r="N5" s="110">
        <v>3783</v>
      </c>
      <c r="O5" s="110">
        <v>680</v>
      </c>
      <c r="P5" s="110">
        <v>1416</v>
      </c>
      <c r="Q5" s="110">
        <v>3094</v>
      </c>
      <c r="R5" s="110">
        <v>0</v>
      </c>
      <c r="S5" s="110">
        <v>0</v>
      </c>
      <c r="T5" s="110">
        <v>0</v>
      </c>
      <c r="U5" s="110">
        <v>47</v>
      </c>
      <c r="V5" s="110">
        <v>751</v>
      </c>
      <c r="W5" s="110">
        <v>689</v>
      </c>
      <c r="X5" s="110">
        <v>633</v>
      </c>
      <c r="Y5" s="110">
        <v>665</v>
      </c>
      <c r="Z5" s="110">
        <v>0</v>
      </c>
      <c r="AA5" s="110">
        <v>3107</v>
      </c>
      <c r="AB5" s="110">
        <v>3288</v>
      </c>
      <c r="AC5" s="69">
        <v>267</v>
      </c>
      <c r="AD5" s="69">
        <v>-254</v>
      </c>
      <c r="AE5" s="69">
        <v>-87</v>
      </c>
      <c r="AF5" s="69">
        <v>267</v>
      </c>
      <c r="AG5" s="69">
        <v>-254</v>
      </c>
      <c r="AH5" s="69">
        <v>-87</v>
      </c>
      <c r="AI5" s="142">
        <v>0</v>
      </c>
      <c r="AJ5" s="110">
        <v>248</v>
      </c>
      <c r="AK5" s="143">
        <v>337</v>
      </c>
      <c r="AL5" s="69">
        <v>0</v>
      </c>
      <c r="AM5" s="69">
        <v>248</v>
      </c>
      <c r="AN5" s="69">
        <v>254</v>
      </c>
      <c r="AO5" s="69">
        <v>0</v>
      </c>
      <c r="AP5" s="69">
        <v>248</v>
      </c>
      <c r="AQ5" s="69">
        <v>254</v>
      </c>
      <c r="AR5" s="69">
        <v>3773</v>
      </c>
      <c r="AS5" s="69">
        <v>4337</v>
      </c>
      <c r="AT5" s="69">
        <v>5791</v>
      </c>
      <c r="AU5" s="110">
        <v>4040</v>
      </c>
      <c r="AV5" s="69">
        <v>4331</v>
      </c>
      <c r="AW5" s="69">
        <v>5958</v>
      </c>
      <c r="AX5" s="69">
        <v>267</v>
      </c>
      <c r="AY5" s="69">
        <v>-6</v>
      </c>
      <c r="AZ5" s="69">
        <v>167</v>
      </c>
      <c r="BA5" s="69">
        <v>267</v>
      </c>
      <c r="BB5" s="69">
        <v>-6</v>
      </c>
      <c r="BC5" s="69">
        <v>167</v>
      </c>
      <c r="BE5" s="131">
        <f t="shared" si="0"/>
        <v>0</v>
      </c>
      <c r="BF5" s="131">
        <f t="shared" si="1"/>
        <v>0.71738628492265066</v>
      </c>
      <c r="BG5" s="131">
        <f t="shared" si="2"/>
        <v>0.55186304128902319</v>
      </c>
      <c r="BI5" s="131">
        <f t="shared" si="3"/>
        <v>0.93638613861386144</v>
      </c>
      <c r="BJ5" s="131">
        <f t="shared" si="4"/>
        <v>0.15700761948741629</v>
      </c>
      <c r="BK5" s="131">
        <f t="shared" si="5"/>
        <v>0.23766364551863042</v>
      </c>
      <c r="BM5" s="131">
        <f t="shared" si="6"/>
        <v>0.76584158415841586</v>
      </c>
      <c r="BN5" s="131">
        <f t="shared" si="7"/>
        <v>0</v>
      </c>
      <c r="BO5" s="131">
        <f t="shared" si="8"/>
        <v>0</v>
      </c>
      <c r="BQ5" s="145">
        <f t="shared" si="9"/>
        <v>0</v>
      </c>
      <c r="BR5" s="145">
        <f t="shared" si="10"/>
        <v>1.0851997229277302E-2</v>
      </c>
      <c r="BS5" s="145">
        <f t="shared" si="11"/>
        <v>0.12604900973481034</v>
      </c>
      <c r="BU5" s="145">
        <f t="shared" si="12"/>
        <v>0.17054455445544556</v>
      </c>
      <c r="BV5" s="145">
        <f t="shared" si="13"/>
        <v>0.146155622258139</v>
      </c>
      <c r="BW5" s="145">
        <f t="shared" si="14"/>
        <v>0.11161463578382007</v>
      </c>
      <c r="BY5" s="145">
        <f t="shared" si="15"/>
        <v>5.717821782178218E-2</v>
      </c>
      <c r="BZ5" s="145">
        <f t="shared" si="16"/>
        <v>6.8113599630570301E-2</v>
      </c>
      <c r="CA5" s="145">
        <f t="shared" si="17"/>
        <v>0.15391070829137293</v>
      </c>
      <c r="CB5" s="131"/>
      <c r="CC5" s="145">
        <f t="shared" si="18"/>
        <v>0</v>
      </c>
      <c r="CD5" s="145">
        <f t="shared" si="19"/>
        <v>5.7261602401293001E-2</v>
      </c>
      <c r="CE5" s="145">
        <f t="shared" si="20"/>
        <v>5.6562604900973479E-2</v>
      </c>
      <c r="CG5" s="131">
        <f t="shared" si="35"/>
        <v>0.99356435643564367</v>
      </c>
      <c r="CH5" s="131">
        <f t="shared" si="36"/>
        <v>0.99976910644193018</v>
      </c>
      <c r="CI5" s="131">
        <f t="shared" si="37"/>
        <v>1</v>
      </c>
      <c r="CK5" s="131">
        <f t="shared" si="38"/>
        <v>6.4356435643563303E-3</v>
      </c>
      <c r="CL5" s="131">
        <f t="shared" si="39"/>
        <v>2.3089355806982237E-4</v>
      </c>
      <c r="CM5" s="131">
        <f t="shared" si="40"/>
        <v>0</v>
      </c>
      <c r="CO5" s="110">
        <f t="shared" si="41"/>
        <v>25.999999999999574</v>
      </c>
      <c r="CP5" s="110">
        <f t="shared" si="42"/>
        <v>1.0000000000004006</v>
      </c>
      <c r="CQ5" s="110">
        <f t="shared" si="43"/>
        <v>0</v>
      </c>
      <c r="CR5" s="110"/>
      <c r="CS5" s="110"/>
      <c r="CT5" s="110">
        <v>0</v>
      </c>
      <c r="CV5" s="110">
        <f t="shared" si="75"/>
        <v>0</v>
      </c>
      <c r="CW5" s="110">
        <f t="shared" si="44"/>
        <v>5.450877192982456</v>
      </c>
      <c r="CX5" s="110">
        <f t="shared" si="45"/>
        <v>5.7684210526315791</v>
      </c>
      <c r="CZ5" s="110">
        <f t="shared" si="46"/>
        <v>0</v>
      </c>
      <c r="DA5" s="110">
        <f t="shared" si="47"/>
        <v>1</v>
      </c>
      <c r="DB5" s="110">
        <f t="shared" si="48"/>
        <v>1</v>
      </c>
      <c r="DC5" s="110">
        <f t="shared" si="49"/>
        <v>1</v>
      </c>
      <c r="DD5" s="110">
        <f t="shared" si="50"/>
        <v>0</v>
      </c>
      <c r="DE5" s="110">
        <f t="shared" si="51"/>
        <v>0</v>
      </c>
      <c r="DF5" s="110">
        <f t="shared" si="52"/>
        <v>0</v>
      </c>
      <c r="DG5" s="110">
        <f t="shared" si="53"/>
        <v>1</v>
      </c>
      <c r="DH5" s="110">
        <f t="shared" si="54"/>
        <v>1</v>
      </c>
      <c r="DI5" s="110">
        <f t="shared" si="55"/>
        <v>1</v>
      </c>
      <c r="DJ5" s="110">
        <f t="shared" si="56"/>
        <v>1</v>
      </c>
      <c r="DK5" s="110">
        <f t="shared" si="57"/>
        <v>1</v>
      </c>
      <c r="DL5" s="110">
        <f t="shared" si="58"/>
        <v>1</v>
      </c>
      <c r="DM5" s="110">
        <f t="shared" si="59"/>
        <v>1</v>
      </c>
      <c r="DN5" s="110">
        <f t="shared" si="60"/>
        <v>1</v>
      </c>
      <c r="DO5" s="110">
        <f t="shared" si="61"/>
        <v>0</v>
      </c>
      <c r="DP5" s="110">
        <f t="shared" si="62"/>
        <v>1</v>
      </c>
      <c r="DQ5" s="110">
        <f t="shared" si="63"/>
        <v>1</v>
      </c>
      <c r="DR5" s="110">
        <f t="shared" si="64"/>
        <v>1</v>
      </c>
      <c r="DS5" s="110">
        <f t="shared" si="65"/>
        <v>1</v>
      </c>
      <c r="DT5" s="110">
        <f t="shared" si="66"/>
        <v>0</v>
      </c>
      <c r="DU5" s="69">
        <f t="shared" si="67"/>
        <v>4</v>
      </c>
      <c r="DV5" s="69">
        <f t="shared" si="68"/>
        <v>6</v>
      </c>
      <c r="DW5" s="69">
        <f t="shared" si="69"/>
        <v>5</v>
      </c>
      <c r="DX5" s="69">
        <f t="shared" si="70"/>
        <v>5</v>
      </c>
      <c r="DY5" s="69">
        <f t="shared" si="71"/>
        <v>0.81649658092772603</v>
      </c>
      <c r="DZ5" s="135">
        <f t="shared" si="72"/>
        <v>0</v>
      </c>
      <c r="EA5" s="69">
        <f t="shared" si="32"/>
        <v>0</v>
      </c>
      <c r="EB5" s="69">
        <f t="shared" si="32"/>
        <v>0</v>
      </c>
      <c r="EC5" s="69">
        <f t="shared" si="32"/>
        <v>1</v>
      </c>
      <c r="ED5" s="69">
        <f t="shared" si="32"/>
        <v>0</v>
      </c>
      <c r="EE5" s="69">
        <f t="shared" si="32"/>
        <v>0</v>
      </c>
      <c r="EF5" s="69">
        <f t="shared" si="32"/>
        <v>0</v>
      </c>
      <c r="EG5" s="69">
        <f t="shared" si="73"/>
        <v>0</v>
      </c>
      <c r="EH5" s="69">
        <f t="shared" si="33"/>
        <v>0</v>
      </c>
      <c r="EI5" s="69">
        <f t="shared" si="33"/>
        <v>0</v>
      </c>
      <c r="EJ5" s="69">
        <f t="shared" si="33"/>
        <v>0</v>
      </c>
      <c r="EK5" s="69">
        <f t="shared" si="33"/>
        <v>0</v>
      </c>
      <c r="EL5" s="69">
        <f t="shared" si="33"/>
        <v>1</v>
      </c>
      <c r="EM5" s="69">
        <f t="shared" si="33"/>
        <v>0</v>
      </c>
      <c r="EN5" s="69">
        <f t="shared" si="74"/>
        <v>0</v>
      </c>
      <c r="EO5" s="69">
        <f t="shared" si="34"/>
        <v>0</v>
      </c>
      <c r="EP5" s="69">
        <f t="shared" si="34"/>
        <v>0</v>
      </c>
      <c r="EQ5" s="69">
        <f t="shared" si="34"/>
        <v>0</v>
      </c>
      <c r="ER5" s="69">
        <f t="shared" si="34"/>
        <v>1</v>
      </c>
      <c r="ES5" s="69">
        <f t="shared" si="34"/>
        <v>0</v>
      </c>
      <c r="ET5" s="110">
        <f t="shared" si="34"/>
        <v>0</v>
      </c>
    </row>
    <row r="6" spans="1:205" s="69" customFormat="1">
      <c r="A6" s="69" t="s">
        <v>52</v>
      </c>
      <c r="B6" s="69">
        <v>450</v>
      </c>
      <c r="C6" s="69" t="s">
        <v>31</v>
      </c>
      <c r="D6" s="69" t="s">
        <v>33</v>
      </c>
      <c r="E6" s="69">
        <v>5634</v>
      </c>
      <c r="F6" s="69">
        <v>6584</v>
      </c>
      <c r="G6" s="69">
        <v>7481</v>
      </c>
      <c r="H6" s="110">
        <v>0</v>
      </c>
      <c r="I6" s="110">
        <v>0</v>
      </c>
      <c r="J6" s="110">
        <v>0</v>
      </c>
      <c r="K6" s="69">
        <v>2440</v>
      </c>
      <c r="L6" s="69">
        <v>2904</v>
      </c>
      <c r="M6" s="69">
        <v>2836</v>
      </c>
      <c r="N6" s="110">
        <v>1800</v>
      </c>
      <c r="O6" s="110">
        <v>2111</v>
      </c>
      <c r="P6" s="110">
        <v>2530</v>
      </c>
      <c r="Q6" s="110">
        <v>313</v>
      </c>
      <c r="R6" s="110">
        <v>338</v>
      </c>
      <c r="S6" s="110">
        <v>107</v>
      </c>
      <c r="T6" s="110">
        <v>545</v>
      </c>
      <c r="U6" s="110">
        <v>592</v>
      </c>
      <c r="V6" s="110">
        <v>946</v>
      </c>
      <c r="W6" s="110">
        <v>940</v>
      </c>
      <c r="X6" s="110">
        <v>1180</v>
      </c>
      <c r="Y6" s="110">
        <v>1477</v>
      </c>
      <c r="Z6" s="110">
        <v>1397</v>
      </c>
      <c r="AA6" s="110">
        <v>1566</v>
      </c>
      <c r="AB6" s="110">
        <v>2115</v>
      </c>
      <c r="AC6" s="69">
        <v>-200</v>
      </c>
      <c r="AD6" s="69">
        <v>-585</v>
      </c>
      <c r="AE6" s="69">
        <v>283</v>
      </c>
      <c r="AF6" s="69">
        <v>-200</v>
      </c>
      <c r="AG6" s="69">
        <v>-585</v>
      </c>
      <c r="AH6" s="69">
        <v>283</v>
      </c>
      <c r="AI6" s="142">
        <v>865</v>
      </c>
      <c r="AJ6" s="110">
        <v>881</v>
      </c>
      <c r="AK6" s="143">
        <v>748</v>
      </c>
      <c r="AL6" s="69">
        <v>294</v>
      </c>
      <c r="AM6" s="69">
        <v>273</v>
      </c>
      <c r="AN6" s="69">
        <v>297</v>
      </c>
      <c r="AO6" s="69">
        <v>294</v>
      </c>
      <c r="AP6" s="69">
        <v>273</v>
      </c>
      <c r="AQ6" s="69">
        <v>297</v>
      </c>
      <c r="AR6" s="69">
        <v>6407</v>
      </c>
      <c r="AS6" s="69">
        <v>7777</v>
      </c>
      <c r="AT6" s="69">
        <v>7649</v>
      </c>
      <c r="AU6" s="110">
        <v>6499</v>
      </c>
      <c r="AV6" s="69">
        <v>7465</v>
      </c>
      <c r="AW6" s="69">
        <v>8229</v>
      </c>
      <c r="AX6" s="69">
        <v>92</v>
      </c>
      <c r="AY6" s="69">
        <v>-312</v>
      </c>
      <c r="AZ6" s="69">
        <v>580</v>
      </c>
      <c r="BA6" s="69">
        <v>94</v>
      </c>
      <c r="BB6" s="69">
        <v>-312</v>
      </c>
      <c r="BC6" s="69">
        <v>580</v>
      </c>
      <c r="BE6" s="131">
        <f t="shared" si="0"/>
        <v>0.21495614709955377</v>
      </c>
      <c r="BF6" s="131">
        <f t="shared" si="1"/>
        <v>0.20977896851975888</v>
      </c>
      <c r="BG6" s="131">
        <f t="shared" si="2"/>
        <v>0.25701786365293472</v>
      </c>
      <c r="BI6" s="131">
        <f t="shared" si="3"/>
        <v>0.27696568702877367</v>
      </c>
      <c r="BJ6" s="131">
        <f t="shared" si="4"/>
        <v>0.28278633623576693</v>
      </c>
      <c r="BK6" s="131">
        <f t="shared" si="5"/>
        <v>0.30744926479523638</v>
      </c>
      <c r="BM6" s="131">
        <f t="shared" si="6"/>
        <v>4.8161255577781198E-2</v>
      </c>
      <c r="BN6" s="131">
        <f t="shared" si="7"/>
        <v>4.5277963831212326E-2</v>
      </c>
      <c r="BO6" s="131">
        <f t="shared" si="8"/>
        <v>1.300279499331632E-2</v>
      </c>
      <c r="BQ6" s="145">
        <f t="shared" si="9"/>
        <v>8.385905523926758E-2</v>
      </c>
      <c r="BR6" s="145">
        <f t="shared" si="10"/>
        <v>7.9303415941058275E-2</v>
      </c>
      <c r="BS6" s="145">
        <f t="shared" si="11"/>
        <v>0.11495929031474054</v>
      </c>
      <c r="BU6" s="145">
        <f t="shared" si="12"/>
        <v>0.14463763655947068</v>
      </c>
      <c r="BV6" s="145">
        <f t="shared" si="13"/>
        <v>0.15807099799062291</v>
      </c>
      <c r="BW6" s="145">
        <f t="shared" si="14"/>
        <v>0.17948717948717949</v>
      </c>
      <c r="BY6" s="145">
        <f t="shared" si="15"/>
        <v>0</v>
      </c>
      <c r="BZ6" s="145">
        <f t="shared" si="16"/>
        <v>0</v>
      </c>
      <c r="CA6" s="145">
        <f t="shared" si="17"/>
        <v>0</v>
      </c>
      <c r="CB6" s="131"/>
      <c r="CC6" s="145">
        <f t="shared" si="18"/>
        <v>0.13309739959993847</v>
      </c>
      <c r="CD6" s="145">
        <f t="shared" si="19"/>
        <v>0.11801741460147354</v>
      </c>
      <c r="CE6" s="145">
        <f t="shared" si="20"/>
        <v>9.0898043504678575E-2</v>
      </c>
      <c r="CG6" s="131">
        <f t="shared" si="35"/>
        <v>0.62501923372826595</v>
      </c>
      <c r="CH6" s="131">
        <f t="shared" si="36"/>
        <v>0.61058271935699937</v>
      </c>
      <c r="CI6" s="131">
        <f t="shared" si="37"/>
        <v>0.6553651719528496</v>
      </c>
      <c r="CK6" s="131">
        <f t="shared" si="38"/>
        <v>0.37498076627173405</v>
      </c>
      <c r="CL6" s="131">
        <f t="shared" si="39"/>
        <v>0.38941728064300063</v>
      </c>
      <c r="CM6" s="131">
        <f t="shared" si="40"/>
        <v>0.3446348280471504</v>
      </c>
      <c r="CO6" s="110">
        <f t="shared" si="41"/>
        <v>2436.9999999999995</v>
      </c>
      <c r="CP6" s="110">
        <f t="shared" si="42"/>
        <v>2906.9999999999995</v>
      </c>
      <c r="CQ6" s="110">
        <f t="shared" si="43"/>
        <v>2836.0000000000005</v>
      </c>
      <c r="CR6" s="110"/>
      <c r="CS6" s="110"/>
      <c r="CT6" s="110">
        <v>545</v>
      </c>
      <c r="CV6" s="110">
        <f t="shared" si="75"/>
        <v>3.1044444444444443</v>
      </c>
      <c r="CW6" s="110">
        <f t="shared" si="44"/>
        <v>3.48</v>
      </c>
      <c r="CX6" s="110">
        <f t="shared" si="45"/>
        <v>4.7</v>
      </c>
      <c r="CZ6" s="110">
        <f t="shared" si="46"/>
        <v>1</v>
      </c>
      <c r="DA6" s="110">
        <f t="shared" si="47"/>
        <v>1</v>
      </c>
      <c r="DB6" s="110">
        <f t="shared" si="48"/>
        <v>1</v>
      </c>
      <c r="DC6" s="110">
        <f t="shared" si="49"/>
        <v>1</v>
      </c>
      <c r="DD6" s="110">
        <f t="shared" si="50"/>
        <v>1</v>
      </c>
      <c r="DE6" s="110">
        <f t="shared" si="51"/>
        <v>1</v>
      </c>
      <c r="DF6" s="110">
        <f t="shared" si="52"/>
        <v>1</v>
      </c>
      <c r="DG6" s="110">
        <f t="shared" si="53"/>
        <v>1</v>
      </c>
      <c r="DH6" s="110">
        <f t="shared" si="54"/>
        <v>1</v>
      </c>
      <c r="DI6" s="110">
        <f t="shared" si="55"/>
        <v>1</v>
      </c>
      <c r="DJ6" s="110">
        <f t="shared" si="56"/>
        <v>1</v>
      </c>
      <c r="DK6" s="110">
        <f t="shared" si="57"/>
        <v>1</v>
      </c>
      <c r="DL6" s="110">
        <f t="shared" si="58"/>
        <v>0</v>
      </c>
      <c r="DM6" s="110">
        <f t="shared" si="59"/>
        <v>0</v>
      </c>
      <c r="DN6" s="110">
        <f t="shared" si="60"/>
        <v>0</v>
      </c>
      <c r="DO6" s="110">
        <f t="shared" si="61"/>
        <v>1</v>
      </c>
      <c r="DP6" s="110">
        <f t="shared" si="62"/>
        <v>1</v>
      </c>
      <c r="DQ6" s="110">
        <f t="shared" si="63"/>
        <v>1</v>
      </c>
      <c r="DR6" s="110">
        <f t="shared" si="64"/>
        <v>1</v>
      </c>
      <c r="DS6" s="110">
        <f t="shared" si="65"/>
        <v>1</v>
      </c>
      <c r="DT6" s="110">
        <f t="shared" si="66"/>
        <v>1</v>
      </c>
      <c r="DU6" s="69">
        <f t="shared" si="67"/>
        <v>6</v>
      </c>
      <c r="DV6" s="69">
        <f t="shared" si="68"/>
        <v>6</v>
      </c>
      <c r="DW6" s="69">
        <f t="shared" si="69"/>
        <v>6</v>
      </c>
      <c r="DX6" s="69">
        <f t="shared" si="70"/>
        <v>6</v>
      </c>
      <c r="DY6" s="69">
        <f t="shared" si="71"/>
        <v>0</v>
      </c>
      <c r="DZ6" s="135">
        <f t="shared" si="72"/>
        <v>0</v>
      </c>
      <c r="EA6" s="69">
        <f t="shared" si="32"/>
        <v>0</v>
      </c>
      <c r="EB6" s="69">
        <f t="shared" si="32"/>
        <v>0</v>
      </c>
      <c r="EC6" s="69">
        <f t="shared" si="32"/>
        <v>0</v>
      </c>
      <c r="ED6" s="69">
        <f t="shared" si="32"/>
        <v>0</v>
      </c>
      <c r="EE6" s="69">
        <f t="shared" si="32"/>
        <v>1</v>
      </c>
      <c r="EF6" s="69">
        <f t="shared" si="32"/>
        <v>0</v>
      </c>
      <c r="EG6" s="69">
        <f t="shared" si="73"/>
        <v>0</v>
      </c>
      <c r="EH6" s="69">
        <f t="shared" si="33"/>
        <v>0</v>
      </c>
      <c r="EI6" s="69">
        <f t="shared" si="33"/>
        <v>0</v>
      </c>
      <c r="EJ6" s="69">
        <f t="shared" si="33"/>
        <v>0</v>
      </c>
      <c r="EK6" s="69">
        <f t="shared" si="33"/>
        <v>0</v>
      </c>
      <c r="EL6" s="69">
        <f t="shared" si="33"/>
        <v>1</v>
      </c>
      <c r="EM6" s="69">
        <f t="shared" si="33"/>
        <v>0</v>
      </c>
      <c r="EN6" s="69">
        <f t="shared" si="74"/>
        <v>0</v>
      </c>
      <c r="EO6" s="69">
        <f t="shared" si="34"/>
        <v>0</v>
      </c>
      <c r="EP6" s="69">
        <f t="shared" si="34"/>
        <v>0</v>
      </c>
      <c r="EQ6" s="69">
        <f t="shared" si="34"/>
        <v>0</v>
      </c>
      <c r="ER6" s="69">
        <f t="shared" si="34"/>
        <v>0</v>
      </c>
      <c r="ES6" s="69">
        <f t="shared" si="34"/>
        <v>1</v>
      </c>
      <c r="ET6" s="110">
        <f t="shared" si="34"/>
        <v>0</v>
      </c>
    </row>
    <row r="7" spans="1:205" s="69" customFormat="1">
      <c r="A7" s="69" t="s">
        <v>92</v>
      </c>
      <c r="B7" s="69">
        <v>385</v>
      </c>
      <c r="C7" s="69" t="s">
        <v>31</v>
      </c>
      <c r="D7" s="69" t="s">
        <v>33</v>
      </c>
      <c r="E7" s="69">
        <v>1351</v>
      </c>
      <c r="F7" s="69">
        <v>1820</v>
      </c>
      <c r="G7" s="69">
        <v>2494</v>
      </c>
      <c r="H7" s="110">
        <v>0</v>
      </c>
      <c r="I7" s="110">
        <v>30</v>
      </c>
      <c r="J7" s="110">
        <v>0</v>
      </c>
      <c r="K7" s="69">
        <v>361</v>
      </c>
      <c r="L7" s="69">
        <v>361</v>
      </c>
      <c r="M7" s="69">
        <v>553</v>
      </c>
      <c r="N7" s="110">
        <v>180</v>
      </c>
      <c r="O7" s="110">
        <v>311</v>
      </c>
      <c r="P7" s="110">
        <v>223</v>
      </c>
      <c r="Q7" s="110">
        <v>0</v>
      </c>
      <c r="R7" s="110">
        <v>0</v>
      </c>
      <c r="S7" s="110">
        <v>0</v>
      </c>
      <c r="T7" s="110">
        <v>29</v>
      </c>
      <c r="U7" s="110">
        <v>126</v>
      </c>
      <c r="V7" s="110">
        <v>6</v>
      </c>
      <c r="W7" s="110">
        <v>151</v>
      </c>
      <c r="X7" s="110">
        <v>185</v>
      </c>
      <c r="Y7" s="110">
        <v>217</v>
      </c>
      <c r="Z7" s="110">
        <v>810</v>
      </c>
      <c r="AA7" s="110">
        <v>1118</v>
      </c>
      <c r="AB7" s="110">
        <v>1718</v>
      </c>
      <c r="AC7" s="69">
        <v>-71</v>
      </c>
      <c r="AD7" s="69">
        <v>12</v>
      </c>
      <c r="AE7" s="69">
        <v>14</v>
      </c>
      <c r="AF7" s="69">
        <v>-71</v>
      </c>
      <c r="AG7" s="69">
        <v>12</v>
      </c>
      <c r="AH7" s="69">
        <v>14</v>
      </c>
      <c r="AI7" s="142">
        <v>0</v>
      </c>
      <c r="AJ7" s="110">
        <v>0</v>
      </c>
      <c r="AK7" s="143">
        <v>0</v>
      </c>
      <c r="AL7" s="69">
        <v>0</v>
      </c>
      <c r="AM7" s="69">
        <v>0</v>
      </c>
      <c r="AN7" s="69">
        <v>0</v>
      </c>
      <c r="AO7" s="69">
        <v>0</v>
      </c>
      <c r="AP7" s="69">
        <v>0</v>
      </c>
      <c r="AQ7" s="69">
        <v>0</v>
      </c>
      <c r="AR7" s="69">
        <v>1422</v>
      </c>
      <c r="AS7" s="69">
        <v>1832</v>
      </c>
      <c r="AT7" s="69">
        <v>2480</v>
      </c>
      <c r="AU7" s="110">
        <v>1351</v>
      </c>
      <c r="AV7" s="69">
        <v>1820</v>
      </c>
      <c r="AW7" s="69">
        <v>2494</v>
      </c>
      <c r="AX7" s="69">
        <v>-71</v>
      </c>
      <c r="AY7" s="69">
        <v>-12</v>
      </c>
      <c r="AZ7" s="69">
        <v>14</v>
      </c>
      <c r="BA7" s="69">
        <v>-71</v>
      </c>
      <c r="BB7" s="69">
        <v>12</v>
      </c>
      <c r="BC7" s="69">
        <v>14</v>
      </c>
      <c r="BE7" s="131">
        <f t="shared" si="0"/>
        <v>0.59955588452997777</v>
      </c>
      <c r="BF7" s="131">
        <f t="shared" si="1"/>
        <v>0.61428571428571432</v>
      </c>
      <c r="BG7" s="131">
        <f t="shared" si="2"/>
        <v>0.68885324779470725</v>
      </c>
      <c r="BI7" s="131">
        <f t="shared" si="3"/>
        <v>0.13323464100666174</v>
      </c>
      <c r="BJ7" s="131">
        <f t="shared" si="4"/>
        <v>0.17087912087912088</v>
      </c>
      <c r="BK7" s="131">
        <f t="shared" si="5"/>
        <v>8.9414595028067367E-2</v>
      </c>
      <c r="BM7" s="131">
        <f t="shared" si="6"/>
        <v>0</v>
      </c>
      <c r="BN7" s="131">
        <f t="shared" si="7"/>
        <v>0</v>
      </c>
      <c r="BO7" s="131">
        <f t="shared" si="8"/>
        <v>0</v>
      </c>
      <c r="BQ7" s="145">
        <f t="shared" si="9"/>
        <v>2.1465581051073278E-2</v>
      </c>
      <c r="BR7" s="145">
        <f t="shared" si="10"/>
        <v>6.9230769230769235E-2</v>
      </c>
      <c r="BS7" s="145">
        <f t="shared" si="11"/>
        <v>2.4057738572574178E-3</v>
      </c>
      <c r="BU7" s="145">
        <f t="shared" si="12"/>
        <v>0.11176905995558846</v>
      </c>
      <c r="BV7" s="145">
        <f t="shared" si="13"/>
        <v>0.10164835164835165</v>
      </c>
      <c r="BW7" s="145">
        <f t="shared" si="14"/>
        <v>8.700882117080995E-2</v>
      </c>
      <c r="BY7" s="145">
        <f t="shared" si="15"/>
        <v>0</v>
      </c>
      <c r="BZ7" s="145">
        <f t="shared" si="16"/>
        <v>1.6483516483516484E-2</v>
      </c>
      <c r="CA7" s="145">
        <f t="shared" si="17"/>
        <v>0</v>
      </c>
      <c r="CB7" s="131"/>
      <c r="CC7" s="145">
        <f t="shared" si="18"/>
        <v>0</v>
      </c>
      <c r="CD7" s="145">
        <f t="shared" si="19"/>
        <v>0</v>
      </c>
      <c r="CE7" s="145">
        <f t="shared" si="20"/>
        <v>0</v>
      </c>
      <c r="CG7" s="131">
        <f t="shared" si="35"/>
        <v>0.73279052553663948</v>
      </c>
      <c r="CH7" s="131">
        <f t="shared" si="36"/>
        <v>0.8016483516483518</v>
      </c>
      <c r="CI7" s="131">
        <f t="shared" si="37"/>
        <v>0.77826784282277461</v>
      </c>
      <c r="CK7" s="131">
        <f t="shared" si="38"/>
        <v>0.26720947446336052</v>
      </c>
      <c r="CL7" s="131">
        <f t="shared" si="39"/>
        <v>0.1983516483516482</v>
      </c>
      <c r="CM7" s="131">
        <f t="shared" si="40"/>
        <v>0.22173215717722539</v>
      </c>
      <c r="CO7" s="110">
        <f t="shared" si="41"/>
        <v>361.00000000000006</v>
      </c>
      <c r="CP7" s="110">
        <f t="shared" si="42"/>
        <v>360.99999999999972</v>
      </c>
      <c r="CQ7" s="110">
        <f t="shared" si="43"/>
        <v>553.00000000000011</v>
      </c>
      <c r="CR7" s="110"/>
      <c r="CS7" s="110"/>
      <c r="CT7" s="110">
        <v>29</v>
      </c>
      <c r="CV7" s="110">
        <f t="shared" si="75"/>
        <v>2.1038961038961039</v>
      </c>
      <c r="CW7" s="110">
        <f t="shared" si="44"/>
        <v>2.9038961038961038</v>
      </c>
      <c r="CX7" s="110">
        <f t="shared" si="45"/>
        <v>4.4623376623376627</v>
      </c>
      <c r="CZ7" s="110">
        <f t="shared" si="46"/>
        <v>1</v>
      </c>
      <c r="DA7" s="110">
        <f t="shared" si="47"/>
        <v>1</v>
      </c>
      <c r="DB7" s="110">
        <f t="shared" si="48"/>
        <v>1</v>
      </c>
      <c r="DC7" s="110">
        <f t="shared" si="49"/>
        <v>0</v>
      </c>
      <c r="DD7" s="110">
        <f t="shared" si="50"/>
        <v>0</v>
      </c>
      <c r="DE7" s="110">
        <f t="shared" si="51"/>
        <v>0</v>
      </c>
      <c r="DF7" s="110">
        <f t="shared" si="52"/>
        <v>1</v>
      </c>
      <c r="DG7" s="110">
        <f t="shared" si="53"/>
        <v>1</v>
      </c>
      <c r="DH7" s="110">
        <f t="shared" si="54"/>
        <v>1</v>
      </c>
      <c r="DI7" s="110">
        <f t="shared" si="55"/>
        <v>1</v>
      </c>
      <c r="DJ7" s="110">
        <f t="shared" si="56"/>
        <v>1</v>
      </c>
      <c r="DK7" s="110">
        <f t="shared" si="57"/>
        <v>1</v>
      </c>
      <c r="DL7" s="110">
        <f t="shared" si="58"/>
        <v>0</v>
      </c>
      <c r="DM7" s="110">
        <f t="shared" si="59"/>
        <v>1</v>
      </c>
      <c r="DN7" s="110">
        <f t="shared" si="60"/>
        <v>0</v>
      </c>
      <c r="DO7" s="110">
        <f t="shared" si="61"/>
        <v>0</v>
      </c>
      <c r="DP7" s="110">
        <f t="shared" si="62"/>
        <v>0</v>
      </c>
      <c r="DQ7" s="110">
        <f t="shared" si="63"/>
        <v>0</v>
      </c>
      <c r="DR7" s="110">
        <f t="shared" si="64"/>
        <v>1</v>
      </c>
      <c r="DS7" s="110">
        <f t="shared" si="65"/>
        <v>1</v>
      </c>
      <c r="DT7" s="110">
        <f t="shared" si="66"/>
        <v>1</v>
      </c>
      <c r="DU7" s="69">
        <f t="shared" si="67"/>
        <v>4</v>
      </c>
      <c r="DV7" s="69">
        <f t="shared" si="68"/>
        <v>5</v>
      </c>
      <c r="DW7" s="69">
        <f t="shared" si="69"/>
        <v>4</v>
      </c>
      <c r="DX7" s="69">
        <f t="shared" si="70"/>
        <v>4.333333333333333</v>
      </c>
      <c r="DY7" s="69">
        <f t="shared" si="71"/>
        <v>0.47140452079103168</v>
      </c>
      <c r="DZ7" s="135">
        <f t="shared" si="72"/>
        <v>0</v>
      </c>
      <c r="EA7" s="69">
        <f t="shared" si="32"/>
        <v>0</v>
      </c>
      <c r="EB7" s="69">
        <f t="shared" si="32"/>
        <v>0</v>
      </c>
      <c r="EC7" s="69">
        <f t="shared" si="32"/>
        <v>1</v>
      </c>
      <c r="ED7" s="69">
        <f t="shared" si="32"/>
        <v>0</v>
      </c>
      <c r="EE7" s="69">
        <f t="shared" si="32"/>
        <v>0</v>
      </c>
      <c r="EF7" s="69">
        <f t="shared" si="32"/>
        <v>0</v>
      </c>
      <c r="EG7" s="69">
        <f t="shared" si="73"/>
        <v>0</v>
      </c>
      <c r="EH7" s="69">
        <f t="shared" si="33"/>
        <v>0</v>
      </c>
      <c r="EI7" s="69">
        <f t="shared" si="33"/>
        <v>0</v>
      </c>
      <c r="EJ7" s="69">
        <f t="shared" si="33"/>
        <v>0</v>
      </c>
      <c r="EK7" s="69">
        <f t="shared" si="33"/>
        <v>1</v>
      </c>
      <c r="EL7" s="69">
        <f t="shared" si="33"/>
        <v>0</v>
      </c>
      <c r="EM7" s="69">
        <f t="shared" si="33"/>
        <v>0</v>
      </c>
      <c r="EN7" s="69">
        <f t="shared" si="74"/>
        <v>0</v>
      </c>
      <c r="EO7" s="69">
        <f t="shared" si="34"/>
        <v>0</v>
      </c>
      <c r="EP7" s="69">
        <f t="shared" si="34"/>
        <v>0</v>
      </c>
      <c r="EQ7" s="69">
        <f t="shared" si="34"/>
        <v>1</v>
      </c>
      <c r="ER7" s="69">
        <f t="shared" si="34"/>
        <v>0</v>
      </c>
      <c r="ES7" s="69">
        <f t="shared" si="34"/>
        <v>0</v>
      </c>
      <c r="ET7" s="110">
        <f t="shared" si="34"/>
        <v>0</v>
      </c>
    </row>
    <row r="8" spans="1:205" s="69" customFormat="1">
      <c r="A8" s="69" t="s">
        <v>93</v>
      </c>
      <c r="B8" s="69">
        <v>260</v>
      </c>
      <c r="C8" s="69" t="s">
        <v>31</v>
      </c>
      <c r="D8" s="69" t="s">
        <v>32</v>
      </c>
      <c r="E8" s="69">
        <v>3395</v>
      </c>
      <c r="F8" s="69">
        <v>4086</v>
      </c>
      <c r="G8" s="69">
        <v>5120</v>
      </c>
      <c r="H8" s="110">
        <v>203</v>
      </c>
      <c r="I8" s="110">
        <v>126</v>
      </c>
      <c r="J8" s="110">
        <v>576</v>
      </c>
      <c r="K8" s="69">
        <v>91</v>
      </c>
      <c r="L8" s="69">
        <v>54</v>
      </c>
      <c r="M8" s="69">
        <v>33</v>
      </c>
      <c r="N8" s="110">
        <v>1799</v>
      </c>
      <c r="O8" s="110">
        <v>1922</v>
      </c>
      <c r="P8" s="110">
        <v>2073</v>
      </c>
      <c r="Q8" s="110">
        <v>570</v>
      </c>
      <c r="R8" s="110">
        <v>15</v>
      </c>
      <c r="S8" s="110">
        <v>48</v>
      </c>
      <c r="T8" s="110">
        <v>255</v>
      </c>
      <c r="U8" s="110">
        <v>683</v>
      </c>
      <c r="V8" s="110">
        <v>567</v>
      </c>
      <c r="W8" s="110">
        <v>974</v>
      </c>
      <c r="X8" s="110">
        <v>1224</v>
      </c>
      <c r="Y8" s="110">
        <v>1458</v>
      </c>
      <c r="Z8" s="110">
        <v>1302</v>
      </c>
      <c r="AA8" s="110">
        <v>1964</v>
      </c>
      <c r="AB8" s="110">
        <v>2438</v>
      </c>
      <c r="AC8" s="69">
        <v>-167</v>
      </c>
      <c r="AD8" s="69">
        <v>-22</v>
      </c>
      <c r="AE8" s="69">
        <v>-360</v>
      </c>
      <c r="AF8" s="69">
        <v>-167</v>
      </c>
      <c r="AG8" s="69">
        <v>-22</v>
      </c>
      <c r="AH8" s="69">
        <v>-360</v>
      </c>
      <c r="AI8" s="142">
        <v>920</v>
      </c>
      <c r="AJ8" s="110">
        <v>796</v>
      </c>
      <c r="AK8" s="143">
        <v>788</v>
      </c>
      <c r="AL8" s="69">
        <v>523</v>
      </c>
      <c r="AM8" s="69">
        <v>312</v>
      </c>
      <c r="AN8" s="69">
        <v>414</v>
      </c>
      <c r="AO8" s="69">
        <v>479</v>
      </c>
      <c r="AP8" s="69">
        <v>297</v>
      </c>
      <c r="AQ8" s="69">
        <v>392</v>
      </c>
      <c r="AR8" s="69">
        <v>3959</v>
      </c>
      <c r="AS8" s="69">
        <v>4607</v>
      </c>
      <c r="AT8" s="69">
        <v>5876</v>
      </c>
      <c r="AU8" s="110">
        <v>4315</v>
      </c>
      <c r="AV8" s="69">
        <v>4882</v>
      </c>
      <c r="AW8" s="69">
        <v>5908</v>
      </c>
      <c r="AX8" s="69">
        <v>356</v>
      </c>
      <c r="AY8" s="69">
        <v>275</v>
      </c>
      <c r="AZ8" s="69">
        <v>32</v>
      </c>
      <c r="BA8" s="69">
        <v>312</v>
      </c>
      <c r="BB8" s="69">
        <v>275</v>
      </c>
      <c r="BC8" s="69">
        <v>32</v>
      </c>
      <c r="BE8" s="131">
        <f t="shared" si="0"/>
        <v>0.30173812282734647</v>
      </c>
      <c r="BF8" s="131">
        <f t="shared" si="1"/>
        <v>0.40229414174518641</v>
      </c>
      <c r="BG8" s="131">
        <f t="shared" si="2"/>
        <v>0.41266079891672308</v>
      </c>
      <c r="BI8" s="131">
        <f t="shared" si="3"/>
        <v>0.41691772885283895</v>
      </c>
      <c r="BJ8" s="131">
        <f t="shared" si="4"/>
        <v>0.39369111020073738</v>
      </c>
      <c r="BK8" s="131">
        <f t="shared" si="5"/>
        <v>0.35088016249153692</v>
      </c>
      <c r="BM8" s="131">
        <f t="shared" si="6"/>
        <v>0.13209733487833139</v>
      </c>
      <c r="BN8" s="131">
        <f t="shared" si="7"/>
        <v>3.0725112658746417E-3</v>
      </c>
      <c r="BO8" s="131">
        <f t="shared" si="8"/>
        <v>8.124576844955992E-3</v>
      </c>
      <c r="BQ8" s="145">
        <f t="shared" si="9"/>
        <v>5.909617612977984E-2</v>
      </c>
      <c r="BR8" s="145">
        <f t="shared" si="10"/>
        <v>0.13990167963949202</v>
      </c>
      <c r="BS8" s="145">
        <f t="shared" si="11"/>
        <v>9.597156398104266E-2</v>
      </c>
      <c r="BU8" s="145">
        <f t="shared" si="12"/>
        <v>0.22572421784472768</v>
      </c>
      <c r="BV8" s="145">
        <f t="shared" si="13"/>
        <v>0.25071691929537077</v>
      </c>
      <c r="BW8" s="145">
        <f t="shared" si="14"/>
        <v>0.24678402166553826</v>
      </c>
      <c r="BY8" s="145">
        <f t="shared" si="15"/>
        <v>4.7045191193511006E-2</v>
      </c>
      <c r="BZ8" s="145">
        <f t="shared" si="16"/>
        <v>2.5809094633346991E-2</v>
      </c>
      <c r="CA8" s="145">
        <f t="shared" si="17"/>
        <v>9.7494922139471904E-2</v>
      </c>
      <c r="CB8" s="131"/>
      <c r="CC8" s="145">
        <f t="shared" si="18"/>
        <v>0.21320973348783315</v>
      </c>
      <c r="CD8" s="145">
        <f t="shared" si="19"/>
        <v>0.16304793117574765</v>
      </c>
      <c r="CE8" s="145">
        <f t="shared" si="20"/>
        <v>0.13337846987136087</v>
      </c>
      <c r="CG8" s="131">
        <f t="shared" si="35"/>
        <v>0.97891077636152957</v>
      </c>
      <c r="CH8" s="131">
        <f t="shared" si="36"/>
        <v>0.98484227775501854</v>
      </c>
      <c r="CI8" s="131">
        <f t="shared" si="37"/>
        <v>0.99441435341909279</v>
      </c>
      <c r="CK8" s="131">
        <f t="shared" si="38"/>
        <v>2.1089223638470433E-2</v>
      </c>
      <c r="CL8" s="131">
        <f t="shared" si="39"/>
        <v>1.5157722244981464E-2</v>
      </c>
      <c r="CM8" s="131">
        <f t="shared" si="40"/>
        <v>5.5856465809072109E-3</v>
      </c>
      <c r="CO8" s="110">
        <f t="shared" si="41"/>
        <v>90.999999999999915</v>
      </c>
      <c r="CP8" s="110">
        <f t="shared" si="42"/>
        <v>73.999999999999503</v>
      </c>
      <c r="CQ8" s="110">
        <f t="shared" si="43"/>
        <v>32.999999999999801</v>
      </c>
      <c r="CR8" s="110"/>
      <c r="CS8" s="110"/>
      <c r="CT8" s="110">
        <v>255</v>
      </c>
      <c r="CV8" s="110">
        <f t="shared" si="75"/>
        <v>5.0076923076923077</v>
      </c>
      <c r="CW8" s="110">
        <f t="shared" si="44"/>
        <v>7.5538461538461537</v>
      </c>
      <c r="CX8" s="110">
        <f t="shared" si="45"/>
        <v>9.3769230769230774</v>
      </c>
      <c r="CZ8" s="110">
        <f t="shared" si="46"/>
        <v>1</v>
      </c>
      <c r="DA8" s="110">
        <f t="shared" si="47"/>
        <v>1</v>
      </c>
      <c r="DB8" s="110">
        <f t="shared" si="48"/>
        <v>1</v>
      </c>
      <c r="DC8" s="110">
        <f t="shared" si="49"/>
        <v>1</v>
      </c>
      <c r="DD8" s="110">
        <f t="shared" si="50"/>
        <v>1</v>
      </c>
      <c r="DE8" s="110">
        <f t="shared" si="51"/>
        <v>1</v>
      </c>
      <c r="DF8" s="110">
        <f t="shared" si="52"/>
        <v>1</v>
      </c>
      <c r="DG8" s="110">
        <f t="shared" si="53"/>
        <v>1</v>
      </c>
      <c r="DH8" s="110">
        <f t="shared" si="54"/>
        <v>1</v>
      </c>
      <c r="DI8" s="110">
        <f t="shared" si="55"/>
        <v>1</v>
      </c>
      <c r="DJ8" s="110">
        <f t="shared" si="56"/>
        <v>1</v>
      </c>
      <c r="DK8" s="110">
        <f t="shared" si="57"/>
        <v>1</v>
      </c>
      <c r="DL8" s="110">
        <f t="shared" si="58"/>
        <v>1</v>
      </c>
      <c r="DM8" s="110">
        <f t="shared" si="59"/>
        <v>1</v>
      </c>
      <c r="DN8" s="110">
        <f t="shared" si="60"/>
        <v>1</v>
      </c>
      <c r="DO8" s="110">
        <f t="shared" si="61"/>
        <v>1</v>
      </c>
      <c r="DP8" s="110">
        <f t="shared" si="62"/>
        <v>1</v>
      </c>
      <c r="DQ8" s="110">
        <f t="shared" si="63"/>
        <v>1</v>
      </c>
      <c r="DR8" s="110">
        <f t="shared" si="64"/>
        <v>1</v>
      </c>
      <c r="DS8" s="110">
        <f t="shared" si="65"/>
        <v>1</v>
      </c>
      <c r="DT8" s="110">
        <f t="shared" si="66"/>
        <v>1</v>
      </c>
      <c r="DU8" s="69">
        <f t="shared" si="67"/>
        <v>7</v>
      </c>
      <c r="DV8" s="69">
        <f t="shared" si="68"/>
        <v>7</v>
      </c>
      <c r="DW8" s="69">
        <f t="shared" si="69"/>
        <v>7</v>
      </c>
      <c r="DX8" s="69">
        <f t="shared" si="70"/>
        <v>7</v>
      </c>
      <c r="DY8" s="69">
        <f t="shared" si="71"/>
        <v>0</v>
      </c>
      <c r="DZ8" s="135">
        <f t="shared" si="72"/>
        <v>0</v>
      </c>
      <c r="EA8" s="69">
        <f t="shared" si="32"/>
        <v>0</v>
      </c>
      <c r="EB8" s="69">
        <f t="shared" si="32"/>
        <v>0</v>
      </c>
      <c r="EC8" s="69">
        <f t="shared" si="32"/>
        <v>0</v>
      </c>
      <c r="ED8" s="69">
        <f t="shared" si="32"/>
        <v>0</v>
      </c>
      <c r="EE8" s="69">
        <f t="shared" si="32"/>
        <v>0</v>
      </c>
      <c r="EF8" s="69">
        <f t="shared" si="32"/>
        <v>1</v>
      </c>
      <c r="EG8" s="69">
        <f t="shared" si="73"/>
        <v>0</v>
      </c>
      <c r="EH8" s="69">
        <f t="shared" si="33"/>
        <v>0</v>
      </c>
      <c r="EI8" s="69">
        <f t="shared" si="33"/>
        <v>0</v>
      </c>
      <c r="EJ8" s="69">
        <f t="shared" si="33"/>
        <v>0</v>
      </c>
      <c r="EK8" s="69">
        <f t="shared" si="33"/>
        <v>0</v>
      </c>
      <c r="EL8" s="69">
        <f t="shared" si="33"/>
        <v>0</v>
      </c>
      <c r="EM8" s="69">
        <f t="shared" si="33"/>
        <v>1</v>
      </c>
      <c r="EN8" s="69">
        <f t="shared" si="74"/>
        <v>0</v>
      </c>
      <c r="EO8" s="69">
        <f t="shared" si="34"/>
        <v>0</v>
      </c>
      <c r="EP8" s="69">
        <f t="shared" si="34"/>
        <v>0</v>
      </c>
      <c r="EQ8" s="69">
        <f t="shared" si="34"/>
        <v>0</v>
      </c>
      <c r="ER8" s="69">
        <f t="shared" si="34"/>
        <v>0</v>
      </c>
      <c r="ES8" s="69">
        <f t="shared" si="34"/>
        <v>0</v>
      </c>
      <c r="ET8" s="110">
        <f t="shared" si="34"/>
        <v>1</v>
      </c>
    </row>
    <row r="9" spans="1:205" s="69" customFormat="1">
      <c r="A9" s="69" t="s">
        <v>100</v>
      </c>
      <c r="B9" s="69">
        <v>10</v>
      </c>
      <c r="C9" s="69" t="s">
        <v>31</v>
      </c>
      <c r="D9" s="69" t="s">
        <v>33</v>
      </c>
      <c r="E9" s="135">
        <f>(EY9/800)*10</f>
        <v>113.125</v>
      </c>
      <c r="F9" s="135">
        <f t="shared" ref="F9:BC9" si="76">(EZ9/800)*10</f>
        <v>144.5</v>
      </c>
      <c r="G9" s="135">
        <f t="shared" si="76"/>
        <v>115.08749999999999</v>
      </c>
      <c r="H9" s="205">
        <f t="shared" si="76"/>
        <v>43.1875</v>
      </c>
      <c r="I9" s="205">
        <f t="shared" si="76"/>
        <v>41.787500000000001</v>
      </c>
      <c r="J9" s="205">
        <f t="shared" si="76"/>
        <v>44.662499999999994</v>
      </c>
      <c r="K9" s="135">
        <f t="shared" si="76"/>
        <v>22.6875</v>
      </c>
      <c r="L9" s="135">
        <f t="shared" si="76"/>
        <v>51.974999999999994</v>
      </c>
      <c r="M9" s="135">
        <f t="shared" si="76"/>
        <v>40.087499999999999</v>
      </c>
      <c r="N9" s="205">
        <f t="shared" si="76"/>
        <v>47.237499999999997</v>
      </c>
      <c r="O9" s="205">
        <f t="shared" si="76"/>
        <v>48.087499999999999</v>
      </c>
      <c r="P9" s="205">
        <f t="shared" si="76"/>
        <v>27.549999999999997</v>
      </c>
      <c r="Q9" s="205">
        <f t="shared" si="76"/>
        <v>13.075000000000001</v>
      </c>
      <c r="R9" s="205">
        <f t="shared" si="76"/>
        <v>15.45</v>
      </c>
      <c r="S9" s="205">
        <f t="shared" si="76"/>
        <v>6.8374999999999995</v>
      </c>
      <c r="T9" s="205">
        <f t="shared" si="76"/>
        <v>18.0625</v>
      </c>
      <c r="U9" s="205">
        <f t="shared" si="76"/>
        <v>17.25</v>
      </c>
      <c r="V9" s="205">
        <f t="shared" si="76"/>
        <v>12.787500000000001</v>
      </c>
      <c r="W9" s="205">
        <f t="shared" si="76"/>
        <v>16.100000000000001</v>
      </c>
      <c r="X9" s="205">
        <f t="shared" si="76"/>
        <v>15.387500000000001</v>
      </c>
      <c r="Y9" s="205">
        <f t="shared" si="76"/>
        <v>7.9249999999999998</v>
      </c>
      <c r="Z9" s="205">
        <f t="shared" si="76"/>
        <v>0</v>
      </c>
      <c r="AA9" s="205">
        <f t="shared" si="76"/>
        <v>2.6124999999999998</v>
      </c>
      <c r="AB9" s="205">
        <f t="shared" si="76"/>
        <v>2.4500000000000002</v>
      </c>
      <c r="AC9" s="135">
        <f t="shared" si="76"/>
        <v>-26.912500000000001</v>
      </c>
      <c r="AD9" s="135">
        <f t="shared" si="76"/>
        <v>-4.6624999999999996</v>
      </c>
      <c r="AE9" s="135">
        <f t="shared" si="76"/>
        <v>-16.6875</v>
      </c>
      <c r="AF9" s="135">
        <f t="shared" si="76"/>
        <v>-26.912500000000001</v>
      </c>
      <c r="AG9" s="135">
        <f t="shared" si="76"/>
        <v>-4.6624999999999996</v>
      </c>
      <c r="AH9" s="135">
        <f t="shared" si="76"/>
        <v>-16.6875</v>
      </c>
      <c r="AI9" s="210">
        <f t="shared" si="76"/>
        <v>24.612500000000001</v>
      </c>
      <c r="AJ9" s="205">
        <f t="shared" si="76"/>
        <v>22.637499999999999</v>
      </c>
      <c r="AK9" s="211">
        <f t="shared" si="76"/>
        <v>25.950000000000003</v>
      </c>
      <c r="AL9" s="135">
        <f t="shared" si="76"/>
        <v>3.0125000000000002</v>
      </c>
      <c r="AM9" s="135">
        <f t="shared" si="76"/>
        <v>5.2</v>
      </c>
      <c r="AN9" s="135">
        <f t="shared" si="76"/>
        <v>3.9624999999999999</v>
      </c>
      <c r="AO9" s="135">
        <f t="shared" si="76"/>
        <v>3.0125000000000002</v>
      </c>
      <c r="AP9" s="135">
        <f t="shared" si="76"/>
        <v>5.2</v>
      </c>
      <c r="AQ9" s="135">
        <f t="shared" si="76"/>
        <v>3.9624999999999999</v>
      </c>
      <c r="AR9" s="135">
        <f t="shared" si="76"/>
        <v>161.63749999999999</v>
      </c>
      <c r="AS9" s="135">
        <f t="shared" si="76"/>
        <v>166.6</v>
      </c>
      <c r="AT9" s="135">
        <f t="shared" si="76"/>
        <v>153.76250000000002</v>
      </c>
      <c r="AU9" s="205">
        <f t="shared" si="76"/>
        <v>137.73750000000001</v>
      </c>
      <c r="AV9" s="135">
        <f t="shared" si="76"/>
        <v>167.13750000000002</v>
      </c>
      <c r="AW9" s="135">
        <f t="shared" si="76"/>
        <v>141.03749999999999</v>
      </c>
      <c r="AX9" s="135">
        <f t="shared" si="76"/>
        <v>-23.900000000000002</v>
      </c>
      <c r="AY9" s="135">
        <f t="shared" si="76"/>
        <v>0.53749999999999998</v>
      </c>
      <c r="AZ9" s="135">
        <f t="shared" si="76"/>
        <v>-12.725</v>
      </c>
      <c r="BA9" s="135">
        <f t="shared" si="76"/>
        <v>-23.900000000000002</v>
      </c>
      <c r="BB9" s="135">
        <f t="shared" si="76"/>
        <v>0.53749999999999998</v>
      </c>
      <c r="BC9" s="135">
        <f t="shared" si="76"/>
        <v>-12.725</v>
      </c>
      <c r="BE9" s="131">
        <f t="shared" si="0"/>
        <v>0</v>
      </c>
      <c r="BF9" s="131">
        <f t="shared" si="1"/>
        <v>1.5630842868895368E-2</v>
      </c>
      <c r="BG9" s="131">
        <f t="shared" si="2"/>
        <v>1.7371266507134629E-2</v>
      </c>
      <c r="BI9" s="131">
        <f t="shared" si="3"/>
        <v>0.3429530810418368</v>
      </c>
      <c r="BJ9" s="131">
        <f t="shared" si="4"/>
        <v>0.28771221299827981</v>
      </c>
      <c r="BK9" s="131">
        <f t="shared" si="5"/>
        <v>0.19533811929451386</v>
      </c>
      <c r="BM9" s="131">
        <f t="shared" si="6"/>
        <v>9.4926944368817504E-2</v>
      </c>
      <c r="BN9" s="131">
        <f t="shared" si="7"/>
        <v>9.2438860219878835E-2</v>
      </c>
      <c r="BO9" s="131">
        <f t="shared" si="8"/>
        <v>4.8480014180625718E-2</v>
      </c>
      <c r="BQ9" s="145">
        <f t="shared" si="9"/>
        <v>0.13113712678101461</v>
      </c>
      <c r="BR9" s="145">
        <f t="shared" si="10"/>
        <v>0.10320843616782588</v>
      </c>
      <c r="BS9" s="145">
        <f t="shared" si="11"/>
        <v>9.066737569795269E-2</v>
      </c>
      <c r="BU9" s="145">
        <f t="shared" si="12"/>
        <v>0.11688900989200472</v>
      </c>
      <c r="BV9" s="145">
        <f t="shared" si="13"/>
        <v>9.2064916610575129E-2</v>
      </c>
      <c r="BW9" s="145">
        <f t="shared" si="14"/>
        <v>5.6190729415935482E-2</v>
      </c>
      <c r="BY9" s="145">
        <f t="shared" si="15"/>
        <v>0.31354932389509027</v>
      </c>
      <c r="BZ9" s="145">
        <f t="shared" si="16"/>
        <v>0.25001869718046515</v>
      </c>
      <c r="CA9" s="145">
        <f t="shared" si="17"/>
        <v>0.31667109811220417</v>
      </c>
      <c r="CB9" s="131"/>
      <c r="CC9" s="145">
        <f t="shared" si="18"/>
        <v>0.17869135130229602</v>
      </c>
      <c r="CD9" s="145">
        <f t="shared" si="19"/>
        <v>0.13544237528980627</v>
      </c>
      <c r="CE9" s="145">
        <f t="shared" si="20"/>
        <v>0.18399361871842598</v>
      </c>
      <c r="CG9" s="131">
        <f t="shared" si="35"/>
        <v>0.8351937562392231</v>
      </c>
      <c r="CH9" s="131">
        <f t="shared" si="36"/>
        <v>0.68880412833744664</v>
      </c>
      <c r="CI9" s="131">
        <f t="shared" si="37"/>
        <v>0.71337410263227874</v>
      </c>
      <c r="CK9" s="131">
        <f t="shared" si="38"/>
        <v>0.1648062437607769</v>
      </c>
      <c r="CL9" s="131">
        <f t="shared" si="39"/>
        <v>0.31119587166255336</v>
      </c>
      <c r="CM9" s="131">
        <f t="shared" si="40"/>
        <v>0.28662589736772126</v>
      </c>
      <c r="CO9" s="110">
        <f t="shared" si="41"/>
        <v>22.70000000000001</v>
      </c>
      <c r="CP9" s="110">
        <f t="shared" si="42"/>
        <v>52.012500000000017</v>
      </c>
      <c r="CQ9" s="110">
        <f t="shared" si="43"/>
        <v>40.424999999999983</v>
      </c>
      <c r="CR9" s="110"/>
      <c r="CS9" s="110"/>
      <c r="CT9" s="205">
        <v>18.0625</v>
      </c>
      <c r="CV9" s="110">
        <f t="shared" si="75"/>
        <v>0</v>
      </c>
      <c r="CW9" s="110">
        <f t="shared" si="44"/>
        <v>0.26124999999999998</v>
      </c>
      <c r="CX9" s="110">
        <f t="shared" si="45"/>
        <v>0.24500000000000002</v>
      </c>
      <c r="CZ9" s="110">
        <f t="shared" si="46"/>
        <v>0</v>
      </c>
      <c r="DA9" s="110">
        <f t="shared" si="47"/>
        <v>1</v>
      </c>
      <c r="DB9" s="110">
        <f t="shared" si="48"/>
        <v>1</v>
      </c>
      <c r="DC9" s="110">
        <f t="shared" si="49"/>
        <v>1</v>
      </c>
      <c r="DD9" s="110">
        <f t="shared" si="50"/>
        <v>1</v>
      </c>
      <c r="DE9" s="110">
        <f t="shared" si="51"/>
        <v>1</v>
      </c>
      <c r="DF9" s="110">
        <f t="shared" si="52"/>
        <v>1</v>
      </c>
      <c r="DG9" s="110">
        <f t="shared" si="53"/>
        <v>1</v>
      </c>
      <c r="DH9" s="110">
        <f t="shared" si="54"/>
        <v>1</v>
      </c>
      <c r="DI9" s="110">
        <f t="shared" si="55"/>
        <v>1</v>
      </c>
      <c r="DJ9" s="110">
        <f t="shared" si="56"/>
        <v>1</v>
      </c>
      <c r="DK9" s="110">
        <f t="shared" si="57"/>
        <v>1</v>
      </c>
      <c r="DL9" s="110">
        <f t="shared" si="58"/>
        <v>1</v>
      </c>
      <c r="DM9" s="110">
        <f t="shared" si="59"/>
        <v>1</v>
      </c>
      <c r="DN9" s="110">
        <f t="shared" si="60"/>
        <v>1</v>
      </c>
      <c r="DO9" s="110">
        <f t="shared" si="61"/>
        <v>1</v>
      </c>
      <c r="DP9" s="110">
        <f t="shared" si="62"/>
        <v>1</v>
      </c>
      <c r="DQ9" s="110">
        <f t="shared" si="63"/>
        <v>1</v>
      </c>
      <c r="DR9" s="110">
        <f t="shared" si="64"/>
        <v>1</v>
      </c>
      <c r="DS9" s="110">
        <f t="shared" si="65"/>
        <v>1</v>
      </c>
      <c r="DT9" s="110">
        <f t="shared" si="66"/>
        <v>1</v>
      </c>
      <c r="DU9" s="69">
        <f t="shared" si="67"/>
        <v>6</v>
      </c>
      <c r="DV9" s="69">
        <f t="shared" si="68"/>
        <v>7</v>
      </c>
      <c r="DW9" s="69">
        <f t="shared" si="69"/>
        <v>7</v>
      </c>
      <c r="DX9" s="69">
        <f t="shared" si="70"/>
        <v>6.666666666666667</v>
      </c>
      <c r="DY9" s="69">
        <f t="shared" si="71"/>
        <v>0.47140452079103168</v>
      </c>
      <c r="DZ9" s="135">
        <f t="shared" si="72"/>
        <v>0</v>
      </c>
      <c r="EA9" s="69">
        <f t="shared" si="32"/>
        <v>0</v>
      </c>
      <c r="EB9" s="69">
        <f t="shared" si="32"/>
        <v>0</v>
      </c>
      <c r="EC9" s="69">
        <f t="shared" si="32"/>
        <v>0</v>
      </c>
      <c r="ED9" s="69">
        <f t="shared" si="32"/>
        <v>0</v>
      </c>
      <c r="EE9" s="69">
        <f t="shared" si="32"/>
        <v>1</v>
      </c>
      <c r="EF9" s="69">
        <f t="shared" si="32"/>
        <v>0</v>
      </c>
      <c r="EG9" s="69">
        <f t="shared" si="73"/>
        <v>0</v>
      </c>
      <c r="EH9" s="69">
        <f t="shared" si="33"/>
        <v>0</v>
      </c>
      <c r="EI9" s="69">
        <f t="shared" si="33"/>
        <v>0</v>
      </c>
      <c r="EJ9" s="69">
        <f t="shared" si="33"/>
        <v>0</v>
      </c>
      <c r="EK9" s="69">
        <f t="shared" si="33"/>
        <v>0</v>
      </c>
      <c r="EL9" s="69">
        <f t="shared" si="33"/>
        <v>0</v>
      </c>
      <c r="EM9" s="69">
        <f t="shared" si="33"/>
        <v>1</v>
      </c>
      <c r="EN9" s="69">
        <f t="shared" si="74"/>
        <v>0</v>
      </c>
      <c r="EO9" s="69">
        <f t="shared" si="34"/>
        <v>0</v>
      </c>
      <c r="EP9" s="69">
        <f t="shared" si="34"/>
        <v>0</v>
      </c>
      <c r="EQ9" s="69">
        <f t="shared" si="34"/>
        <v>0</v>
      </c>
      <c r="ER9" s="69">
        <f t="shared" si="34"/>
        <v>0</v>
      </c>
      <c r="ES9" s="69">
        <f t="shared" si="34"/>
        <v>0</v>
      </c>
      <c r="ET9" s="110">
        <f t="shared" si="34"/>
        <v>1</v>
      </c>
      <c r="EY9" s="69">
        <v>9050</v>
      </c>
      <c r="EZ9" s="69">
        <v>11560</v>
      </c>
      <c r="FA9" s="69">
        <v>9207</v>
      </c>
      <c r="FB9" s="69">
        <v>3455</v>
      </c>
      <c r="FC9" s="69">
        <v>3343</v>
      </c>
      <c r="FD9" s="69">
        <v>3573</v>
      </c>
      <c r="FE9" s="69">
        <v>1815</v>
      </c>
      <c r="FF9" s="69">
        <v>4158</v>
      </c>
      <c r="FG9" s="69">
        <v>3207</v>
      </c>
      <c r="FH9" s="69">
        <v>3779</v>
      </c>
      <c r="FI9" s="69">
        <v>3847</v>
      </c>
      <c r="FJ9" s="69">
        <v>2204</v>
      </c>
      <c r="FK9" s="69">
        <v>1046</v>
      </c>
      <c r="FL9" s="69">
        <v>1236</v>
      </c>
      <c r="FM9" s="69">
        <v>547</v>
      </c>
      <c r="FN9" s="69">
        <v>1445</v>
      </c>
      <c r="FO9" s="69">
        <v>1380</v>
      </c>
      <c r="FP9" s="69">
        <v>1023</v>
      </c>
      <c r="FQ9" s="69">
        <v>1288</v>
      </c>
      <c r="FR9" s="69">
        <v>1231</v>
      </c>
      <c r="FS9" s="69">
        <v>634</v>
      </c>
      <c r="FT9" s="69">
        <v>0</v>
      </c>
      <c r="FU9" s="69">
        <v>209</v>
      </c>
      <c r="FV9" s="69">
        <v>196</v>
      </c>
      <c r="FW9" s="69">
        <v>-2153</v>
      </c>
      <c r="FX9" s="69">
        <v>-373</v>
      </c>
      <c r="FY9" s="69">
        <v>-1335</v>
      </c>
      <c r="FZ9" s="69">
        <v>-2153</v>
      </c>
      <c r="GA9" s="69">
        <v>-373</v>
      </c>
      <c r="GB9" s="69">
        <v>-1335</v>
      </c>
      <c r="GC9" s="69">
        <v>1969</v>
      </c>
      <c r="GD9" s="69">
        <v>1811</v>
      </c>
      <c r="GE9" s="69">
        <v>2076</v>
      </c>
      <c r="GF9" s="69">
        <v>241</v>
      </c>
      <c r="GG9" s="69">
        <v>416</v>
      </c>
      <c r="GH9" s="69">
        <v>317</v>
      </c>
      <c r="GI9" s="69">
        <v>241</v>
      </c>
      <c r="GJ9" s="69">
        <v>416</v>
      </c>
      <c r="GK9" s="69">
        <v>317</v>
      </c>
      <c r="GL9" s="69">
        <v>12931</v>
      </c>
      <c r="GM9" s="69">
        <v>13328</v>
      </c>
      <c r="GN9" s="69">
        <v>12301</v>
      </c>
      <c r="GO9" s="69">
        <v>11019</v>
      </c>
      <c r="GP9" s="69">
        <v>13371</v>
      </c>
      <c r="GQ9" s="69">
        <v>11283</v>
      </c>
      <c r="GR9" s="69">
        <v>-1912</v>
      </c>
      <c r="GS9" s="69">
        <v>43</v>
      </c>
      <c r="GT9" s="69">
        <v>-1018</v>
      </c>
      <c r="GU9" s="69">
        <v>-1912</v>
      </c>
      <c r="GV9" s="69">
        <v>43</v>
      </c>
      <c r="GW9" s="69">
        <v>-1018</v>
      </c>
    </row>
    <row r="10" spans="1:205" s="69" customFormat="1">
      <c r="A10" s="69" t="s">
        <v>101</v>
      </c>
      <c r="B10" s="69">
        <v>176</v>
      </c>
      <c r="C10" s="69" t="s">
        <v>31</v>
      </c>
      <c r="D10" s="69" t="s">
        <v>32</v>
      </c>
      <c r="E10" s="69">
        <v>1540</v>
      </c>
      <c r="F10" s="69">
        <v>1810</v>
      </c>
      <c r="G10" s="69">
        <v>1725</v>
      </c>
      <c r="H10" s="110">
        <v>115</v>
      </c>
      <c r="I10" s="110">
        <v>233</v>
      </c>
      <c r="J10" s="110">
        <v>115</v>
      </c>
      <c r="K10" s="69">
        <v>5487</v>
      </c>
      <c r="L10" s="69">
        <v>599</v>
      </c>
      <c r="M10" s="69">
        <v>537</v>
      </c>
      <c r="N10" s="110">
        <v>404</v>
      </c>
      <c r="O10" s="110">
        <v>473</v>
      </c>
      <c r="P10" s="110">
        <v>538</v>
      </c>
      <c r="Q10" s="110">
        <v>0</v>
      </c>
      <c r="R10" s="110">
        <v>0</v>
      </c>
      <c r="S10" s="110">
        <v>193</v>
      </c>
      <c r="T10" s="110">
        <v>220</v>
      </c>
      <c r="U10" s="110">
        <v>234</v>
      </c>
      <c r="V10" s="110">
        <v>52</v>
      </c>
      <c r="W10" s="110">
        <v>184</v>
      </c>
      <c r="X10" s="110">
        <v>239</v>
      </c>
      <c r="Y10" s="110">
        <v>293</v>
      </c>
      <c r="Z10" s="110">
        <v>474</v>
      </c>
      <c r="AA10" s="110">
        <v>505</v>
      </c>
      <c r="AB10" s="110">
        <v>535</v>
      </c>
      <c r="AC10" s="69">
        <v>-155</v>
      </c>
      <c r="AD10" s="69">
        <v>-293</v>
      </c>
      <c r="AE10" s="69">
        <v>-125</v>
      </c>
      <c r="AF10" s="69">
        <v>-155</v>
      </c>
      <c r="AG10" s="69">
        <v>-293</v>
      </c>
      <c r="AH10" s="69">
        <v>-125</v>
      </c>
      <c r="AI10" s="142">
        <v>418</v>
      </c>
      <c r="AJ10" s="110">
        <v>410</v>
      </c>
      <c r="AK10" s="143">
        <v>413</v>
      </c>
      <c r="AL10" s="69">
        <v>200</v>
      </c>
      <c r="AM10" s="69">
        <v>49</v>
      </c>
      <c r="AN10" s="69">
        <v>171</v>
      </c>
      <c r="AO10" s="69">
        <v>200</v>
      </c>
      <c r="AP10" s="69">
        <v>49</v>
      </c>
      <c r="AQ10" s="69">
        <v>171</v>
      </c>
      <c r="AR10" s="69">
        <v>1913</v>
      </c>
      <c r="AS10" s="69">
        <v>2464</v>
      </c>
      <c r="AT10" s="69">
        <v>2092</v>
      </c>
      <c r="AU10" s="110">
        <v>1958</v>
      </c>
      <c r="AV10" s="69">
        <v>2220</v>
      </c>
      <c r="AW10" s="69">
        <v>2138</v>
      </c>
      <c r="AX10" s="69">
        <v>45</v>
      </c>
      <c r="AY10" s="69">
        <v>-244</v>
      </c>
      <c r="AZ10" s="69">
        <v>46</v>
      </c>
      <c r="BA10" s="69">
        <v>45</v>
      </c>
      <c r="BB10" s="69">
        <v>-244</v>
      </c>
      <c r="BC10" s="69">
        <v>46</v>
      </c>
      <c r="BE10" s="131">
        <f t="shared" si="0"/>
        <v>0.24208375893769152</v>
      </c>
      <c r="BF10" s="131">
        <f t="shared" si="1"/>
        <v>0.22747747747747749</v>
      </c>
      <c r="BG10" s="131">
        <f t="shared" si="2"/>
        <v>0.25023386342376053</v>
      </c>
      <c r="BI10" s="131">
        <f t="shared" si="3"/>
        <v>0.20633299284984677</v>
      </c>
      <c r="BJ10" s="131">
        <f t="shared" si="4"/>
        <v>0.21306306306306305</v>
      </c>
      <c r="BK10" s="131">
        <f t="shared" si="5"/>
        <v>0.25163704396632369</v>
      </c>
      <c r="BM10" s="131">
        <f t="shared" si="6"/>
        <v>0</v>
      </c>
      <c r="BN10" s="131">
        <f t="shared" si="7"/>
        <v>0</v>
      </c>
      <c r="BO10" s="131">
        <f t="shared" si="8"/>
        <v>9.0271281571562209E-2</v>
      </c>
      <c r="BQ10" s="145">
        <f t="shared" si="9"/>
        <v>0.11235955056179775</v>
      </c>
      <c r="BR10" s="145">
        <f t="shared" si="10"/>
        <v>0.10540540540540541</v>
      </c>
      <c r="BS10" s="145">
        <f t="shared" si="11"/>
        <v>2.4321796071094481E-2</v>
      </c>
      <c r="BU10" s="145">
        <f t="shared" si="12"/>
        <v>9.3973442288049033E-2</v>
      </c>
      <c r="BV10" s="145">
        <f t="shared" si="13"/>
        <v>0.10765765765765765</v>
      </c>
      <c r="BW10" s="145">
        <f t="shared" si="14"/>
        <v>0.13704396632366697</v>
      </c>
      <c r="BY10" s="145">
        <f t="shared" si="15"/>
        <v>5.8733401430030641E-2</v>
      </c>
      <c r="BZ10" s="145">
        <f t="shared" si="16"/>
        <v>0.10495495495495495</v>
      </c>
      <c r="CA10" s="145">
        <f t="shared" si="17"/>
        <v>5.378858746492049E-2</v>
      </c>
      <c r="CB10" s="131"/>
      <c r="CC10" s="145">
        <f t="shared" si="18"/>
        <v>0.21348314606741572</v>
      </c>
      <c r="CD10" s="145">
        <f t="shared" si="19"/>
        <v>0.18468468468468469</v>
      </c>
      <c r="CE10" s="145">
        <f t="shared" si="20"/>
        <v>0.19317118802619271</v>
      </c>
      <c r="CG10" s="131">
        <f t="shared" si="35"/>
        <v>0.72063329928498454</v>
      </c>
      <c r="CH10" s="131">
        <f t="shared" si="36"/>
        <v>0.73018018018018016</v>
      </c>
      <c r="CI10" s="131">
        <f t="shared" si="37"/>
        <v>0.74883068288119736</v>
      </c>
      <c r="CK10" s="131">
        <f t="shared" si="38"/>
        <v>0.27936670071501546</v>
      </c>
      <c r="CL10" s="131">
        <f t="shared" si="39"/>
        <v>0.26981981981981984</v>
      </c>
      <c r="CM10" s="131">
        <f t="shared" si="40"/>
        <v>0.25116931711880264</v>
      </c>
      <c r="CO10" s="110">
        <f t="shared" si="41"/>
        <v>547.00000000000023</v>
      </c>
      <c r="CP10" s="110">
        <f t="shared" si="42"/>
        <v>599</v>
      </c>
      <c r="CQ10" s="110">
        <f t="shared" si="43"/>
        <v>537</v>
      </c>
      <c r="CR10" s="110"/>
      <c r="CS10" s="110"/>
      <c r="CT10" s="110">
        <v>220</v>
      </c>
      <c r="CV10" s="110">
        <f t="shared" si="75"/>
        <v>2.6931818181818183</v>
      </c>
      <c r="CW10" s="110">
        <f t="shared" si="44"/>
        <v>2.8693181818181817</v>
      </c>
      <c r="CX10" s="110">
        <f t="shared" si="45"/>
        <v>3.0397727272727271</v>
      </c>
      <c r="CZ10" s="110">
        <f t="shared" si="46"/>
        <v>1</v>
      </c>
      <c r="DA10" s="110">
        <f t="shared" si="47"/>
        <v>1</v>
      </c>
      <c r="DB10" s="110">
        <f t="shared" si="48"/>
        <v>1</v>
      </c>
      <c r="DC10" s="110">
        <f t="shared" si="49"/>
        <v>0</v>
      </c>
      <c r="DD10" s="110">
        <f t="shared" si="50"/>
        <v>0</v>
      </c>
      <c r="DE10" s="110">
        <f t="shared" si="51"/>
        <v>1</v>
      </c>
      <c r="DF10" s="110">
        <f t="shared" si="52"/>
        <v>1</v>
      </c>
      <c r="DG10" s="110">
        <f t="shared" si="53"/>
        <v>1</v>
      </c>
      <c r="DH10" s="110">
        <f t="shared" si="54"/>
        <v>1</v>
      </c>
      <c r="DI10" s="110">
        <f t="shared" si="55"/>
        <v>1</v>
      </c>
      <c r="DJ10" s="110">
        <f t="shared" si="56"/>
        <v>1</v>
      </c>
      <c r="DK10" s="110">
        <f t="shared" si="57"/>
        <v>1</v>
      </c>
      <c r="DL10" s="110">
        <f t="shared" si="58"/>
        <v>1</v>
      </c>
      <c r="DM10" s="110">
        <f t="shared" si="59"/>
        <v>1</v>
      </c>
      <c r="DN10" s="110">
        <f t="shared" si="60"/>
        <v>1</v>
      </c>
      <c r="DO10" s="110">
        <f t="shared" si="61"/>
        <v>1</v>
      </c>
      <c r="DP10" s="110">
        <f t="shared" si="62"/>
        <v>1</v>
      </c>
      <c r="DQ10" s="110">
        <f t="shared" si="63"/>
        <v>1</v>
      </c>
      <c r="DR10" s="110">
        <f t="shared" si="64"/>
        <v>1</v>
      </c>
      <c r="DS10" s="110">
        <f t="shared" si="65"/>
        <v>1</v>
      </c>
      <c r="DT10" s="110">
        <f t="shared" si="66"/>
        <v>1</v>
      </c>
      <c r="DU10" s="69">
        <f t="shared" si="67"/>
        <v>6</v>
      </c>
      <c r="DV10" s="69">
        <f t="shared" si="68"/>
        <v>6</v>
      </c>
      <c r="DW10" s="69">
        <f t="shared" si="69"/>
        <v>7</v>
      </c>
      <c r="DX10" s="69">
        <f t="shared" si="70"/>
        <v>6.333333333333333</v>
      </c>
      <c r="DY10" s="69">
        <f t="shared" si="71"/>
        <v>0.47140452079103168</v>
      </c>
      <c r="DZ10" s="135">
        <f t="shared" si="72"/>
        <v>0</v>
      </c>
      <c r="EA10" s="69">
        <f t="shared" si="32"/>
        <v>0</v>
      </c>
      <c r="EB10" s="69">
        <f t="shared" si="32"/>
        <v>0</v>
      </c>
      <c r="EC10" s="69">
        <f t="shared" si="32"/>
        <v>0</v>
      </c>
      <c r="ED10" s="69">
        <f t="shared" si="32"/>
        <v>0</v>
      </c>
      <c r="EE10" s="69">
        <f t="shared" si="32"/>
        <v>1</v>
      </c>
      <c r="EF10" s="69">
        <f t="shared" si="32"/>
        <v>0</v>
      </c>
      <c r="EG10" s="69">
        <f t="shared" si="73"/>
        <v>0</v>
      </c>
      <c r="EH10" s="69">
        <f t="shared" si="33"/>
        <v>0</v>
      </c>
      <c r="EI10" s="69">
        <f t="shared" si="33"/>
        <v>0</v>
      </c>
      <c r="EJ10" s="69">
        <f t="shared" si="33"/>
        <v>0</v>
      </c>
      <c r="EK10" s="69">
        <f t="shared" si="33"/>
        <v>0</v>
      </c>
      <c r="EL10" s="69">
        <f t="shared" si="33"/>
        <v>1</v>
      </c>
      <c r="EM10" s="69">
        <f t="shared" si="33"/>
        <v>0</v>
      </c>
      <c r="EN10" s="69">
        <f t="shared" si="74"/>
        <v>0</v>
      </c>
      <c r="EO10" s="69">
        <f t="shared" si="34"/>
        <v>0</v>
      </c>
      <c r="EP10" s="69">
        <f t="shared" si="34"/>
        <v>0</v>
      </c>
      <c r="EQ10" s="69">
        <f t="shared" si="34"/>
        <v>0</v>
      </c>
      <c r="ER10" s="69">
        <f t="shared" si="34"/>
        <v>0</v>
      </c>
      <c r="ES10" s="69">
        <f t="shared" si="34"/>
        <v>0</v>
      </c>
      <c r="ET10" s="110">
        <f t="shared" si="34"/>
        <v>1</v>
      </c>
    </row>
    <row r="11" spans="1:205" s="135" customFormat="1">
      <c r="A11" s="135" t="s">
        <v>102</v>
      </c>
      <c r="B11" s="135">
        <v>117</v>
      </c>
      <c r="C11" s="135" t="s">
        <v>31</v>
      </c>
      <c r="D11" s="135" t="s">
        <v>35</v>
      </c>
      <c r="E11" s="135">
        <v>111</v>
      </c>
      <c r="F11" s="135">
        <v>111</v>
      </c>
      <c r="G11" s="135">
        <v>158</v>
      </c>
      <c r="H11" s="205">
        <v>0</v>
      </c>
      <c r="I11" s="205">
        <v>0</v>
      </c>
      <c r="J11" s="205">
        <v>0</v>
      </c>
      <c r="K11" s="135">
        <v>0</v>
      </c>
      <c r="L11" s="135">
        <v>0</v>
      </c>
      <c r="M11" s="135">
        <v>0</v>
      </c>
      <c r="N11" s="205">
        <v>63</v>
      </c>
      <c r="O11" s="205">
        <v>63</v>
      </c>
      <c r="P11" s="205">
        <v>73</v>
      </c>
      <c r="Q11" s="205">
        <v>0</v>
      </c>
      <c r="R11" s="205">
        <v>0</v>
      </c>
      <c r="S11" s="205">
        <v>0</v>
      </c>
      <c r="T11" s="205">
        <v>60</v>
      </c>
      <c r="U11" s="205">
        <v>60</v>
      </c>
      <c r="V11" s="205">
        <v>70</v>
      </c>
      <c r="W11" s="205">
        <v>3</v>
      </c>
      <c r="X11" s="205">
        <v>3</v>
      </c>
      <c r="Y11" s="205">
        <v>3</v>
      </c>
      <c r="Z11" s="205">
        <v>49</v>
      </c>
      <c r="AA11" s="205">
        <v>49</v>
      </c>
      <c r="AB11" s="205">
        <v>85</v>
      </c>
      <c r="AC11" s="135">
        <v>0</v>
      </c>
      <c r="AD11" s="135">
        <v>0</v>
      </c>
      <c r="AE11" s="135">
        <v>0</v>
      </c>
      <c r="AF11" s="135">
        <v>0</v>
      </c>
      <c r="AG11" s="135">
        <v>0</v>
      </c>
      <c r="AH11" s="135">
        <v>0</v>
      </c>
      <c r="AI11" s="210">
        <v>0</v>
      </c>
      <c r="AJ11" s="205">
        <v>0</v>
      </c>
      <c r="AK11" s="211">
        <v>0</v>
      </c>
      <c r="AL11" s="135">
        <v>0</v>
      </c>
      <c r="AM11" s="135">
        <v>0</v>
      </c>
      <c r="AN11" s="135">
        <v>0</v>
      </c>
      <c r="AO11" s="135">
        <v>0</v>
      </c>
      <c r="AP11" s="135">
        <v>0</v>
      </c>
      <c r="AQ11" s="135">
        <v>0</v>
      </c>
      <c r="AR11" s="135">
        <v>111</v>
      </c>
      <c r="AS11" s="135">
        <v>111</v>
      </c>
      <c r="AT11" s="135">
        <v>158</v>
      </c>
      <c r="AU11" s="205">
        <v>111</v>
      </c>
      <c r="AV11" s="135">
        <v>111</v>
      </c>
      <c r="AW11" s="135">
        <v>158</v>
      </c>
      <c r="AX11" s="135">
        <v>0</v>
      </c>
      <c r="AY11" s="135">
        <v>0</v>
      </c>
      <c r="AZ11" s="135">
        <v>0</v>
      </c>
      <c r="BA11" s="135">
        <v>0</v>
      </c>
      <c r="BB11" s="135">
        <v>0</v>
      </c>
      <c r="BC11" s="135">
        <v>0</v>
      </c>
      <c r="BE11" s="135">
        <f t="shared" si="0"/>
        <v>0.44144144144144143</v>
      </c>
      <c r="BF11" s="135">
        <f t="shared" si="1"/>
        <v>0.44144144144144143</v>
      </c>
      <c r="BG11" s="135">
        <f t="shared" si="2"/>
        <v>0.53797468354430378</v>
      </c>
      <c r="BI11" s="135">
        <f t="shared" si="3"/>
        <v>0.56756756756756754</v>
      </c>
      <c r="BJ11" s="135">
        <f t="shared" si="4"/>
        <v>0.56756756756756754</v>
      </c>
      <c r="BK11" s="135">
        <f t="shared" si="5"/>
        <v>0.46202531645569622</v>
      </c>
      <c r="BM11" s="135">
        <f t="shared" si="6"/>
        <v>0</v>
      </c>
      <c r="BN11" s="135">
        <f t="shared" si="7"/>
        <v>0</v>
      </c>
      <c r="BO11" s="135">
        <f t="shared" si="8"/>
        <v>0</v>
      </c>
      <c r="BQ11" s="205">
        <f t="shared" si="9"/>
        <v>0.54054054054054057</v>
      </c>
      <c r="BR11" s="205">
        <f t="shared" si="10"/>
        <v>0.54054054054054057</v>
      </c>
      <c r="BS11" s="205">
        <f t="shared" si="11"/>
        <v>0.44303797468354428</v>
      </c>
      <c r="BU11" s="205">
        <f t="shared" si="12"/>
        <v>2.7027027027027029E-2</v>
      </c>
      <c r="BV11" s="205">
        <f t="shared" si="13"/>
        <v>2.7027027027027029E-2</v>
      </c>
      <c r="BW11" s="205">
        <f t="shared" si="14"/>
        <v>1.8987341772151899E-2</v>
      </c>
      <c r="BY11" s="205">
        <f t="shared" si="15"/>
        <v>0</v>
      </c>
      <c r="BZ11" s="205">
        <f t="shared" si="16"/>
        <v>0</v>
      </c>
      <c r="CA11" s="205">
        <f t="shared" si="17"/>
        <v>0</v>
      </c>
      <c r="CC11" s="205">
        <f t="shared" si="18"/>
        <v>0</v>
      </c>
      <c r="CD11" s="205">
        <f t="shared" si="19"/>
        <v>0</v>
      </c>
      <c r="CE11" s="205">
        <f t="shared" si="20"/>
        <v>0</v>
      </c>
      <c r="CG11" s="135">
        <f t="shared" si="35"/>
        <v>1.0090090090090089</v>
      </c>
      <c r="CH11" s="135">
        <f t="shared" si="36"/>
        <v>1.0090090090090089</v>
      </c>
      <c r="CI11" s="135">
        <f t="shared" si="37"/>
        <v>1</v>
      </c>
      <c r="CK11" s="135">
        <f t="shared" si="38"/>
        <v>-9.009009009008917E-3</v>
      </c>
      <c r="CL11" s="135">
        <f t="shared" si="39"/>
        <v>-9.009009009008917E-3</v>
      </c>
      <c r="CM11" s="135">
        <f t="shared" si="40"/>
        <v>0</v>
      </c>
      <c r="CO11" s="205">
        <v>0</v>
      </c>
      <c r="CP11" s="205">
        <v>0</v>
      </c>
      <c r="CQ11" s="205">
        <f t="shared" si="43"/>
        <v>0</v>
      </c>
      <c r="CR11" s="205"/>
      <c r="CS11" s="205"/>
      <c r="CT11" s="205">
        <v>60</v>
      </c>
      <c r="CV11" s="110">
        <f t="shared" si="75"/>
        <v>0.41880341880341881</v>
      </c>
      <c r="CW11" s="110">
        <f t="shared" si="44"/>
        <v>0.41880341880341881</v>
      </c>
      <c r="CX11" s="110">
        <f t="shared" si="45"/>
        <v>0.72649572649572647</v>
      </c>
      <c r="CZ11" s="205">
        <f t="shared" si="46"/>
        <v>1</v>
      </c>
      <c r="DA11" s="205">
        <f t="shared" si="47"/>
        <v>1</v>
      </c>
      <c r="DB11" s="205">
        <f t="shared" si="48"/>
        <v>1</v>
      </c>
      <c r="DC11" s="205">
        <f t="shared" si="49"/>
        <v>0</v>
      </c>
      <c r="DD11" s="205">
        <f t="shared" si="50"/>
        <v>0</v>
      </c>
      <c r="DE11" s="205">
        <f t="shared" si="51"/>
        <v>0</v>
      </c>
      <c r="DF11" s="205">
        <f t="shared" si="52"/>
        <v>1</v>
      </c>
      <c r="DG11" s="205">
        <f t="shared" si="53"/>
        <v>1</v>
      </c>
      <c r="DH11" s="205">
        <f t="shared" si="54"/>
        <v>1</v>
      </c>
      <c r="DI11" s="205">
        <f t="shared" si="55"/>
        <v>1</v>
      </c>
      <c r="DJ11" s="205">
        <f t="shared" si="56"/>
        <v>1</v>
      </c>
      <c r="DK11" s="205">
        <f t="shared" si="57"/>
        <v>1</v>
      </c>
      <c r="DL11" s="205">
        <f t="shared" si="58"/>
        <v>0</v>
      </c>
      <c r="DM11" s="205">
        <f t="shared" si="59"/>
        <v>0</v>
      </c>
      <c r="DN11" s="205">
        <f t="shared" si="60"/>
        <v>0</v>
      </c>
      <c r="DO11" s="205">
        <f t="shared" si="61"/>
        <v>0</v>
      </c>
      <c r="DP11" s="205">
        <f t="shared" si="62"/>
        <v>0</v>
      </c>
      <c r="DQ11" s="205">
        <f t="shared" si="63"/>
        <v>0</v>
      </c>
      <c r="DR11" s="205">
        <f t="shared" si="64"/>
        <v>0</v>
      </c>
      <c r="DS11" s="205">
        <f t="shared" si="65"/>
        <v>0</v>
      </c>
      <c r="DT11" s="205">
        <f t="shared" si="66"/>
        <v>0</v>
      </c>
      <c r="DU11" s="69">
        <f t="shared" si="67"/>
        <v>3</v>
      </c>
      <c r="DV11" s="69">
        <f t="shared" si="68"/>
        <v>3</v>
      </c>
      <c r="DW11" s="69">
        <f t="shared" si="69"/>
        <v>3</v>
      </c>
      <c r="DX11" s="69">
        <f t="shared" si="70"/>
        <v>3</v>
      </c>
      <c r="DY11" s="69">
        <f t="shared" si="71"/>
        <v>0</v>
      </c>
      <c r="DZ11" s="135">
        <f t="shared" si="72"/>
        <v>0</v>
      </c>
      <c r="EA11" s="69">
        <f t="shared" si="32"/>
        <v>0</v>
      </c>
      <c r="EB11" s="69">
        <f t="shared" si="32"/>
        <v>1</v>
      </c>
      <c r="EC11" s="69">
        <f t="shared" si="32"/>
        <v>0</v>
      </c>
      <c r="ED11" s="69">
        <f t="shared" si="32"/>
        <v>0</v>
      </c>
      <c r="EE11" s="69">
        <f t="shared" si="32"/>
        <v>0</v>
      </c>
      <c r="EF11" s="69">
        <f t="shared" si="32"/>
        <v>0</v>
      </c>
      <c r="EG11" s="69">
        <f t="shared" si="73"/>
        <v>0</v>
      </c>
      <c r="EH11" s="69">
        <f t="shared" si="33"/>
        <v>0</v>
      </c>
      <c r="EI11" s="69">
        <f t="shared" si="33"/>
        <v>1</v>
      </c>
      <c r="EJ11" s="69">
        <f t="shared" si="33"/>
        <v>0</v>
      </c>
      <c r="EK11" s="69">
        <f t="shared" si="33"/>
        <v>0</v>
      </c>
      <c r="EL11" s="69">
        <f t="shared" si="33"/>
        <v>0</v>
      </c>
      <c r="EM11" s="69">
        <f t="shared" si="33"/>
        <v>0</v>
      </c>
      <c r="EN11" s="69">
        <f t="shared" si="74"/>
        <v>0</v>
      </c>
      <c r="EO11" s="69">
        <f t="shared" si="34"/>
        <v>0</v>
      </c>
      <c r="EP11" s="69">
        <f t="shared" si="34"/>
        <v>1</v>
      </c>
      <c r="EQ11" s="69">
        <f t="shared" si="34"/>
        <v>0</v>
      </c>
      <c r="ER11" s="69">
        <f t="shared" si="34"/>
        <v>0</v>
      </c>
      <c r="ES11" s="69">
        <f t="shared" si="34"/>
        <v>0</v>
      </c>
      <c r="ET11" s="110">
        <f t="shared" si="34"/>
        <v>0</v>
      </c>
      <c r="EU11" s="69"/>
      <c r="EV11" s="69"/>
      <c r="EW11" s="69"/>
      <c r="EX11" s="69"/>
    </row>
    <row r="12" spans="1:205" s="69" customFormat="1">
      <c r="A12" s="69" t="s">
        <v>103</v>
      </c>
      <c r="B12" s="69">
        <v>720</v>
      </c>
      <c r="C12" s="69" t="s">
        <v>31</v>
      </c>
      <c r="D12" s="69" t="s">
        <v>32</v>
      </c>
      <c r="E12" s="69">
        <v>2879</v>
      </c>
      <c r="F12" s="69">
        <v>3696</v>
      </c>
      <c r="G12" s="69">
        <v>4188</v>
      </c>
      <c r="H12" s="110">
        <v>0</v>
      </c>
      <c r="I12" s="110">
        <v>0</v>
      </c>
      <c r="J12" s="110">
        <v>0</v>
      </c>
      <c r="K12" s="69">
        <v>0</v>
      </c>
      <c r="L12" s="69">
        <v>0</v>
      </c>
      <c r="M12" s="69">
        <v>0</v>
      </c>
      <c r="N12" s="110">
        <v>2879</v>
      </c>
      <c r="O12" s="110">
        <v>2355</v>
      </c>
      <c r="P12" s="110">
        <v>2637</v>
      </c>
      <c r="Q12" s="110">
        <v>0</v>
      </c>
      <c r="R12" s="110">
        <v>0</v>
      </c>
      <c r="S12" s="110">
        <v>0</v>
      </c>
      <c r="T12" s="110">
        <v>1352</v>
      </c>
      <c r="U12" s="110">
        <v>1064</v>
      </c>
      <c r="V12" s="110">
        <v>724</v>
      </c>
      <c r="W12" s="110">
        <v>1527</v>
      </c>
      <c r="X12" s="110">
        <v>1291</v>
      </c>
      <c r="Y12" s="110">
        <v>1913</v>
      </c>
      <c r="Z12" s="110">
        <v>0</v>
      </c>
      <c r="AA12" s="110">
        <v>1341</v>
      </c>
      <c r="AB12" s="110">
        <v>1551</v>
      </c>
      <c r="AC12" s="69">
        <v>582</v>
      </c>
      <c r="AD12" s="69">
        <v>1183</v>
      </c>
      <c r="AE12" s="69">
        <v>1686</v>
      </c>
      <c r="AF12" s="69">
        <v>582</v>
      </c>
      <c r="AG12" s="69">
        <v>1183</v>
      </c>
      <c r="AH12" s="69">
        <v>1686</v>
      </c>
      <c r="AI12" s="142">
        <v>5</v>
      </c>
      <c r="AJ12" s="110">
        <v>10</v>
      </c>
      <c r="AK12" s="143">
        <v>0</v>
      </c>
      <c r="AL12" s="69">
        <v>5</v>
      </c>
      <c r="AM12" s="69">
        <v>10</v>
      </c>
      <c r="AN12" s="69">
        <v>0</v>
      </c>
      <c r="AO12" s="69">
        <v>5</v>
      </c>
      <c r="AP12" s="69">
        <v>10</v>
      </c>
      <c r="AQ12" s="69">
        <v>0</v>
      </c>
      <c r="AR12" s="69">
        <v>2297</v>
      </c>
      <c r="AS12" s="69">
        <v>2513</v>
      </c>
      <c r="AT12" s="69">
        <v>2502</v>
      </c>
      <c r="AU12" s="110">
        <v>2884</v>
      </c>
      <c r="AV12" s="69">
        <v>3706</v>
      </c>
      <c r="AW12" s="69">
        <v>4188</v>
      </c>
      <c r="AX12" s="69">
        <v>587</v>
      </c>
      <c r="AY12" s="69">
        <v>1193</v>
      </c>
      <c r="AZ12" s="69">
        <v>1686</v>
      </c>
      <c r="BA12" s="69">
        <v>587</v>
      </c>
      <c r="BB12" s="69">
        <v>1193</v>
      </c>
      <c r="BC12" s="69">
        <v>1686</v>
      </c>
      <c r="BE12" s="131">
        <f t="shared" si="0"/>
        <v>0</v>
      </c>
      <c r="BF12" s="131">
        <f t="shared" si="1"/>
        <v>0.36184565569347005</v>
      </c>
      <c r="BG12" s="131">
        <f t="shared" si="2"/>
        <v>0.37034383954154726</v>
      </c>
      <c r="BI12" s="131">
        <f t="shared" si="3"/>
        <v>0.99826629680998613</v>
      </c>
      <c r="BJ12" s="131">
        <f t="shared" si="4"/>
        <v>0.63545601726929302</v>
      </c>
      <c r="BK12" s="131">
        <f t="shared" si="5"/>
        <v>0.62965616045845274</v>
      </c>
      <c r="BM12" s="131">
        <f t="shared" si="6"/>
        <v>0</v>
      </c>
      <c r="BN12" s="131">
        <f t="shared" si="7"/>
        <v>0</v>
      </c>
      <c r="BO12" s="131">
        <f t="shared" si="8"/>
        <v>0</v>
      </c>
      <c r="BQ12" s="145">
        <f t="shared" si="9"/>
        <v>0.46879334257975036</v>
      </c>
      <c r="BR12" s="145">
        <f t="shared" si="10"/>
        <v>0.28710199676200754</v>
      </c>
      <c r="BS12" s="145">
        <f t="shared" si="11"/>
        <v>0.17287488061127029</v>
      </c>
      <c r="BU12" s="145">
        <f t="shared" si="12"/>
        <v>0.52947295423023577</v>
      </c>
      <c r="BV12" s="145">
        <f t="shared" si="13"/>
        <v>0.34835402050728548</v>
      </c>
      <c r="BW12" s="145">
        <f t="shared" si="14"/>
        <v>0.45678127984718242</v>
      </c>
      <c r="BY12" s="145">
        <f t="shared" si="15"/>
        <v>0</v>
      </c>
      <c r="BZ12" s="145">
        <f t="shared" si="16"/>
        <v>0</v>
      </c>
      <c r="CA12" s="145">
        <f t="shared" si="17"/>
        <v>0</v>
      </c>
      <c r="CB12" s="131"/>
      <c r="CC12" s="145">
        <f t="shared" si="18"/>
        <v>1.7337031900138697E-3</v>
      </c>
      <c r="CD12" s="145">
        <f t="shared" si="19"/>
        <v>2.6983270372369131E-3</v>
      </c>
      <c r="CE12" s="145">
        <f t="shared" si="20"/>
        <v>0</v>
      </c>
      <c r="CG12" s="131">
        <f t="shared" si="35"/>
        <v>1</v>
      </c>
      <c r="CH12" s="131">
        <f t="shared" si="36"/>
        <v>1</v>
      </c>
      <c r="CI12" s="131">
        <f t="shared" si="37"/>
        <v>1</v>
      </c>
      <c r="CK12" s="131">
        <f t="shared" si="38"/>
        <v>0</v>
      </c>
      <c r="CL12" s="131">
        <f t="shared" si="39"/>
        <v>0</v>
      </c>
      <c r="CM12" s="131">
        <f t="shared" si="40"/>
        <v>0</v>
      </c>
      <c r="CO12" s="110">
        <f t="shared" si="41"/>
        <v>0</v>
      </c>
      <c r="CP12" s="110">
        <f t="shared" si="42"/>
        <v>0</v>
      </c>
      <c r="CQ12" s="110">
        <f t="shared" si="43"/>
        <v>0</v>
      </c>
      <c r="CR12" s="110"/>
      <c r="CS12" s="110"/>
      <c r="CT12" s="110">
        <v>1352</v>
      </c>
      <c r="CV12" s="110">
        <f t="shared" si="75"/>
        <v>0</v>
      </c>
      <c r="CW12" s="110">
        <f t="shared" si="44"/>
        <v>1.8625</v>
      </c>
      <c r="CX12" s="110">
        <f t="shared" si="45"/>
        <v>2.1541666666666668</v>
      </c>
      <c r="CZ12" s="110">
        <f t="shared" si="46"/>
        <v>0</v>
      </c>
      <c r="DA12" s="110">
        <f t="shared" si="47"/>
        <v>1</v>
      </c>
      <c r="DB12" s="110">
        <f t="shared" si="48"/>
        <v>1</v>
      </c>
      <c r="DC12" s="110">
        <f t="shared" si="49"/>
        <v>0</v>
      </c>
      <c r="DD12" s="110">
        <f t="shared" si="50"/>
        <v>0</v>
      </c>
      <c r="DE12" s="110">
        <f t="shared" si="51"/>
        <v>0</v>
      </c>
      <c r="DF12" s="110">
        <f t="shared" si="52"/>
        <v>1</v>
      </c>
      <c r="DG12" s="110">
        <f t="shared" si="53"/>
        <v>1</v>
      </c>
      <c r="DH12" s="110">
        <f t="shared" si="54"/>
        <v>1</v>
      </c>
      <c r="DI12" s="110">
        <f t="shared" si="55"/>
        <v>1</v>
      </c>
      <c r="DJ12" s="110">
        <f t="shared" si="56"/>
        <v>1</v>
      </c>
      <c r="DK12" s="110">
        <f t="shared" si="57"/>
        <v>1</v>
      </c>
      <c r="DL12" s="110">
        <f t="shared" si="58"/>
        <v>0</v>
      </c>
      <c r="DM12" s="110">
        <f t="shared" si="59"/>
        <v>0</v>
      </c>
      <c r="DN12" s="110">
        <f t="shared" si="60"/>
        <v>0</v>
      </c>
      <c r="DO12" s="110">
        <f t="shared" si="61"/>
        <v>1</v>
      </c>
      <c r="DP12" s="110">
        <f t="shared" si="62"/>
        <v>1</v>
      </c>
      <c r="DQ12" s="110">
        <f t="shared" si="63"/>
        <v>0</v>
      </c>
      <c r="DR12" s="110">
        <f t="shared" si="64"/>
        <v>0</v>
      </c>
      <c r="DS12" s="110">
        <f t="shared" si="65"/>
        <v>0</v>
      </c>
      <c r="DT12" s="110">
        <f t="shared" si="66"/>
        <v>0</v>
      </c>
      <c r="DU12" s="69">
        <f t="shared" si="67"/>
        <v>3</v>
      </c>
      <c r="DV12" s="69">
        <f t="shared" si="68"/>
        <v>4</v>
      </c>
      <c r="DW12" s="69">
        <f t="shared" si="69"/>
        <v>3</v>
      </c>
      <c r="DX12" s="69">
        <f t="shared" si="70"/>
        <v>3.3333333333333335</v>
      </c>
      <c r="DY12" s="69">
        <f t="shared" si="71"/>
        <v>0.47140452079103168</v>
      </c>
      <c r="DZ12" s="135">
        <f t="shared" si="72"/>
        <v>0</v>
      </c>
      <c r="EA12" s="69">
        <f t="shared" si="32"/>
        <v>0</v>
      </c>
      <c r="EB12" s="69">
        <f t="shared" si="32"/>
        <v>1</v>
      </c>
      <c r="EC12" s="69">
        <f t="shared" si="32"/>
        <v>0</v>
      </c>
      <c r="ED12" s="69">
        <f t="shared" si="32"/>
        <v>0</v>
      </c>
      <c r="EE12" s="69">
        <f t="shared" si="32"/>
        <v>0</v>
      </c>
      <c r="EF12" s="69">
        <f t="shared" si="32"/>
        <v>0</v>
      </c>
      <c r="EG12" s="69">
        <f t="shared" si="73"/>
        <v>0</v>
      </c>
      <c r="EH12" s="69">
        <f t="shared" si="33"/>
        <v>0</v>
      </c>
      <c r="EI12" s="69">
        <f t="shared" si="33"/>
        <v>0</v>
      </c>
      <c r="EJ12" s="69">
        <f t="shared" si="33"/>
        <v>1</v>
      </c>
      <c r="EK12" s="69">
        <f t="shared" si="33"/>
        <v>0</v>
      </c>
      <c r="EL12" s="69">
        <f t="shared" si="33"/>
        <v>0</v>
      </c>
      <c r="EM12" s="69">
        <f t="shared" si="33"/>
        <v>0</v>
      </c>
      <c r="EN12" s="69">
        <f t="shared" si="74"/>
        <v>0</v>
      </c>
      <c r="EO12" s="69">
        <f t="shared" si="34"/>
        <v>0</v>
      </c>
      <c r="EP12" s="69">
        <f t="shared" si="34"/>
        <v>1</v>
      </c>
      <c r="EQ12" s="69">
        <f t="shared" si="34"/>
        <v>0</v>
      </c>
      <c r="ER12" s="69">
        <f t="shared" si="34"/>
        <v>0</v>
      </c>
      <c r="ES12" s="69">
        <f t="shared" si="34"/>
        <v>0</v>
      </c>
      <c r="ET12" s="110">
        <f t="shared" si="34"/>
        <v>0</v>
      </c>
    </row>
    <row r="13" spans="1:205" s="69" customFormat="1">
      <c r="A13" s="69" t="s">
        <v>104</v>
      </c>
      <c r="B13" s="69">
        <v>25</v>
      </c>
      <c r="C13" s="69" t="s">
        <v>31</v>
      </c>
      <c r="D13" s="69" t="s">
        <v>33</v>
      </c>
      <c r="E13" s="135">
        <f>(EY13/1100)*25</f>
        <v>146.36363636363637</v>
      </c>
      <c r="F13" s="135">
        <f t="shared" ref="F13:BC13" si="77">(EZ13/1100)*25</f>
        <v>147.20454545454544</v>
      </c>
      <c r="G13" s="135">
        <f t="shared" si="77"/>
        <v>215.40909090909093</v>
      </c>
      <c r="H13" s="205">
        <f t="shared" si="77"/>
        <v>21.545454545454547</v>
      </c>
      <c r="I13" s="205">
        <f t="shared" si="77"/>
        <v>20.31818181818182</v>
      </c>
      <c r="J13" s="205">
        <f t="shared" si="77"/>
        <v>37.090909090909093</v>
      </c>
      <c r="K13" s="135">
        <f t="shared" si="77"/>
        <v>0</v>
      </c>
      <c r="L13" s="135">
        <f t="shared" si="77"/>
        <v>0</v>
      </c>
      <c r="M13" s="135">
        <f t="shared" si="77"/>
        <v>0.13636363636363638</v>
      </c>
      <c r="N13" s="205">
        <f t="shared" si="77"/>
        <v>67.477272727272734</v>
      </c>
      <c r="O13" s="205">
        <f t="shared" si="77"/>
        <v>62.772727272727266</v>
      </c>
      <c r="P13" s="205">
        <f t="shared" si="77"/>
        <v>91.886363636363626</v>
      </c>
      <c r="Q13" s="205">
        <f t="shared" si="77"/>
        <v>0</v>
      </c>
      <c r="R13" s="205">
        <f t="shared" si="77"/>
        <v>0</v>
      </c>
      <c r="S13" s="205">
        <f t="shared" si="77"/>
        <v>0</v>
      </c>
      <c r="T13" s="205">
        <f t="shared" si="77"/>
        <v>14.477272727272727</v>
      </c>
      <c r="U13" s="205">
        <f t="shared" si="77"/>
        <v>16.454545454545453</v>
      </c>
      <c r="V13" s="205">
        <f t="shared" si="77"/>
        <v>18.272727272727273</v>
      </c>
      <c r="W13" s="205">
        <f t="shared" si="77"/>
        <v>53</v>
      </c>
      <c r="X13" s="205">
        <f t="shared" si="77"/>
        <v>53.13636363636364</v>
      </c>
      <c r="Y13" s="205">
        <f t="shared" si="77"/>
        <v>73.61363636363636</v>
      </c>
      <c r="Z13" s="205">
        <f t="shared" si="77"/>
        <v>57.340909090909086</v>
      </c>
      <c r="AA13" s="205">
        <f t="shared" si="77"/>
        <v>64.11363636363636</v>
      </c>
      <c r="AB13" s="205">
        <f t="shared" si="77"/>
        <v>86.295454545454547</v>
      </c>
      <c r="AC13" s="135">
        <f t="shared" si="77"/>
        <v>-10.886363636363635</v>
      </c>
      <c r="AD13" s="135">
        <f t="shared" si="77"/>
        <v>4.9772727272727275</v>
      </c>
      <c r="AE13" s="135">
        <f t="shared" si="77"/>
        <v>41.977272727272727</v>
      </c>
      <c r="AF13" s="135">
        <f t="shared" si="77"/>
        <v>-11.886363636363637</v>
      </c>
      <c r="AG13" s="135">
        <f t="shared" si="77"/>
        <v>4.2727272727272725</v>
      </c>
      <c r="AH13" s="135">
        <f t="shared" si="77"/>
        <v>41.022727272727273</v>
      </c>
      <c r="AI13" s="210">
        <f t="shared" si="77"/>
        <v>7.8181818181818183</v>
      </c>
      <c r="AJ13" s="205">
        <f t="shared" si="77"/>
        <v>7.2727272727272725</v>
      </c>
      <c r="AK13" s="211">
        <f t="shared" si="77"/>
        <v>9.7727272727272734</v>
      </c>
      <c r="AL13" s="135">
        <f t="shared" si="77"/>
        <v>1.8181818181818181</v>
      </c>
      <c r="AM13" s="135">
        <f t="shared" si="77"/>
        <v>1.9772727272727271</v>
      </c>
      <c r="AN13" s="135">
        <f t="shared" si="77"/>
        <v>-1.8181818181818181</v>
      </c>
      <c r="AO13" s="135">
        <f t="shared" si="77"/>
        <v>1.6363636363636365</v>
      </c>
      <c r="AP13" s="135">
        <f t="shared" si="77"/>
        <v>1.9772727272727271</v>
      </c>
      <c r="AQ13" s="135">
        <f t="shared" si="77"/>
        <v>-1.8181818181818181</v>
      </c>
      <c r="AR13" s="135">
        <f t="shared" si="77"/>
        <v>163.25</v>
      </c>
      <c r="AS13" s="135">
        <f t="shared" si="77"/>
        <v>147.52272727272728</v>
      </c>
      <c r="AT13" s="135">
        <f t="shared" si="77"/>
        <v>185.02272727272728</v>
      </c>
      <c r="AU13" s="205">
        <f t="shared" si="77"/>
        <v>154.18181818181819</v>
      </c>
      <c r="AV13" s="135">
        <f t="shared" si="77"/>
        <v>154.47727272727272</v>
      </c>
      <c r="AW13" s="135">
        <f t="shared" si="77"/>
        <v>225.18181818181819</v>
      </c>
      <c r="AX13" s="135">
        <f t="shared" si="77"/>
        <v>-9.0681818181818183</v>
      </c>
      <c r="AY13" s="135">
        <f t="shared" si="77"/>
        <v>6.954545454545455</v>
      </c>
      <c r="AZ13" s="135">
        <f t="shared" si="77"/>
        <v>40.159090909090914</v>
      </c>
      <c r="BA13" s="135">
        <f t="shared" si="77"/>
        <v>-10.25</v>
      </c>
      <c r="BB13" s="135">
        <f t="shared" si="77"/>
        <v>6.25</v>
      </c>
      <c r="BC13" s="135">
        <f t="shared" si="77"/>
        <v>39.204545454545453</v>
      </c>
      <c r="BE13" s="131">
        <f t="shared" si="0"/>
        <v>0.37190448113207542</v>
      </c>
      <c r="BF13" s="131">
        <f t="shared" si="1"/>
        <v>0.41503604531410915</v>
      </c>
      <c r="BG13" s="131">
        <f t="shared" si="2"/>
        <v>0.38322567622123538</v>
      </c>
      <c r="BI13" s="131">
        <f t="shared" si="3"/>
        <v>0.43764740566037741</v>
      </c>
      <c r="BJ13" s="131">
        <f t="shared" si="4"/>
        <v>0.40635574518169781</v>
      </c>
      <c r="BK13" s="131">
        <f t="shared" si="5"/>
        <v>0.40805409769882917</v>
      </c>
      <c r="BM13" s="131">
        <f t="shared" si="6"/>
        <v>0</v>
      </c>
      <c r="BN13" s="131">
        <f t="shared" si="7"/>
        <v>0</v>
      </c>
      <c r="BO13" s="131">
        <f t="shared" si="8"/>
        <v>0</v>
      </c>
      <c r="BQ13" s="145">
        <f t="shared" si="9"/>
        <v>9.3897405660377353E-2</v>
      </c>
      <c r="BR13" s="145">
        <f t="shared" si="10"/>
        <v>0.1065175812858614</v>
      </c>
      <c r="BS13" s="145">
        <f t="shared" si="11"/>
        <v>8.1146548243843361E-2</v>
      </c>
      <c r="BU13" s="145">
        <f t="shared" si="12"/>
        <v>0.34375</v>
      </c>
      <c r="BV13" s="145">
        <f t="shared" si="13"/>
        <v>0.34397528321318233</v>
      </c>
      <c r="BW13" s="145">
        <f t="shared" si="14"/>
        <v>0.32690754945498585</v>
      </c>
      <c r="BY13" s="145">
        <f t="shared" si="15"/>
        <v>0.13974056603773585</v>
      </c>
      <c r="BZ13" s="145">
        <f t="shared" si="16"/>
        <v>0.13152861556569076</v>
      </c>
      <c r="CA13" s="145">
        <f t="shared" si="17"/>
        <v>0.16471538150989101</v>
      </c>
      <c r="CB13" s="131"/>
      <c r="CC13" s="145">
        <f t="shared" si="18"/>
        <v>5.0707547169811323E-2</v>
      </c>
      <c r="CD13" s="145">
        <f t="shared" si="19"/>
        <v>4.7079593938502279E-2</v>
      </c>
      <c r="CE13" s="145">
        <f t="shared" si="20"/>
        <v>4.3399273314493343E-2</v>
      </c>
      <c r="CG13" s="131">
        <f t="shared" si="35"/>
        <v>1</v>
      </c>
      <c r="CH13" s="131">
        <f t="shared" si="36"/>
        <v>1</v>
      </c>
      <c r="CI13" s="131">
        <f t="shared" si="37"/>
        <v>0.99939442874444884</v>
      </c>
      <c r="CK13" s="131">
        <f t="shared" si="38"/>
        <v>0</v>
      </c>
      <c r="CL13" s="131">
        <f t="shared" si="39"/>
        <v>0</v>
      </c>
      <c r="CM13" s="131">
        <f t="shared" si="40"/>
        <v>6.0557125555116276E-4</v>
      </c>
      <c r="CO13" s="110">
        <f t="shared" si="41"/>
        <v>0</v>
      </c>
      <c r="CP13" s="110">
        <f t="shared" si="42"/>
        <v>0</v>
      </c>
      <c r="CQ13" s="110">
        <f t="shared" si="43"/>
        <v>0.13636363636365728</v>
      </c>
      <c r="CR13" s="110"/>
      <c r="CS13" s="110"/>
      <c r="CT13" s="205">
        <v>14.477272727272727</v>
      </c>
      <c r="CV13" s="110">
        <f t="shared" si="75"/>
        <v>2.2936363636363635</v>
      </c>
      <c r="CW13" s="110">
        <f t="shared" si="44"/>
        <v>2.5645454545454545</v>
      </c>
      <c r="CX13" s="110">
        <f t="shared" si="45"/>
        <v>3.4518181818181817</v>
      </c>
      <c r="CZ13" s="110">
        <f t="shared" si="46"/>
        <v>1</v>
      </c>
      <c r="DA13" s="110">
        <f t="shared" si="47"/>
        <v>1</v>
      </c>
      <c r="DB13" s="110">
        <f t="shared" si="48"/>
        <v>1</v>
      </c>
      <c r="DC13" s="110">
        <f t="shared" si="49"/>
        <v>0</v>
      </c>
      <c r="DD13" s="110">
        <f t="shared" si="50"/>
        <v>0</v>
      </c>
      <c r="DE13" s="110">
        <f t="shared" si="51"/>
        <v>0</v>
      </c>
      <c r="DF13" s="110">
        <f t="shared" si="52"/>
        <v>1</v>
      </c>
      <c r="DG13" s="110">
        <f t="shared" si="53"/>
        <v>1</v>
      </c>
      <c r="DH13" s="110">
        <f t="shared" si="54"/>
        <v>1</v>
      </c>
      <c r="DI13" s="110">
        <f t="shared" si="55"/>
        <v>1</v>
      </c>
      <c r="DJ13" s="110">
        <f t="shared" si="56"/>
        <v>1</v>
      </c>
      <c r="DK13" s="110">
        <f t="shared" si="57"/>
        <v>1</v>
      </c>
      <c r="DL13" s="110">
        <f t="shared" si="58"/>
        <v>1</v>
      </c>
      <c r="DM13" s="110">
        <f t="shared" si="59"/>
        <v>1</v>
      </c>
      <c r="DN13" s="110">
        <f t="shared" si="60"/>
        <v>1</v>
      </c>
      <c r="DO13" s="110">
        <f t="shared" si="61"/>
        <v>1</v>
      </c>
      <c r="DP13" s="110">
        <f t="shared" si="62"/>
        <v>1</v>
      </c>
      <c r="DQ13" s="110">
        <f t="shared" si="63"/>
        <v>1</v>
      </c>
      <c r="DR13" s="110">
        <f t="shared" si="64"/>
        <v>0</v>
      </c>
      <c r="DS13" s="110">
        <f t="shared" si="65"/>
        <v>0</v>
      </c>
      <c r="DT13" s="110">
        <f t="shared" si="66"/>
        <v>1</v>
      </c>
      <c r="DU13" s="69">
        <f t="shared" si="67"/>
        <v>5</v>
      </c>
      <c r="DV13" s="69">
        <f t="shared" si="68"/>
        <v>5</v>
      </c>
      <c r="DW13" s="69">
        <f t="shared" si="69"/>
        <v>6</v>
      </c>
      <c r="DX13" s="69">
        <f t="shared" si="70"/>
        <v>5.333333333333333</v>
      </c>
      <c r="DY13" s="69">
        <f t="shared" si="71"/>
        <v>0.47140452079103168</v>
      </c>
      <c r="DZ13" s="135">
        <f t="shared" si="72"/>
        <v>0</v>
      </c>
      <c r="EA13" s="69">
        <f t="shared" si="32"/>
        <v>0</v>
      </c>
      <c r="EB13" s="69">
        <f t="shared" si="32"/>
        <v>0</v>
      </c>
      <c r="EC13" s="69">
        <f t="shared" si="32"/>
        <v>0</v>
      </c>
      <c r="ED13" s="69">
        <f t="shared" si="32"/>
        <v>1</v>
      </c>
      <c r="EE13" s="69">
        <f t="shared" si="32"/>
        <v>0</v>
      </c>
      <c r="EF13" s="69">
        <f t="shared" si="32"/>
        <v>0</v>
      </c>
      <c r="EG13" s="69">
        <f t="shared" si="73"/>
        <v>0</v>
      </c>
      <c r="EH13" s="69">
        <f t="shared" si="33"/>
        <v>0</v>
      </c>
      <c r="EI13" s="69">
        <f t="shared" si="33"/>
        <v>0</v>
      </c>
      <c r="EJ13" s="69">
        <f t="shared" si="33"/>
        <v>0</v>
      </c>
      <c r="EK13" s="69">
        <f t="shared" si="33"/>
        <v>1</v>
      </c>
      <c r="EL13" s="69">
        <f t="shared" si="33"/>
        <v>0</v>
      </c>
      <c r="EM13" s="69">
        <f t="shared" si="33"/>
        <v>0</v>
      </c>
      <c r="EN13" s="69">
        <f t="shared" si="74"/>
        <v>0</v>
      </c>
      <c r="EO13" s="69">
        <f t="shared" si="34"/>
        <v>0</v>
      </c>
      <c r="EP13" s="69">
        <f t="shared" si="34"/>
        <v>0</v>
      </c>
      <c r="EQ13" s="69">
        <f t="shared" si="34"/>
        <v>0</v>
      </c>
      <c r="ER13" s="69">
        <f t="shared" si="34"/>
        <v>0</v>
      </c>
      <c r="ES13" s="69">
        <f t="shared" si="34"/>
        <v>1</v>
      </c>
      <c r="ET13" s="110">
        <f t="shared" si="34"/>
        <v>0</v>
      </c>
      <c r="EY13" s="69">
        <v>6440</v>
      </c>
      <c r="EZ13" s="69">
        <v>6477</v>
      </c>
      <c r="FA13" s="69">
        <v>9478</v>
      </c>
      <c r="FB13" s="69">
        <v>948</v>
      </c>
      <c r="FC13" s="69">
        <v>894</v>
      </c>
      <c r="FD13" s="69">
        <v>1632</v>
      </c>
      <c r="FE13" s="69">
        <v>0</v>
      </c>
      <c r="FF13" s="69">
        <v>0</v>
      </c>
      <c r="FG13" s="69">
        <v>6</v>
      </c>
      <c r="FH13" s="69">
        <v>2969</v>
      </c>
      <c r="FI13" s="69">
        <v>2762</v>
      </c>
      <c r="FJ13" s="69">
        <v>4043</v>
      </c>
      <c r="FK13" s="69">
        <v>0</v>
      </c>
      <c r="FL13" s="69">
        <v>0</v>
      </c>
      <c r="FM13" s="69">
        <v>0</v>
      </c>
      <c r="FN13" s="69">
        <v>637</v>
      </c>
      <c r="FO13" s="69">
        <v>724</v>
      </c>
      <c r="FP13" s="69">
        <v>804</v>
      </c>
      <c r="FQ13" s="69">
        <v>2332</v>
      </c>
      <c r="FR13" s="69">
        <v>2338</v>
      </c>
      <c r="FS13" s="69">
        <v>3239</v>
      </c>
      <c r="FT13" s="69">
        <v>2523</v>
      </c>
      <c r="FU13" s="69">
        <v>2821</v>
      </c>
      <c r="FV13" s="69">
        <v>3797</v>
      </c>
      <c r="FW13" s="69">
        <v>-479</v>
      </c>
      <c r="FX13" s="69">
        <v>219</v>
      </c>
      <c r="FY13" s="69">
        <v>1847</v>
      </c>
      <c r="FZ13" s="69">
        <v>-523</v>
      </c>
      <c r="GA13" s="69">
        <v>188</v>
      </c>
      <c r="GB13" s="69">
        <v>1805</v>
      </c>
      <c r="GC13" s="69">
        <v>344</v>
      </c>
      <c r="GD13" s="69">
        <v>320</v>
      </c>
      <c r="GE13" s="69">
        <v>430</v>
      </c>
      <c r="GF13" s="69">
        <v>80</v>
      </c>
      <c r="GG13" s="69">
        <v>87</v>
      </c>
      <c r="GH13" s="69">
        <v>-80</v>
      </c>
      <c r="GI13" s="69">
        <v>72</v>
      </c>
      <c r="GJ13" s="69">
        <v>87</v>
      </c>
      <c r="GK13" s="69">
        <v>-80</v>
      </c>
      <c r="GL13" s="69">
        <v>7183</v>
      </c>
      <c r="GM13" s="69">
        <v>6491</v>
      </c>
      <c r="GN13" s="69">
        <v>8141</v>
      </c>
      <c r="GO13" s="69">
        <v>6784</v>
      </c>
      <c r="GP13" s="69">
        <v>6797</v>
      </c>
      <c r="GQ13" s="69">
        <v>9908</v>
      </c>
      <c r="GR13" s="69">
        <v>-399</v>
      </c>
      <c r="GS13" s="69">
        <v>306</v>
      </c>
      <c r="GT13" s="69">
        <v>1767</v>
      </c>
      <c r="GU13" s="69">
        <v>-451</v>
      </c>
      <c r="GV13" s="69">
        <v>275</v>
      </c>
      <c r="GW13" s="69">
        <v>1725</v>
      </c>
    </row>
    <row r="14" spans="1:205" s="69" customFormat="1">
      <c r="A14" s="69" t="s">
        <v>134</v>
      </c>
      <c r="B14" s="69">
        <v>300</v>
      </c>
      <c r="C14" s="69" t="s">
        <v>31</v>
      </c>
      <c r="D14" s="69" t="s">
        <v>35</v>
      </c>
      <c r="E14" s="69">
        <v>2879</v>
      </c>
      <c r="F14" s="69">
        <v>3696</v>
      </c>
      <c r="G14" s="69">
        <v>4188</v>
      </c>
      <c r="H14" s="110">
        <v>0</v>
      </c>
      <c r="I14" s="110">
        <v>0</v>
      </c>
      <c r="J14" s="110">
        <v>0</v>
      </c>
      <c r="K14" s="69">
        <v>0</v>
      </c>
      <c r="L14" s="69">
        <v>0</v>
      </c>
      <c r="M14" s="69">
        <v>0</v>
      </c>
      <c r="N14" s="110">
        <v>2879</v>
      </c>
      <c r="O14" s="110">
        <v>2355</v>
      </c>
      <c r="P14" s="110">
        <v>2637</v>
      </c>
      <c r="Q14" s="110">
        <v>0</v>
      </c>
      <c r="R14" s="110">
        <v>0</v>
      </c>
      <c r="S14" s="110">
        <v>0</v>
      </c>
      <c r="T14" s="110">
        <v>1352</v>
      </c>
      <c r="U14" s="110">
        <v>1064</v>
      </c>
      <c r="V14" s="110">
        <v>724</v>
      </c>
      <c r="W14" s="110">
        <v>1527</v>
      </c>
      <c r="X14" s="110">
        <v>1291</v>
      </c>
      <c r="Y14" s="110">
        <v>1913</v>
      </c>
      <c r="Z14" s="110">
        <v>0</v>
      </c>
      <c r="AA14" s="110">
        <v>1341</v>
      </c>
      <c r="AB14" s="110">
        <v>1551</v>
      </c>
      <c r="AC14" s="69">
        <v>582</v>
      </c>
      <c r="AD14" s="69">
        <v>1183</v>
      </c>
      <c r="AE14" s="69">
        <v>1686</v>
      </c>
      <c r="AF14" s="69">
        <v>582</v>
      </c>
      <c r="AG14" s="69">
        <v>1183</v>
      </c>
      <c r="AH14" s="69">
        <v>1686</v>
      </c>
      <c r="AI14" s="142">
        <v>5</v>
      </c>
      <c r="AJ14" s="110">
        <v>10</v>
      </c>
      <c r="AK14" s="143">
        <v>0</v>
      </c>
      <c r="AL14" s="69">
        <v>5</v>
      </c>
      <c r="AM14" s="69">
        <v>10</v>
      </c>
      <c r="AN14" s="69">
        <v>0</v>
      </c>
      <c r="AO14" s="69">
        <v>5</v>
      </c>
      <c r="AP14" s="69">
        <v>10</v>
      </c>
      <c r="AQ14" s="69">
        <v>0</v>
      </c>
      <c r="AR14" s="69">
        <v>2297</v>
      </c>
      <c r="AS14" s="69">
        <v>2513</v>
      </c>
      <c r="AT14" s="69">
        <v>2502</v>
      </c>
      <c r="AU14" s="110">
        <v>2884</v>
      </c>
      <c r="AV14" s="69">
        <v>3706</v>
      </c>
      <c r="AW14" s="69">
        <v>4188</v>
      </c>
      <c r="AX14" s="69">
        <v>587</v>
      </c>
      <c r="AY14" s="69">
        <v>1193</v>
      </c>
      <c r="AZ14" s="69">
        <v>1686</v>
      </c>
      <c r="BA14" s="69">
        <v>587</v>
      </c>
      <c r="BB14" s="69">
        <v>1193</v>
      </c>
      <c r="BC14" s="69">
        <v>1686</v>
      </c>
      <c r="BE14" s="131">
        <f t="shared" si="0"/>
        <v>0</v>
      </c>
      <c r="BF14" s="131">
        <f t="shared" si="1"/>
        <v>0.36184565569347005</v>
      </c>
      <c r="BG14" s="131">
        <f t="shared" si="2"/>
        <v>0.37034383954154726</v>
      </c>
      <c r="BI14" s="131">
        <f t="shared" si="3"/>
        <v>0.99826629680998613</v>
      </c>
      <c r="BJ14" s="131">
        <f t="shared" si="4"/>
        <v>0.63545601726929302</v>
      </c>
      <c r="BK14" s="131">
        <f t="shared" si="5"/>
        <v>0.62965616045845274</v>
      </c>
      <c r="BM14" s="131">
        <f t="shared" si="6"/>
        <v>0</v>
      </c>
      <c r="BN14" s="131">
        <f t="shared" si="7"/>
        <v>0</v>
      </c>
      <c r="BO14" s="131">
        <f t="shared" si="8"/>
        <v>0</v>
      </c>
      <c r="BQ14" s="145">
        <f t="shared" si="9"/>
        <v>0.46879334257975036</v>
      </c>
      <c r="BR14" s="145">
        <f t="shared" si="10"/>
        <v>0.28710199676200754</v>
      </c>
      <c r="BS14" s="145">
        <f t="shared" si="11"/>
        <v>0.17287488061127029</v>
      </c>
      <c r="BU14" s="145">
        <f t="shared" si="12"/>
        <v>0.52947295423023577</v>
      </c>
      <c r="BV14" s="145">
        <f t="shared" si="13"/>
        <v>0.34835402050728548</v>
      </c>
      <c r="BW14" s="145">
        <f t="shared" si="14"/>
        <v>0.45678127984718242</v>
      </c>
      <c r="BY14" s="145">
        <f t="shared" si="15"/>
        <v>0</v>
      </c>
      <c r="BZ14" s="145">
        <f t="shared" si="16"/>
        <v>0</v>
      </c>
      <c r="CA14" s="145">
        <f t="shared" si="17"/>
        <v>0</v>
      </c>
      <c r="CB14" s="131"/>
      <c r="CC14" s="145">
        <f t="shared" si="18"/>
        <v>1.7337031900138697E-3</v>
      </c>
      <c r="CD14" s="145">
        <f t="shared" si="19"/>
        <v>2.6983270372369131E-3</v>
      </c>
      <c r="CE14" s="145">
        <f t="shared" si="20"/>
        <v>0</v>
      </c>
      <c r="CG14" s="131">
        <f t="shared" si="35"/>
        <v>1</v>
      </c>
      <c r="CH14" s="131">
        <f t="shared" si="36"/>
        <v>1</v>
      </c>
      <c r="CI14" s="131">
        <f t="shared" si="37"/>
        <v>1</v>
      </c>
      <c r="CK14" s="131">
        <f t="shared" si="38"/>
        <v>0</v>
      </c>
      <c r="CL14" s="131">
        <f t="shared" si="39"/>
        <v>0</v>
      </c>
      <c r="CM14" s="131">
        <f t="shared" si="40"/>
        <v>0</v>
      </c>
      <c r="CO14" s="110">
        <f t="shared" si="41"/>
        <v>0</v>
      </c>
      <c r="CP14" s="110">
        <f t="shared" si="42"/>
        <v>0</v>
      </c>
      <c r="CQ14" s="110">
        <f t="shared" si="43"/>
        <v>0</v>
      </c>
      <c r="CR14" s="110"/>
      <c r="CS14" s="110"/>
      <c r="CT14" s="110">
        <v>1352</v>
      </c>
      <c r="CV14" s="110">
        <f t="shared" si="75"/>
        <v>0</v>
      </c>
      <c r="CW14" s="110">
        <f t="shared" si="44"/>
        <v>4.47</v>
      </c>
      <c r="CX14" s="110">
        <f t="shared" si="45"/>
        <v>5.17</v>
      </c>
      <c r="CZ14" s="110">
        <f t="shared" si="46"/>
        <v>0</v>
      </c>
      <c r="DA14" s="110">
        <f t="shared" si="47"/>
        <v>1</v>
      </c>
      <c r="DB14" s="110">
        <f t="shared" si="48"/>
        <v>1</v>
      </c>
      <c r="DC14" s="110">
        <f t="shared" si="49"/>
        <v>0</v>
      </c>
      <c r="DD14" s="110">
        <f t="shared" si="50"/>
        <v>0</v>
      </c>
      <c r="DE14" s="110">
        <f t="shared" si="51"/>
        <v>0</v>
      </c>
      <c r="DF14" s="110">
        <f t="shared" si="52"/>
        <v>1</v>
      </c>
      <c r="DG14" s="110">
        <f t="shared" si="53"/>
        <v>1</v>
      </c>
      <c r="DH14" s="110">
        <f t="shared" si="54"/>
        <v>1</v>
      </c>
      <c r="DI14" s="110">
        <f t="shared" si="55"/>
        <v>1</v>
      </c>
      <c r="DJ14" s="110">
        <f t="shared" si="56"/>
        <v>1</v>
      </c>
      <c r="DK14" s="110">
        <f t="shared" si="57"/>
        <v>1</v>
      </c>
      <c r="DL14" s="110">
        <f t="shared" si="58"/>
        <v>0</v>
      </c>
      <c r="DM14" s="110">
        <f t="shared" si="59"/>
        <v>0</v>
      </c>
      <c r="DN14" s="110">
        <f t="shared" si="60"/>
        <v>0</v>
      </c>
      <c r="DO14" s="110">
        <f t="shared" si="61"/>
        <v>1</v>
      </c>
      <c r="DP14" s="110">
        <f t="shared" si="62"/>
        <v>1</v>
      </c>
      <c r="DQ14" s="110">
        <f t="shared" si="63"/>
        <v>0</v>
      </c>
      <c r="DR14" s="110">
        <f t="shared" si="64"/>
        <v>0</v>
      </c>
      <c r="DS14" s="110">
        <f t="shared" si="65"/>
        <v>0</v>
      </c>
      <c r="DT14" s="110">
        <f t="shared" si="66"/>
        <v>0</v>
      </c>
      <c r="DU14" s="69">
        <f t="shared" si="67"/>
        <v>3</v>
      </c>
      <c r="DV14" s="69">
        <f t="shared" si="68"/>
        <v>4</v>
      </c>
      <c r="DW14" s="69">
        <f t="shared" si="69"/>
        <v>3</v>
      </c>
      <c r="DX14" s="69">
        <f t="shared" si="70"/>
        <v>3.3333333333333335</v>
      </c>
      <c r="DY14" s="69">
        <f t="shared" si="71"/>
        <v>0.47140452079103168</v>
      </c>
      <c r="DZ14" s="135">
        <f t="shared" si="72"/>
        <v>0</v>
      </c>
      <c r="EA14" s="69">
        <f t="shared" si="32"/>
        <v>0</v>
      </c>
      <c r="EB14" s="69">
        <f t="shared" si="32"/>
        <v>1</v>
      </c>
      <c r="EC14" s="69">
        <f t="shared" si="32"/>
        <v>0</v>
      </c>
      <c r="ED14" s="69">
        <f t="shared" si="32"/>
        <v>0</v>
      </c>
      <c r="EE14" s="69">
        <f t="shared" si="32"/>
        <v>0</v>
      </c>
      <c r="EF14" s="69">
        <f t="shared" si="32"/>
        <v>0</v>
      </c>
      <c r="EG14" s="69">
        <f t="shared" si="73"/>
        <v>0</v>
      </c>
      <c r="EH14" s="69">
        <f t="shared" si="33"/>
        <v>0</v>
      </c>
      <c r="EI14" s="69">
        <f t="shared" si="33"/>
        <v>0</v>
      </c>
      <c r="EJ14" s="69">
        <f t="shared" si="33"/>
        <v>1</v>
      </c>
      <c r="EK14" s="69">
        <f t="shared" si="33"/>
        <v>0</v>
      </c>
      <c r="EL14" s="69">
        <f t="shared" si="33"/>
        <v>0</v>
      </c>
      <c r="EM14" s="69">
        <f t="shared" si="33"/>
        <v>0</v>
      </c>
      <c r="EN14" s="69">
        <f t="shared" si="74"/>
        <v>0</v>
      </c>
      <c r="EO14" s="69">
        <f t="shared" si="34"/>
        <v>0</v>
      </c>
      <c r="EP14" s="69">
        <f t="shared" si="34"/>
        <v>1</v>
      </c>
      <c r="EQ14" s="69">
        <f t="shared" si="34"/>
        <v>0</v>
      </c>
      <c r="ER14" s="69">
        <f t="shared" si="34"/>
        <v>0</v>
      </c>
      <c r="ES14" s="69">
        <f t="shared" si="34"/>
        <v>0</v>
      </c>
      <c r="ET14" s="110">
        <f t="shared" si="34"/>
        <v>0</v>
      </c>
    </row>
    <row r="15" spans="1:205" s="30" customFormat="1">
      <c r="A15" s="30" t="s">
        <v>54</v>
      </c>
      <c r="B15" s="30">
        <v>11</v>
      </c>
      <c r="C15" s="30" t="s">
        <v>36</v>
      </c>
      <c r="D15" s="30" t="s">
        <v>35</v>
      </c>
      <c r="E15" s="30">
        <v>14</v>
      </c>
      <c r="F15" s="30">
        <v>18</v>
      </c>
      <c r="G15" s="30">
        <v>14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1</v>
      </c>
      <c r="O15" s="30">
        <v>5</v>
      </c>
      <c r="P15" s="30">
        <v>4</v>
      </c>
      <c r="Q15" s="100">
        <v>0</v>
      </c>
      <c r="R15" s="100">
        <v>0</v>
      </c>
      <c r="S15" s="100">
        <v>0</v>
      </c>
      <c r="T15" s="100">
        <v>0</v>
      </c>
      <c r="U15" s="100">
        <v>0</v>
      </c>
      <c r="V15" s="100">
        <v>0</v>
      </c>
      <c r="W15" s="100">
        <v>0</v>
      </c>
      <c r="X15" s="100">
        <v>0</v>
      </c>
      <c r="Y15" s="100">
        <v>0</v>
      </c>
      <c r="Z15" s="30">
        <v>13</v>
      </c>
      <c r="AA15" s="30">
        <v>13</v>
      </c>
      <c r="AB15" s="30">
        <v>10</v>
      </c>
      <c r="AC15" s="30">
        <v>-2</v>
      </c>
      <c r="AD15" s="30">
        <v>-6</v>
      </c>
      <c r="AE15" s="30">
        <v>2</v>
      </c>
      <c r="AF15" s="30">
        <v>-2</v>
      </c>
      <c r="AG15" s="30">
        <v>-6</v>
      </c>
      <c r="AH15" s="30">
        <v>2</v>
      </c>
      <c r="AI15" s="147">
        <v>0</v>
      </c>
      <c r="AJ15" s="100">
        <v>0</v>
      </c>
      <c r="AK15" s="148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15</v>
      </c>
      <c r="AS15" s="30">
        <v>24</v>
      </c>
      <c r="AT15" s="30">
        <v>12</v>
      </c>
      <c r="AU15" s="30">
        <v>14</v>
      </c>
      <c r="AV15" s="30">
        <v>18</v>
      </c>
      <c r="AW15" s="30">
        <v>14</v>
      </c>
      <c r="AX15" s="30">
        <v>-1</v>
      </c>
      <c r="AY15" s="30">
        <v>-6</v>
      </c>
      <c r="AZ15" s="30">
        <v>2</v>
      </c>
      <c r="BA15" s="30">
        <v>-2</v>
      </c>
      <c r="BB15" s="30">
        <v>-6</v>
      </c>
      <c r="BC15" s="30">
        <v>2</v>
      </c>
      <c r="BE15" s="30">
        <f t="shared" si="0"/>
        <v>0.9285714285714286</v>
      </c>
      <c r="BF15" s="30">
        <f t="shared" si="1"/>
        <v>0.72222222222222221</v>
      </c>
      <c r="BG15" s="30">
        <f t="shared" si="2"/>
        <v>0.7142857142857143</v>
      </c>
      <c r="BI15" s="30">
        <f t="shared" si="3"/>
        <v>7.1428571428571425E-2</v>
      </c>
      <c r="BJ15" s="30">
        <f t="shared" si="4"/>
        <v>0.27777777777777779</v>
      </c>
      <c r="BK15" s="30">
        <f t="shared" si="5"/>
        <v>0.2857142857142857</v>
      </c>
      <c r="BM15" s="30">
        <f t="shared" si="6"/>
        <v>0</v>
      </c>
      <c r="BN15" s="30">
        <f t="shared" si="7"/>
        <v>0</v>
      </c>
      <c r="BO15" s="30">
        <f t="shared" si="8"/>
        <v>0</v>
      </c>
      <c r="BQ15" s="100">
        <f t="shared" si="9"/>
        <v>0</v>
      </c>
      <c r="BR15" s="100">
        <f t="shared" si="10"/>
        <v>0</v>
      </c>
      <c r="BS15" s="100">
        <f t="shared" si="11"/>
        <v>0</v>
      </c>
      <c r="BU15" s="100">
        <f t="shared" si="12"/>
        <v>0</v>
      </c>
      <c r="BV15" s="100">
        <f t="shared" si="13"/>
        <v>0</v>
      </c>
      <c r="BW15" s="100">
        <f t="shared" si="14"/>
        <v>0</v>
      </c>
      <c r="BY15" s="100">
        <f t="shared" si="15"/>
        <v>0</v>
      </c>
      <c r="BZ15" s="100">
        <f t="shared" si="16"/>
        <v>0</v>
      </c>
      <c r="CA15" s="100">
        <f t="shared" si="17"/>
        <v>0</v>
      </c>
      <c r="CC15" s="100">
        <f t="shared" si="18"/>
        <v>0</v>
      </c>
      <c r="CD15" s="100">
        <f t="shared" si="19"/>
        <v>0</v>
      </c>
      <c r="CE15" s="100">
        <f t="shared" si="20"/>
        <v>0</v>
      </c>
      <c r="CG15" s="30">
        <f t="shared" si="35"/>
        <v>1</v>
      </c>
      <c r="CH15" s="30">
        <f t="shared" si="36"/>
        <v>1</v>
      </c>
      <c r="CI15" s="30">
        <f t="shared" si="37"/>
        <v>1</v>
      </c>
      <c r="CK15" s="30">
        <f t="shared" si="38"/>
        <v>0</v>
      </c>
      <c r="CL15" s="30">
        <f t="shared" si="39"/>
        <v>0</v>
      </c>
      <c r="CM15" s="30">
        <f t="shared" si="40"/>
        <v>0</v>
      </c>
      <c r="CO15" s="100">
        <f t="shared" si="41"/>
        <v>0</v>
      </c>
      <c r="CP15" s="100">
        <f t="shared" si="42"/>
        <v>0</v>
      </c>
      <c r="CQ15" s="100">
        <f t="shared" si="43"/>
        <v>0</v>
      </c>
      <c r="CT15" s="30">
        <v>0</v>
      </c>
      <c r="CV15" s="100">
        <f t="shared" si="75"/>
        <v>1.1818181818181819</v>
      </c>
      <c r="CW15" s="100">
        <f t="shared" si="44"/>
        <v>1.1818181818181819</v>
      </c>
      <c r="CX15" s="100">
        <f t="shared" si="45"/>
        <v>0.90909090909090906</v>
      </c>
      <c r="CZ15" s="30">
        <f t="shared" si="46"/>
        <v>1</v>
      </c>
      <c r="DA15" s="30">
        <f t="shared" si="47"/>
        <v>1</v>
      </c>
      <c r="DB15" s="30">
        <f t="shared" si="48"/>
        <v>1</v>
      </c>
      <c r="DC15" s="30">
        <f t="shared" si="49"/>
        <v>0</v>
      </c>
      <c r="DD15" s="30">
        <f t="shared" si="50"/>
        <v>0</v>
      </c>
      <c r="DE15" s="30">
        <f t="shared" si="51"/>
        <v>0</v>
      </c>
      <c r="DF15" s="30">
        <f t="shared" si="52"/>
        <v>0</v>
      </c>
      <c r="DG15" s="30">
        <f t="shared" si="53"/>
        <v>0</v>
      </c>
      <c r="DH15" s="30">
        <f t="shared" si="54"/>
        <v>0</v>
      </c>
      <c r="DI15" s="30">
        <f t="shared" si="55"/>
        <v>0</v>
      </c>
      <c r="DJ15" s="30">
        <f t="shared" si="56"/>
        <v>0</v>
      </c>
      <c r="DK15" s="30">
        <f t="shared" si="57"/>
        <v>0</v>
      </c>
      <c r="DL15" s="30">
        <f t="shared" si="58"/>
        <v>0</v>
      </c>
      <c r="DM15" s="30">
        <f t="shared" si="59"/>
        <v>0</v>
      </c>
      <c r="DN15" s="30">
        <f t="shared" si="60"/>
        <v>0</v>
      </c>
      <c r="DO15" s="30">
        <f t="shared" si="61"/>
        <v>0</v>
      </c>
      <c r="DP15" s="30">
        <f t="shared" si="62"/>
        <v>0</v>
      </c>
      <c r="DQ15" s="30">
        <f t="shared" si="63"/>
        <v>0</v>
      </c>
      <c r="DR15" s="30">
        <f t="shared" si="64"/>
        <v>0</v>
      </c>
      <c r="DS15" s="30">
        <f t="shared" si="65"/>
        <v>0</v>
      </c>
      <c r="DT15" s="30">
        <f t="shared" si="66"/>
        <v>0</v>
      </c>
      <c r="DU15" s="30">
        <f t="shared" si="67"/>
        <v>1</v>
      </c>
      <c r="DV15" s="30">
        <f t="shared" si="68"/>
        <v>1</v>
      </c>
      <c r="DW15" s="30">
        <f t="shared" si="69"/>
        <v>1</v>
      </c>
      <c r="DX15" s="30">
        <f t="shared" si="70"/>
        <v>1</v>
      </c>
      <c r="DY15" s="30">
        <f t="shared" si="71"/>
        <v>0</v>
      </c>
      <c r="DZ15" s="31">
        <f t="shared" si="72"/>
        <v>1</v>
      </c>
      <c r="EA15" s="30">
        <f t="shared" si="32"/>
        <v>0</v>
      </c>
      <c r="EB15" s="30">
        <f t="shared" si="32"/>
        <v>0</v>
      </c>
      <c r="EC15" s="30">
        <f t="shared" si="32"/>
        <v>0</v>
      </c>
      <c r="ED15" s="30">
        <f t="shared" si="32"/>
        <v>0</v>
      </c>
      <c r="EE15" s="30">
        <f t="shared" si="32"/>
        <v>0</v>
      </c>
      <c r="EF15" s="30">
        <f t="shared" si="32"/>
        <v>0</v>
      </c>
      <c r="EG15" s="30">
        <f t="shared" si="73"/>
        <v>1</v>
      </c>
      <c r="EH15" s="30">
        <f t="shared" si="33"/>
        <v>0</v>
      </c>
      <c r="EI15" s="30">
        <f t="shared" si="33"/>
        <v>0</v>
      </c>
      <c r="EJ15" s="30">
        <f t="shared" si="33"/>
        <v>0</v>
      </c>
      <c r="EK15" s="30">
        <f t="shared" si="33"/>
        <v>0</v>
      </c>
      <c r="EL15" s="30">
        <f t="shared" si="33"/>
        <v>0</v>
      </c>
      <c r="EM15" s="30">
        <f t="shared" si="33"/>
        <v>0</v>
      </c>
      <c r="EN15" s="30">
        <f t="shared" si="74"/>
        <v>1</v>
      </c>
      <c r="EO15" s="30">
        <f t="shared" si="34"/>
        <v>0</v>
      </c>
      <c r="EP15" s="30">
        <f t="shared" si="34"/>
        <v>0</v>
      </c>
      <c r="EQ15" s="30">
        <f t="shared" si="34"/>
        <v>0</v>
      </c>
      <c r="ER15" s="30">
        <f t="shared" si="34"/>
        <v>0</v>
      </c>
      <c r="ES15" s="30">
        <f t="shared" si="34"/>
        <v>0</v>
      </c>
      <c r="ET15" s="100">
        <f t="shared" si="34"/>
        <v>0</v>
      </c>
    </row>
    <row r="16" spans="1:205" s="30" customFormat="1">
      <c r="A16" s="30" t="s">
        <v>94</v>
      </c>
      <c r="B16" s="30">
        <v>50</v>
      </c>
      <c r="C16" s="30" t="s">
        <v>36</v>
      </c>
      <c r="D16" s="30" t="s">
        <v>32</v>
      </c>
      <c r="E16" s="30">
        <v>255</v>
      </c>
      <c r="F16" s="30">
        <v>1409</v>
      </c>
      <c r="G16" s="30">
        <v>1828</v>
      </c>
      <c r="H16" s="30">
        <v>3</v>
      </c>
      <c r="I16" s="30">
        <v>0</v>
      </c>
      <c r="J16" s="30">
        <v>20</v>
      </c>
      <c r="K16" s="30">
        <v>55</v>
      </c>
      <c r="L16" s="30">
        <v>146</v>
      </c>
      <c r="M16" s="30">
        <v>38</v>
      </c>
      <c r="N16" s="30">
        <v>197</v>
      </c>
      <c r="O16" s="30">
        <v>378</v>
      </c>
      <c r="P16" s="30">
        <v>690</v>
      </c>
      <c r="Q16" s="100">
        <v>0</v>
      </c>
      <c r="R16" s="100">
        <v>206</v>
      </c>
      <c r="S16" s="100">
        <v>445</v>
      </c>
      <c r="T16" s="100">
        <v>177</v>
      </c>
      <c r="U16" s="100">
        <v>102</v>
      </c>
      <c r="V16" s="100">
        <v>198</v>
      </c>
      <c r="W16" s="100">
        <v>20</v>
      </c>
      <c r="X16" s="100">
        <v>70</v>
      </c>
      <c r="Y16" s="100">
        <v>48</v>
      </c>
      <c r="Z16" s="30">
        <v>0</v>
      </c>
      <c r="AA16" s="30">
        <v>885</v>
      </c>
      <c r="AB16" s="30">
        <v>1080</v>
      </c>
      <c r="AC16" s="30">
        <v>-714</v>
      </c>
      <c r="AD16" s="30">
        <v>-227</v>
      </c>
      <c r="AE16" s="30">
        <v>-181</v>
      </c>
      <c r="AF16" s="30">
        <v>-714</v>
      </c>
      <c r="AG16" s="30">
        <v>-227</v>
      </c>
      <c r="AH16" s="30">
        <v>-181</v>
      </c>
      <c r="AI16" s="147">
        <v>0</v>
      </c>
      <c r="AJ16" s="100">
        <v>0</v>
      </c>
      <c r="AK16" s="148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969</v>
      </c>
      <c r="AS16" s="30">
        <v>1637</v>
      </c>
      <c r="AT16" s="30">
        <v>2009</v>
      </c>
      <c r="AU16" s="30">
        <v>255</v>
      </c>
      <c r="AV16" s="30">
        <v>1409</v>
      </c>
      <c r="AW16" s="30">
        <v>1828</v>
      </c>
      <c r="AX16" s="30">
        <v>-714</v>
      </c>
      <c r="AY16" s="30">
        <v>-228</v>
      </c>
      <c r="AZ16" s="30">
        <v>-181</v>
      </c>
      <c r="BA16" s="30">
        <v>-714</v>
      </c>
      <c r="BB16" s="30">
        <v>-227</v>
      </c>
      <c r="BC16" s="30">
        <v>-181</v>
      </c>
      <c r="BE16" s="30">
        <f t="shared" si="0"/>
        <v>0</v>
      </c>
      <c r="BF16" s="30">
        <f t="shared" si="1"/>
        <v>0.62810503903477644</v>
      </c>
      <c r="BG16" s="30">
        <f t="shared" si="2"/>
        <v>0.5908096280087527</v>
      </c>
      <c r="BI16" s="30">
        <f t="shared" si="3"/>
        <v>0.77254901960784317</v>
      </c>
      <c r="BJ16" s="30">
        <f t="shared" si="4"/>
        <v>0.26827537260468415</v>
      </c>
      <c r="BK16" s="30">
        <f t="shared" si="5"/>
        <v>0.37746170678336982</v>
      </c>
      <c r="BM16" s="30">
        <f t="shared" si="6"/>
        <v>0</v>
      </c>
      <c r="BN16" s="30">
        <f t="shared" si="7"/>
        <v>0.14620298083747338</v>
      </c>
      <c r="BO16" s="30">
        <f t="shared" si="8"/>
        <v>0.24343544857768051</v>
      </c>
      <c r="BQ16" s="100">
        <f t="shared" si="9"/>
        <v>0.69411764705882351</v>
      </c>
      <c r="BR16" s="100">
        <f t="shared" si="10"/>
        <v>7.23917672107878E-2</v>
      </c>
      <c r="BS16" s="100">
        <f t="shared" si="11"/>
        <v>0.10831509846827134</v>
      </c>
      <c r="BU16" s="100">
        <f t="shared" si="12"/>
        <v>7.8431372549019607E-2</v>
      </c>
      <c r="BV16" s="100">
        <f t="shared" si="13"/>
        <v>4.9680624556422998E-2</v>
      </c>
      <c r="BW16" s="100">
        <f t="shared" si="14"/>
        <v>2.6258205689277898E-2</v>
      </c>
      <c r="BY16" s="100">
        <f t="shared" si="15"/>
        <v>1.1764705882352941E-2</v>
      </c>
      <c r="BZ16" s="100">
        <f t="shared" si="16"/>
        <v>0</v>
      </c>
      <c r="CA16" s="100">
        <f t="shared" si="17"/>
        <v>1.0940919037199124E-2</v>
      </c>
      <c r="CC16" s="100">
        <f t="shared" si="18"/>
        <v>0</v>
      </c>
      <c r="CD16" s="100">
        <f t="shared" si="19"/>
        <v>0</v>
      </c>
      <c r="CE16" s="100">
        <f t="shared" si="20"/>
        <v>0</v>
      </c>
      <c r="CG16" s="30">
        <f t="shared" si="35"/>
        <v>0.78431372549019607</v>
      </c>
      <c r="CH16" s="30">
        <f t="shared" si="36"/>
        <v>0.89638041163946058</v>
      </c>
      <c r="CI16" s="30">
        <f t="shared" si="37"/>
        <v>0.97921225382932164</v>
      </c>
      <c r="CK16" s="30">
        <f t="shared" si="38"/>
        <v>0.21568627450980393</v>
      </c>
      <c r="CL16" s="30">
        <f t="shared" si="39"/>
        <v>0.10361958836053942</v>
      </c>
      <c r="CM16" s="30">
        <f t="shared" si="40"/>
        <v>2.0787746170678356E-2</v>
      </c>
      <c r="CO16" s="100">
        <f t="shared" si="41"/>
        <v>55</v>
      </c>
      <c r="CP16" s="100">
        <f t="shared" si="42"/>
        <v>146.00000000000003</v>
      </c>
      <c r="CQ16" s="100">
        <f t="shared" si="43"/>
        <v>38.000000000000036</v>
      </c>
      <c r="CT16" s="30">
        <v>177</v>
      </c>
      <c r="CV16" s="100">
        <f t="shared" si="75"/>
        <v>0</v>
      </c>
      <c r="CW16" s="100">
        <f t="shared" si="44"/>
        <v>17.7</v>
      </c>
      <c r="CX16" s="100">
        <f t="shared" si="45"/>
        <v>21.6</v>
      </c>
      <c r="CZ16" s="30">
        <f t="shared" si="46"/>
        <v>0</v>
      </c>
      <c r="DA16" s="30">
        <f t="shared" si="47"/>
        <v>1</v>
      </c>
      <c r="DB16" s="30">
        <f t="shared" si="48"/>
        <v>1</v>
      </c>
      <c r="DC16" s="30">
        <f t="shared" si="49"/>
        <v>0</v>
      </c>
      <c r="DD16" s="30">
        <f t="shared" si="50"/>
        <v>1</v>
      </c>
      <c r="DE16" s="30">
        <f t="shared" si="51"/>
        <v>1</v>
      </c>
      <c r="DF16" s="30">
        <f t="shared" si="52"/>
        <v>1</v>
      </c>
      <c r="DG16" s="30">
        <f t="shared" si="53"/>
        <v>1</v>
      </c>
      <c r="DH16" s="30">
        <f t="shared" si="54"/>
        <v>1</v>
      </c>
      <c r="DI16" s="30">
        <f t="shared" si="55"/>
        <v>1</v>
      </c>
      <c r="DJ16" s="30">
        <f t="shared" si="56"/>
        <v>1</v>
      </c>
      <c r="DK16" s="30">
        <f t="shared" si="57"/>
        <v>1</v>
      </c>
      <c r="DL16" s="30">
        <f t="shared" si="58"/>
        <v>1</v>
      </c>
      <c r="DM16" s="30">
        <f t="shared" si="59"/>
        <v>0</v>
      </c>
      <c r="DN16" s="30">
        <f t="shared" si="60"/>
        <v>1</v>
      </c>
      <c r="DO16" s="30">
        <f t="shared" si="61"/>
        <v>0</v>
      </c>
      <c r="DP16" s="30">
        <f t="shared" si="62"/>
        <v>0</v>
      </c>
      <c r="DQ16" s="30">
        <f t="shared" si="63"/>
        <v>0</v>
      </c>
      <c r="DR16" s="30">
        <f t="shared" si="64"/>
        <v>1</v>
      </c>
      <c r="DS16" s="30">
        <f t="shared" si="65"/>
        <v>1</v>
      </c>
      <c r="DT16" s="30">
        <f t="shared" si="66"/>
        <v>1</v>
      </c>
      <c r="DU16" s="30">
        <f t="shared" si="67"/>
        <v>4</v>
      </c>
      <c r="DV16" s="30">
        <f t="shared" si="68"/>
        <v>5</v>
      </c>
      <c r="DW16" s="30">
        <f t="shared" si="69"/>
        <v>6</v>
      </c>
      <c r="DX16" s="30">
        <f t="shared" si="70"/>
        <v>5</v>
      </c>
      <c r="DY16" s="30">
        <f t="shared" si="71"/>
        <v>0.81649658092772603</v>
      </c>
      <c r="DZ16" s="31">
        <f t="shared" si="72"/>
        <v>0</v>
      </c>
      <c r="EA16" s="30">
        <f t="shared" si="32"/>
        <v>0</v>
      </c>
      <c r="EB16" s="30">
        <f t="shared" si="32"/>
        <v>0</v>
      </c>
      <c r="EC16" s="30">
        <f t="shared" si="32"/>
        <v>1</v>
      </c>
      <c r="ED16" s="30">
        <f t="shared" si="32"/>
        <v>0</v>
      </c>
      <c r="EE16" s="30">
        <f t="shared" si="32"/>
        <v>0</v>
      </c>
      <c r="EF16" s="30">
        <f t="shared" si="32"/>
        <v>0</v>
      </c>
      <c r="EG16" s="30">
        <f t="shared" si="73"/>
        <v>0</v>
      </c>
      <c r="EH16" s="30">
        <f t="shared" si="33"/>
        <v>0</v>
      </c>
      <c r="EI16" s="30">
        <f t="shared" si="33"/>
        <v>0</v>
      </c>
      <c r="EJ16" s="30">
        <f t="shared" si="33"/>
        <v>0</v>
      </c>
      <c r="EK16" s="30">
        <f t="shared" si="33"/>
        <v>1</v>
      </c>
      <c r="EL16" s="30">
        <f t="shared" si="33"/>
        <v>0</v>
      </c>
      <c r="EM16" s="30">
        <f t="shared" si="33"/>
        <v>0</v>
      </c>
      <c r="EN16" s="30">
        <f t="shared" si="74"/>
        <v>0</v>
      </c>
      <c r="EO16" s="30">
        <f t="shared" si="34"/>
        <v>0</v>
      </c>
      <c r="EP16" s="30">
        <f t="shared" si="34"/>
        <v>0</v>
      </c>
      <c r="EQ16" s="30">
        <f t="shared" si="34"/>
        <v>0</v>
      </c>
      <c r="ER16" s="30">
        <f t="shared" si="34"/>
        <v>0</v>
      </c>
      <c r="ES16" s="30">
        <f t="shared" si="34"/>
        <v>1</v>
      </c>
      <c r="ET16" s="100">
        <f t="shared" si="34"/>
        <v>0</v>
      </c>
    </row>
    <row r="17" spans="1:205" s="28" customFormat="1">
      <c r="A17" s="28" t="s">
        <v>105</v>
      </c>
      <c r="B17" s="28">
        <v>21</v>
      </c>
      <c r="C17" s="28" t="s">
        <v>46</v>
      </c>
      <c r="D17" s="28" t="s">
        <v>35</v>
      </c>
      <c r="E17" s="28">
        <v>115</v>
      </c>
      <c r="F17" s="28">
        <v>57</v>
      </c>
      <c r="G17" s="28">
        <v>148</v>
      </c>
      <c r="H17" s="28">
        <v>33</v>
      </c>
      <c r="I17" s="28">
        <v>6</v>
      </c>
      <c r="J17" s="28">
        <v>58</v>
      </c>
      <c r="K17" s="28">
        <v>0</v>
      </c>
      <c r="L17" s="28">
        <v>0</v>
      </c>
      <c r="M17" s="28">
        <v>0</v>
      </c>
      <c r="N17" s="28">
        <v>82</v>
      </c>
      <c r="O17" s="28">
        <v>51</v>
      </c>
      <c r="P17" s="28">
        <v>90</v>
      </c>
      <c r="Q17" s="150">
        <v>0</v>
      </c>
      <c r="R17" s="150">
        <v>0</v>
      </c>
      <c r="S17" s="150">
        <v>0</v>
      </c>
      <c r="T17" s="150">
        <v>82</v>
      </c>
      <c r="U17" s="150">
        <v>24</v>
      </c>
      <c r="V17" s="150">
        <v>65</v>
      </c>
      <c r="W17" s="150">
        <v>0</v>
      </c>
      <c r="X17" s="150">
        <v>27</v>
      </c>
      <c r="Y17" s="150">
        <v>25</v>
      </c>
      <c r="Z17" s="28">
        <v>0</v>
      </c>
      <c r="AA17" s="28">
        <v>0</v>
      </c>
      <c r="AB17" s="28">
        <v>0</v>
      </c>
      <c r="AC17" s="28">
        <v>44</v>
      </c>
      <c r="AD17" s="28">
        <v>-63</v>
      </c>
      <c r="AE17" s="28">
        <v>53</v>
      </c>
      <c r="AF17" s="28">
        <v>44</v>
      </c>
      <c r="AG17" s="28">
        <v>-63</v>
      </c>
      <c r="AH17" s="28">
        <v>53</v>
      </c>
      <c r="AI17" s="149">
        <v>0</v>
      </c>
      <c r="AJ17" s="150">
        <v>0</v>
      </c>
      <c r="AK17" s="151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71</v>
      </c>
      <c r="AS17" s="28">
        <v>120</v>
      </c>
      <c r="AT17" s="28">
        <v>95</v>
      </c>
      <c r="AU17" s="28">
        <v>115</v>
      </c>
      <c r="AV17" s="28">
        <v>57</v>
      </c>
      <c r="AW17" s="28">
        <v>148</v>
      </c>
      <c r="AX17" s="28">
        <v>44</v>
      </c>
      <c r="AY17" s="28">
        <v>-63</v>
      </c>
      <c r="AZ17" s="28">
        <v>53</v>
      </c>
      <c r="BA17" s="28">
        <v>44</v>
      </c>
      <c r="BB17" s="28">
        <v>-63</v>
      </c>
      <c r="BC17" s="28">
        <v>53</v>
      </c>
      <c r="BE17" s="28">
        <f t="shared" si="0"/>
        <v>0</v>
      </c>
      <c r="BF17" s="28">
        <f t="shared" si="1"/>
        <v>0</v>
      </c>
      <c r="BG17" s="28">
        <f t="shared" si="2"/>
        <v>0</v>
      </c>
      <c r="BI17" s="28">
        <f t="shared" si="3"/>
        <v>0.71304347826086956</v>
      </c>
      <c r="BJ17" s="28">
        <f t="shared" si="4"/>
        <v>0.89473684210526316</v>
      </c>
      <c r="BK17" s="28">
        <f t="shared" si="5"/>
        <v>0.60810810810810811</v>
      </c>
      <c r="BM17" s="28">
        <f t="shared" si="6"/>
        <v>0</v>
      </c>
      <c r="BN17" s="28">
        <f t="shared" si="7"/>
        <v>0</v>
      </c>
      <c r="BO17" s="28">
        <f t="shared" si="8"/>
        <v>0</v>
      </c>
      <c r="BQ17" s="150">
        <f t="shared" si="9"/>
        <v>0.71304347826086956</v>
      </c>
      <c r="BR17" s="150">
        <f t="shared" si="10"/>
        <v>0.42105263157894735</v>
      </c>
      <c r="BS17" s="150">
        <f t="shared" si="11"/>
        <v>0.4391891891891892</v>
      </c>
      <c r="BU17" s="150">
        <f t="shared" si="12"/>
        <v>0</v>
      </c>
      <c r="BV17" s="150">
        <f t="shared" si="13"/>
        <v>0.47368421052631576</v>
      </c>
      <c r="BW17" s="150">
        <f t="shared" si="14"/>
        <v>0.16891891891891891</v>
      </c>
      <c r="BY17" s="150">
        <f t="shared" si="15"/>
        <v>0.28695652173913044</v>
      </c>
      <c r="BZ17" s="150">
        <f t="shared" si="16"/>
        <v>0.10526315789473684</v>
      </c>
      <c r="CA17" s="150">
        <f t="shared" si="17"/>
        <v>0.39189189189189189</v>
      </c>
      <c r="CC17" s="150">
        <f t="shared" si="18"/>
        <v>0</v>
      </c>
      <c r="CD17" s="150">
        <f t="shared" si="19"/>
        <v>0</v>
      </c>
      <c r="CE17" s="150">
        <f t="shared" si="20"/>
        <v>0</v>
      </c>
      <c r="CG17" s="28">
        <f t="shared" si="35"/>
        <v>1</v>
      </c>
      <c r="CH17" s="28">
        <f t="shared" si="36"/>
        <v>1</v>
      </c>
      <c r="CI17" s="28">
        <f t="shared" si="37"/>
        <v>1</v>
      </c>
      <c r="CK17" s="28">
        <f t="shared" si="38"/>
        <v>0</v>
      </c>
      <c r="CL17" s="28">
        <f t="shared" si="39"/>
        <v>0</v>
      </c>
      <c r="CM17" s="28">
        <f t="shared" si="40"/>
        <v>0</v>
      </c>
      <c r="CO17" s="150">
        <f t="shared" si="41"/>
        <v>0</v>
      </c>
      <c r="CP17" s="150">
        <f t="shared" si="42"/>
        <v>0</v>
      </c>
      <c r="CQ17" s="150">
        <f t="shared" si="43"/>
        <v>0</v>
      </c>
      <c r="CT17" s="28">
        <v>82</v>
      </c>
      <c r="CV17" s="150">
        <f t="shared" si="75"/>
        <v>0</v>
      </c>
      <c r="CW17" s="150">
        <f t="shared" si="44"/>
        <v>0</v>
      </c>
      <c r="CX17" s="150">
        <f t="shared" si="45"/>
        <v>0</v>
      </c>
      <c r="CZ17" s="28">
        <f t="shared" si="46"/>
        <v>0</v>
      </c>
      <c r="DA17" s="28">
        <f t="shared" si="47"/>
        <v>0</v>
      </c>
      <c r="DB17" s="28">
        <f t="shared" si="48"/>
        <v>0</v>
      </c>
      <c r="DC17" s="28">
        <f t="shared" si="49"/>
        <v>0</v>
      </c>
      <c r="DD17" s="28">
        <f t="shared" si="50"/>
        <v>0</v>
      </c>
      <c r="DE17" s="28">
        <f t="shared" si="51"/>
        <v>0</v>
      </c>
      <c r="DF17" s="28">
        <f t="shared" si="52"/>
        <v>1</v>
      </c>
      <c r="DG17" s="28">
        <f t="shared" si="53"/>
        <v>1</v>
      </c>
      <c r="DH17" s="28">
        <f t="shared" si="54"/>
        <v>1</v>
      </c>
      <c r="DI17" s="28">
        <f t="shared" si="55"/>
        <v>0</v>
      </c>
      <c r="DJ17" s="28">
        <f t="shared" si="56"/>
        <v>1</v>
      </c>
      <c r="DK17" s="28">
        <f t="shared" si="57"/>
        <v>1</v>
      </c>
      <c r="DL17" s="28">
        <f t="shared" si="58"/>
        <v>1</v>
      </c>
      <c r="DM17" s="28">
        <f t="shared" si="59"/>
        <v>1</v>
      </c>
      <c r="DN17" s="28">
        <f t="shared" si="60"/>
        <v>1</v>
      </c>
      <c r="DO17" s="28">
        <f t="shared" si="61"/>
        <v>0</v>
      </c>
      <c r="DP17" s="28">
        <f t="shared" si="62"/>
        <v>0</v>
      </c>
      <c r="DQ17" s="28">
        <f t="shared" si="63"/>
        <v>0</v>
      </c>
      <c r="DR17" s="28">
        <f t="shared" si="64"/>
        <v>0</v>
      </c>
      <c r="DS17" s="28">
        <f t="shared" si="65"/>
        <v>0</v>
      </c>
      <c r="DT17" s="28">
        <f t="shared" si="66"/>
        <v>0</v>
      </c>
      <c r="DU17" s="28">
        <f t="shared" si="67"/>
        <v>2</v>
      </c>
      <c r="DV17" s="28">
        <f t="shared" si="68"/>
        <v>3</v>
      </c>
      <c r="DW17" s="28">
        <f t="shared" si="69"/>
        <v>3</v>
      </c>
      <c r="DX17" s="28">
        <f t="shared" si="70"/>
        <v>2.6666666666666665</v>
      </c>
      <c r="DY17" s="28">
        <f t="shared" si="71"/>
        <v>0.47140452079103168</v>
      </c>
      <c r="DZ17" s="29">
        <f t="shared" si="72"/>
        <v>0</v>
      </c>
      <c r="EA17" s="28">
        <f t="shared" si="32"/>
        <v>1</v>
      </c>
      <c r="EB17" s="28">
        <f t="shared" si="32"/>
        <v>0</v>
      </c>
      <c r="EC17" s="28">
        <f t="shared" si="32"/>
        <v>0</v>
      </c>
      <c r="ED17" s="28">
        <f t="shared" si="32"/>
        <v>0</v>
      </c>
      <c r="EE17" s="28">
        <f t="shared" si="32"/>
        <v>0</v>
      </c>
      <c r="EF17" s="28">
        <f t="shared" si="32"/>
        <v>0</v>
      </c>
      <c r="EG17" s="28">
        <f t="shared" si="73"/>
        <v>0</v>
      </c>
      <c r="EH17" s="28">
        <f t="shared" si="33"/>
        <v>0</v>
      </c>
      <c r="EI17" s="28">
        <f t="shared" si="33"/>
        <v>1</v>
      </c>
      <c r="EJ17" s="28">
        <f t="shared" si="33"/>
        <v>0</v>
      </c>
      <c r="EK17" s="28">
        <f t="shared" si="33"/>
        <v>0</v>
      </c>
      <c r="EL17" s="28">
        <f t="shared" si="33"/>
        <v>0</v>
      </c>
      <c r="EM17" s="28">
        <f t="shared" si="33"/>
        <v>0</v>
      </c>
      <c r="EN17" s="28">
        <f t="shared" si="74"/>
        <v>0</v>
      </c>
      <c r="EO17" s="28">
        <f t="shared" si="34"/>
        <v>0</v>
      </c>
      <c r="EP17" s="28">
        <f t="shared" si="34"/>
        <v>1</v>
      </c>
      <c r="EQ17" s="28">
        <f t="shared" si="34"/>
        <v>0</v>
      </c>
      <c r="ER17" s="28">
        <f t="shared" si="34"/>
        <v>0</v>
      </c>
      <c r="ES17" s="28">
        <f t="shared" si="34"/>
        <v>0</v>
      </c>
      <c r="ET17" s="150">
        <f t="shared" si="34"/>
        <v>0</v>
      </c>
    </row>
    <row r="18" spans="1:205" s="132" customFormat="1">
      <c r="A18" s="132" t="s">
        <v>55</v>
      </c>
      <c r="B18" s="132">
        <v>450</v>
      </c>
      <c r="C18" s="132" t="s">
        <v>37</v>
      </c>
      <c r="D18" s="132" t="s">
        <v>33</v>
      </c>
      <c r="E18" s="132">
        <v>4397</v>
      </c>
      <c r="F18" s="132">
        <v>6040</v>
      </c>
      <c r="G18" s="132">
        <v>5510</v>
      </c>
      <c r="H18" s="132">
        <v>2502</v>
      </c>
      <c r="I18" s="132">
        <v>2408</v>
      </c>
      <c r="J18" s="132">
        <v>0</v>
      </c>
      <c r="K18" s="132">
        <v>60</v>
      </c>
      <c r="L18" s="132">
        <v>0</v>
      </c>
      <c r="M18" s="132">
        <v>1</v>
      </c>
      <c r="N18" s="132">
        <v>1835</v>
      </c>
      <c r="O18" s="132">
        <v>2350</v>
      </c>
      <c r="P18" s="132">
        <v>4696</v>
      </c>
      <c r="Q18" s="153">
        <v>120</v>
      </c>
      <c r="R18" s="153">
        <v>0</v>
      </c>
      <c r="S18" s="153">
        <v>0</v>
      </c>
      <c r="T18" s="153">
        <v>0</v>
      </c>
      <c r="U18" s="153">
        <v>224</v>
      </c>
      <c r="V18" s="153">
        <v>0</v>
      </c>
      <c r="W18" s="153">
        <v>1715</v>
      </c>
      <c r="X18" s="153">
        <v>2126</v>
      </c>
      <c r="Y18" s="153">
        <v>4696</v>
      </c>
      <c r="Z18" s="132">
        <v>0</v>
      </c>
      <c r="AA18" s="132">
        <v>746</v>
      </c>
      <c r="AB18" s="132">
        <v>741</v>
      </c>
      <c r="AC18" s="132">
        <v>-85</v>
      </c>
      <c r="AD18" s="132">
        <v>-386</v>
      </c>
      <c r="AE18" s="132">
        <v>-349</v>
      </c>
      <c r="AF18" s="132">
        <v>-85</v>
      </c>
      <c r="AG18" s="132">
        <v>-386</v>
      </c>
      <c r="AH18" s="132">
        <v>-349</v>
      </c>
      <c r="AI18" s="152">
        <v>0</v>
      </c>
      <c r="AJ18" s="153">
        <v>245</v>
      </c>
      <c r="AK18" s="154">
        <v>79</v>
      </c>
      <c r="AL18" s="132">
        <v>0</v>
      </c>
      <c r="AM18" s="132">
        <v>-5</v>
      </c>
      <c r="AN18" s="132">
        <v>1</v>
      </c>
      <c r="AO18" s="132">
        <v>0</v>
      </c>
      <c r="AP18" s="132">
        <v>-5</v>
      </c>
      <c r="AQ18" s="132">
        <v>1</v>
      </c>
      <c r="AR18" s="132">
        <v>4481</v>
      </c>
      <c r="AS18" s="132">
        <v>6676</v>
      </c>
      <c r="AT18" s="132">
        <v>5937</v>
      </c>
      <c r="AU18" s="132">
        <v>4397</v>
      </c>
      <c r="AV18" s="132">
        <v>6285</v>
      </c>
      <c r="AW18" s="132">
        <v>5589</v>
      </c>
      <c r="AX18" s="132">
        <v>-84</v>
      </c>
      <c r="AY18" s="132">
        <v>-391</v>
      </c>
      <c r="AZ18" s="132">
        <v>-348</v>
      </c>
      <c r="BA18" s="132">
        <v>-85</v>
      </c>
      <c r="BB18" s="132">
        <v>-391</v>
      </c>
      <c r="BC18" s="132">
        <v>-348</v>
      </c>
      <c r="BE18" s="132">
        <f t="shared" si="0"/>
        <v>0</v>
      </c>
      <c r="BF18" s="132">
        <f t="shared" si="1"/>
        <v>0.1186953062848051</v>
      </c>
      <c r="BG18" s="132">
        <f t="shared" si="2"/>
        <v>0.13258185721953838</v>
      </c>
      <c r="BI18" s="132">
        <f t="shared" si="3"/>
        <v>0.4173299977257221</v>
      </c>
      <c r="BJ18" s="132">
        <f t="shared" si="4"/>
        <v>0.37390612569610182</v>
      </c>
      <c r="BK18" s="132">
        <f t="shared" si="5"/>
        <v>0.84022186437645374</v>
      </c>
      <c r="BM18" s="132">
        <f t="shared" si="6"/>
        <v>2.7291335001137139E-2</v>
      </c>
      <c r="BN18" s="132">
        <f t="shared" si="7"/>
        <v>0</v>
      </c>
      <c r="BO18" s="132">
        <f t="shared" si="8"/>
        <v>0</v>
      </c>
      <c r="BQ18" s="153">
        <f t="shared" si="9"/>
        <v>0</v>
      </c>
      <c r="BR18" s="153">
        <f t="shared" si="10"/>
        <v>3.5640413683373111E-2</v>
      </c>
      <c r="BS18" s="153">
        <f t="shared" si="11"/>
        <v>0</v>
      </c>
      <c r="BU18" s="153">
        <f t="shared" si="12"/>
        <v>0.39003866272458493</v>
      </c>
      <c r="BV18" s="153">
        <f t="shared" si="13"/>
        <v>0.3382657120127287</v>
      </c>
      <c r="BW18" s="153">
        <f t="shared" si="14"/>
        <v>0.84022186437645374</v>
      </c>
      <c r="BY18" s="153">
        <f t="shared" si="15"/>
        <v>0.56902433477370939</v>
      </c>
      <c r="BZ18" s="153">
        <f t="shared" si="16"/>
        <v>0.38313444709626093</v>
      </c>
      <c r="CA18" s="153">
        <f t="shared" si="17"/>
        <v>0</v>
      </c>
      <c r="CC18" s="153">
        <f t="shared" si="18"/>
        <v>0</v>
      </c>
      <c r="CD18" s="153">
        <f t="shared" si="19"/>
        <v>3.8981702466189337E-2</v>
      </c>
      <c r="CE18" s="153">
        <f t="shared" si="20"/>
        <v>1.4134907854714617E-2</v>
      </c>
      <c r="CG18" s="132">
        <f t="shared" si="35"/>
        <v>0.9863543324994315</v>
      </c>
      <c r="CH18" s="132">
        <f t="shared" si="36"/>
        <v>0.91471758154335725</v>
      </c>
      <c r="CI18" s="132">
        <f t="shared" si="37"/>
        <v>0.98693862945070676</v>
      </c>
      <c r="CK18" s="132">
        <f t="shared" si="38"/>
        <v>1.3645667500568504E-2</v>
      </c>
      <c r="CL18" s="132">
        <f t="shared" si="39"/>
        <v>8.528241845664275E-2</v>
      </c>
      <c r="CM18" s="132">
        <f t="shared" si="40"/>
        <v>1.3061370549293239E-2</v>
      </c>
      <c r="CO18" s="153">
        <f t="shared" si="41"/>
        <v>59.999999999999709</v>
      </c>
      <c r="CP18" s="153">
        <f t="shared" si="42"/>
        <v>535.99999999999966</v>
      </c>
      <c r="CQ18" s="153">
        <f t="shared" si="43"/>
        <v>72.999999999999915</v>
      </c>
      <c r="CT18" s="132">
        <v>0</v>
      </c>
      <c r="CV18" s="153">
        <f t="shared" si="75"/>
        <v>0</v>
      </c>
      <c r="CW18" s="153">
        <f t="shared" si="44"/>
        <v>1.6577777777777778</v>
      </c>
      <c r="CX18" s="153">
        <f t="shared" si="45"/>
        <v>1.6466666666666667</v>
      </c>
      <c r="CZ18" s="132">
        <f t="shared" si="46"/>
        <v>0</v>
      </c>
      <c r="DA18" s="132">
        <f t="shared" si="47"/>
        <v>1</v>
      </c>
      <c r="DB18" s="132">
        <f t="shared" si="48"/>
        <v>1</v>
      </c>
      <c r="DC18" s="132">
        <f t="shared" si="49"/>
        <v>1</v>
      </c>
      <c r="DD18" s="132">
        <f t="shared" si="50"/>
        <v>0</v>
      </c>
      <c r="DE18" s="132">
        <f t="shared" si="51"/>
        <v>0</v>
      </c>
      <c r="DF18" s="132">
        <f t="shared" si="52"/>
        <v>0</v>
      </c>
      <c r="DG18" s="132">
        <f t="shared" si="53"/>
        <v>1</v>
      </c>
      <c r="DH18" s="132">
        <f t="shared" si="54"/>
        <v>0</v>
      </c>
      <c r="DI18" s="132">
        <f t="shared" si="55"/>
        <v>1</v>
      </c>
      <c r="DJ18" s="132">
        <f t="shared" si="56"/>
        <v>1</v>
      </c>
      <c r="DK18" s="132">
        <f t="shared" si="57"/>
        <v>1</v>
      </c>
      <c r="DL18" s="132">
        <f t="shared" si="58"/>
        <v>1</v>
      </c>
      <c r="DM18" s="132">
        <f t="shared" si="59"/>
        <v>1</v>
      </c>
      <c r="DN18" s="132">
        <f t="shared" si="60"/>
        <v>0</v>
      </c>
      <c r="DO18" s="132">
        <f t="shared" si="61"/>
        <v>0</v>
      </c>
      <c r="DP18" s="132">
        <f t="shared" si="62"/>
        <v>1</v>
      </c>
      <c r="DQ18" s="132">
        <f t="shared" si="63"/>
        <v>1</v>
      </c>
      <c r="DR18" s="132">
        <f t="shared" si="64"/>
        <v>1</v>
      </c>
      <c r="DS18" s="132">
        <f t="shared" si="65"/>
        <v>1</v>
      </c>
      <c r="DT18" s="132">
        <f t="shared" si="66"/>
        <v>1</v>
      </c>
      <c r="DU18" s="132">
        <f t="shared" si="67"/>
        <v>4</v>
      </c>
      <c r="DV18" s="132">
        <f t="shared" si="68"/>
        <v>6</v>
      </c>
      <c r="DW18" s="132">
        <f t="shared" si="69"/>
        <v>4</v>
      </c>
      <c r="DX18" s="132">
        <f t="shared" si="70"/>
        <v>4.666666666666667</v>
      </c>
      <c r="DY18" s="132">
        <f t="shared" si="71"/>
        <v>0.94280904158206336</v>
      </c>
      <c r="DZ18" s="206">
        <f t="shared" si="72"/>
        <v>0</v>
      </c>
      <c r="EA18" s="132">
        <f t="shared" si="72"/>
        <v>0</v>
      </c>
      <c r="EB18" s="132">
        <f t="shared" si="72"/>
        <v>0</v>
      </c>
      <c r="EC18" s="132">
        <f t="shared" si="72"/>
        <v>1</v>
      </c>
      <c r="ED18" s="132">
        <f t="shared" si="72"/>
        <v>0</v>
      </c>
      <c r="EE18" s="132">
        <f t="shared" si="72"/>
        <v>0</v>
      </c>
      <c r="EF18" s="132">
        <f t="shared" si="72"/>
        <v>0</v>
      </c>
      <c r="EG18" s="132">
        <f t="shared" si="73"/>
        <v>0</v>
      </c>
      <c r="EH18" s="132">
        <f t="shared" si="73"/>
        <v>0</v>
      </c>
      <c r="EI18" s="132">
        <f t="shared" si="73"/>
        <v>0</v>
      </c>
      <c r="EJ18" s="132">
        <f t="shared" si="73"/>
        <v>0</v>
      </c>
      <c r="EK18" s="132">
        <f t="shared" si="73"/>
        <v>0</v>
      </c>
      <c r="EL18" s="132">
        <f t="shared" si="73"/>
        <v>1</v>
      </c>
      <c r="EM18" s="132">
        <f t="shared" si="73"/>
        <v>0</v>
      </c>
      <c r="EN18" s="132">
        <f t="shared" si="74"/>
        <v>0</v>
      </c>
      <c r="EO18" s="132">
        <f t="shared" si="74"/>
        <v>0</v>
      </c>
      <c r="EP18" s="132">
        <f t="shared" si="74"/>
        <v>0</v>
      </c>
      <c r="EQ18" s="132">
        <f t="shared" si="74"/>
        <v>1</v>
      </c>
      <c r="ER18" s="132">
        <f t="shared" si="74"/>
        <v>0</v>
      </c>
      <c r="ES18" s="132">
        <f t="shared" si="74"/>
        <v>0</v>
      </c>
      <c r="ET18" s="153">
        <f t="shared" si="74"/>
        <v>0</v>
      </c>
    </row>
    <row r="19" spans="1:205" s="132" customFormat="1">
      <c r="A19" s="132" t="s">
        <v>56</v>
      </c>
      <c r="B19" s="132">
        <v>80</v>
      </c>
      <c r="C19" s="132" t="s">
        <v>37</v>
      </c>
      <c r="D19" s="132" t="s">
        <v>32</v>
      </c>
      <c r="E19" s="132">
        <f>(EY19/535)*80</f>
        <v>449.34579439252337</v>
      </c>
      <c r="F19" s="132">
        <f t="shared" ref="F19:BC19" si="78">(EZ19/535)*80</f>
        <v>533.08411214953276</v>
      </c>
      <c r="G19" s="132">
        <f t="shared" si="78"/>
        <v>591.70093457943926</v>
      </c>
      <c r="H19" s="132">
        <f t="shared" si="78"/>
        <v>96</v>
      </c>
      <c r="I19" s="132">
        <f t="shared" si="78"/>
        <v>120.82242990654206</v>
      </c>
      <c r="J19" s="132">
        <f t="shared" si="78"/>
        <v>120.67289719626169</v>
      </c>
      <c r="K19" s="132">
        <f t="shared" si="78"/>
        <v>0.14953271028037385</v>
      </c>
      <c r="L19" s="132">
        <f t="shared" si="78"/>
        <v>0</v>
      </c>
      <c r="M19" s="132">
        <f t="shared" si="78"/>
        <v>0</v>
      </c>
      <c r="N19" s="132">
        <f t="shared" si="78"/>
        <v>148.93457943925233</v>
      </c>
      <c r="O19" s="132">
        <f t="shared" si="78"/>
        <v>145.94392523364485</v>
      </c>
      <c r="P19" s="132">
        <f t="shared" si="78"/>
        <v>170.46728971962614</v>
      </c>
      <c r="Q19" s="153">
        <f t="shared" si="78"/>
        <v>0</v>
      </c>
      <c r="R19" s="153">
        <f t="shared" si="78"/>
        <v>0</v>
      </c>
      <c r="S19" s="153">
        <f t="shared" si="78"/>
        <v>0</v>
      </c>
      <c r="T19" s="153">
        <f t="shared" si="78"/>
        <v>61.607476635514018</v>
      </c>
      <c r="U19" s="153">
        <f t="shared" si="78"/>
        <v>46.056074766355138</v>
      </c>
      <c r="V19" s="153">
        <f t="shared" si="78"/>
        <v>52.485981308411212</v>
      </c>
      <c r="W19" s="153">
        <f t="shared" si="78"/>
        <v>87.327102803738313</v>
      </c>
      <c r="X19" s="153">
        <f t="shared" si="78"/>
        <v>99.887850467289724</v>
      </c>
      <c r="Y19" s="153">
        <f t="shared" si="78"/>
        <v>117.98130841121494</v>
      </c>
      <c r="Z19" s="132">
        <f t="shared" si="78"/>
        <v>204.26168224299064</v>
      </c>
      <c r="AA19" s="132">
        <f t="shared" si="78"/>
        <v>266.31775700934577</v>
      </c>
      <c r="AB19" s="132">
        <f t="shared" si="78"/>
        <v>300.56074766355141</v>
      </c>
      <c r="AC19" s="132">
        <f t="shared" si="78"/>
        <v>-29.906542056074766</v>
      </c>
      <c r="AD19" s="132">
        <f t="shared" si="78"/>
        <v>-7.3271028037383177</v>
      </c>
      <c r="AE19" s="132">
        <f t="shared" si="78"/>
        <v>-26.317757009345794</v>
      </c>
      <c r="AF19" s="132">
        <f t="shared" si="78"/>
        <v>-29.906542056074766</v>
      </c>
      <c r="AG19" s="132">
        <f t="shared" si="78"/>
        <v>-7.3271028037383177</v>
      </c>
      <c r="AH19" s="132">
        <f t="shared" si="78"/>
        <v>-26.317757009345794</v>
      </c>
      <c r="AI19" s="152">
        <f t="shared" si="78"/>
        <v>44.261682242990652</v>
      </c>
      <c r="AJ19" s="153">
        <f t="shared" si="78"/>
        <v>46.953271028037385</v>
      </c>
      <c r="AK19" s="154">
        <f t="shared" si="78"/>
        <v>45.158878504672899</v>
      </c>
      <c r="AL19" s="132">
        <f t="shared" si="78"/>
        <v>0</v>
      </c>
      <c r="AM19" s="132">
        <f t="shared" si="78"/>
        <v>44.710280373831779</v>
      </c>
      <c r="AN19" s="132">
        <f t="shared" si="78"/>
        <v>44.859813084112147</v>
      </c>
      <c r="AO19" s="132">
        <f t="shared" si="78"/>
        <v>0</v>
      </c>
      <c r="AP19" s="132">
        <f t="shared" si="78"/>
        <v>44.710280373831779</v>
      </c>
      <c r="AQ19" s="132">
        <f t="shared" si="78"/>
        <v>44.859813084112147</v>
      </c>
      <c r="AR19" s="132">
        <f t="shared" si="78"/>
        <v>479.25233644859816</v>
      </c>
      <c r="AS19" s="132">
        <f t="shared" si="78"/>
        <v>542.65420560747668</v>
      </c>
      <c r="AT19" s="132">
        <f t="shared" si="78"/>
        <v>618.31775700934577</v>
      </c>
      <c r="AU19" s="132">
        <f t="shared" si="78"/>
        <v>493.60747663551399</v>
      </c>
      <c r="AV19" s="132">
        <f t="shared" si="78"/>
        <v>580.03738317757006</v>
      </c>
      <c r="AW19" s="132">
        <f t="shared" si="78"/>
        <v>636.85981308411215</v>
      </c>
      <c r="AX19" s="132">
        <f t="shared" si="78"/>
        <v>14.355140186915886</v>
      </c>
      <c r="AY19" s="132">
        <f t="shared" si="78"/>
        <v>37.383177570093459</v>
      </c>
      <c r="AZ19" s="132">
        <f t="shared" si="78"/>
        <v>18.542056074766357</v>
      </c>
      <c r="BA19" s="132">
        <f t="shared" si="78"/>
        <v>-29.906542056074766</v>
      </c>
      <c r="BB19" s="132">
        <f t="shared" si="78"/>
        <v>37.383177570093459</v>
      </c>
      <c r="BC19" s="132">
        <f t="shared" si="78"/>
        <v>18.542056074766357</v>
      </c>
      <c r="BE19" s="132">
        <f t="shared" si="0"/>
        <v>0.41381399575886096</v>
      </c>
      <c r="BF19" s="132">
        <f t="shared" si="1"/>
        <v>0.45913895333848931</v>
      </c>
      <c r="BG19" s="132">
        <f t="shared" si="2"/>
        <v>0.47194177036863116</v>
      </c>
      <c r="BI19" s="132">
        <f t="shared" si="3"/>
        <v>0.30172674946985761</v>
      </c>
      <c r="BJ19" s="132">
        <f t="shared" si="4"/>
        <v>0.25161124001031193</v>
      </c>
      <c r="BK19" s="132">
        <f t="shared" si="5"/>
        <v>0.26766846677623851</v>
      </c>
      <c r="BM19" s="132">
        <f t="shared" si="6"/>
        <v>0</v>
      </c>
      <c r="BN19" s="132">
        <f t="shared" si="7"/>
        <v>0</v>
      </c>
      <c r="BO19" s="132">
        <f t="shared" si="8"/>
        <v>0</v>
      </c>
      <c r="BQ19" s="153">
        <f t="shared" si="9"/>
        <v>0.12481066343532264</v>
      </c>
      <c r="BR19" s="153">
        <f t="shared" si="10"/>
        <v>7.9401907708172209E-2</v>
      </c>
      <c r="BS19" s="153">
        <f t="shared" si="11"/>
        <v>8.2413712138999756E-2</v>
      </c>
      <c r="BU19" s="153">
        <f t="shared" si="12"/>
        <v>0.17691608603453499</v>
      </c>
      <c r="BV19" s="153">
        <f t="shared" si="13"/>
        <v>0.17220933230213975</v>
      </c>
      <c r="BW19" s="153">
        <f t="shared" si="14"/>
        <v>0.18525475463723876</v>
      </c>
      <c r="BY19" s="153">
        <f t="shared" si="15"/>
        <v>0.19448651923659499</v>
      </c>
      <c r="BZ19" s="153">
        <f t="shared" si="16"/>
        <v>0.20830110853312711</v>
      </c>
      <c r="CA19" s="153">
        <f t="shared" si="17"/>
        <v>0.18948109884949518</v>
      </c>
      <c r="CC19" s="153">
        <f t="shared" si="18"/>
        <v>8.9669797031202661E-2</v>
      </c>
      <c r="CD19" s="153">
        <f t="shared" si="19"/>
        <v>8.0948698118071677E-2</v>
      </c>
      <c r="CE19" s="153">
        <f t="shared" si="20"/>
        <v>7.0908664005635128E-2</v>
      </c>
      <c r="CG19" s="132">
        <f t="shared" si="35"/>
        <v>0.99969706149651627</v>
      </c>
      <c r="CH19" s="132">
        <f t="shared" si="36"/>
        <v>1</v>
      </c>
      <c r="CI19" s="132">
        <f t="shared" si="37"/>
        <v>0.99999999999999989</v>
      </c>
      <c r="CK19" s="132">
        <f t="shared" si="38"/>
        <v>3.0293850348372953E-4</v>
      </c>
      <c r="CL19" s="132">
        <f t="shared" si="39"/>
        <v>0</v>
      </c>
      <c r="CM19" s="132">
        <f t="shared" si="40"/>
        <v>0</v>
      </c>
      <c r="CO19" s="153">
        <f t="shared" si="41"/>
        <v>0.1495327102803426</v>
      </c>
      <c r="CP19" s="153">
        <f t="shared" si="42"/>
        <v>0</v>
      </c>
      <c r="CQ19" s="153">
        <f t="shared" si="43"/>
        <v>0</v>
      </c>
      <c r="CT19" s="132">
        <v>61.607476635514018</v>
      </c>
      <c r="CV19" s="153">
        <f t="shared" si="75"/>
        <v>2.5532710280373832</v>
      </c>
      <c r="CW19" s="153">
        <f t="shared" si="44"/>
        <v>3.3289719626168219</v>
      </c>
      <c r="CX19" s="153">
        <f t="shared" si="45"/>
        <v>3.7570093457943927</v>
      </c>
      <c r="CZ19" s="132">
        <f t="shared" si="46"/>
        <v>1</v>
      </c>
      <c r="DA19" s="132">
        <f t="shared" si="47"/>
        <v>1</v>
      </c>
      <c r="DB19" s="132">
        <f t="shared" si="48"/>
        <v>1</v>
      </c>
      <c r="DC19" s="132">
        <f t="shared" si="49"/>
        <v>0</v>
      </c>
      <c r="DD19" s="132">
        <f t="shared" si="50"/>
        <v>0</v>
      </c>
      <c r="DE19" s="132">
        <f t="shared" si="51"/>
        <v>0</v>
      </c>
      <c r="DF19" s="132">
        <f t="shared" si="52"/>
        <v>1</v>
      </c>
      <c r="DG19" s="132">
        <f t="shared" si="53"/>
        <v>1</v>
      </c>
      <c r="DH19" s="132">
        <f t="shared" si="54"/>
        <v>1</v>
      </c>
      <c r="DI19" s="132">
        <f t="shared" si="55"/>
        <v>1</v>
      </c>
      <c r="DJ19" s="132">
        <f t="shared" si="56"/>
        <v>1</v>
      </c>
      <c r="DK19" s="132">
        <f t="shared" si="57"/>
        <v>1</v>
      </c>
      <c r="DL19" s="132">
        <f t="shared" si="58"/>
        <v>1</v>
      </c>
      <c r="DM19" s="132">
        <f t="shared" si="59"/>
        <v>1</v>
      </c>
      <c r="DN19" s="132">
        <f t="shared" si="60"/>
        <v>1</v>
      </c>
      <c r="DO19" s="132">
        <f t="shared" si="61"/>
        <v>1</v>
      </c>
      <c r="DP19" s="132">
        <f t="shared" si="62"/>
        <v>1</v>
      </c>
      <c r="DQ19" s="132">
        <f t="shared" si="63"/>
        <v>1</v>
      </c>
      <c r="DR19" s="132">
        <f t="shared" si="64"/>
        <v>1</v>
      </c>
      <c r="DS19" s="132">
        <f t="shared" si="65"/>
        <v>0</v>
      </c>
      <c r="DT19" s="132">
        <f t="shared" si="66"/>
        <v>0</v>
      </c>
      <c r="DU19" s="132">
        <f t="shared" si="67"/>
        <v>6</v>
      </c>
      <c r="DV19" s="132">
        <f t="shared" si="68"/>
        <v>5</v>
      </c>
      <c r="DW19" s="132">
        <f t="shared" si="69"/>
        <v>5</v>
      </c>
      <c r="DX19" s="132">
        <f t="shared" si="70"/>
        <v>5.333333333333333</v>
      </c>
      <c r="DY19" s="132">
        <f t="shared" si="71"/>
        <v>0.47140452079103168</v>
      </c>
      <c r="DZ19" s="206">
        <f t="shared" si="72"/>
        <v>0</v>
      </c>
      <c r="EA19" s="132">
        <f t="shared" si="72"/>
        <v>0</v>
      </c>
      <c r="EB19" s="132">
        <f t="shared" si="72"/>
        <v>0</v>
      </c>
      <c r="EC19" s="132">
        <f t="shared" si="72"/>
        <v>0</v>
      </c>
      <c r="ED19" s="132">
        <f t="shared" si="72"/>
        <v>0</v>
      </c>
      <c r="EE19" s="132">
        <f t="shared" si="72"/>
        <v>1</v>
      </c>
      <c r="EF19" s="132">
        <f t="shared" si="72"/>
        <v>0</v>
      </c>
      <c r="EG19" s="132">
        <f t="shared" si="73"/>
        <v>0</v>
      </c>
      <c r="EH19" s="132">
        <f t="shared" si="73"/>
        <v>0</v>
      </c>
      <c r="EI19" s="132">
        <f t="shared" si="73"/>
        <v>0</v>
      </c>
      <c r="EJ19" s="132">
        <f t="shared" si="73"/>
        <v>0</v>
      </c>
      <c r="EK19" s="132">
        <f t="shared" si="73"/>
        <v>1</v>
      </c>
      <c r="EL19" s="132">
        <f t="shared" si="73"/>
        <v>0</v>
      </c>
      <c r="EM19" s="132">
        <f t="shared" si="73"/>
        <v>0</v>
      </c>
      <c r="EN19" s="132">
        <f t="shared" si="74"/>
        <v>0</v>
      </c>
      <c r="EO19" s="132">
        <f t="shared" si="74"/>
        <v>0</v>
      </c>
      <c r="EP19" s="132">
        <f t="shared" si="74"/>
        <v>0</v>
      </c>
      <c r="EQ19" s="132">
        <f t="shared" si="74"/>
        <v>0</v>
      </c>
      <c r="ER19" s="132">
        <f t="shared" si="74"/>
        <v>1</v>
      </c>
      <c r="ES19" s="132">
        <f t="shared" si="74"/>
        <v>0</v>
      </c>
      <c r="ET19" s="153">
        <f t="shared" si="74"/>
        <v>0</v>
      </c>
      <c r="EY19" s="132">
        <v>3005</v>
      </c>
      <c r="EZ19" s="132">
        <v>3565</v>
      </c>
      <c r="FA19" s="132">
        <v>3957</v>
      </c>
      <c r="FB19" s="132">
        <v>642</v>
      </c>
      <c r="FC19" s="132">
        <v>808</v>
      </c>
      <c r="FD19" s="132">
        <v>807</v>
      </c>
      <c r="FE19" s="132">
        <v>1</v>
      </c>
      <c r="FF19" s="132">
        <v>0</v>
      </c>
      <c r="FG19" s="132">
        <v>0</v>
      </c>
      <c r="FH19" s="132">
        <v>996</v>
      </c>
      <c r="FI19" s="132">
        <v>976</v>
      </c>
      <c r="FJ19" s="132">
        <v>1140</v>
      </c>
      <c r="FK19" s="132">
        <v>0</v>
      </c>
      <c r="FL19" s="132">
        <v>0</v>
      </c>
      <c r="FM19" s="132">
        <v>0</v>
      </c>
      <c r="FN19" s="132">
        <v>412</v>
      </c>
      <c r="FO19" s="132">
        <v>308</v>
      </c>
      <c r="FP19" s="132">
        <v>351</v>
      </c>
      <c r="FQ19" s="132">
        <v>584</v>
      </c>
      <c r="FR19" s="132">
        <v>668</v>
      </c>
      <c r="FS19" s="132">
        <v>789</v>
      </c>
      <c r="FT19" s="132">
        <v>1366</v>
      </c>
      <c r="FU19" s="132">
        <v>1781</v>
      </c>
      <c r="FV19" s="132">
        <v>2010</v>
      </c>
      <c r="FW19" s="132">
        <v>-200</v>
      </c>
      <c r="FX19" s="132">
        <v>-49</v>
      </c>
      <c r="FY19" s="132">
        <v>-176</v>
      </c>
      <c r="FZ19" s="132">
        <v>-200</v>
      </c>
      <c r="GA19" s="132">
        <v>-49</v>
      </c>
      <c r="GB19" s="132">
        <v>-176</v>
      </c>
      <c r="GC19" s="132">
        <v>296</v>
      </c>
      <c r="GD19" s="132">
        <v>314</v>
      </c>
      <c r="GE19" s="132">
        <v>302</v>
      </c>
      <c r="GF19" s="132">
        <v>0</v>
      </c>
      <c r="GG19" s="132">
        <v>299</v>
      </c>
      <c r="GH19" s="132">
        <v>300</v>
      </c>
      <c r="GI19" s="132">
        <v>0</v>
      </c>
      <c r="GJ19" s="132">
        <v>299</v>
      </c>
      <c r="GK19" s="132">
        <v>300</v>
      </c>
      <c r="GL19" s="132">
        <v>3205</v>
      </c>
      <c r="GM19" s="132">
        <v>3629</v>
      </c>
      <c r="GN19" s="132">
        <v>4135</v>
      </c>
      <c r="GO19" s="132">
        <v>3301</v>
      </c>
      <c r="GP19" s="132">
        <v>3879</v>
      </c>
      <c r="GQ19" s="132">
        <v>4259</v>
      </c>
      <c r="GR19" s="132">
        <v>96</v>
      </c>
      <c r="GS19" s="132">
        <v>250</v>
      </c>
      <c r="GT19" s="132">
        <v>124</v>
      </c>
      <c r="GU19" s="132">
        <v>-200</v>
      </c>
      <c r="GV19" s="132">
        <v>250</v>
      </c>
      <c r="GW19" s="132">
        <v>124</v>
      </c>
    </row>
    <row r="20" spans="1:205" s="132" customFormat="1">
      <c r="A20" s="132" t="s">
        <v>57</v>
      </c>
      <c r="B20" s="132">
        <v>366</v>
      </c>
      <c r="C20" s="132" t="s">
        <v>37</v>
      </c>
      <c r="D20" s="132" t="s">
        <v>32</v>
      </c>
      <c r="E20" s="132">
        <v>1617</v>
      </c>
      <c r="F20" s="132">
        <v>2080</v>
      </c>
      <c r="G20" s="132">
        <v>1952</v>
      </c>
      <c r="H20" s="132">
        <v>326</v>
      </c>
      <c r="I20" s="132">
        <v>121</v>
      </c>
      <c r="J20" s="132">
        <v>29</v>
      </c>
      <c r="K20" s="132">
        <v>0</v>
      </c>
      <c r="L20" s="132">
        <v>60</v>
      </c>
      <c r="M20" s="132">
        <v>30</v>
      </c>
      <c r="N20" s="132">
        <v>918</v>
      </c>
      <c r="O20" s="132">
        <v>1303</v>
      </c>
      <c r="P20" s="132">
        <v>1270</v>
      </c>
      <c r="Q20" s="153">
        <v>0</v>
      </c>
      <c r="R20" s="153">
        <v>0</v>
      </c>
      <c r="S20" s="153">
        <v>0</v>
      </c>
      <c r="T20" s="153">
        <v>168</v>
      </c>
      <c r="U20" s="153">
        <v>259</v>
      </c>
      <c r="V20" s="153">
        <v>126</v>
      </c>
      <c r="W20" s="153">
        <v>750</v>
      </c>
      <c r="X20" s="153">
        <v>1044</v>
      </c>
      <c r="Y20" s="153">
        <v>1144</v>
      </c>
      <c r="Z20" s="132">
        <v>373</v>
      </c>
      <c r="AA20" s="132">
        <v>596</v>
      </c>
      <c r="AB20" s="132">
        <v>623</v>
      </c>
      <c r="AC20" s="132">
        <v>-655</v>
      </c>
      <c r="AD20" s="132">
        <v>-218</v>
      </c>
      <c r="AE20" s="132">
        <v>-24</v>
      </c>
      <c r="AF20" s="132">
        <v>-655</v>
      </c>
      <c r="AG20" s="132">
        <v>-218</v>
      </c>
      <c r="AH20" s="132">
        <v>-24</v>
      </c>
      <c r="AI20" s="152">
        <v>379</v>
      </c>
      <c r="AJ20" s="153">
        <v>540</v>
      </c>
      <c r="AK20" s="154">
        <v>471</v>
      </c>
      <c r="AL20" s="132">
        <v>297</v>
      </c>
      <c r="AM20" s="132">
        <v>432</v>
      </c>
      <c r="AN20" s="132">
        <v>284</v>
      </c>
      <c r="AO20" s="132">
        <v>297</v>
      </c>
      <c r="AP20" s="132">
        <v>407</v>
      </c>
      <c r="AQ20" s="132">
        <v>284</v>
      </c>
      <c r="AR20" s="132">
        <v>2354</v>
      </c>
      <c r="AS20" s="132">
        <v>2431</v>
      </c>
      <c r="AT20" s="132">
        <v>2163</v>
      </c>
      <c r="AU20" s="132">
        <v>1996</v>
      </c>
      <c r="AV20" s="132">
        <v>2620</v>
      </c>
      <c r="AW20" s="132">
        <v>2423</v>
      </c>
      <c r="AX20" s="132">
        <v>-358</v>
      </c>
      <c r="AY20" s="132">
        <v>189</v>
      </c>
      <c r="AZ20" s="132">
        <v>260</v>
      </c>
      <c r="BA20" s="132">
        <v>-358</v>
      </c>
      <c r="BB20" s="132">
        <v>189</v>
      </c>
      <c r="BC20" s="132">
        <v>260</v>
      </c>
      <c r="BE20" s="132">
        <f t="shared" si="0"/>
        <v>0.18687374749498997</v>
      </c>
      <c r="BF20" s="132">
        <f t="shared" si="1"/>
        <v>0.22748091603053436</v>
      </c>
      <c r="BG20" s="132">
        <f t="shared" si="2"/>
        <v>0.25711927362773423</v>
      </c>
      <c r="BI20" s="132">
        <f t="shared" si="3"/>
        <v>0.45991983967935873</v>
      </c>
      <c r="BJ20" s="132">
        <f t="shared" si="4"/>
        <v>0.49732824427480915</v>
      </c>
      <c r="BK20" s="132">
        <f t="shared" si="5"/>
        <v>0.52414362360709865</v>
      </c>
      <c r="BM20" s="132">
        <f t="shared" si="6"/>
        <v>0</v>
      </c>
      <c r="BN20" s="132">
        <f t="shared" si="7"/>
        <v>0</v>
      </c>
      <c r="BO20" s="132">
        <f t="shared" si="8"/>
        <v>0</v>
      </c>
      <c r="BQ20" s="153">
        <f t="shared" si="9"/>
        <v>8.4168336673346694E-2</v>
      </c>
      <c r="BR20" s="153">
        <f t="shared" si="10"/>
        <v>9.8854961832061064E-2</v>
      </c>
      <c r="BS20" s="153">
        <f t="shared" si="11"/>
        <v>5.2001650846058602E-2</v>
      </c>
      <c r="BU20" s="153">
        <f t="shared" si="12"/>
        <v>0.37575150300601201</v>
      </c>
      <c r="BV20" s="153">
        <f t="shared" si="13"/>
        <v>0.3984732824427481</v>
      </c>
      <c r="BW20" s="153">
        <f t="shared" si="14"/>
        <v>0.47214197276104003</v>
      </c>
      <c r="BY20" s="153">
        <f t="shared" si="15"/>
        <v>0.16332665330661322</v>
      </c>
      <c r="BZ20" s="153">
        <f t="shared" si="16"/>
        <v>4.6183206106870232E-2</v>
      </c>
      <c r="CA20" s="153">
        <f t="shared" si="17"/>
        <v>1.1968633924886504E-2</v>
      </c>
      <c r="CC20" s="153">
        <f t="shared" si="18"/>
        <v>0.18987975951903807</v>
      </c>
      <c r="CD20" s="153">
        <f t="shared" si="19"/>
        <v>0.20610687022900764</v>
      </c>
      <c r="CE20" s="153">
        <f t="shared" si="20"/>
        <v>0.19438712340074288</v>
      </c>
      <c r="CG20" s="132">
        <f t="shared" si="35"/>
        <v>1</v>
      </c>
      <c r="CH20" s="132">
        <f t="shared" si="36"/>
        <v>0.97709923664122134</v>
      </c>
      <c r="CI20" s="132">
        <f t="shared" si="37"/>
        <v>0.98761865456046216</v>
      </c>
      <c r="CK20" s="132">
        <f t="shared" si="38"/>
        <v>0</v>
      </c>
      <c r="CL20" s="132">
        <f t="shared" si="39"/>
        <v>2.2900763358778664E-2</v>
      </c>
      <c r="CM20" s="132">
        <f t="shared" si="40"/>
        <v>1.2381345439537839E-2</v>
      </c>
      <c r="CO20" s="153">
        <f t="shared" si="41"/>
        <v>0</v>
      </c>
      <c r="CP20" s="153">
        <f t="shared" si="42"/>
        <v>60.000000000000099</v>
      </c>
      <c r="CQ20" s="153">
        <f t="shared" si="43"/>
        <v>30.000000000000185</v>
      </c>
      <c r="CT20" s="132">
        <v>168</v>
      </c>
      <c r="CV20" s="153">
        <f t="shared" si="75"/>
        <v>1.0191256830601092</v>
      </c>
      <c r="CW20" s="153">
        <f t="shared" si="44"/>
        <v>1.6284153005464481</v>
      </c>
      <c r="CX20" s="153">
        <f t="shared" si="45"/>
        <v>1.7021857923497268</v>
      </c>
      <c r="CZ20" s="132">
        <f t="shared" si="46"/>
        <v>1</v>
      </c>
      <c r="DA20" s="132">
        <f t="shared" si="47"/>
        <v>1</v>
      </c>
      <c r="DB20" s="132">
        <f t="shared" si="48"/>
        <v>1</v>
      </c>
      <c r="DC20" s="132">
        <f t="shared" si="49"/>
        <v>0</v>
      </c>
      <c r="DD20" s="132">
        <f t="shared" si="50"/>
        <v>0</v>
      </c>
      <c r="DE20" s="132">
        <f t="shared" si="51"/>
        <v>0</v>
      </c>
      <c r="DF20" s="132">
        <f t="shared" si="52"/>
        <v>1</v>
      </c>
      <c r="DG20" s="132">
        <f t="shared" si="53"/>
        <v>1</v>
      </c>
      <c r="DH20" s="132">
        <f t="shared" si="54"/>
        <v>1</v>
      </c>
      <c r="DI20" s="132">
        <f t="shared" si="55"/>
        <v>1</v>
      </c>
      <c r="DJ20" s="132">
        <f t="shared" si="56"/>
        <v>1</v>
      </c>
      <c r="DK20" s="132">
        <f t="shared" si="57"/>
        <v>1</v>
      </c>
      <c r="DL20" s="132">
        <f t="shared" si="58"/>
        <v>1</v>
      </c>
      <c r="DM20" s="132">
        <f t="shared" si="59"/>
        <v>1</v>
      </c>
      <c r="DN20" s="132">
        <f t="shared" si="60"/>
        <v>1</v>
      </c>
      <c r="DO20" s="132">
        <f t="shared" si="61"/>
        <v>1</v>
      </c>
      <c r="DP20" s="132">
        <f t="shared" si="62"/>
        <v>1</v>
      </c>
      <c r="DQ20" s="132">
        <f t="shared" si="63"/>
        <v>1</v>
      </c>
      <c r="DR20" s="132">
        <f t="shared" si="64"/>
        <v>0</v>
      </c>
      <c r="DS20" s="132">
        <f t="shared" si="65"/>
        <v>1</v>
      </c>
      <c r="DT20" s="132">
        <f t="shared" si="66"/>
        <v>1</v>
      </c>
      <c r="DU20" s="132">
        <f t="shared" si="67"/>
        <v>5</v>
      </c>
      <c r="DV20" s="132">
        <f t="shared" si="68"/>
        <v>6</v>
      </c>
      <c r="DW20" s="132">
        <f t="shared" si="69"/>
        <v>6</v>
      </c>
      <c r="DX20" s="132">
        <f t="shared" si="70"/>
        <v>5.666666666666667</v>
      </c>
      <c r="DY20" s="132">
        <f t="shared" si="71"/>
        <v>0.47140452079103168</v>
      </c>
      <c r="DZ20" s="206">
        <f t="shared" si="72"/>
        <v>0</v>
      </c>
      <c r="EA20" s="132">
        <f t="shared" si="72"/>
        <v>0</v>
      </c>
      <c r="EB20" s="132">
        <f t="shared" si="72"/>
        <v>0</v>
      </c>
      <c r="EC20" s="132">
        <f t="shared" si="72"/>
        <v>0</v>
      </c>
      <c r="ED20" s="132">
        <f t="shared" si="72"/>
        <v>1</v>
      </c>
      <c r="EE20" s="132">
        <f t="shared" si="72"/>
        <v>0</v>
      </c>
      <c r="EF20" s="132">
        <f t="shared" si="72"/>
        <v>0</v>
      </c>
      <c r="EG20" s="132">
        <f t="shared" si="73"/>
        <v>0</v>
      </c>
      <c r="EH20" s="132">
        <f t="shared" si="73"/>
        <v>0</v>
      </c>
      <c r="EI20" s="132">
        <f t="shared" si="73"/>
        <v>0</v>
      </c>
      <c r="EJ20" s="132">
        <f t="shared" si="73"/>
        <v>0</v>
      </c>
      <c r="EK20" s="132">
        <f t="shared" si="73"/>
        <v>0</v>
      </c>
      <c r="EL20" s="132">
        <f t="shared" si="73"/>
        <v>1</v>
      </c>
      <c r="EM20" s="132">
        <f t="shared" si="73"/>
        <v>0</v>
      </c>
      <c r="EN20" s="132">
        <f t="shared" si="74"/>
        <v>0</v>
      </c>
      <c r="EO20" s="132">
        <f t="shared" si="74"/>
        <v>0</v>
      </c>
      <c r="EP20" s="132">
        <f t="shared" si="74"/>
        <v>0</v>
      </c>
      <c r="EQ20" s="132">
        <f t="shared" si="74"/>
        <v>0</v>
      </c>
      <c r="ER20" s="132">
        <f t="shared" si="74"/>
        <v>0</v>
      </c>
      <c r="ES20" s="132">
        <f t="shared" si="74"/>
        <v>1</v>
      </c>
      <c r="ET20" s="153">
        <f t="shared" si="74"/>
        <v>0</v>
      </c>
    </row>
    <row r="21" spans="1:205" s="132" customFormat="1">
      <c r="A21" s="132" t="s">
        <v>58</v>
      </c>
      <c r="B21" s="132">
        <v>200</v>
      </c>
      <c r="C21" s="132" t="s">
        <v>37</v>
      </c>
      <c r="D21" s="132" t="s">
        <v>32</v>
      </c>
      <c r="E21" s="132">
        <v>872</v>
      </c>
      <c r="F21" s="132">
        <v>1139</v>
      </c>
      <c r="G21" s="132">
        <v>1504</v>
      </c>
      <c r="H21" s="132">
        <v>0</v>
      </c>
      <c r="I21" s="132">
        <v>11</v>
      </c>
      <c r="J21" s="132">
        <v>49</v>
      </c>
      <c r="K21" s="132">
        <v>5</v>
      </c>
      <c r="L21" s="132">
        <v>53</v>
      </c>
      <c r="M21" s="132">
        <v>0</v>
      </c>
      <c r="N21" s="132">
        <v>557</v>
      </c>
      <c r="O21" s="132">
        <v>845</v>
      </c>
      <c r="P21" s="132">
        <v>862</v>
      </c>
      <c r="Q21" s="153">
        <v>0</v>
      </c>
      <c r="R21" s="153">
        <v>29</v>
      </c>
      <c r="S21" s="153">
        <v>32</v>
      </c>
      <c r="T21" s="153">
        <v>47</v>
      </c>
      <c r="U21" s="153">
        <v>45</v>
      </c>
      <c r="V21" s="153">
        <v>68</v>
      </c>
      <c r="W21" s="153">
        <v>510</v>
      </c>
      <c r="X21" s="153">
        <v>771</v>
      </c>
      <c r="Y21" s="153">
        <v>763</v>
      </c>
      <c r="Z21" s="132">
        <v>310</v>
      </c>
      <c r="AA21" s="132">
        <v>230</v>
      </c>
      <c r="AB21" s="132">
        <v>592</v>
      </c>
      <c r="AC21" s="132">
        <v>-25</v>
      </c>
      <c r="AD21" s="132">
        <v>14</v>
      </c>
      <c r="AE21" s="132">
        <v>89</v>
      </c>
      <c r="AF21" s="132">
        <v>-25</v>
      </c>
      <c r="AG21" s="132">
        <v>14</v>
      </c>
      <c r="AH21" s="132">
        <v>89</v>
      </c>
      <c r="AI21" s="152">
        <v>0</v>
      </c>
      <c r="AJ21" s="153">
        <v>0</v>
      </c>
      <c r="AK21" s="154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  <c r="AQ21" s="132">
        <v>0</v>
      </c>
      <c r="AR21" s="132">
        <v>897</v>
      </c>
      <c r="AS21" s="132">
        <v>1125</v>
      </c>
      <c r="AT21" s="132">
        <v>1414</v>
      </c>
      <c r="AU21" s="132">
        <v>872</v>
      </c>
      <c r="AV21" s="132">
        <v>1139</v>
      </c>
      <c r="AW21" s="132">
        <v>1504</v>
      </c>
      <c r="AX21" s="132">
        <v>-25</v>
      </c>
      <c r="AY21" s="132">
        <v>14</v>
      </c>
      <c r="AZ21" s="132">
        <v>90</v>
      </c>
      <c r="BA21" s="132">
        <v>-25</v>
      </c>
      <c r="BB21" s="132">
        <v>14</v>
      </c>
      <c r="BC21" s="132">
        <v>89</v>
      </c>
      <c r="BE21" s="132">
        <f t="shared" si="0"/>
        <v>0.35550458715596328</v>
      </c>
      <c r="BF21" s="132">
        <f t="shared" si="1"/>
        <v>0.20193151887620719</v>
      </c>
      <c r="BG21" s="132">
        <f t="shared" si="2"/>
        <v>0.39361702127659576</v>
      </c>
      <c r="BI21" s="132">
        <f t="shared" si="3"/>
        <v>0.63876146788990829</v>
      </c>
      <c r="BJ21" s="132">
        <f t="shared" si="4"/>
        <v>0.7418788410886743</v>
      </c>
      <c r="BK21" s="132">
        <f t="shared" si="5"/>
        <v>0.57313829787234039</v>
      </c>
      <c r="BM21" s="132">
        <f t="shared" si="6"/>
        <v>0</v>
      </c>
      <c r="BN21" s="132">
        <f t="shared" si="7"/>
        <v>2.5460930640913083E-2</v>
      </c>
      <c r="BO21" s="132">
        <f t="shared" si="8"/>
        <v>2.1276595744680851E-2</v>
      </c>
      <c r="BQ21" s="153">
        <f t="shared" si="9"/>
        <v>5.3899082568807342E-2</v>
      </c>
      <c r="BR21" s="153">
        <f t="shared" si="10"/>
        <v>3.9508340649692712E-2</v>
      </c>
      <c r="BS21" s="153">
        <f t="shared" si="11"/>
        <v>4.5212765957446811E-2</v>
      </c>
      <c r="BU21" s="153">
        <f t="shared" si="12"/>
        <v>0.58486238532110091</v>
      </c>
      <c r="BV21" s="153">
        <f t="shared" si="13"/>
        <v>0.67690956979806849</v>
      </c>
      <c r="BW21" s="153">
        <f t="shared" si="14"/>
        <v>0.50731382978723405</v>
      </c>
      <c r="BY21" s="153">
        <f t="shared" si="15"/>
        <v>0</v>
      </c>
      <c r="BZ21" s="153">
        <f t="shared" si="16"/>
        <v>9.6575943810359964E-3</v>
      </c>
      <c r="CA21" s="153">
        <f t="shared" si="17"/>
        <v>3.2579787234042555E-2</v>
      </c>
      <c r="CC21" s="153">
        <f t="shared" si="18"/>
        <v>0</v>
      </c>
      <c r="CD21" s="153">
        <f t="shared" si="19"/>
        <v>0</v>
      </c>
      <c r="CE21" s="153">
        <f t="shared" si="20"/>
        <v>0</v>
      </c>
      <c r="CG21" s="132">
        <f t="shared" si="35"/>
        <v>0.99426605504587151</v>
      </c>
      <c r="CH21" s="132">
        <f t="shared" si="36"/>
        <v>0.95346795434591747</v>
      </c>
      <c r="CI21" s="132">
        <f t="shared" si="37"/>
        <v>0.99933510638297873</v>
      </c>
      <c r="CK21" s="132">
        <f t="shared" si="38"/>
        <v>5.7339449541284893E-3</v>
      </c>
      <c r="CL21" s="132">
        <f t="shared" si="39"/>
        <v>4.6532045654082532E-2</v>
      </c>
      <c r="CM21" s="132">
        <f t="shared" si="40"/>
        <v>6.6489361702126715E-4</v>
      </c>
      <c r="CO21" s="153">
        <f t="shared" si="41"/>
        <v>5.0000000000000426</v>
      </c>
      <c r="CP21" s="153">
        <f t="shared" si="42"/>
        <v>53.000000000000007</v>
      </c>
      <c r="CQ21" s="153">
        <f t="shared" si="43"/>
        <v>0.99999999999998579</v>
      </c>
      <c r="CT21" s="132">
        <v>47</v>
      </c>
      <c r="CV21" s="153">
        <f t="shared" si="75"/>
        <v>1.55</v>
      </c>
      <c r="CW21" s="153">
        <f t="shared" si="44"/>
        <v>1.1499999999999999</v>
      </c>
      <c r="CX21" s="153">
        <f t="shared" si="45"/>
        <v>2.96</v>
      </c>
      <c r="CZ21" s="132">
        <f t="shared" si="46"/>
        <v>1</v>
      </c>
      <c r="DA21" s="132">
        <f t="shared" si="47"/>
        <v>1</v>
      </c>
      <c r="DB21" s="132">
        <f t="shared" si="48"/>
        <v>1</v>
      </c>
      <c r="DC21" s="132">
        <f t="shared" si="49"/>
        <v>0</v>
      </c>
      <c r="DD21" s="132">
        <f t="shared" si="50"/>
        <v>1</v>
      </c>
      <c r="DE21" s="132">
        <f t="shared" si="51"/>
        <v>1</v>
      </c>
      <c r="DF21" s="132">
        <f t="shared" si="52"/>
        <v>1</v>
      </c>
      <c r="DG21" s="132">
        <f t="shared" si="53"/>
        <v>1</v>
      </c>
      <c r="DH21" s="132">
        <f t="shared" si="54"/>
        <v>1</v>
      </c>
      <c r="DI21" s="132">
        <f t="shared" si="55"/>
        <v>1</v>
      </c>
      <c r="DJ21" s="132">
        <f t="shared" si="56"/>
        <v>1</v>
      </c>
      <c r="DK21" s="132">
        <f t="shared" si="57"/>
        <v>1</v>
      </c>
      <c r="DL21" s="132">
        <f t="shared" si="58"/>
        <v>0</v>
      </c>
      <c r="DM21" s="132">
        <f t="shared" si="59"/>
        <v>1</v>
      </c>
      <c r="DN21" s="132">
        <f t="shared" si="60"/>
        <v>1</v>
      </c>
      <c r="DO21" s="132">
        <f t="shared" si="61"/>
        <v>0</v>
      </c>
      <c r="DP21" s="132">
        <f t="shared" si="62"/>
        <v>0</v>
      </c>
      <c r="DQ21" s="132">
        <f t="shared" si="63"/>
        <v>0</v>
      </c>
      <c r="DR21" s="132">
        <f t="shared" si="64"/>
        <v>1</v>
      </c>
      <c r="DS21" s="132">
        <f t="shared" si="65"/>
        <v>1</v>
      </c>
      <c r="DT21" s="132">
        <f t="shared" si="66"/>
        <v>1</v>
      </c>
      <c r="DU21" s="132">
        <f t="shared" si="67"/>
        <v>4</v>
      </c>
      <c r="DV21" s="132">
        <f t="shared" si="68"/>
        <v>6</v>
      </c>
      <c r="DW21" s="132">
        <f t="shared" si="69"/>
        <v>6</v>
      </c>
      <c r="DX21" s="132">
        <f t="shared" si="70"/>
        <v>5.333333333333333</v>
      </c>
      <c r="DY21" s="132">
        <f t="shared" si="71"/>
        <v>0.94280904158206336</v>
      </c>
      <c r="DZ21" s="206">
        <f t="shared" si="72"/>
        <v>0</v>
      </c>
      <c r="EA21" s="132">
        <f t="shared" si="72"/>
        <v>0</v>
      </c>
      <c r="EB21" s="132">
        <f t="shared" si="72"/>
        <v>0</v>
      </c>
      <c r="EC21" s="132">
        <f t="shared" si="72"/>
        <v>1</v>
      </c>
      <c r="ED21" s="132">
        <f t="shared" si="72"/>
        <v>0</v>
      </c>
      <c r="EE21" s="132">
        <f t="shared" si="72"/>
        <v>0</v>
      </c>
      <c r="EF21" s="132">
        <f t="shared" si="72"/>
        <v>0</v>
      </c>
      <c r="EG21" s="132">
        <f t="shared" si="73"/>
        <v>0</v>
      </c>
      <c r="EH21" s="132">
        <f t="shared" si="73"/>
        <v>0</v>
      </c>
      <c r="EI21" s="132">
        <f t="shared" si="73"/>
        <v>0</v>
      </c>
      <c r="EJ21" s="132">
        <f t="shared" si="73"/>
        <v>0</v>
      </c>
      <c r="EK21" s="132">
        <f t="shared" si="73"/>
        <v>0</v>
      </c>
      <c r="EL21" s="132">
        <f t="shared" si="73"/>
        <v>1</v>
      </c>
      <c r="EM21" s="132">
        <f t="shared" si="73"/>
        <v>0</v>
      </c>
      <c r="EN21" s="132">
        <f t="shared" si="74"/>
        <v>0</v>
      </c>
      <c r="EO21" s="132">
        <f t="shared" si="74"/>
        <v>0</v>
      </c>
      <c r="EP21" s="132">
        <f t="shared" si="74"/>
        <v>0</v>
      </c>
      <c r="EQ21" s="132">
        <f t="shared" si="74"/>
        <v>0</v>
      </c>
      <c r="ER21" s="132">
        <f t="shared" si="74"/>
        <v>0</v>
      </c>
      <c r="ES21" s="132">
        <f t="shared" si="74"/>
        <v>1</v>
      </c>
      <c r="ET21" s="153">
        <f t="shared" si="74"/>
        <v>0</v>
      </c>
    </row>
    <row r="22" spans="1:205" s="132" customFormat="1">
      <c r="A22" s="132" t="s">
        <v>82</v>
      </c>
      <c r="B22" s="132">
        <v>30</v>
      </c>
      <c r="C22" s="132" t="s">
        <v>37</v>
      </c>
      <c r="D22" s="132" t="s">
        <v>32</v>
      </c>
      <c r="E22" s="132">
        <v>65</v>
      </c>
      <c r="F22" s="132">
        <v>163</v>
      </c>
      <c r="G22" s="132">
        <v>350</v>
      </c>
      <c r="H22" s="132">
        <v>0</v>
      </c>
      <c r="I22" s="132">
        <v>0</v>
      </c>
      <c r="J22" s="132">
        <v>4</v>
      </c>
      <c r="K22" s="132">
        <v>0</v>
      </c>
      <c r="L22" s="132">
        <v>0</v>
      </c>
      <c r="M22" s="132">
        <v>0</v>
      </c>
      <c r="N22" s="132">
        <v>35</v>
      </c>
      <c r="O22" s="132">
        <v>123</v>
      </c>
      <c r="P22" s="132">
        <v>202</v>
      </c>
      <c r="Q22" s="153">
        <v>0</v>
      </c>
      <c r="R22" s="153">
        <v>0</v>
      </c>
      <c r="S22" s="153">
        <v>5</v>
      </c>
      <c r="T22" s="153">
        <v>0</v>
      </c>
      <c r="U22" s="153">
        <v>10</v>
      </c>
      <c r="V22" s="153">
        <v>8</v>
      </c>
      <c r="W22" s="153">
        <v>35</v>
      </c>
      <c r="X22" s="153">
        <v>113</v>
      </c>
      <c r="Y22" s="153">
        <v>189</v>
      </c>
      <c r="Z22" s="132">
        <v>30</v>
      </c>
      <c r="AA22" s="132">
        <v>40</v>
      </c>
      <c r="AB22" s="132">
        <v>144</v>
      </c>
      <c r="AC22" s="132">
        <v>35</v>
      </c>
      <c r="AD22" s="132">
        <v>55</v>
      </c>
      <c r="AE22" s="132">
        <v>90</v>
      </c>
      <c r="AF22" s="132">
        <v>35</v>
      </c>
      <c r="AG22" s="132">
        <v>55</v>
      </c>
      <c r="AH22" s="132">
        <v>90</v>
      </c>
      <c r="AI22" s="152">
        <v>0</v>
      </c>
      <c r="AJ22" s="153">
        <v>0</v>
      </c>
      <c r="AK22" s="154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  <c r="AQ22" s="132">
        <v>0</v>
      </c>
      <c r="AR22" s="132">
        <v>30</v>
      </c>
      <c r="AS22" s="132">
        <v>108</v>
      </c>
      <c r="AT22" s="132">
        <v>260</v>
      </c>
      <c r="AU22" s="132">
        <v>65</v>
      </c>
      <c r="AV22" s="132">
        <v>163</v>
      </c>
      <c r="AW22" s="132">
        <v>350</v>
      </c>
      <c r="AX22" s="132">
        <v>35</v>
      </c>
      <c r="AY22" s="132">
        <v>55</v>
      </c>
      <c r="AZ22" s="132">
        <v>90</v>
      </c>
      <c r="BA22" s="132">
        <v>35</v>
      </c>
      <c r="BB22" s="132">
        <v>55</v>
      </c>
      <c r="BC22" s="132">
        <v>90</v>
      </c>
      <c r="BE22" s="132">
        <f t="shared" si="0"/>
        <v>0.46153846153846156</v>
      </c>
      <c r="BF22" s="132">
        <f t="shared" si="1"/>
        <v>0.24539877300613497</v>
      </c>
      <c r="BG22" s="132">
        <f t="shared" si="2"/>
        <v>0.41142857142857142</v>
      </c>
      <c r="BI22" s="132">
        <f t="shared" si="3"/>
        <v>0.53846153846153844</v>
      </c>
      <c r="BJ22" s="132">
        <f t="shared" si="4"/>
        <v>0.754601226993865</v>
      </c>
      <c r="BK22" s="132">
        <f t="shared" si="5"/>
        <v>0.57714285714285718</v>
      </c>
      <c r="BM22" s="132">
        <f t="shared" si="6"/>
        <v>0</v>
      </c>
      <c r="BN22" s="132">
        <f t="shared" si="7"/>
        <v>0</v>
      </c>
      <c r="BO22" s="132">
        <f t="shared" si="8"/>
        <v>1.4285714285714285E-2</v>
      </c>
      <c r="BQ22" s="153">
        <f t="shared" si="9"/>
        <v>0</v>
      </c>
      <c r="BR22" s="153">
        <f t="shared" si="10"/>
        <v>6.1349693251533742E-2</v>
      </c>
      <c r="BS22" s="153">
        <f t="shared" si="11"/>
        <v>2.2857142857142857E-2</v>
      </c>
      <c r="BU22" s="153">
        <f t="shared" si="12"/>
        <v>0.53846153846153844</v>
      </c>
      <c r="BV22" s="153">
        <f t="shared" si="13"/>
        <v>0.69325153374233128</v>
      </c>
      <c r="BW22" s="153">
        <f t="shared" si="14"/>
        <v>0.54</v>
      </c>
      <c r="BY22" s="153">
        <f t="shared" si="15"/>
        <v>0</v>
      </c>
      <c r="BZ22" s="153">
        <f t="shared" si="16"/>
        <v>0</v>
      </c>
      <c r="CA22" s="153">
        <f t="shared" si="17"/>
        <v>1.1428571428571429E-2</v>
      </c>
      <c r="CC22" s="153">
        <f t="shared" si="18"/>
        <v>0</v>
      </c>
      <c r="CD22" s="153">
        <f t="shared" si="19"/>
        <v>0</v>
      </c>
      <c r="CE22" s="153">
        <f t="shared" si="20"/>
        <v>0</v>
      </c>
      <c r="CG22" s="132">
        <f t="shared" si="35"/>
        <v>1</v>
      </c>
      <c r="CH22" s="132">
        <f t="shared" si="36"/>
        <v>1</v>
      </c>
      <c r="CI22" s="132">
        <f t="shared" si="37"/>
        <v>1</v>
      </c>
      <c r="CK22" s="132">
        <f t="shared" si="38"/>
        <v>0</v>
      </c>
      <c r="CL22" s="132">
        <f t="shared" si="39"/>
        <v>0</v>
      </c>
      <c r="CM22" s="132">
        <f t="shared" si="40"/>
        <v>0</v>
      </c>
      <c r="CO22" s="153">
        <f t="shared" si="41"/>
        <v>0</v>
      </c>
      <c r="CP22" s="153">
        <f t="shared" si="42"/>
        <v>0</v>
      </c>
      <c r="CQ22" s="153">
        <f t="shared" si="43"/>
        <v>0</v>
      </c>
      <c r="CT22" s="132">
        <v>0</v>
      </c>
      <c r="CV22" s="153">
        <f t="shared" si="75"/>
        <v>1</v>
      </c>
      <c r="CW22" s="153">
        <f t="shared" si="44"/>
        <v>1.3333333333333333</v>
      </c>
      <c r="CX22" s="153">
        <f t="shared" si="45"/>
        <v>4.8</v>
      </c>
      <c r="CZ22" s="132">
        <f t="shared" si="46"/>
        <v>1</v>
      </c>
      <c r="DA22" s="132">
        <f t="shared" si="47"/>
        <v>1</v>
      </c>
      <c r="DB22" s="132">
        <f t="shared" si="48"/>
        <v>1</v>
      </c>
      <c r="DC22" s="132">
        <f t="shared" si="49"/>
        <v>0</v>
      </c>
      <c r="DD22" s="132">
        <f t="shared" si="50"/>
        <v>0</v>
      </c>
      <c r="DE22" s="132">
        <f t="shared" si="51"/>
        <v>1</v>
      </c>
      <c r="DF22" s="132">
        <f t="shared" si="52"/>
        <v>0</v>
      </c>
      <c r="DG22" s="132">
        <f t="shared" si="53"/>
        <v>1</v>
      </c>
      <c r="DH22" s="132">
        <f t="shared" si="54"/>
        <v>1</v>
      </c>
      <c r="DI22" s="132">
        <f t="shared" si="55"/>
        <v>1</v>
      </c>
      <c r="DJ22" s="132">
        <f t="shared" si="56"/>
        <v>1</v>
      </c>
      <c r="DK22" s="132">
        <f t="shared" si="57"/>
        <v>1</v>
      </c>
      <c r="DL22" s="132">
        <f t="shared" si="58"/>
        <v>0</v>
      </c>
      <c r="DM22" s="132">
        <f t="shared" si="59"/>
        <v>0</v>
      </c>
      <c r="DN22" s="132">
        <f t="shared" si="60"/>
        <v>1</v>
      </c>
      <c r="DO22" s="132">
        <f t="shared" si="61"/>
        <v>0</v>
      </c>
      <c r="DP22" s="132">
        <f t="shared" si="62"/>
        <v>0</v>
      </c>
      <c r="DQ22" s="132">
        <f t="shared" si="63"/>
        <v>0</v>
      </c>
      <c r="DR22" s="132">
        <f t="shared" si="64"/>
        <v>0</v>
      </c>
      <c r="DS22" s="132">
        <f t="shared" si="65"/>
        <v>0</v>
      </c>
      <c r="DT22" s="132">
        <f t="shared" si="66"/>
        <v>0</v>
      </c>
      <c r="DU22" s="132">
        <f t="shared" si="67"/>
        <v>2</v>
      </c>
      <c r="DV22" s="132">
        <f t="shared" si="68"/>
        <v>3</v>
      </c>
      <c r="DW22" s="132">
        <f t="shared" si="69"/>
        <v>5</v>
      </c>
      <c r="DX22" s="132">
        <f t="shared" si="70"/>
        <v>3.3333333333333335</v>
      </c>
      <c r="DY22" s="132">
        <f t="shared" si="71"/>
        <v>1.247219128924647</v>
      </c>
      <c r="DZ22" s="206">
        <f t="shared" si="72"/>
        <v>0</v>
      </c>
      <c r="EA22" s="132">
        <f t="shared" si="72"/>
        <v>1</v>
      </c>
      <c r="EB22" s="132">
        <f t="shared" si="72"/>
        <v>0</v>
      </c>
      <c r="EC22" s="132">
        <f t="shared" si="72"/>
        <v>0</v>
      </c>
      <c r="ED22" s="132">
        <f t="shared" si="72"/>
        <v>0</v>
      </c>
      <c r="EE22" s="132">
        <f t="shared" si="72"/>
        <v>0</v>
      </c>
      <c r="EF22" s="132">
        <f t="shared" si="72"/>
        <v>0</v>
      </c>
      <c r="EG22" s="132">
        <f t="shared" si="73"/>
        <v>0</v>
      </c>
      <c r="EH22" s="132">
        <f t="shared" si="73"/>
        <v>0</v>
      </c>
      <c r="EI22" s="132">
        <f t="shared" si="73"/>
        <v>1</v>
      </c>
      <c r="EJ22" s="132">
        <f t="shared" si="73"/>
        <v>0</v>
      </c>
      <c r="EK22" s="132">
        <f t="shared" si="73"/>
        <v>0</v>
      </c>
      <c r="EL22" s="132">
        <f t="shared" si="73"/>
        <v>0</v>
      </c>
      <c r="EM22" s="132">
        <f t="shared" si="73"/>
        <v>0</v>
      </c>
      <c r="EN22" s="132">
        <f t="shared" si="74"/>
        <v>0</v>
      </c>
      <c r="EO22" s="132">
        <f t="shared" si="74"/>
        <v>0</v>
      </c>
      <c r="EP22" s="132">
        <f t="shared" si="74"/>
        <v>0</v>
      </c>
      <c r="EQ22" s="132">
        <f t="shared" si="74"/>
        <v>0</v>
      </c>
      <c r="ER22" s="132">
        <f t="shared" si="74"/>
        <v>1</v>
      </c>
      <c r="ES22" s="132">
        <f t="shared" si="74"/>
        <v>0</v>
      </c>
      <c r="ET22" s="153">
        <f t="shared" si="74"/>
        <v>0</v>
      </c>
    </row>
    <row r="23" spans="1:205" s="132" customFormat="1">
      <c r="A23" s="132" t="s">
        <v>106</v>
      </c>
      <c r="B23" s="132">
        <v>19</v>
      </c>
      <c r="C23" s="132" t="s">
        <v>37</v>
      </c>
      <c r="D23" s="132" t="s">
        <v>35</v>
      </c>
      <c r="E23" s="132">
        <f>(EY23/326)*19</f>
        <v>34.561349693251529</v>
      </c>
      <c r="F23" s="132">
        <f t="shared" ref="F23:BC23" si="79">(EZ23/326)*19</f>
        <v>50.239263803680977</v>
      </c>
      <c r="G23" s="132">
        <f t="shared" si="79"/>
        <v>54.20245398773006</v>
      </c>
      <c r="H23" s="132">
        <f t="shared" si="79"/>
        <v>0.46625766871165647</v>
      </c>
      <c r="I23" s="132">
        <f t="shared" si="79"/>
        <v>0.64110429447852757</v>
      </c>
      <c r="J23" s="132">
        <f t="shared" si="79"/>
        <v>1.165644171779141</v>
      </c>
      <c r="K23" s="132">
        <f t="shared" si="79"/>
        <v>4.3128834355828216</v>
      </c>
      <c r="L23" s="132">
        <f t="shared" si="79"/>
        <v>16.435582822085891</v>
      </c>
      <c r="M23" s="132">
        <f t="shared" si="79"/>
        <v>13.754601226993866</v>
      </c>
      <c r="N23" s="132">
        <f t="shared" si="79"/>
        <v>17.134969325153374</v>
      </c>
      <c r="O23" s="132">
        <f t="shared" si="79"/>
        <v>16.435582822085891</v>
      </c>
      <c r="P23" s="132">
        <f t="shared" si="79"/>
        <v>15.677914110429448</v>
      </c>
      <c r="Q23" s="153">
        <f t="shared" si="79"/>
        <v>1.9233128834355828</v>
      </c>
      <c r="R23" s="153">
        <f t="shared" si="79"/>
        <v>0</v>
      </c>
      <c r="S23" s="153">
        <f t="shared" si="79"/>
        <v>0</v>
      </c>
      <c r="T23" s="153">
        <f t="shared" si="79"/>
        <v>2.2730061349693251</v>
      </c>
      <c r="U23" s="153">
        <f t="shared" si="79"/>
        <v>2.3312883435582821</v>
      </c>
      <c r="V23" s="153">
        <f t="shared" si="79"/>
        <v>3.2638036809815953</v>
      </c>
      <c r="W23" s="153">
        <f t="shared" si="79"/>
        <v>12.938650306748466</v>
      </c>
      <c r="X23" s="153">
        <f t="shared" si="79"/>
        <v>12.938650306748466</v>
      </c>
      <c r="Y23" s="153">
        <f t="shared" si="79"/>
        <v>12.414110429447852</v>
      </c>
      <c r="Z23" s="132">
        <f t="shared" si="79"/>
        <v>12.064417177914111</v>
      </c>
      <c r="AA23" s="132">
        <f t="shared" si="79"/>
        <v>16.726993865030675</v>
      </c>
      <c r="AB23" s="132">
        <f t="shared" si="79"/>
        <v>23.604294478527606</v>
      </c>
      <c r="AC23" s="132">
        <f t="shared" si="79"/>
        <v>-0.58282208588957052</v>
      </c>
      <c r="AD23" s="132">
        <f t="shared" si="79"/>
        <v>-5.4202453987730062</v>
      </c>
      <c r="AE23" s="132">
        <f t="shared" si="79"/>
        <v>-11.365030674846626</v>
      </c>
      <c r="AF23" s="132">
        <f t="shared" si="79"/>
        <v>-0.58282208588957052</v>
      </c>
      <c r="AG23" s="132">
        <f t="shared" si="79"/>
        <v>-5.4202453987730062</v>
      </c>
      <c r="AH23" s="132">
        <f t="shared" si="79"/>
        <v>-11.365030674846626</v>
      </c>
      <c r="AI23" s="152">
        <f t="shared" si="79"/>
        <v>2.4478527607361964</v>
      </c>
      <c r="AJ23" s="153">
        <f t="shared" si="79"/>
        <v>3.7883435582822083</v>
      </c>
      <c r="AK23" s="154">
        <f t="shared" si="79"/>
        <v>6.1779141104294482</v>
      </c>
      <c r="AL23" s="132">
        <f t="shared" si="79"/>
        <v>2.4478527607361964</v>
      </c>
      <c r="AM23" s="132">
        <f t="shared" si="79"/>
        <v>3.7883435582822083</v>
      </c>
      <c r="AN23" s="132">
        <f t="shared" si="79"/>
        <v>6.0030674846625764</v>
      </c>
      <c r="AO23" s="132">
        <f t="shared" si="79"/>
        <v>2.4478527607361964</v>
      </c>
      <c r="AP23" s="132">
        <f t="shared" si="79"/>
        <v>3.7883435582822083</v>
      </c>
      <c r="AQ23" s="132">
        <f t="shared" si="79"/>
        <v>6.0030674846625764</v>
      </c>
      <c r="AR23" s="132">
        <f t="shared" si="79"/>
        <v>35.144171779141104</v>
      </c>
      <c r="AS23" s="132">
        <f t="shared" si="79"/>
        <v>55.659509202453989</v>
      </c>
      <c r="AT23" s="132">
        <f t="shared" si="79"/>
        <v>65.742331288343564</v>
      </c>
      <c r="AU23" s="132">
        <f t="shared" si="79"/>
        <v>37.009202453987733</v>
      </c>
      <c r="AV23" s="132">
        <f t="shared" si="79"/>
        <v>54.027607361963184</v>
      </c>
      <c r="AW23" s="132">
        <f t="shared" si="79"/>
        <v>60.380368098159508</v>
      </c>
      <c r="AX23" s="132">
        <f t="shared" si="79"/>
        <v>1.8650306748466259</v>
      </c>
      <c r="AY23" s="132">
        <f t="shared" si="79"/>
        <v>-1.6319018404907977</v>
      </c>
      <c r="AZ23" s="132">
        <f t="shared" si="79"/>
        <v>-5.3619631901840483</v>
      </c>
      <c r="BA23" s="132">
        <f t="shared" si="79"/>
        <v>1.8650306748466259</v>
      </c>
      <c r="BB23" s="132">
        <f t="shared" si="79"/>
        <v>-1.6319018404907977</v>
      </c>
      <c r="BC23" s="132">
        <f t="shared" si="79"/>
        <v>-5.3619631901840483</v>
      </c>
      <c r="BE23" s="132">
        <f t="shared" si="0"/>
        <v>0.32598425196850395</v>
      </c>
      <c r="BF23" s="132">
        <f t="shared" si="1"/>
        <v>0.30960086299892131</v>
      </c>
      <c r="BG23" s="132">
        <f t="shared" si="2"/>
        <v>0.39092664092664092</v>
      </c>
      <c r="BI23" s="132">
        <f t="shared" si="3"/>
        <v>0.46299212598425193</v>
      </c>
      <c r="BJ23" s="132">
        <f t="shared" si="4"/>
        <v>0.30420711974110037</v>
      </c>
      <c r="BK23" s="132">
        <f t="shared" si="5"/>
        <v>0.25965250965250969</v>
      </c>
      <c r="BM23" s="132">
        <f t="shared" si="6"/>
        <v>5.1968503937007873E-2</v>
      </c>
      <c r="BN23" s="132">
        <f t="shared" si="7"/>
        <v>0</v>
      </c>
      <c r="BO23" s="132">
        <f t="shared" si="8"/>
        <v>0</v>
      </c>
      <c r="BQ23" s="153">
        <f t="shared" si="9"/>
        <v>6.1417322834645662E-2</v>
      </c>
      <c r="BR23" s="153">
        <f t="shared" si="10"/>
        <v>4.3149946062567425E-2</v>
      </c>
      <c r="BS23" s="153">
        <f t="shared" si="11"/>
        <v>5.4054054054054057E-2</v>
      </c>
      <c r="BU23" s="153">
        <f t="shared" si="12"/>
        <v>0.34960629921259839</v>
      </c>
      <c r="BV23" s="153">
        <f t="shared" si="13"/>
        <v>0.2394822006472492</v>
      </c>
      <c r="BW23" s="153">
        <f t="shared" si="14"/>
        <v>0.2055984555984556</v>
      </c>
      <c r="BY23" s="153">
        <f t="shared" si="15"/>
        <v>1.2598425196850394E-2</v>
      </c>
      <c r="BZ23" s="153">
        <f t="shared" si="16"/>
        <v>1.1866235167206042E-2</v>
      </c>
      <c r="CA23" s="153">
        <f t="shared" si="17"/>
        <v>1.9305019305019305E-2</v>
      </c>
      <c r="CC23" s="153">
        <f t="shared" si="18"/>
        <v>6.6141732283464566E-2</v>
      </c>
      <c r="CD23" s="153">
        <f t="shared" si="19"/>
        <v>7.0118662351672065E-2</v>
      </c>
      <c r="CE23" s="153">
        <f t="shared" si="20"/>
        <v>0.10231660231660232</v>
      </c>
      <c r="CG23" s="132">
        <f t="shared" si="35"/>
        <v>0.86771653543307081</v>
      </c>
      <c r="CH23" s="132">
        <f t="shared" si="36"/>
        <v>0.69579288025889985</v>
      </c>
      <c r="CI23" s="132">
        <f t="shared" si="37"/>
        <v>0.77220077220077221</v>
      </c>
      <c r="CK23" s="132">
        <f t="shared" si="38"/>
        <v>0.13228346456692919</v>
      </c>
      <c r="CL23" s="132">
        <f t="shared" si="39"/>
        <v>0.30420711974110015</v>
      </c>
      <c r="CM23" s="132">
        <f t="shared" si="40"/>
        <v>0.22779922779922779</v>
      </c>
      <c r="CO23" s="153">
        <f t="shared" si="41"/>
        <v>4.8957055214723946</v>
      </c>
      <c r="CP23" s="153">
        <f t="shared" si="42"/>
        <v>16.435582822085877</v>
      </c>
      <c r="CQ23" s="153">
        <f t="shared" si="43"/>
        <v>13.754601226993865</v>
      </c>
      <c r="CT23" s="132">
        <v>2.2730061349693251</v>
      </c>
      <c r="CV23" s="153">
        <f t="shared" si="75"/>
        <v>0.63496932515337423</v>
      </c>
      <c r="CW23" s="153">
        <f t="shared" si="44"/>
        <v>0.88036809815950923</v>
      </c>
      <c r="CX23" s="153">
        <f t="shared" si="45"/>
        <v>1.2423312883435582</v>
      </c>
      <c r="CZ23" s="132">
        <f t="shared" si="46"/>
        <v>1</v>
      </c>
      <c r="DA23" s="132">
        <f t="shared" si="47"/>
        <v>1</v>
      </c>
      <c r="DB23" s="132">
        <f t="shared" si="48"/>
        <v>1</v>
      </c>
      <c r="DC23" s="132">
        <f t="shared" si="49"/>
        <v>1</v>
      </c>
      <c r="DD23" s="132">
        <f t="shared" si="50"/>
        <v>0</v>
      </c>
      <c r="DE23" s="132">
        <f t="shared" si="51"/>
        <v>0</v>
      </c>
      <c r="DF23" s="132">
        <f t="shared" si="52"/>
        <v>1</v>
      </c>
      <c r="DG23" s="132">
        <f t="shared" si="53"/>
        <v>1</v>
      </c>
      <c r="DH23" s="132">
        <f t="shared" si="54"/>
        <v>1</v>
      </c>
      <c r="DI23" s="132">
        <f t="shared" si="55"/>
        <v>1</v>
      </c>
      <c r="DJ23" s="132">
        <f t="shared" si="56"/>
        <v>1</v>
      </c>
      <c r="DK23" s="132">
        <f t="shared" si="57"/>
        <v>1</v>
      </c>
      <c r="DL23" s="132">
        <f t="shared" si="58"/>
        <v>1</v>
      </c>
      <c r="DM23" s="132">
        <f t="shared" si="59"/>
        <v>1</v>
      </c>
      <c r="DN23" s="132">
        <f t="shared" si="60"/>
        <v>1</v>
      </c>
      <c r="DO23" s="132">
        <f t="shared" si="61"/>
        <v>1</v>
      </c>
      <c r="DP23" s="132">
        <f t="shared" si="62"/>
        <v>1</v>
      </c>
      <c r="DQ23" s="132">
        <f t="shared" si="63"/>
        <v>1</v>
      </c>
      <c r="DR23" s="132">
        <f t="shared" si="64"/>
        <v>1</v>
      </c>
      <c r="DS23" s="132">
        <f t="shared" si="65"/>
        <v>1</v>
      </c>
      <c r="DT23" s="132">
        <f t="shared" si="66"/>
        <v>1</v>
      </c>
      <c r="DU23" s="132">
        <f t="shared" si="67"/>
        <v>7</v>
      </c>
      <c r="DV23" s="132">
        <f t="shared" si="68"/>
        <v>6</v>
      </c>
      <c r="DW23" s="132">
        <f t="shared" si="69"/>
        <v>6</v>
      </c>
      <c r="DX23" s="132">
        <f t="shared" si="70"/>
        <v>6.333333333333333</v>
      </c>
      <c r="DY23" s="132">
        <f t="shared" si="71"/>
        <v>0.47140452079103168</v>
      </c>
      <c r="DZ23" s="206">
        <f t="shared" si="72"/>
        <v>0</v>
      </c>
      <c r="EA23" s="132">
        <f t="shared" si="72"/>
        <v>0</v>
      </c>
      <c r="EB23" s="132">
        <f t="shared" si="72"/>
        <v>0</v>
      </c>
      <c r="EC23" s="132">
        <f t="shared" si="72"/>
        <v>0</v>
      </c>
      <c r="ED23" s="132">
        <f t="shared" si="72"/>
        <v>0</v>
      </c>
      <c r="EE23" s="132">
        <f t="shared" si="72"/>
        <v>0</v>
      </c>
      <c r="EF23" s="132">
        <f t="shared" si="72"/>
        <v>1</v>
      </c>
      <c r="EG23" s="132">
        <f t="shared" si="73"/>
        <v>0</v>
      </c>
      <c r="EH23" s="132">
        <f t="shared" si="73"/>
        <v>0</v>
      </c>
      <c r="EI23" s="132">
        <f t="shared" si="73"/>
        <v>0</v>
      </c>
      <c r="EJ23" s="132">
        <f t="shared" si="73"/>
        <v>0</v>
      </c>
      <c r="EK23" s="132">
        <f t="shared" si="73"/>
        <v>0</v>
      </c>
      <c r="EL23" s="132">
        <f t="shared" si="73"/>
        <v>1</v>
      </c>
      <c r="EM23" s="132">
        <f t="shared" si="73"/>
        <v>0</v>
      </c>
      <c r="EN23" s="132">
        <f t="shared" si="74"/>
        <v>0</v>
      </c>
      <c r="EO23" s="132">
        <f t="shared" si="74"/>
        <v>0</v>
      </c>
      <c r="EP23" s="132">
        <f t="shared" si="74"/>
        <v>0</v>
      </c>
      <c r="EQ23" s="132">
        <f t="shared" si="74"/>
        <v>0</v>
      </c>
      <c r="ER23" s="132">
        <f t="shared" si="74"/>
        <v>0</v>
      </c>
      <c r="ES23" s="132">
        <f t="shared" si="74"/>
        <v>1</v>
      </c>
      <c r="ET23" s="153">
        <f t="shared" si="74"/>
        <v>0</v>
      </c>
      <c r="EY23" s="132">
        <v>593</v>
      </c>
      <c r="EZ23" s="132">
        <v>862</v>
      </c>
      <c r="FA23" s="132">
        <v>930</v>
      </c>
      <c r="FB23" s="132">
        <v>8</v>
      </c>
      <c r="FC23" s="132">
        <v>11</v>
      </c>
      <c r="FD23" s="132">
        <v>20</v>
      </c>
      <c r="FE23" s="132">
        <v>74</v>
      </c>
      <c r="FF23" s="132">
        <v>282</v>
      </c>
      <c r="FG23" s="132">
        <v>236</v>
      </c>
      <c r="FH23" s="132">
        <v>294</v>
      </c>
      <c r="FI23" s="132">
        <v>282</v>
      </c>
      <c r="FJ23" s="132">
        <v>269</v>
      </c>
      <c r="FK23" s="132">
        <v>33</v>
      </c>
      <c r="FL23" s="132">
        <v>0</v>
      </c>
      <c r="FM23" s="132">
        <v>0</v>
      </c>
      <c r="FN23" s="132">
        <v>39</v>
      </c>
      <c r="FO23" s="132">
        <v>40</v>
      </c>
      <c r="FP23" s="132">
        <v>56</v>
      </c>
      <c r="FQ23" s="132">
        <v>222</v>
      </c>
      <c r="FR23" s="132">
        <v>222</v>
      </c>
      <c r="FS23" s="132">
        <v>213</v>
      </c>
      <c r="FT23" s="132">
        <v>207</v>
      </c>
      <c r="FU23" s="132">
        <v>287</v>
      </c>
      <c r="FV23" s="132">
        <v>405</v>
      </c>
      <c r="FW23" s="132">
        <v>-10</v>
      </c>
      <c r="FX23" s="132">
        <v>-93</v>
      </c>
      <c r="FY23" s="132">
        <v>-195</v>
      </c>
      <c r="FZ23" s="132">
        <v>-10</v>
      </c>
      <c r="GA23" s="132">
        <v>-93</v>
      </c>
      <c r="GB23" s="132">
        <v>-195</v>
      </c>
      <c r="GC23" s="132">
        <v>42</v>
      </c>
      <c r="GD23" s="132">
        <v>65</v>
      </c>
      <c r="GE23" s="132">
        <v>106</v>
      </c>
      <c r="GF23" s="132">
        <v>42</v>
      </c>
      <c r="GG23" s="132">
        <v>65</v>
      </c>
      <c r="GH23" s="132">
        <v>103</v>
      </c>
      <c r="GI23" s="132">
        <v>42</v>
      </c>
      <c r="GJ23" s="132">
        <v>65</v>
      </c>
      <c r="GK23" s="132">
        <v>103</v>
      </c>
      <c r="GL23" s="132">
        <v>603</v>
      </c>
      <c r="GM23" s="132">
        <v>955</v>
      </c>
      <c r="GN23" s="132">
        <v>1128</v>
      </c>
      <c r="GO23" s="132">
        <v>635</v>
      </c>
      <c r="GP23" s="132">
        <v>927</v>
      </c>
      <c r="GQ23" s="132">
        <v>1036</v>
      </c>
      <c r="GR23" s="132">
        <v>32</v>
      </c>
      <c r="GS23" s="132">
        <v>-28</v>
      </c>
      <c r="GT23" s="132">
        <v>-92</v>
      </c>
      <c r="GU23" s="132">
        <v>32</v>
      </c>
      <c r="GV23" s="132">
        <v>-28</v>
      </c>
      <c r="GW23" s="132">
        <v>-92</v>
      </c>
    </row>
    <row r="24" spans="1:205" s="132" customFormat="1">
      <c r="A24" s="132" t="s">
        <v>107</v>
      </c>
      <c r="B24" s="132">
        <v>70</v>
      </c>
      <c r="C24" s="132" t="s">
        <v>37</v>
      </c>
      <c r="D24" s="132" t="s">
        <v>33</v>
      </c>
      <c r="E24" s="132">
        <v>275</v>
      </c>
      <c r="F24" s="132">
        <v>559</v>
      </c>
      <c r="G24" s="132">
        <v>1082</v>
      </c>
      <c r="H24" s="132">
        <v>133</v>
      </c>
      <c r="I24" s="132">
        <v>216</v>
      </c>
      <c r="J24" s="132">
        <v>443</v>
      </c>
      <c r="K24" s="132">
        <v>0</v>
      </c>
      <c r="L24" s="132">
        <v>0</v>
      </c>
      <c r="M24" s="132">
        <v>0</v>
      </c>
      <c r="N24" s="132">
        <v>142</v>
      </c>
      <c r="O24" s="132">
        <v>343</v>
      </c>
      <c r="P24" s="132">
        <v>515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153">
        <v>0</v>
      </c>
      <c r="W24" s="153">
        <v>142</v>
      </c>
      <c r="X24" s="153">
        <v>343</v>
      </c>
      <c r="Y24" s="153">
        <v>515</v>
      </c>
      <c r="Z24" s="132">
        <v>0</v>
      </c>
      <c r="AA24" s="132">
        <v>0</v>
      </c>
      <c r="AB24" s="132">
        <v>124</v>
      </c>
      <c r="AC24" s="132">
        <v>-118</v>
      </c>
      <c r="AD24" s="132">
        <v>88</v>
      </c>
      <c r="AE24" s="132">
        <v>90</v>
      </c>
      <c r="AF24" s="132">
        <v>-118</v>
      </c>
      <c r="AG24" s="132">
        <v>88</v>
      </c>
      <c r="AH24" s="132">
        <v>90</v>
      </c>
      <c r="AI24" s="152">
        <v>0</v>
      </c>
      <c r="AJ24" s="153">
        <v>0</v>
      </c>
      <c r="AK24" s="154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  <c r="AQ24" s="132">
        <v>0</v>
      </c>
      <c r="AR24" s="132">
        <v>393</v>
      </c>
      <c r="AS24" s="132">
        <v>471</v>
      </c>
      <c r="AT24" s="132">
        <v>992</v>
      </c>
      <c r="AU24" s="132">
        <v>275</v>
      </c>
      <c r="AV24" s="132">
        <v>559</v>
      </c>
      <c r="AW24" s="132">
        <v>1082</v>
      </c>
      <c r="AX24" s="132">
        <v>-118</v>
      </c>
      <c r="AY24" s="132">
        <v>88</v>
      </c>
      <c r="AZ24" s="132">
        <v>90</v>
      </c>
      <c r="BA24" s="132">
        <v>-118</v>
      </c>
      <c r="BB24" s="132">
        <v>88</v>
      </c>
      <c r="BC24" s="132">
        <v>90</v>
      </c>
      <c r="BE24" s="132">
        <f t="shared" si="0"/>
        <v>0</v>
      </c>
      <c r="BF24" s="132">
        <f t="shared" si="1"/>
        <v>0</v>
      </c>
      <c r="BG24" s="132">
        <f t="shared" si="2"/>
        <v>0.11460258780036968</v>
      </c>
      <c r="BI24" s="132">
        <f t="shared" si="3"/>
        <v>0.51636363636363636</v>
      </c>
      <c r="BJ24" s="132">
        <f t="shared" si="4"/>
        <v>0.61359570661896246</v>
      </c>
      <c r="BK24" s="132">
        <f t="shared" si="5"/>
        <v>0.47597042513863214</v>
      </c>
      <c r="BM24" s="132">
        <f t="shared" si="6"/>
        <v>0</v>
      </c>
      <c r="BN24" s="132">
        <f t="shared" si="7"/>
        <v>0</v>
      </c>
      <c r="BO24" s="132">
        <f t="shared" si="8"/>
        <v>0</v>
      </c>
      <c r="BQ24" s="153">
        <f t="shared" si="9"/>
        <v>0</v>
      </c>
      <c r="BR24" s="153">
        <f t="shared" si="10"/>
        <v>0</v>
      </c>
      <c r="BS24" s="153">
        <f t="shared" si="11"/>
        <v>0</v>
      </c>
      <c r="BU24" s="153">
        <f t="shared" si="12"/>
        <v>0.51636363636363636</v>
      </c>
      <c r="BV24" s="153">
        <f t="shared" si="13"/>
        <v>0.61359570661896246</v>
      </c>
      <c r="BW24" s="153">
        <f t="shared" si="14"/>
        <v>0.47597042513863214</v>
      </c>
      <c r="BY24" s="153">
        <f t="shared" si="15"/>
        <v>0.48363636363636364</v>
      </c>
      <c r="BZ24" s="153">
        <f t="shared" si="16"/>
        <v>0.38640429338103754</v>
      </c>
      <c r="CA24" s="153">
        <f t="shared" si="17"/>
        <v>0.40942698706099817</v>
      </c>
      <c r="CC24" s="153">
        <f t="shared" si="18"/>
        <v>0</v>
      </c>
      <c r="CD24" s="153">
        <f t="shared" si="19"/>
        <v>0</v>
      </c>
      <c r="CE24" s="153">
        <f t="shared" si="20"/>
        <v>0</v>
      </c>
      <c r="CG24" s="132">
        <f t="shared" si="35"/>
        <v>1</v>
      </c>
      <c r="CH24" s="132">
        <f t="shared" si="36"/>
        <v>1</v>
      </c>
      <c r="CI24" s="132">
        <f t="shared" si="37"/>
        <v>1</v>
      </c>
      <c r="CK24" s="132">
        <f t="shared" si="38"/>
        <v>0</v>
      </c>
      <c r="CL24" s="132">
        <f t="shared" si="39"/>
        <v>0</v>
      </c>
      <c r="CM24" s="132">
        <f t="shared" si="40"/>
        <v>0</v>
      </c>
      <c r="CO24" s="153">
        <f t="shared" si="41"/>
        <v>0</v>
      </c>
      <c r="CP24" s="153">
        <f t="shared" si="42"/>
        <v>0</v>
      </c>
      <c r="CQ24" s="153">
        <f t="shared" si="43"/>
        <v>0</v>
      </c>
      <c r="CT24" s="132">
        <v>0</v>
      </c>
      <c r="CV24" s="153">
        <f t="shared" si="75"/>
        <v>0</v>
      </c>
      <c r="CW24" s="153">
        <f t="shared" si="44"/>
        <v>0</v>
      </c>
      <c r="CX24" s="153">
        <f t="shared" si="45"/>
        <v>1.7714285714285714</v>
      </c>
      <c r="CZ24" s="132">
        <f t="shared" si="46"/>
        <v>0</v>
      </c>
      <c r="DA24" s="132">
        <f t="shared" si="47"/>
        <v>0</v>
      </c>
      <c r="DB24" s="132">
        <f t="shared" si="48"/>
        <v>1</v>
      </c>
      <c r="DC24" s="132">
        <f t="shared" si="49"/>
        <v>0</v>
      </c>
      <c r="DD24" s="132">
        <f t="shared" si="50"/>
        <v>0</v>
      </c>
      <c r="DE24" s="132">
        <f t="shared" si="51"/>
        <v>0</v>
      </c>
      <c r="DF24" s="132">
        <f t="shared" si="52"/>
        <v>0</v>
      </c>
      <c r="DG24" s="132">
        <f t="shared" si="53"/>
        <v>0</v>
      </c>
      <c r="DH24" s="132">
        <f t="shared" si="54"/>
        <v>0</v>
      </c>
      <c r="DI24" s="132">
        <f t="shared" si="55"/>
        <v>1</v>
      </c>
      <c r="DJ24" s="132">
        <f t="shared" si="56"/>
        <v>1</v>
      </c>
      <c r="DK24" s="132">
        <f t="shared" si="57"/>
        <v>1</v>
      </c>
      <c r="DL24" s="132">
        <f t="shared" si="58"/>
        <v>1</v>
      </c>
      <c r="DM24" s="132">
        <f t="shared" si="59"/>
        <v>1</v>
      </c>
      <c r="DN24" s="132">
        <f t="shared" si="60"/>
        <v>1</v>
      </c>
      <c r="DO24" s="132">
        <f t="shared" si="61"/>
        <v>0</v>
      </c>
      <c r="DP24" s="132">
        <f t="shared" si="62"/>
        <v>0</v>
      </c>
      <c r="DQ24" s="132">
        <f t="shared" si="63"/>
        <v>0</v>
      </c>
      <c r="DR24" s="132">
        <f t="shared" si="64"/>
        <v>0</v>
      </c>
      <c r="DS24" s="132">
        <f t="shared" si="65"/>
        <v>0</v>
      </c>
      <c r="DT24" s="132">
        <f t="shared" si="66"/>
        <v>0</v>
      </c>
      <c r="DU24" s="132">
        <f t="shared" si="67"/>
        <v>2</v>
      </c>
      <c r="DV24" s="132">
        <f t="shared" si="68"/>
        <v>2</v>
      </c>
      <c r="DW24" s="132">
        <f t="shared" si="69"/>
        <v>3</v>
      </c>
      <c r="DX24" s="132">
        <f t="shared" si="70"/>
        <v>2.3333333333333335</v>
      </c>
      <c r="DY24" s="132">
        <f t="shared" si="71"/>
        <v>0.47140452079103168</v>
      </c>
      <c r="DZ24" s="206">
        <f t="shared" si="72"/>
        <v>0</v>
      </c>
      <c r="EA24" s="132">
        <f t="shared" si="72"/>
        <v>1</v>
      </c>
      <c r="EB24" s="132">
        <f t="shared" si="72"/>
        <v>0</v>
      </c>
      <c r="EC24" s="132">
        <f t="shared" si="72"/>
        <v>0</v>
      </c>
      <c r="ED24" s="132">
        <f t="shared" si="72"/>
        <v>0</v>
      </c>
      <c r="EE24" s="132">
        <f t="shared" si="72"/>
        <v>0</v>
      </c>
      <c r="EF24" s="132">
        <f t="shared" si="72"/>
        <v>0</v>
      </c>
      <c r="EG24" s="132">
        <f t="shared" si="73"/>
        <v>0</v>
      </c>
      <c r="EH24" s="132">
        <f t="shared" si="73"/>
        <v>1</v>
      </c>
      <c r="EI24" s="132">
        <f t="shared" si="73"/>
        <v>0</v>
      </c>
      <c r="EJ24" s="132">
        <f t="shared" si="73"/>
        <v>0</v>
      </c>
      <c r="EK24" s="132">
        <f t="shared" si="73"/>
        <v>0</v>
      </c>
      <c r="EL24" s="132">
        <f t="shared" si="73"/>
        <v>0</v>
      </c>
      <c r="EM24" s="132">
        <f t="shared" si="73"/>
        <v>0</v>
      </c>
      <c r="EN24" s="132">
        <f t="shared" si="74"/>
        <v>0</v>
      </c>
      <c r="EO24" s="132">
        <f t="shared" si="74"/>
        <v>0</v>
      </c>
      <c r="EP24" s="132">
        <f t="shared" si="74"/>
        <v>1</v>
      </c>
      <c r="EQ24" s="132">
        <f t="shared" si="74"/>
        <v>0</v>
      </c>
      <c r="ER24" s="132">
        <f t="shared" si="74"/>
        <v>0</v>
      </c>
      <c r="ES24" s="132">
        <f t="shared" si="74"/>
        <v>0</v>
      </c>
      <c r="ET24" s="153">
        <f t="shared" si="74"/>
        <v>0</v>
      </c>
    </row>
    <row r="25" spans="1:205" s="132" customFormat="1">
      <c r="A25" s="132" t="s">
        <v>108</v>
      </c>
      <c r="B25" s="132">
        <v>160</v>
      </c>
      <c r="C25" s="132" t="s">
        <v>37</v>
      </c>
      <c r="D25" s="132" t="s">
        <v>35</v>
      </c>
      <c r="E25" s="132">
        <v>424</v>
      </c>
      <c r="F25" s="132">
        <v>415</v>
      </c>
      <c r="G25" s="132">
        <v>485</v>
      </c>
      <c r="H25" s="132">
        <v>69</v>
      </c>
      <c r="I25" s="132">
        <v>9</v>
      </c>
      <c r="J25" s="132">
        <v>56</v>
      </c>
      <c r="K25" s="132">
        <v>62</v>
      </c>
      <c r="L25" s="132">
        <v>40</v>
      </c>
      <c r="M25" s="132">
        <v>13</v>
      </c>
      <c r="N25" s="132">
        <v>140</v>
      </c>
      <c r="O25" s="132">
        <v>190</v>
      </c>
      <c r="P25" s="132">
        <v>159</v>
      </c>
      <c r="Q25" s="153">
        <v>0</v>
      </c>
      <c r="R25" s="153">
        <v>0</v>
      </c>
      <c r="S25" s="153">
        <v>0</v>
      </c>
      <c r="T25" s="153">
        <v>0</v>
      </c>
      <c r="U25" s="153">
        <v>0</v>
      </c>
      <c r="V25" s="153">
        <v>0</v>
      </c>
      <c r="W25" s="153">
        <v>140</v>
      </c>
      <c r="X25" s="153">
        <v>190</v>
      </c>
      <c r="Y25" s="153">
        <v>159</v>
      </c>
      <c r="Z25" s="132">
        <v>153</v>
      </c>
      <c r="AA25" s="132">
        <v>176</v>
      </c>
      <c r="AB25" s="132">
        <v>257</v>
      </c>
      <c r="AC25" s="132">
        <v>78</v>
      </c>
      <c r="AD25" s="132">
        <v>10</v>
      </c>
      <c r="AE25" s="132">
        <v>0</v>
      </c>
      <c r="AF25" s="132">
        <v>78</v>
      </c>
      <c r="AG25" s="132">
        <v>10</v>
      </c>
      <c r="AH25" s="132">
        <v>0</v>
      </c>
      <c r="AI25" s="152">
        <v>0</v>
      </c>
      <c r="AJ25" s="153">
        <v>0</v>
      </c>
      <c r="AK25" s="154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  <c r="AQ25" s="132">
        <v>0</v>
      </c>
      <c r="AR25" s="132">
        <v>346</v>
      </c>
      <c r="AS25" s="132">
        <v>405</v>
      </c>
      <c r="AT25" s="132">
        <v>485</v>
      </c>
      <c r="AU25" s="132">
        <v>424</v>
      </c>
      <c r="AV25" s="132">
        <v>415</v>
      </c>
      <c r="AW25" s="132">
        <v>485</v>
      </c>
      <c r="AX25" s="132">
        <v>78</v>
      </c>
      <c r="AY25" s="132">
        <v>10</v>
      </c>
      <c r="AZ25" s="132">
        <v>0</v>
      </c>
      <c r="BA25" s="132">
        <v>78</v>
      </c>
      <c r="BB25" s="132">
        <v>10</v>
      </c>
      <c r="BC25" s="132">
        <v>0</v>
      </c>
      <c r="BE25" s="132">
        <f t="shared" si="0"/>
        <v>0.36084905660377359</v>
      </c>
      <c r="BF25" s="132">
        <f t="shared" si="1"/>
        <v>0.42409638554216866</v>
      </c>
      <c r="BG25" s="132">
        <f t="shared" si="2"/>
        <v>0.52989690721649485</v>
      </c>
      <c r="BI25" s="132">
        <f t="shared" si="3"/>
        <v>0.330188679245283</v>
      </c>
      <c r="BJ25" s="132">
        <f t="shared" si="4"/>
        <v>0.45783132530120479</v>
      </c>
      <c r="BK25" s="132">
        <f t="shared" si="5"/>
        <v>0.32783505154639175</v>
      </c>
      <c r="BM25" s="132">
        <f t="shared" si="6"/>
        <v>0</v>
      </c>
      <c r="BN25" s="132">
        <f t="shared" si="7"/>
        <v>0</v>
      </c>
      <c r="BO25" s="132">
        <f t="shared" si="8"/>
        <v>0</v>
      </c>
      <c r="BQ25" s="153">
        <f t="shared" si="9"/>
        <v>0</v>
      </c>
      <c r="BR25" s="153">
        <f t="shared" si="10"/>
        <v>0</v>
      </c>
      <c r="BS25" s="153">
        <f t="shared" si="11"/>
        <v>0</v>
      </c>
      <c r="BU25" s="153">
        <f t="shared" si="12"/>
        <v>0.330188679245283</v>
      </c>
      <c r="BV25" s="153">
        <f t="shared" si="13"/>
        <v>0.45783132530120479</v>
      </c>
      <c r="BW25" s="153">
        <f t="shared" si="14"/>
        <v>0.32783505154639175</v>
      </c>
      <c r="BY25" s="153">
        <f t="shared" si="15"/>
        <v>0.16273584905660377</v>
      </c>
      <c r="BZ25" s="153">
        <f t="shared" si="16"/>
        <v>2.1686746987951807E-2</v>
      </c>
      <c r="CA25" s="153">
        <f t="shared" si="17"/>
        <v>0.1154639175257732</v>
      </c>
      <c r="CC25" s="153">
        <f t="shared" si="18"/>
        <v>0</v>
      </c>
      <c r="CD25" s="153">
        <f t="shared" si="19"/>
        <v>0</v>
      </c>
      <c r="CE25" s="153">
        <f t="shared" si="20"/>
        <v>0</v>
      </c>
      <c r="CG25" s="132">
        <f t="shared" si="35"/>
        <v>0.85377358490566035</v>
      </c>
      <c r="CH25" s="132">
        <f t="shared" si="36"/>
        <v>0.90361445783132521</v>
      </c>
      <c r="CI25" s="132">
        <f t="shared" si="37"/>
        <v>0.97319587628865989</v>
      </c>
      <c r="CK25" s="132">
        <f t="shared" si="38"/>
        <v>0.14622641509433965</v>
      </c>
      <c r="CL25" s="132">
        <f t="shared" si="39"/>
        <v>9.6385542168674787E-2</v>
      </c>
      <c r="CM25" s="132">
        <f t="shared" si="40"/>
        <v>2.6804123711340111E-2</v>
      </c>
      <c r="CO25" s="153">
        <f t="shared" si="41"/>
        <v>62.000000000000007</v>
      </c>
      <c r="CP25" s="153">
        <f t="shared" si="42"/>
        <v>40.000000000000036</v>
      </c>
      <c r="CQ25" s="153">
        <f t="shared" si="43"/>
        <v>12.999999999999954</v>
      </c>
      <c r="CT25" s="132">
        <v>0</v>
      </c>
      <c r="CV25" s="153">
        <f t="shared" si="75"/>
        <v>0.95625000000000004</v>
      </c>
      <c r="CW25" s="153">
        <f t="shared" si="44"/>
        <v>1.1000000000000001</v>
      </c>
      <c r="CX25" s="153">
        <f t="shared" si="45"/>
        <v>1.60625</v>
      </c>
      <c r="CZ25" s="132">
        <f t="shared" si="46"/>
        <v>1</v>
      </c>
      <c r="DA25" s="132">
        <f t="shared" si="47"/>
        <v>1</v>
      </c>
      <c r="DB25" s="132">
        <f t="shared" si="48"/>
        <v>1</v>
      </c>
      <c r="DC25" s="132">
        <f t="shared" si="49"/>
        <v>0</v>
      </c>
      <c r="DD25" s="132">
        <f t="shared" si="50"/>
        <v>0</v>
      </c>
      <c r="DE25" s="132">
        <f t="shared" si="51"/>
        <v>0</v>
      </c>
      <c r="DF25" s="132">
        <f t="shared" si="52"/>
        <v>0</v>
      </c>
      <c r="DG25" s="132">
        <f t="shared" si="53"/>
        <v>0</v>
      </c>
      <c r="DH25" s="132">
        <f t="shared" si="54"/>
        <v>0</v>
      </c>
      <c r="DI25" s="132">
        <f t="shared" si="55"/>
        <v>1</v>
      </c>
      <c r="DJ25" s="132">
        <f t="shared" si="56"/>
        <v>1</v>
      </c>
      <c r="DK25" s="132">
        <f t="shared" si="57"/>
        <v>1</v>
      </c>
      <c r="DL25" s="132">
        <f t="shared" si="58"/>
        <v>1</v>
      </c>
      <c r="DM25" s="132">
        <f t="shared" si="59"/>
        <v>1</v>
      </c>
      <c r="DN25" s="132">
        <f t="shared" si="60"/>
        <v>1</v>
      </c>
      <c r="DO25" s="132">
        <f t="shared" si="61"/>
        <v>0</v>
      </c>
      <c r="DP25" s="132">
        <f t="shared" si="62"/>
        <v>0</v>
      </c>
      <c r="DQ25" s="132">
        <f t="shared" si="63"/>
        <v>0</v>
      </c>
      <c r="DR25" s="132">
        <f t="shared" si="64"/>
        <v>1</v>
      </c>
      <c r="DS25" s="132">
        <f t="shared" si="65"/>
        <v>1</v>
      </c>
      <c r="DT25" s="132">
        <f t="shared" si="66"/>
        <v>1</v>
      </c>
      <c r="DU25" s="132">
        <f t="shared" si="67"/>
        <v>4</v>
      </c>
      <c r="DV25" s="132">
        <f t="shared" si="68"/>
        <v>4</v>
      </c>
      <c r="DW25" s="132">
        <f t="shared" si="69"/>
        <v>4</v>
      </c>
      <c r="DX25" s="132">
        <f t="shared" si="70"/>
        <v>4</v>
      </c>
      <c r="DY25" s="132">
        <f t="shared" si="71"/>
        <v>0</v>
      </c>
      <c r="DZ25" s="206">
        <f t="shared" si="72"/>
        <v>0</v>
      </c>
      <c r="EA25" s="132">
        <f t="shared" si="72"/>
        <v>0</v>
      </c>
      <c r="EB25" s="132">
        <f t="shared" si="72"/>
        <v>0</v>
      </c>
      <c r="EC25" s="132">
        <f t="shared" si="72"/>
        <v>1</v>
      </c>
      <c r="ED25" s="132">
        <f t="shared" si="72"/>
        <v>0</v>
      </c>
      <c r="EE25" s="132">
        <f t="shared" si="72"/>
        <v>0</v>
      </c>
      <c r="EF25" s="132">
        <f t="shared" si="72"/>
        <v>0</v>
      </c>
      <c r="EG25" s="132">
        <f t="shared" si="73"/>
        <v>0</v>
      </c>
      <c r="EH25" s="132">
        <f t="shared" si="73"/>
        <v>0</v>
      </c>
      <c r="EI25" s="132">
        <f t="shared" si="73"/>
        <v>0</v>
      </c>
      <c r="EJ25" s="132">
        <f t="shared" si="73"/>
        <v>1</v>
      </c>
      <c r="EK25" s="132">
        <f t="shared" si="73"/>
        <v>0</v>
      </c>
      <c r="EL25" s="132">
        <f t="shared" si="73"/>
        <v>0</v>
      </c>
      <c r="EM25" s="132">
        <f t="shared" si="73"/>
        <v>0</v>
      </c>
      <c r="EN25" s="132">
        <f t="shared" si="74"/>
        <v>0</v>
      </c>
      <c r="EO25" s="132">
        <f t="shared" si="74"/>
        <v>0</v>
      </c>
      <c r="EP25" s="132">
        <f t="shared" si="74"/>
        <v>0</v>
      </c>
      <c r="EQ25" s="132">
        <f t="shared" si="74"/>
        <v>1</v>
      </c>
      <c r="ER25" s="132">
        <f t="shared" si="74"/>
        <v>0</v>
      </c>
      <c r="ES25" s="132">
        <f t="shared" si="74"/>
        <v>0</v>
      </c>
      <c r="ET25" s="153">
        <f t="shared" si="74"/>
        <v>0</v>
      </c>
    </row>
    <row r="26" spans="1:205" s="132" customFormat="1">
      <c r="A26" s="132" t="s">
        <v>109</v>
      </c>
      <c r="B26" s="132">
        <v>150</v>
      </c>
      <c r="C26" s="132" t="s">
        <v>37</v>
      </c>
      <c r="D26" s="132" t="s">
        <v>32</v>
      </c>
      <c r="E26" s="132">
        <v>554</v>
      </c>
      <c r="F26" s="132">
        <v>880</v>
      </c>
      <c r="G26" s="132">
        <v>1113</v>
      </c>
      <c r="H26" s="132">
        <v>0</v>
      </c>
      <c r="I26" s="132">
        <v>0</v>
      </c>
      <c r="J26" s="132">
        <v>0</v>
      </c>
      <c r="K26" s="132">
        <v>79</v>
      </c>
      <c r="L26" s="132">
        <v>7</v>
      </c>
      <c r="M26" s="132">
        <v>0</v>
      </c>
      <c r="N26" s="132">
        <v>265</v>
      </c>
      <c r="O26" s="132">
        <v>873</v>
      </c>
      <c r="P26" s="132">
        <v>1113</v>
      </c>
      <c r="Q26" s="153">
        <v>10</v>
      </c>
      <c r="R26" s="153">
        <v>19</v>
      </c>
      <c r="S26" s="153">
        <v>0</v>
      </c>
      <c r="T26" s="153">
        <v>80</v>
      </c>
      <c r="U26" s="153">
        <v>595</v>
      </c>
      <c r="V26" s="153">
        <v>699</v>
      </c>
      <c r="W26" s="153">
        <v>175</v>
      </c>
      <c r="X26" s="153">
        <v>259</v>
      </c>
      <c r="Y26" s="153">
        <v>414</v>
      </c>
      <c r="Z26" s="132">
        <v>210</v>
      </c>
      <c r="AA26" s="132">
        <v>0</v>
      </c>
      <c r="AB26" s="132">
        <v>0</v>
      </c>
      <c r="AC26" s="132">
        <v>105</v>
      </c>
      <c r="AD26" s="132">
        <v>16</v>
      </c>
      <c r="AE26" s="132">
        <v>165</v>
      </c>
      <c r="AF26" s="132">
        <v>105</v>
      </c>
      <c r="AG26" s="132">
        <v>16</v>
      </c>
      <c r="AH26" s="132">
        <v>165</v>
      </c>
      <c r="AI26" s="152">
        <v>0</v>
      </c>
      <c r="AJ26" s="153">
        <v>0</v>
      </c>
      <c r="AK26" s="154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  <c r="AQ26" s="132">
        <v>0</v>
      </c>
      <c r="AR26" s="132">
        <v>449</v>
      </c>
      <c r="AS26" s="132">
        <v>864</v>
      </c>
      <c r="AT26" s="132">
        <v>948</v>
      </c>
      <c r="AU26" s="132">
        <v>554</v>
      </c>
      <c r="AV26" s="132">
        <v>880</v>
      </c>
      <c r="AW26" s="132">
        <v>1113</v>
      </c>
      <c r="AX26" s="132">
        <v>105</v>
      </c>
      <c r="AY26" s="132">
        <v>16</v>
      </c>
      <c r="AZ26" s="132">
        <v>165</v>
      </c>
      <c r="BA26" s="132">
        <v>105</v>
      </c>
      <c r="BB26" s="132">
        <v>16</v>
      </c>
      <c r="BC26" s="132">
        <v>165</v>
      </c>
      <c r="BE26" s="132">
        <f t="shared" si="0"/>
        <v>0.37906137184115524</v>
      </c>
      <c r="BF26" s="132">
        <f t="shared" si="1"/>
        <v>0</v>
      </c>
      <c r="BG26" s="132">
        <f t="shared" si="2"/>
        <v>0</v>
      </c>
      <c r="BI26" s="132">
        <f t="shared" si="3"/>
        <v>0.47833935018050544</v>
      </c>
      <c r="BJ26" s="132">
        <f t="shared" si="4"/>
        <v>0.99204545454545456</v>
      </c>
      <c r="BK26" s="132">
        <f t="shared" si="5"/>
        <v>1</v>
      </c>
      <c r="BM26" s="132">
        <f t="shared" si="6"/>
        <v>1.8050541516245487E-2</v>
      </c>
      <c r="BN26" s="132">
        <f t="shared" si="7"/>
        <v>2.1590909090909091E-2</v>
      </c>
      <c r="BO26" s="132">
        <f t="shared" si="8"/>
        <v>0</v>
      </c>
      <c r="BQ26" s="153">
        <f t="shared" si="9"/>
        <v>0.1444043321299639</v>
      </c>
      <c r="BR26" s="153">
        <f t="shared" si="10"/>
        <v>0.67613636363636365</v>
      </c>
      <c r="BS26" s="153">
        <f t="shared" si="11"/>
        <v>0.62803234501347704</v>
      </c>
      <c r="BU26" s="153">
        <f t="shared" si="12"/>
        <v>0.31588447653429602</v>
      </c>
      <c r="BV26" s="153">
        <f t="shared" si="13"/>
        <v>0.29431818181818181</v>
      </c>
      <c r="BW26" s="153">
        <f t="shared" si="14"/>
        <v>0.3719676549865229</v>
      </c>
      <c r="BY26" s="153">
        <f t="shared" si="15"/>
        <v>0</v>
      </c>
      <c r="BZ26" s="153">
        <f t="shared" si="16"/>
        <v>0</v>
      </c>
      <c r="CA26" s="153">
        <f t="shared" si="17"/>
        <v>0</v>
      </c>
      <c r="CC26" s="153">
        <f t="shared" si="18"/>
        <v>0</v>
      </c>
      <c r="CD26" s="153">
        <f t="shared" si="19"/>
        <v>0</v>
      </c>
      <c r="CE26" s="153">
        <f t="shared" si="20"/>
        <v>0</v>
      </c>
      <c r="CG26" s="132">
        <f t="shared" si="35"/>
        <v>0.85740072202166062</v>
      </c>
      <c r="CH26" s="132">
        <f t="shared" si="36"/>
        <v>0.99204545454545456</v>
      </c>
      <c r="CI26" s="132">
        <f t="shared" si="37"/>
        <v>1</v>
      </c>
      <c r="CK26" s="132">
        <f t="shared" si="38"/>
        <v>0.14259927797833938</v>
      </c>
      <c r="CL26" s="132">
        <f t="shared" si="39"/>
        <v>7.9545454545454364E-3</v>
      </c>
      <c r="CM26" s="132">
        <f t="shared" si="40"/>
        <v>0</v>
      </c>
      <c r="CO26" s="153">
        <f t="shared" si="41"/>
        <v>79.000000000000014</v>
      </c>
      <c r="CP26" s="153">
        <f t="shared" si="42"/>
        <v>6.999999999999984</v>
      </c>
      <c r="CQ26" s="153">
        <f t="shared" si="43"/>
        <v>0</v>
      </c>
      <c r="CT26" s="132">
        <v>80</v>
      </c>
      <c r="CV26" s="153">
        <f t="shared" si="75"/>
        <v>1.4</v>
      </c>
      <c r="CW26" s="153">
        <f t="shared" si="44"/>
        <v>0</v>
      </c>
      <c r="CX26" s="153">
        <f t="shared" si="45"/>
        <v>0</v>
      </c>
      <c r="CZ26" s="132">
        <f t="shared" si="46"/>
        <v>1</v>
      </c>
      <c r="DA26" s="132">
        <f t="shared" si="47"/>
        <v>0</v>
      </c>
      <c r="DB26" s="132">
        <f t="shared" si="48"/>
        <v>0</v>
      </c>
      <c r="DC26" s="132">
        <f t="shared" si="49"/>
        <v>1</v>
      </c>
      <c r="DD26" s="132">
        <f t="shared" si="50"/>
        <v>1</v>
      </c>
      <c r="DE26" s="132">
        <f t="shared" si="51"/>
        <v>0</v>
      </c>
      <c r="DF26" s="132">
        <f t="shared" si="52"/>
        <v>1</v>
      </c>
      <c r="DG26" s="132">
        <f t="shared" si="53"/>
        <v>1</v>
      </c>
      <c r="DH26" s="132">
        <f t="shared" si="54"/>
        <v>1</v>
      </c>
      <c r="DI26" s="132">
        <f t="shared" si="55"/>
        <v>1</v>
      </c>
      <c r="DJ26" s="132">
        <f t="shared" si="56"/>
        <v>1</v>
      </c>
      <c r="DK26" s="132">
        <f t="shared" si="57"/>
        <v>1</v>
      </c>
      <c r="DL26" s="132">
        <f t="shared" si="58"/>
        <v>0</v>
      </c>
      <c r="DM26" s="132">
        <f t="shared" si="59"/>
        <v>0</v>
      </c>
      <c r="DN26" s="132">
        <f t="shared" si="60"/>
        <v>0</v>
      </c>
      <c r="DO26" s="132">
        <f t="shared" si="61"/>
        <v>0</v>
      </c>
      <c r="DP26" s="132">
        <f t="shared" si="62"/>
        <v>0</v>
      </c>
      <c r="DQ26" s="132">
        <f t="shared" si="63"/>
        <v>0</v>
      </c>
      <c r="DR26" s="132">
        <f t="shared" si="64"/>
        <v>1</v>
      </c>
      <c r="DS26" s="132">
        <f t="shared" si="65"/>
        <v>1</v>
      </c>
      <c r="DT26" s="132">
        <f t="shared" si="66"/>
        <v>0</v>
      </c>
      <c r="DU26" s="132">
        <f t="shared" si="67"/>
        <v>5</v>
      </c>
      <c r="DV26" s="132">
        <f t="shared" si="68"/>
        <v>4</v>
      </c>
      <c r="DW26" s="132">
        <f t="shared" si="69"/>
        <v>2</v>
      </c>
      <c r="DX26" s="132">
        <f t="shared" si="70"/>
        <v>3.6666666666666665</v>
      </c>
      <c r="DY26" s="132">
        <f t="shared" si="71"/>
        <v>1.247219128924647</v>
      </c>
      <c r="DZ26" s="206">
        <f t="shared" si="72"/>
        <v>0</v>
      </c>
      <c r="EA26" s="132">
        <f t="shared" si="72"/>
        <v>0</v>
      </c>
      <c r="EB26" s="132">
        <f t="shared" si="72"/>
        <v>0</v>
      </c>
      <c r="EC26" s="132">
        <f t="shared" si="72"/>
        <v>0</v>
      </c>
      <c r="ED26" s="132">
        <f t="shared" si="72"/>
        <v>1</v>
      </c>
      <c r="EE26" s="132">
        <f t="shared" si="72"/>
        <v>0</v>
      </c>
      <c r="EF26" s="132">
        <f t="shared" si="72"/>
        <v>0</v>
      </c>
      <c r="EG26" s="132">
        <f t="shared" si="73"/>
        <v>0</v>
      </c>
      <c r="EH26" s="132">
        <f t="shared" si="73"/>
        <v>0</v>
      </c>
      <c r="EI26" s="132">
        <f t="shared" si="73"/>
        <v>0</v>
      </c>
      <c r="EJ26" s="132">
        <f t="shared" si="73"/>
        <v>1</v>
      </c>
      <c r="EK26" s="132">
        <f t="shared" si="73"/>
        <v>0</v>
      </c>
      <c r="EL26" s="132">
        <f t="shared" si="73"/>
        <v>0</v>
      </c>
      <c r="EM26" s="132">
        <f t="shared" si="73"/>
        <v>0</v>
      </c>
      <c r="EN26" s="132">
        <f t="shared" si="74"/>
        <v>0</v>
      </c>
      <c r="EO26" s="132">
        <f t="shared" si="74"/>
        <v>1</v>
      </c>
      <c r="EP26" s="132">
        <f t="shared" si="74"/>
        <v>0</v>
      </c>
      <c r="EQ26" s="132">
        <f t="shared" si="74"/>
        <v>0</v>
      </c>
      <c r="ER26" s="132">
        <f t="shared" si="74"/>
        <v>0</v>
      </c>
      <c r="ES26" s="132">
        <f t="shared" si="74"/>
        <v>0</v>
      </c>
      <c r="ET26" s="153">
        <f t="shared" si="74"/>
        <v>0</v>
      </c>
    </row>
    <row r="27" spans="1:205" s="132" customFormat="1">
      <c r="A27" s="132" t="s">
        <v>136</v>
      </c>
      <c r="B27" s="132">
        <v>230</v>
      </c>
      <c r="C27" s="132" t="s">
        <v>37</v>
      </c>
      <c r="D27" s="132" t="s">
        <v>32</v>
      </c>
      <c r="E27" s="132">
        <v>1389</v>
      </c>
      <c r="F27" s="132">
        <v>1736</v>
      </c>
      <c r="G27" s="132">
        <v>1853</v>
      </c>
      <c r="H27" s="132">
        <v>8</v>
      </c>
      <c r="I27" s="132">
        <v>6</v>
      </c>
      <c r="J27" s="132">
        <v>59</v>
      </c>
      <c r="K27" s="132">
        <v>0</v>
      </c>
      <c r="L27" s="132">
        <v>0</v>
      </c>
      <c r="M27" s="132">
        <v>0</v>
      </c>
      <c r="N27" s="132">
        <v>762</v>
      </c>
      <c r="O27" s="132">
        <v>794</v>
      </c>
      <c r="P27" s="132">
        <v>748</v>
      </c>
      <c r="Q27" s="153">
        <v>0</v>
      </c>
      <c r="R27" s="153">
        <v>0</v>
      </c>
      <c r="S27" s="153">
        <v>0</v>
      </c>
      <c r="T27" s="153">
        <v>152</v>
      </c>
      <c r="U27" s="153">
        <v>159</v>
      </c>
      <c r="V27" s="153">
        <v>150</v>
      </c>
      <c r="W27" s="153">
        <v>610</v>
      </c>
      <c r="X27" s="153">
        <v>635</v>
      </c>
      <c r="Y27" s="153">
        <v>598</v>
      </c>
      <c r="Z27" s="132">
        <v>619</v>
      </c>
      <c r="AA27" s="132">
        <v>936</v>
      </c>
      <c r="AB27" s="132">
        <v>1046</v>
      </c>
      <c r="AC27" s="132">
        <v>-318</v>
      </c>
      <c r="AD27" s="132">
        <v>-87</v>
      </c>
      <c r="AE27" s="132">
        <v>12</v>
      </c>
      <c r="AF27" s="132">
        <v>-318</v>
      </c>
      <c r="AG27" s="132">
        <v>-87</v>
      </c>
      <c r="AH27" s="132">
        <v>12</v>
      </c>
      <c r="AI27" s="152">
        <v>93</v>
      </c>
      <c r="AJ27" s="153">
        <v>33</v>
      </c>
      <c r="AK27" s="154">
        <v>190</v>
      </c>
      <c r="AL27" s="132">
        <v>62</v>
      </c>
      <c r="AM27" s="132">
        <v>2</v>
      </c>
      <c r="AN27" s="132">
        <v>190</v>
      </c>
      <c r="AO27" s="132">
        <v>62</v>
      </c>
      <c r="AP27" s="132">
        <v>2</v>
      </c>
      <c r="AQ27" s="132">
        <v>190</v>
      </c>
      <c r="AR27" s="132">
        <v>1738</v>
      </c>
      <c r="AS27" s="132">
        <v>1854</v>
      </c>
      <c r="AT27" s="132">
        <v>1841</v>
      </c>
      <c r="AU27" s="132">
        <v>1482</v>
      </c>
      <c r="AV27" s="132">
        <v>1769</v>
      </c>
      <c r="AW27" s="132">
        <v>2043</v>
      </c>
      <c r="AX27" s="132">
        <v>-256</v>
      </c>
      <c r="AY27" s="132">
        <v>-85</v>
      </c>
      <c r="AZ27" s="132">
        <v>202</v>
      </c>
      <c r="BA27" s="132">
        <v>-256</v>
      </c>
      <c r="BB27" s="132">
        <v>-85</v>
      </c>
      <c r="BC27" s="132">
        <v>202</v>
      </c>
      <c r="BE27" s="132">
        <f t="shared" si="0"/>
        <v>0.41767881241565452</v>
      </c>
      <c r="BF27" s="132">
        <f t="shared" si="1"/>
        <v>0.52911249293386098</v>
      </c>
      <c r="BG27" s="132">
        <f t="shared" si="2"/>
        <v>0.51199216837983352</v>
      </c>
      <c r="BI27" s="132">
        <f t="shared" si="3"/>
        <v>0.51417004048582993</v>
      </c>
      <c r="BJ27" s="132">
        <f t="shared" si="4"/>
        <v>0.44884115319389484</v>
      </c>
      <c r="BK27" s="132">
        <f t="shared" si="5"/>
        <v>0.36612824278022515</v>
      </c>
      <c r="BM27" s="132">
        <f t="shared" si="6"/>
        <v>0</v>
      </c>
      <c r="BN27" s="132">
        <f t="shared" si="7"/>
        <v>0</v>
      </c>
      <c r="BO27" s="132">
        <f t="shared" si="8"/>
        <v>0</v>
      </c>
      <c r="BQ27" s="153">
        <f t="shared" si="9"/>
        <v>0.10256410256410256</v>
      </c>
      <c r="BR27" s="153">
        <f t="shared" si="10"/>
        <v>8.9881288863764841E-2</v>
      </c>
      <c r="BS27" s="153">
        <f t="shared" si="11"/>
        <v>7.3421439060205582E-2</v>
      </c>
      <c r="BU27" s="153">
        <f t="shared" si="12"/>
        <v>0.41160593792172739</v>
      </c>
      <c r="BV27" s="153">
        <f t="shared" si="13"/>
        <v>0.35895986433013</v>
      </c>
      <c r="BW27" s="153">
        <f t="shared" si="14"/>
        <v>0.29270680372001956</v>
      </c>
      <c r="BY27" s="153">
        <f t="shared" si="15"/>
        <v>5.3981106612685558E-3</v>
      </c>
      <c r="BZ27" s="153">
        <f t="shared" si="16"/>
        <v>3.3917467495760316E-3</v>
      </c>
      <c r="CA27" s="153">
        <f t="shared" si="17"/>
        <v>2.8879099363680862E-2</v>
      </c>
      <c r="CC27" s="153">
        <f t="shared" si="18"/>
        <v>6.2753036437246959E-2</v>
      </c>
      <c r="CD27" s="153">
        <f t="shared" si="19"/>
        <v>1.8654607122668174E-2</v>
      </c>
      <c r="CE27" s="153">
        <f t="shared" si="20"/>
        <v>9.3000489476260398E-2</v>
      </c>
      <c r="CG27" s="132">
        <f t="shared" si="35"/>
        <v>1</v>
      </c>
      <c r="CH27" s="132">
        <f t="shared" si="36"/>
        <v>1</v>
      </c>
      <c r="CI27" s="132">
        <f t="shared" si="37"/>
        <v>0.99999999999999989</v>
      </c>
      <c r="CK27" s="132">
        <f t="shared" si="38"/>
        <v>0</v>
      </c>
      <c r="CL27" s="132">
        <f t="shared" si="39"/>
        <v>0</v>
      </c>
      <c r="CM27" s="132">
        <f t="shared" si="40"/>
        <v>0</v>
      </c>
      <c r="CO27" s="153">
        <f t="shared" si="41"/>
        <v>0</v>
      </c>
      <c r="CP27" s="153">
        <f t="shared" si="42"/>
        <v>0</v>
      </c>
      <c r="CQ27" s="153">
        <f t="shared" si="43"/>
        <v>0</v>
      </c>
      <c r="CT27" s="132">
        <v>152</v>
      </c>
      <c r="CV27" s="153">
        <f t="shared" si="75"/>
        <v>2.6913043478260867</v>
      </c>
      <c r="CW27" s="153">
        <f t="shared" si="44"/>
        <v>4.0695652173913039</v>
      </c>
      <c r="CX27" s="153">
        <f t="shared" si="45"/>
        <v>4.5478260869565217</v>
      </c>
      <c r="CZ27" s="132">
        <f t="shared" si="46"/>
        <v>1</v>
      </c>
      <c r="DA27" s="132">
        <f t="shared" si="47"/>
        <v>1</v>
      </c>
      <c r="DB27" s="132">
        <f t="shared" si="48"/>
        <v>1</v>
      </c>
      <c r="DC27" s="132">
        <f t="shared" si="49"/>
        <v>0</v>
      </c>
      <c r="DD27" s="132">
        <f t="shared" si="50"/>
        <v>0</v>
      </c>
      <c r="DE27" s="132">
        <f t="shared" si="51"/>
        <v>0</v>
      </c>
      <c r="DF27" s="132">
        <f t="shared" si="52"/>
        <v>1</v>
      </c>
      <c r="DG27" s="132">
        <f t="shared" si="53"/>
        <v>1</v>
      </c>
      <c r="DH27" s="132">
        <f t="shared" si="54"/>
        <v>1</v>
      </c>
      <c r="DI27" s="132">
        <f t="shared" si="55"/>
        <v>1</v>
      </c>
      <c r="DJ27" s="132">
        <f t="shared" si="56"/>
        <v>1</v>
      </c>
      <c r="DK27" s="132">
        <f t="shared" si="57"/>
        <v>1</v>
      </c>
      <c r="DL27" s="132">
        <f t="shared" si="58"/>
        <v>1</v>
      </c>
      <c r="DM27" s="132">
        <f t="shared" si="59"/>
        <v>1</v>
      </c>
      <c r="DN27" s="132">
        <f t="shared" si="60"/>
        <v>1</v>
      </c>
      <c r="DO27" s="132">
        <f t="shared" si="61"/>
        <v>1</v>
      </c>
      <c r="DP27" s="132">
        <f t="shared" si="62"/>
        <v>1</v>
      </c>
      <c r="DQ27" s="132">
        <f t="shared" si="63"/>
        <v>1</v>
      </c>
      <c r="DR27" s="132">
        <f t="shared" si="64"/>
        <v>0</v>
      </c>
      <c r="DS27" s="132">
        <f t="shared" si="65"/>
        <v>0</v>
      </c>
      <c r="DT27" s="132">
        <f t="shared" si="66"/>
        <v>0</v>
      </c>
      <c r="DU27" s="132">
        <f t="shared" si="67"/>
        <v>5</v>
      </c>
      <c r="DV27" s="132">
        <f t="shared" si="68"/>
        <v>5</v>
      </c>
      <c r="DW27" s="132">
        <f t="shared" si="69"/>
        <v>5</v>
      </c>
      <c r="DX27" s="132">
        <f t="shared" si="70"/>
        <v>5</v>
      </c>
      <c r="DY27" s="132">
        <f t="shared" si="71"/>
        <v>0</v>
      </c>
      <c r="DZ27" s="206">
        <f t="shared" si="72"/>
        <v>0</v>
      </c>
      <c r="EA27" s="132">
        <f t="shared" si="72"/>
        <v>0</v>
      </c>
      <c r="EB27" s="132">
        <f t="shared" si="72"/>
        <v>0</v>
      </c>
      <c r="EC27" s="132">
        <f t="shared" si="72"/>
        <v>0</v>
      </c>
      <c r="ED27" s="132">
        <f t="shared" si="72"/>
        <v>1</v>
      </c>
      <c r="EE27" s="132">
        <f t="shared" si="72"/>
        <v>0</v>
      </c>
      <c r="EF27" s="132">
        <f t="shared" si="72"/>
        <v>0</v>
      </c>
      <c r="EG27" s="132">
        <f t="shared" si="73"/>
        <v>0</v>
      </c>
      <c r="EH27" s="132">
        <f t="shared" si="73"/>
        <v>0</v>
      </c>
      <c r="EI27" s="132">
        <f t="shared" si="73"/>
        <v>0</v>
      </c>
      <c r="EJ27" s="132">
        <f t="shared" si="73"/>
        <v>0</v>
      </c>
      <c r="EK27" s="132">
        <f t="shared" si="73"/>
        <v>1</v>
      </c>
      <c r="EL27" s="132">
        <f t="shared" si="73"/>
        <v>0</v>
      </c>
      <c r="EM27" s="132">
        <f t="shared" si="73"/>
        <v>0</v>
      </c>
      <c r="EN27" s="132">
        <f t="shared" si="74"/>
        <v>0</v>
      </c>
      <c r="EO27" s="132">
        <f t="shared" si="74"/>
        <v>0</v>
      </c>
      <c r="EP27" s="132">
        <f t="shared" si="74"/>
        <v>0</v>
      </c>
      <c r="EQ27" s="132">
        <f t="shared" si="74"/>
        <v>0</v>
      </c>
      <c r="ER27" s="132">
        <f t="shared" si="74"/>
        <v>1</v>
      </c>
      <c r="ES27" s="132">
        <f t="shared" si="74"/>
        <v>0</v>
      </c>
      <c r="ET27" s="153">
        <f t="shared" si="74"/>
        <v>0</v>
      </c>
    </row>
    <row r="28" spans="1:205" s="63" customFormat="1">
      <c r="A28" s="63" t="s">
        <v>59</v>
      </c>
      <c r="B28" s="63">
        <v>121</v>
      </c>
      <c r="C28" s="63" t="s">
        <v>38</v>
      </c>
      <c r="D28" s="63" t="s">
        <v>35</v>
      </c>
      <c r="E28" s="63">
        <v>231</v>
      </c>
      <c r="F28" s="63">
        <v>242</v>
      </c>
      <c r="G28" s="63">
        <v>199</v>
      </c>
      <c r="H28" s="63">
        <v>0</v>
      </c>
      <c r="I28" s="63">
        <v>0</v>
      </c>
      <c r="J28" s="63">
        <v>0</v>
      </c>
      <c r="K28" s="63">
        <v>7</v>
      </c>
      <c r="L28" s="63">
        <v>0</v>
      </c>
      <c r="M28" s="63">
        <v>0</v>
      </c>
      <c r="N28" s="63">
        <v>23</v>
      </c>
      <c r="O28" s="63">
        <v>7</v>
      </c>
      <c r="P28" s="63">
        <v>23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23</v>
      </c>
      <c r="X28" s="156">
        <v>7</v>
      </c>
      <c r="Y28" s="156">
        <v>23</v>
      </c>
      <c r="Z28" s="63">
        <v>201</v>
      </c>
      <c r="AA28" s="63">
        <v>235</v>
      </c>
      <c r="AB28" s="63">
        <v>176</v>
      </c>
      <c r="AC28" s="63">
        <v>-86</v>
      </c>
      <c r="AD28" s="63">
        <v>-157</v>
      </c>
      <c r="AE28" s="63">
        <v>-150</v>
      </c>
      <c r="AF28" s="63">
        <v>-86</v>
      </c>
      <c r="AG28" s="63">
        <v>-157</v>
      </c>
      <c r="AH28" s="63">
        <v>-150</v>
      </c>
      <c r="AI28" s="155">
        <v>32</v>
      </c>
      <c r="AJ28" s="156">
        <v>90</v>
      </c>
      <c r="AK28" s="157">
        <v>74</v>
      </c>
      <c r="AL28" s="63">
        <v>32</v>
      </c>
      <c r="AM28" s="63">
        <v>90</v>
      </c>
      <c r="AN28" s="63">
        <v>74</v>
      </c>
      <c r="AO28" s="63">
        <v>32</v>
      </c>
      <c r="AP28" s="63">
        <v>90</v>
      </c>
      <c r="AQ28" s="63">
        <v>74</v>
      </c>
      <c r="AR28" s="63">
        <v>317</v>
      </c>
      <c r="AS28" s="63">
        <v>399</v>
      </c>
      <c r="AT28" s="63">
        <v>349</v>
      </c>
      <c r="AU28" s="63">
        <v>263</v>
      </c>
      <c r="AV28" s="63">
        <v>332</v>
      </c>
      <c r="AW28" s="63">
        <v>273</v>
      </c>
      <c r="AX28" s="63">
        <v>-54</v>
      </c>
      <c r="AY28" s="63">
        <v>-67</v>
      </c>
      <c r="AZ28" s="63">
        <v>-76</v>
      </c>
      <c r="BA28" s="63">
        <v>-54</v>
      </c>
      <c r="BB28" s="63">
        <v>-67</v>
      </c>
      <c r="BC28" s="63">
        <v>-76</v>
      </c>
      <c r="BE28" s="63">
        <f t="shared" si="0"/>
        <v>0.76425855513307983</v>
      </c>
      <c r="BF28" s="63">
        <f t="shared" si="1"/>
        <v>0.70783132530120485</v>
      </c>
      <c r="BG28" s="63">
        <f t="shared" si="2"/>
        <v>0.64468864468864473</v>
      </c>
      <c r="BI28" s="63">
        <f t="shared" si="3"/>
        <v>8.7452471482889732E-2</v>
      </c>
      <c r="BJ28" s="63">
        <f t="shared" si="4"/>
        <v>2.1084337349397589E-2</v>
      </c>
      <c r="BK28" s="63">
        <f t="shared" si="5"/>
        <v>8.4249084249084255E-2</v>
      </c>
      <c r="BM28" s="63">
        <f t="shared" si="6"/>
        <v>0</v>
      </c>
      <c r="BN28" s="63">
        <f t="shared" si="7"/>
        <v>0</v>
      </c>
      <c r="BO28" s="63">
        <f t="shared" si="8"/>
        <v>0</v>
      </c>
      <c r="BQ28" s="156">
        <f t="shared" si="9"/>
        <v>0</v>
      </c>
      <c r="BR28" s="156">
        <f t="shared" si="10"/>
        <v>0</v>
      </c>
      <c r="BS28" s="156">
        <f t="shared" si="11"/>
        <v>0</v>
      </c>
      <c r="BU28" s="156">
        <f t="shared" si="12"/>
        <v>8.7452471482889732E-2</v>
      </c>
      <c r="BV28" s="156">
        <f t="shared" si="13"/>
        <v>2.1084337349397589E-2</v>
      </c>
      <c r="BW28" s="156">
        <f t="shared" si="14"/>
        <v>8.4249084249084255E-2</v>
      </c>
      <c r="BY28" s="156">
        <f t="shared" si="15"/>
        <v>0</v>
      </c>
      <c r="BZ28" s="156">
        <f t="shared" si="16"/>
        <v>0</v>
      </c>
      <c r="CA28" s="156">
        <f t="shared" si="17"/>
        <v>0</v>
      </c>
      <c r="CC28" s="156">
        <f t="shared" si="18"/>
        <v>0.12167300380228137</v>
      </c>
      <c r="CD28" s="156">
        <f t="shared" si="19"/>
        <v>0.27108433734939757</v>
      </c>
      <c r="CE28" s="156">
        <f t="shared" si="20"/>
        <v>0.27106227106227104</v>
      </c>
      <c r="CG28" s="63">
        <f t="shared" si="35"/>
        <v>0.97338403041825095</v>
      </c>
      <c r="CH28" s="63">
        <f t="shared" si="36"/>
        <v>1</v>
      </c>
      <c r="CI28" s="63">
        <f t="shared" si="37"/>
        <v>1</v>
      </c>
      <c r="CK28" s="63">
        <f t="shared" si="38"/>
        <v>2.6615969581749055E-2</v>
      </c>
      <c r="CL28" s="63">
        <f t="shared" si="39"/>
        <v>0</v>
      </c>
      <c r="CM28" s="63">
        <f t="shared" si="40"/>
        <v>0</v>
      </c>
      <c r="CO28" s="156">
        <f t="shared" si="41"/>
        <v>7.0000000000000018</v>
      </c>
      <c r="CP28" s="156">
        <f t="shared" si="42"/>
        <v>0</v>
      </c>
      <c r="CQ28" s="156">
        <f t="shared" si="43"/>
        <v>0</v>
      </c>
      <c r="CT28" s="63">
        <v>0</v>
      </c>
      <c r="CV28" s="156">
        <f t="shared" si="75"/>
        <v>1.6611570247933884</v>
      </c>
      <c r="CW28" s="156">
        <f t="shared" si="44"/>
        <v>1.9421487603305785</v>
      </c>
      <c r="CX28" s="156">
        <f t="shared" si="45"/>
        <v>1.4545454545454546</v>
      </c>
      <c r="CZ28" s="63">
        <f t="shared" si="46"/>
        <v>1</v>
      </c>
      <c r="DA28" s="63">
        <f t="shared" si="47"/>
        <v>1</v>
      </c>
      <c r="DB28" s="63">
        <f t="shared" si="48"/>
        <v>1</v>
      </c>
      <c r="DC28" s="63">
        <f t="shared" si="49"/>
        <v>0</v>
      </c>
      <c r="DD28" s="63">
        <f t="shared" si="50"/>
        <v>0</v>
      </c>
      <c r="DE28" s="63">
        <f t="shared" si="51"/>
        <v>0</v>
      </c>
      <c r="DF28" s="63">
        <f t="shared" si="52"/>
        <v>0</v>
      </c>
      <c r="DG28" s="63">
        <f t="shared" si="53"/>
        <v>0</v>
      </c>
      <c r="DH28" s="63">
        <f t="shared" si="54"/>
        <v>0</v>
      </c>
      <c r="DI28" s="63">
        <f t="shared" si="55"/>
        <v>1</v>
      </c>
      <c r="DJ28" s="63">
        <f t="shared" si="56"/>
        <v>1</v>
      </c>
      <c r="DK28" s="63">
        <f t="shared" si="57"/>
        <v>1</v>
      </c>
      <c r="DL28" s="63">
        <f t="shared" si="58"/>
        <v>0</v>
      </c>
      <c r="DM28" s="63">
        <f t="shared" si="59"/>
        <v>0</v>
      </c>
      <c r="DN28" s="63">
        <f t="shared" si="60"/>
        <v>0</v>
      </c>
      <c r="DO28" s="63">
        <f t="shared" si="61"/>
        <v>1</v>
      </c>
      <c r="DP28" s="63">
        <f t="shared" si="62"/>
        <v>1</v>
      </c>
      <c r="DQ28" s="63">
        <f t="shared" si="63"/>
        <v>1</v>
      </c>
      <c r="DR28" s="63">
        <f t="shared" si="64"/>
        <v>1</v>
      </c>
      <c r="DS28" s="63">
        <f t="shared" si="65"/>
        <v>0</v>
      </c>
      <c r="DT28" s="63">
        <f t="shared" si="66"/>
        <v>0</v>
      </c>
      <c r="DU28" s="63">
        <f t="shared" si="67"/>
        <v>4</v>
      </c>
      <c r="DV28" s="63">
        <f t="shared" si="68"/>
        <v>3</v>
      </c>
      <c r="DW28" s="63">
        <f t="shared" si="69"/>
        <v>3</v>
      </c>
      <c r="DX28" s="63">
        <f t="shared" si="70"/>
        <v>3.3333333333333335</v>
      </c>
      <c r="DY28" s="63">
        <f t="shared" si="71"/>
        <v>0.47140452079103168</v>
      </c>
      <c r="DZ28" s="137">
        <f t="shared" si="72"/>
        <v>0</v>
      </c>
      <c r="EA28" s="63">
        <f t="shared" si="72"/>
        <v>0</v>
      </c>
      <c r="EB28" s="63">
        <f t="shared" si="72"/>
        <v>0</v>
      </c>
      <c r="EC28" s="63">
        <f t="shared" si="72"/>
        <v>1</v>
      </c>
      <c r="ED28" s="63">
        <f t="shared" si="72"/>
        <v>0</v>
      </c>
      <c r="EE28" s="63">
        <f t="shared" si="72"/>
        <v>0</v>
      </c>
      <c r="EF28" s="63">
        <f t="shared" si="72"/>
        <v>0</v>
      </c>
      <c r="EG28" s="63">
        <f t="shared" si="73"/>
        <v>0</v>
      </c>
      <c r="EH28" s="63">
        <f t="shared" si="73"/>
        <v>0</v>
      </c>
      <c r="EI28" s="63">
        <f t="shared" si="73"/>
        <v>1</v>
      </c>
      <c r="EJ28" s="63">
        <f t="shared" si="73"/>
        <v>0</v>
      </c>
      <c r="EK28" s="63">
        <f t="shared" si="73"/>
        <v>0</v>
      </c>
      <c r="EL28" s="63">
        <f t="shared" si="73"/>
        <v>0</v>
      </c>
      <c r="EM28" s="63">
        <f t="shared" si="73"/>
        <v>0</v>
      </c>
      <c r="EN28" s="63">
        <f t="shared" si="74"/>
        <v>0</v>
      </c>
      <c r="EO28" s="63">
        <f t="shared" si="74"/>
        <v>0</v>
      </c>
      <c r="EP28" s="63">
        <f t="shared" si="74"/>
        <v>1</v>
      </c>
      <c r="EQ28" s="63">
        <f t="shared" si="74"/>
        <v>0</v>
      </c>
      <c r="ER28" s="63">
        <f t="shared" si="74"/>
        <v>0</v>
      </c>
      <c r="ES28" s="63">
        <f t="shared" si="74"/>
        <v>0</v>
      </c>
      <c r="ET28" s="156">
        <f t="shared" si="74"/>
        <v>0</v>
      </c>
    </row>
    <row r="29" spans="1:205" s="63" customFormat="1">
      <c r="A29" s="63" t="s">
        <v>60</v>
      </c>
      <c r="B29" s="63">
        <v>105</v>
      </c>
      <c r="C29" s="63" t="s">
        <v>38</v>
      </c>
      <c r="D29" s="63" t="s">
        <v>32</v>
      </c>
      <c r="E29" s="63">
        <v>338</v>
      </c>
      <c r="F29" s="63">
        <v>644</v>
      </c>
      <c r="G29" s="63">
        <v>931</v>
      </c>
      <c r="H29" s="63">
        <v>0</v>
      </c>
      <c r="I29" s="63">
        <v>0</v>
      </c>
      <c r="J29" s="63">
        <v>0</v>
      </c>
      <c r="K29" s="63">
        <v>63</v>
      </c>
      <c r="L29" s="63">
        <v>232</v>
      </c>
      <c r="M29" s="63">
        <v>179</v>
      </c>
      <c r="N29" s="63">
        <v>236</v>
      </c>
      <c r="O29" s="63">
        <v>264</v>
      </c>
      <c r="P29" s="63">
        <v>444</v>
      </c>
      <c r="Q29" s="156">
        <v>31</v>
      </c>
      <c r="R29" s="156">
        <v>0</v>
      </c>
      <c r="S29" s="156">
        <v>0</v>
      </c>
      <c r="T29" s="156">
        <v>166</v>
      </c>
      <c r="U29" s="156">
        <v>161</v>
      </c>
      <c r="V29" s="156">
        <v>259</v>
      </c>
      <c r="W29" s="156">
        <v>70</v>
      </c>
      <c r="X29" s="156">
        <v>103</v>
      </c>
      <c r="Y29" s="156">
        <v>185</v>
      </c>
      <c r="Z29" s="63">
        <v>39</v>
      </c>
      <c r="AA29" s="63">
        <v>148</v>
      </c>
      <c r="AB29" s="63">
        <v>308</v>
      </c>
      <c r="AC29" s="63">
        <v>-84</v>
      </c>
      <c r="AD29" s="63">
        <v>-261</v>
      </c>
      <c r="AE29" s="63">
        <v>-156</v>
      </c>
      <c r="AF29" s="63">
        <v>-84</v>
      </c>
      <c r="AG29" s="63">
        <v>-261</v>
      </c>
      <c r="AH29" s="63">
        <v>-156</v>
      </c>
      <c r="AI29" s="155">
        <v>176</v>
      </c>
      <c r="AJ29" s="156">
        <v>186</v>
      </c>
      <c r="AK29" s="157">
        <v>181</v>
      </c>
      <c r="AL29" s="63">
        <v>176</v>
      </c>
      <c r="AM29" s="63">
        <v>186</v>
      </c>
      <c r="AN29" s="63">
        <v>181</v>
      </c>
      <c r="AO29" s="63">
        <v>176</v>
      </c>
      <c r="AP29" s="63">
        <v>186</v>
      </c>
      <c r="AQ29" s="63">
        <v>181</v>
      </c>
      <c r="AR29" s="63">
        <v>422</v>
      </c>
      <c r="AS29" s="63">
        <v>905</v>
      </c>
      <c r="AT29" s="63">
        <v>1087</v>
      </c>
      <c r="AU29" s="63">
        <v>514</v>
      </c>
      <c r="AV29" s="63">
        <v>830</v>
      </c>
      <c r="AW29" s="63">
        <v>1112</v>
      </c>
      <c r="AX29" s="63">
        <v>92</v>
      </c>
      <c r="AY29" s="63">
        <v>-75</v>
      </c>
      <c r="AZ29" s="63">
        <v>25</v>
      </c>
      <c r="BA29" s="63">
        <v>92</v>
      </c>
      <c r="BB29" s="63">
        <v>-75</v>
      </c>
      <c r="BC29" s="63">
        <v>25</v>
      </c>
      <c r="BE29" s="63">
        <f t="shared" si="0"/>
        <v>7.5875486381322951E-2</v>
      </c>
      <c r="BF29" s="63">
        <f t="shared" si="1"/>
        <v>0.1783132530120482</v>
      </c>
      <c r="BG29" s="63">
        <f t="shared" si="2"/>
        <v>0.27697841726618705</v>
      </c>
      <c r="BI29" s="63">
        <f t="shared" si="3"/>
        <v>0.45914396887159531</v>
      </c>
      <c r="BJ29" s="63">
        <f t="shared" si="4"/>
        <v>0.3180722891566265</v>
      </c>
      <c r="BK29" s="63">
        <f t="shared" si="5"/>
        <v>0.39928057553956836</v>
      </c>
      <c r="BM29" s="63">
        <f t="shared" si="6"/>
        <v>6.0311284046692608E-2</v>
      </c>
      <c r="BN29" s="63">
        <f t="shared" si="7"/>
        <v>0</v>
      </c>
      <c r="BO29" s="63">
        <f t="shared" si="8"/>
        <v>0</v>
      </c>
      <c r="BQ29" s="156">
        <f t="shared" si="9"/>
        <v>0.32295719844357978</v>
      </c>
      <c r="BR29" s="156">
        <f t="shared" si="10"/>
        <v>0.19397590361445782</v>
      </c>
      <c r="BS29" s="156">
        <f t="shared" si="11"/>
        <v>0.2329136690647482</v>
      </c>
      <c r="BU29" s="156">
        <f t="shared" si="12"/>
        <v>0.13618677042801555</v>
      </c>
      <c r="BV29" s="156">
        <f t="shared" si="13"/>
        <v>0.12409638554216867</v>
      </c>
      <c r="BW29" s="156">
        <f t="shared" si="14"/>
        <v>0.16636690647482014</v>
      </c>
      <c r="BY29" s="156">
        <f t="shared" si="15"/>
        <v>0</v>
      </c>
      <c r="BZ29" s="156">
        <f t="shared" si="16"/>
        <v>0</v>
      </c>
      <c r="CA29" s="156">
        <f t="shared" si="17"/>
        <v>0</v>
      </c>
      <c r="CC29" s="156">
        <f t="shared" si="18"/>
        <v>0.34241245136186771</v>
      </c>
      <c r="CD29" s="156">
        <f t="shared" si="19"/>
        <v>0.22409638554216868</v>
      </c>
      <c r="CE29" s="156">
        <f t="shared" si="20"/>
        <v>0.16276978417266186</v>
      </c>
      <c r="CG29" s="63">
        <f t="shared" si="35"/>
        <v>0.87743190661478598</v>
      </c>
      <c r="CH29" s="63">
        <f t="shared" si="36"/>
        <v>0.72048192771084341</v>
      </c>
      <c r="CI29" s="63">
        <f t="shared" si="37"/>
        <v>0.83902877697841727</v>
      </c>
      <c r="CK29" s="63">
        <f t="shared" si="38"/>
        <v>0.12256809338521402</v>
      </c>
      <c r="CL29" s="63">
        <f t="shared" si="39"/>
        <v>0.27951807228915659</v>
      </c>
      <c r="CM29" s="63">
        <f t="shared" si="40"/>
        <v>0.16097122302158273</v>
      </c>
      <c r="CO29" s="156">
        <f t="shared" si="41"/>
        <v>63.000000000000007</v>
      </c>
      <c r="CP29" s="156">
        <f t="shared" si="42"/>
        <v>231.99999999999997</v>
      </c>
      <c r="CQ29" s="156">
        <f t="shared" si="43"/>
        <v>179</v>
      </c>
      <c r="CT29" s="63">
        <v>166</v>
      </c>
      <c r="CV29" s="156">
        <f t="shared" si="75"/>
        <v>0.37142857142857144</v>
      </c>
      <c r="CW29" s="156">
        <f t="shared" si="44"/>
        <v>1.4095238095238096</v>
      </c>
      <c r="CX29" s="156">
        <f t="shared" si="45"/>
        <v>2.9333333333333331</v>
      </c>
      <c r="CZ29" s="63">
        <f t="shared" si="46"/>
        <v>1</v>
      </c>
      <c r="DA29" s="63">
        <f t="shared" si="47"/>
        <v>1</v>
      </c>
      <c r="DB29" s="63">
        <f t="shared" si="48"/>
        <v>1</v>
      </c>
      <c r="DC29" s="63">
        <f t="shared" si="49"/>
        <v>1</v>
      </c>
      <c r="DD29" s="63">
        <f t="shared" si="50"/>
        <v>0</v>
      </c>
      <c r="DE29" s="63">
        <f t="shared" si="51"/>
        <v>0</v>
      </c>
      <c r="DF29" s="63">
        <f t="shared" si="52"/>
        <v>1</v>
      </c>
      <c r="DG29" s="63">
        <f t="shared" si="53"/>
        <v>1</v>
      </c>
      <c r="DH29" s="63">
        <f t="shared" si="54"/>
        <v>1</v>
      </c>
      <c r="DI29" s="63">
        <f t="shared" si="55"/>
        <v>1</v>
      </c>
      <c r="DJ29" s="63">
        <f t="shared" si="56"/>
        <v>1</v>
      </c>
      <c r="DK29" s="63">
        <f t="shared" si="57"/>
        <v>1</v>
      </c>
      <c r="DL29" s="63">
        <f t="shared" si="58"/>
        <v>0</v>
      </c>
      <c r="DM29" s="63">
        <f t="shared" si="59"/>
        <v>0</v>
      </c>
      <c r="DN29" s="63">
        <f t="shared" si="60"/>
        <v>0</v>
      </c>
      <c r="DO29" s="63">
        <f t="shared" si="61"/>
        <v>1</v>
      </c>
      <c r="DP29" s="63">
        <f t="shared" si="62"/>
        <v>1</v>
      </c>
      <c r="DQ29" s="63">
        <f t="shared" si="63"/>
        <v>1</v>
      </c>
      <c r="DR29" s="63">
        <f t="shared" si="64"/>
        <v>1</v>
      </c>
      <c r="DS29" s="63">
        <f t="shared" si="65"/>
        <v>1</v>
      </c>
      <c r="DT29" s="63">
        <f t="shared" si="66"/>
        <v>1</v>
      </c>
      <c r="DU29" s="63">
        <f t="shared" si="67"/>
        <v>6</v>
      </c>
      <c r="DV29" s="63">
        <f t="shared" si="68"/>
        <v>5</v>
      </c>
      <c r="DW29" s="63">
        <f t="shared" si="69"/>
        <v>5</v>
      </c>
      <c r="DX29" s="63">
        <f t="shared" si="70"/>
        <v>5.333333333333333</v>
      </c>
      <c r="DY29" s="63">
        <f t="shared" si="71"/>
        <v>0.47140452079103168</v>
      </c>
      <c r="DZ29" s="137">
        <f t="shared" si="72"/>
        <v>0</v>
      </c>
      <c r="EA29" s="63">
        <f t="shared" si="72"/>
        <v>0</v>
      </c>
      <c r="EB29" s="63">
        <f t="shared" si="72"/>
        <v>0</v>
      </c>
      <c r="EC29" s="63">
        <f t="shared" si="72"/>
        <v>0</v>
      </c>
      <c r="ED29" s="63">
        <f t="shared" si="72"/>
        <v>0</v>
      </c>
      <c r="EE29" s="63">
        <f t="shared" si="72"/>
        <v>1</v>
      </c>
      <c r="EF29" s="63">
        <f t="shared" si="72"/>
        <v>0</v>
      </c>
      <c r="EG29" s="63">
        <f t="shared" si="73"/>
        <v>0</v>
      </c>
      <c r="EH29" s="63">
        <f t="shared" si="73"/>
        <v>0</v>
      </c>
      <c r="EI29" s="63">
        <f t="shared" si="73"/>
        <v>0</v>
      </c>
      <c r="EJ29" s="63">
        <f t="shared" si="73"/>
        <v>0</v>
      </c>
      <c r="EK29" s="63">
        <f t="shared" si="73"/>
        <v>1</v>
      </c>
      <c r="EL29" s="63">
        <f t="shared" si="73"/>
        <v>0</v>
      </c>
      <c r="EM29" s="63">
        <f t="shared" si="73"/>
        <v>0</v>
      </c>
      <c r="EN29" s="63">
        <f t="shared" si="74"/>
        <v>0</v>
      </c>
      <c r="EO29" s="63">
        <f t="shared" si="74"/>
        <v>0</v>
      </c>
      <c r="EP29" s="63">
        <f t="shared" si="74"/>
        <v>0</v>
      </c>
      <c r="EQ29" s="63">
        <f t="shared" si="74"/>
        <v>0</v>
      </c>
      <c r="ER29" s="63">
        <f t="shared" si="74"/>
        <v>1</v>
      </c>
      <c r="ES29" s="63">
        <f t="shared" si="74"/>
        <v>0</v>
      </c>
      <c r="ET29" s="156">
        <f t="shared" si="74"/>
        <v>0</v>
      </c>
    </row>
    <row r="30" spans="1:205" s="63" customFormat="1">
      <c r="A30" s="63" t="s">
        <v>61</v>
      </c>
      <c r="B30" s="63">
        <v>180</v>
      </c>
      <c r="C30" s="63" t="s">
        <v>38</v>
      </c>
      <c r="D30" s="63" t="s">
        <v>33</v>
      </c>
      <c r="E30" s="63">
        <v>472</v>
      </c>
      <c r="F30" s="63">
        <v>561</v>
      </c>
      <c r="G30" s="63">
        <v>731</v>
      </c>
      <c r="H30" s="63">
        <v>46</v>
      </c>
      <c r="I30" s="63">
        <v>79</v>
      </c>
      <c r="J30" s="63">
        <v>506</v>
      </c>
      <c r="K30" s="63">
        <v>185</v>
      </c>
      <c r="L30" s="63">
        <v>155</v>
      </c>
      <c r="M30" s="63">
        <v>17</v>
      </c>
      <c r="N30" s="63">
        <v>57</v>
      </c>
      <c r="O30" s="63">
        <v>52</v>
      </c>
      <c r="P30" s="63">
        <v>25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57</v>
      </c>
      <c r="X30" s="156">
        <v>52</v>
      </c>
      <c r="Y30" s="156">
        <v>25</v>
      </c>
      <c r="Z30" s="63">
        <v>184</v>
      </c>
      <c r="AA30" s="63">
        <v>275</v>
      </c>
      <c r="AB30" s="63">
        <v>183</v>
      </c>
      <c r="AC30" s="63">
        <v>-138</v>
      </c>
      <c r="AD30" s="63">
        <v>-339</v>
      </c>
      <c r="AE30" s="63">
        <v>-261</v>
      </c>
      <c r="AF30" s="63">
        <v>-138</v>
      </c>
      <c r="AG30" s="63">
        <v>-339</v>
      </c>
      <c r="AH30" s="63">
        <v>-261</v>
      </c>
      <c r="AI30" s="155">
        <v>173</v>
      </c>
      <c r="AJ30" s="156">
        <v>426</v>
      </c>
      <c r="AK30" s="157">
        <v>473</v>
      </c>
      <c r="AL30" s="63">
        <v>152</v>
      </c>
      <c r="AM30" s="63">
        <v>349</v>
      </c>
      <c r="AN30" s="63">
        <v>433</v>
      </c>
      <c r="AO30" s="63">
        <v>152</v>
      </c>
      <c r="AP30" s="63">
        <v>340</v>
      </c>
      <c r="AQ30" s="63">
        <v>408</v>
      </c>
      <c r="AR30" s="63">
        <v>631</v>
      </c>
      <c r="AS30" s="63">
        <v>977</v>
      </c>
      <c r="AT30" s="63">
        <v>1057</v>
      </c>
      <c r="AU30" s="63">
        <v>645</v>
      </c>
      <c r="AV30" s="63">
        <v>987</v>
      </c>
      <c r="AW30" s="63">
        <v>1204</v>
      </c>
      <c r="AX30" s="63">
        <v>14</v>
      </c>
      <c r="AY30" s="63">
        <v>10</v>
      </c>
      <c r="AZ30" s="63">
        <v>147</v>
      </c>
      <c r="BA30" s="63">
        <v>14</v>
      </c>
      <c r="BB30" s="63">
        <v>1</v>
      </c>
      <c r="BC30" s="63">
        <v>147</v>
      </c>
      <c r="BE30" s="63">
        <f t="shared" si="0"/>
        <v>0.28527131782945736</v>
      </c>
      <c r="BF30" s="63">
        <f t="shared" si="1"/>
        <v>0.2786220871327254</v>
      </c>
      <c r="BG30" s="63">
        <f t="shared" si="2"/>
        <v>0.15199335548172757</v>
      </c>
      <c r="BI30" s="63">
        <f t="shared" si="3"/>
        <v>8.8372093023255813E-2</v>
      </c>
      <c r="BJ30" s="63">
        <f t="shared" si="4"/>
        <v>5.2684903748733539E-2</v>
      </c>
      <c r="BK30" s="63">
        <f t="shared" si="5"/>
        <v>2.0764119601328904E-2</v>
      </c>
      <c r="BM30" s="63">
        <f t="shared" si="6"/>
        <v>0</v>
      </c>
      <c r="BN30" s="63">
        <f t="shared" si="7"/>
        <v>0</v>
      </c>
      <c r="BO30" s="63">
        <f t="shared" si="8"/>
        <v>0</v>
      </c>
      <c r="BQ30" s="156">
        <f t="shared" si="9"/>
        <v>0</v>
      </c>
      <c r="BR30" s="156">
        <f t="shared" si="10"/>
        <v>0</v>
      </c>
      <c r="BS30" s="156">
        <f t="shared" si="11"/>
        <v>0</v>
      </c>
      <c r="BU30" s="156">
        <f t="shared" si="12"/>
        <v>8.8372093023255813E-2</v>
      </c>
      <c r="BV30" s="156">
        <f t="shared" si="13"/>
        <v>5.2684903748733539E-2</v>
      </c>
      <c r="BW30" s="156">
        <f t="shared" si="14"/>
        <v>2.0764119601328904E-2</v>
      </c>
      <c r="BY30" s="156">
        <f t="shared" si="15"/>
        <v>7.131782945736434E-2</v>
      </c>
      <c r="BZ30" s="156">
        <f t="shared" si="16"/>
        <v>8.0040526849037494E-2</v>
      </c>
      <c r="CA30" s="156">
        <f t="shared" si="17"/>
        <v>0.42026578073089699</v>
      </c>
      <c r="CC30" s="156">
        <f t="shared" si="18"/>
        <v>0.2682170542635659</v>
      </c>
      <c r="CD30" s="156">
        <f t="shared" si="19"/>
        <v>0.43161094224924013</v>
      </c>
      <c r="CE30" s="156">
        <f t="shared" si="20"/>
        <v>0.39285714285714285</v>
      </c>
      <c r="CG30" s="63">
        <f t="shared" si="35"/>
        <v>0.71317829457364346</v>
      </c>
      <c r="CH30" s="63">
        <f t="shared" si="36"/>
        <v>0.84295845997973662</v>
      </c>
      <c r="CI30" s="63">
        <f t="shared" si="37"/>
        <v>0.98588039867109623</v>
      </c>
      <c r="CK30" s="63">
        <f t="shared" si="38"/>
        <v>0.28682170542635654</v>
      </c>
      <c r="CL30" s="63">
        <f t="shared" si="39"/>
        <v>0.15704154002026338</v>
      </c>
      <c r="CM30" s="63">
        <f t="shared" si="40"/>
        <v>1.4119601328903775E-2</v>
      </c>
      <c r="CO30" s="156">
        <f t="shared" si="41"/>
        <v>184.99999999999997</v>
      </c>
      <c r="CP30" s="156">
        <f t="shared" si="42"/>
        <v>154.99999999999997</v>
      </c>
      <c r="CQ30" s="156">
        <f t="shared" si="43"/>
        <v>17.000000000000146</v>
      </c>
      <c r="CT30" s="63">
        <v>0</v>
      </c>
      <c r="CV30" s="156">
        <f t="shared" si="75"/>
        <v>1.0222222222222221</v>
      </c>
      <c r="CW30" s="156">
        <f t="shared" si="44"/>
        <v>1.5277777777777777</v>
      </c>
      <c r="CX30" s="156">
        <f t="shared" si="45"/>
        <v>1.0166666666666666</v>
      </c>
      <c r="CZ30" s="63">
        <f t="shared" si="46"/>
        <v>1</v>
      </c>
      <c r="DA30" s="63">
        <f t="shared" si="47"/>
        <v>1</v>
      </c>
      <c r="DB30" s="63">
        <f t="shared" si="48"/>
        <v>1</v>
      </c>
      <c r="DC30" s="63">
        <f t="shared" si="49"/>
        <v>0</v>
      </c>
      <c r="DD30" s="63">
        <f t="shared" si="50"/>
        <v>0</v>
      </c>
      <c r="DE30" s="63">
        <f t="shared" si="51"/>
        <v>0</v>
      </c>
      <c r="DF30" s="63">
        <f t="shared" si="52"/>
        <v>0</v>
      </c>
      <c r="DG30" s="63">
        <f t="shared" si="53"/>
        <v>0</v>
      </c>
      <c r="DH30" s="63">
        <f t="shared" si="54"/>
        <v>0</v>
      </c>
      <c r="DI30" s="63">
        <f t="shared" si="55"/>
        <v>1</v>
      </c>
      <c r="DJ30" s="63">
        <f t="shared" si="56"/>
        <v>1</v>
      </c>
      <c r="DK30" s="63">
        <f t="shared" si="57"/>
        <v>1</v>
      </c>
      <c r="DL30" s="63">
        <f t="shared" si="58"/>
        <v>1</v>
      </c>
      <c r="DM30" s="63">
        <f t="shared" si="59"/>
        <v>1</v>
      </c>
      <c r="DN30" s="63">
        <f t="shared" si="60"/>
        <v>1</v>
      </c>
      <c r="DO30" s="63">
        <f t="shared" si="61"/>
        <v>1</v>
      </c>
      <c r="DP30" s="63">
        <f t="shared" si="62"/>
        <v>1</v>
      </c>
      <c r="DQ30" s="63">
        <f t="shared" si="63"/>
        <v>1</v>
      </c>
      <c r="DR30" s="63">
        <f t="shared" si="64"/>
        <v>1</v>
      </c>
      <c r="DS30" s="63">
        <f t="shared" si="65"/>
        <v>1</v>
      </c>
      <c r="DT30" s="63">
        <f t="shared" si="66"/>
        <v>1</v>
      </c>
      <c r="DU30" s="63">
        <f t="shared" si="67"/>
        <v>5</v>
      </c>
      <c r="DV30" s="63">
        <f t="shared" si="68"/>
        <v>5</v>
      </c>
      <c r="DW30" s="63">
        <f t="shared" si="69"/>
        <v>5</v>
      </c>
      <c r="DX30" s="63">
        <f t="shared" si="70"/>
        <v>5</v>
      </c>
      <c r="DY30" s="63">
        <f t="shared" si="71"/>
        <v>0</v>
      </c>
      <c r="DZ30" s="137">
        <f t="shared" si="72"/>
        <v>0</v>
      </c>
      <c r="EA30" s="63">
        <f t="shared" si="72"/>
        <v>0</v>
      </c>
      <c r="EB30" s="63">
        <f t="shared" si="72"/>
        <v>0</v>
      </c>
      <c r="EC30" s="63">
        <f t="shared" si="72"/>
        <v>0</v>
      </c>
      <c r="ED30" s="63">
        <f t="shared" si="72"/>
        <v>1</v>
      </c>
      <c r="EE30" s="63">
        <f t="shared" si="72"/>
        <v>0</v>
      </c>
      <c r="EF30" s="63">
        <f t="shared" si="72"/>
        <v>0</v>
      </c>
      <c r="EG30" s="63">
        <f t="shared" si="73"/>
        <v>0</v>
      </c>
      <c r="EH30" s="63">
        <f t="shared" si="73"/>
        <v>0</v>
      </c>
      <c r="EI30" s="63">
        <f t="shared" si="73"/>
        <v>0</v>
      </c>
      <c r="EJ30" s="63">
        <f t="shared" si="73"/>
        <v>0</v>
      </c>
      <c r="EK30" s="63">
        <f t="shared" si="73"/>
        <v>1</v>
      </c>
      <c r="EL30" s="63">
        <f t="shared" si="73"/>
        <v>0</v>
      </c>
      <c r="EM30" s="63">
        <f t="shared" si="73"/>
        <v>0</v>
      </c>
      <c r="EN30" s="63">
        <f t="shared" si="74"/>
        <v>0</v>
      </c>
      <c r="EO30" s="63">
        <f t="shared" si="74"/>
        <v>0</v>
      </c>
      <c r="EP30" s="63">
        <f t="shared" si="74"/>
        <v>0</v>
      </c>
      <c r="EQ30" s="63">
        <f t="shared" si="74"/>
        <v>0</v>
      </c>
      <c r="ER30" s="63">
        <f t="shared" si="74"/>
        <v>1</v>
      </c>
      <c r="ES30" s="63">
        <f t="shared" si="74"/>
        <v>0</v>
      </c>
      <c r="ET30" s="156">
        <f t="shared" si="74"/>
        <v>0</v>
      </c>
    </row>
    <row r="31" spans="1:205" s="63" customFormat="1">
      <c r="A31" s="63" t="s">
        <v>62</v>
      </c>
      <c r="B31" s="63">
        <v>296</v>
      </c>
      <c r="C31" s="63" t="s">
        <v>38</v>
      </c>
      <c r="D31" s="63" t="s">
        <v>32</v>
      </c>
      <c r="E31" s="63">
        <v>652</v>
      </c>
      <c r="F31" s="63">
        <v>824</v>
      </c>
      <c r="G31" s="63">
        <v>1223</v>
      </c>
      <c r="H31" s="63">
        <v>113</v>
      </c>
      <c r="I31" s="63">
        <v>152</v>
      </c>
      <c r="J31" s="63">
        <v>100</v>
      </c>
      <c r="K31" s="63">
        <v>0</v>
      </c>
      <c r="L31" s="63">
        <v>0</v>
      </c>
      <c r="M31" s="63">
        <v>5</v>
      </c>
      <c r="N31" s="63">
        <v>209</v>
      </c>
      <c r="O31" s="63">
        <v>241</v>
      </c>
      <c r="P31" s="63">
        <v>315</v>
      </c>
      <c r="Q31" s="156">
        <v>44</v>
      </c>
      <c r="R31" s="156">
        <v>0</v>
      </c>
      <c r="S31" s="156">
        <v>0</v>
      </c>
      <c r="T31" s="156">
        <v>80</v>
      </c>
      <c r="U31" s="156">
        <v>93</v>
      </c>
      <c r="V31" s="156">
        <v>75</v>
      </c>
      <c r="W31" s="156">
        <v>85</v>
      </c>
      <c r="X31" s="156">
        <v>148</v>
      </c>
      <c r="Y31" s="156">
        <v>240</v>
      </c>
      <c r="Z31" s="63">
        <v>329</v>
      </c>
      <c r="AA31" s="63">
        <v>431</v>
      </c>
      <c r="AB31" s="63">
        <v>803</v>
      </c>
      <c r="AC31" s="63">
        <v>-4</v>
      </c>
      <c r="AD31" s="63">
        <v>11</v>
      </c>
      <c r="AE31" s="63">
        <v>69</v>
      </c>
      <c r="AF31" s="63">
        <v>-4</v>
      </c>
      <c r="AG31" s="63">
        <v>11</v>
      </c>
      <c r="AH31" s="63">
        <v>69</v>
      </c>
      <c r="AI31" s="155">
        <v>15</v>
      </c>
      <c r="AJ31" s="156">
        <v>21</v>
      </c>
      <c r="AK31" s="157">
        <v>0</v>
      </c>
      <c r="AL31" s="63">
        <v>15</v>
      </c>
      <c r="AM31" s="63">
        <v>21</v>
      </c>
      <c r="AN31" s="63">
        <v>0</v>
      </c>
      <c r="AO31" s="63">
        <v>15</v>
      </c>
      <c r="AP31" s="63">
        <v>21</v>
      </c>
      <c r="AQ31" s="63">
        <v>0</v>
      </c>
      <c r="AR31" s="63">
        <v>656</v>
      </c>
      <c r="AS31" s="63">
        <v>813</v>
      </c>
      <c r="AT31" s="63">
        <v>1154</v>
      </c>
      <c r="AU31" s="63">
        <v>667</v>
      </c>
      <c r="AV31" s="63">
        <v>845</v>
      </c>
      <c r="AW31" s="63">
        <v>1223</v>
      </c>
      <c r="AX31" s="63">
        <v>11</v>
      </c>
      <c r="AY31" s="63">
        <v>32</v>
      </c>
      <c r="AZ31" s="63">
        <v>69</v>
      </c>
      <c r="BA31" s="63">
        <v>11</v>
      </c>
      <c r="BB31" s="63">
        <v>32</v>
      </c>
      <c r="BC31" s="63">
        <v>69</v>
      </c>
      <c r="BE31" s="63">
        <f t="shared" si="0"/>
        <v>0.49325337331334335</v>
      </c>
      <c r="BF31" s="63">
        <f t="shared" si="1"/>
        <v>0.51005917159763314</v>
      </c>
      <c r="BG31" s="63">
        <f t="shared" si="2"/>
        <v>0.65658217497955851</v>
      </c>
      <c r="BI31" s="63">
        <f t="shared" si="3"/>
        <v>0.31334332833583206</v>
      </c>
      <c r="BJ31" s="63">
        <f t="shared" si="4"/>
        <v>0.285207100591716</v>
      </c>
      <c r="BK31" s="63">
        <f t="shared" si="5"/>
        <v>0.25756336876533115</v>
      </c>
      <c r="BM31" s="63">
        <f t="shared" si="6"/>
        <v>6.5967016491754127E-2</v>
      </c>
      <c r="BN31" s="63">
        <f t="shared" si="7"/>
        <v>0</v>
      </c>
      <c r="BO31" s="63">
        <f t="shared" si="8"/>
        <v>0</v>
      </c>
      <c r="BQ31" s="156">
        <f t="shared" si="9"/>
        <v>0.1199400299850075</v>
      </c>
      <c r="BR31" s="156">
        <f t="shared" si="10"/>
        <v>0.11005917159763313</v>
      </c>
      <c r="BS31" s="156">
        <f t="shared" si="11"/>
        <v>6.1324611610793132E-2</v>
      </c>
      <c r="BU31" s="156">
        <f t="shared" si="12"/>
        <v>0.12743628185907047</v>
      </c>
      <c r="BV31" s="156">
        <f t="shared" si="13"/>
        <v>0.17514792899408285</v>
      </c>
      <c r="BW31" s="156">
        <f t="shared" si="14"/>
        <v>0.19623875715453803</v>
      </c>
      <c r="BY31" s="156">
        <f t="shared" si="15"/>
        <v>0.16941529235382308</v>
      </c>
      <c r="BZ31" s="156">
        <f t="shared" si="16"/>
        <v>0.17988165680473372</v>
      </c>
      <c r="CA31" s="156">
        <f t="shared" si="17"/>
        <v>8.1766148814390843E-2</v>
      </c>
      <c r="CC31" s="156">
        <f t="shared" si="18"/>
        <v>2.2488755622188907E-2</v>
      </c>
      <c r="CD31" s="156">
        <f t="shared" si="19"/>
        <v>2.4852071005917159E-2</v>
      </c>
      <c r="CE31" s="156">
        <f t="shared" si="20"/>
        <v>0</v>
      </c>
      <c r="CG31" s="63">
        <f t="shared" si="35"/>
        <v>0.99850074962518742</v>
      </c>
      <c r="CH31" s="63">
        <f t="shared" si="36"/>
        <v>0.99999999999999989</v>
      </c>
      <c r="CI31" s="63">
        <f t="shared" si="37"/>
        <v>0.99591169255928047</v>
      </c>
      <c r="CK31" s="63">
        <f t="shared" si="38"/>
        <v>1.4992503748125774E-3</v>
      </c>
      <c r="CL31" s="63">
        <f t="shared" si="39"/>
        <v>0</v>
      </c>
      <c r="CM31" s="63">
        <f t="shared" si="40"/>
        <v>4.0883074407195297E-3</v>
      </c>
      <c r="CO31" s="156">
        <f t="shared" si="41"/>
        <v>0.99999999999998912</v>
      </c>
      <c r="CP31" s="156">
        <f t="shared" si="42"/>
        <v>0</v>
      </c>
      <c r="CQ31" s="156">
        <f t="shared" si="43"/>
        <v>4.9999999999999849</v>
      </c>
      <c r="CT31" s="63">
        <v>80</v>
      </c>
      <c r="CV31" s="156">
        <f t="shared" si="75"/>
        <v>1.1114864864864864</v>
      </c>
      <c r="CW31" s="156">
        <f t="shared" si="44"/>
        <v>1.4560810810810811</v>
      </c>
      <c r="CX31" s="156">
        <f t="shared" si="45"/>
        <v>2.7128378378378377</v>
      </c>
      <c r="CZ31" s="63">
        <f t="shared" si="46"/>
        <v>1</v>
      </c>
      <c r="DA31" s="63">
        <f t="shared" si="47"/>
        <v>1</v>
      </c>
      <c r="DB31" s="63">
        <f t="shared" si="48"/>
        <v>1</v>
      </c>
      <c r="DC31" s="63">
        <f t="shared" si="49"/>
        <v>1</v>
      </c>
      <c r="DD31" s="63">
        <f t="shared" si="50"/>
        <v>0</v>
      </c>
      <c r="DE31" s="63">
        <f t="shared" si="51"/>
        <v>0</v>
      </c>
      <c r="DF31" s="63">
        <f t="shared" si="52"/>
        <v>1</v>
      </c>
      <c r="DG31" s="63">
        <f t="shared" si="53"/>
        <v>1</v>
      </c>
      <c r="DH31" s="63">
        <f t="shared" si="54"/>
        <v>1</v>
      </c>
      <c r="DI31" s="63">
        <f t="shared" si="55"/>
        <v>1</v>
      </c>
      <c r="DJ31" s="63">
        <f t="shared" si="56"/>
        <v>1</v>
      </c>
      <c r="DK31" s="63">
        <f t="shared" si="57"/>
        <v>1</v>
      </c>
      <c r="DL31" s="63">
        <f t="shared" si="58"/>
        <v>1</v>
      </c>
      <c r="DM31" s="63">
        <f t="shared" si="59"/>
        <v>1</v>
      </c>
      <c r="DN31" s="63">
        <f t="shared" si="60"/>
        <v>1</v>
      </c>
      <c r="DO31" s="63">
        <f t="shared" si="61"/>
        <v>1</v>
      </c>
      <c r="DP31" s="63">
        <f t="shared" si="62"/>
        <v>1</v>
      </c>
      <c r="DQ31" s="63">
        <f t="shared" si="63"/>
        <v>0</v>
      </c>
      <c r="DR31" s="63">
        <f t="shared" si="64"/>
        <v>1</v>
      </c>
      <c r="DS31" s="63">
        <f t="shared" si="65"/>
        <v>0</v>
      </c>
      <c r="DT31" s="63">
        <f t="shared" si="66"/>
        <v>1</v>
      </c>
      <c r="DU31" s="63">
        <f t="shared" si="67"/>
        <v>7</v>
      </c>
      <c r="DV31" s="63">
        <f t="shared" si="68"/>
        <v>5</v>
      </c>
      <c r="DW31" s="63">
        <f t="shared" si="69"/>
        <v>5</v>
      </c>
      <c r="DX31" s="63">
        <f t="shared" si="70"/>
        <v>5.666666666666667</v>
      </c>
      <c r="DY31" s="63">
        <f t="shared" si="71"/>
        <v>0.94280904158206336</v>
      </c>
      <c r="DZ31" s="137">
        <f t="shared" si="72"/>
        <v>0</v>
      </c>
      <c r="EA31" s="63">
        <f t="shared" si="72"/>
        <v>0</v>
      </c>
      <c r="EB31" s="63">
        <f t="shared" si="72"/>
        <v>0</v>
      </c>
      <c r="EC31" s="63">
        <f t="shared" si="72"/>
        <v>0</v>
      </c>
      <c r="ED31" s="63">
        <f t="shared" si="72"/>
        <v>0</v>
      </c>
      <c r="EE31" s="63">
        <f t="shared" si="72"/>
        <v>0</v>
      </c>
      <c r="EF31" s="63">
        <f t="shared" si="72"/>
        <v>1</v>
      </c>
      <c r="EG31" s="63">
        <f t="shared" si="73"/>
        <v>0</v>
      </c>
      <c r="EH31" s="63">
        <f t="shared" si="73"/>
        <v>0</v>
      </c>
      <c r="EI31" s="63">
        <f t="shared" si="73"/>
        <v>0</v>
      </c>
      <c r="EJ31" s="63">
        <f t="shared" si="73"/>
        <v>0</v>
      </c>
      <c r="EK31" s="63">
        <f t="shared" si="73"/>
        <v>1</v>
      </c>
      <c r="EL31" s="63">
        <f t="shared" si="73"/>
        <v>0</v>
      </c>
      <c r="EM31" s="63">
        <f t="shared" si="73"/>
        <v>0</v>
      </c>
      <c r="EN31" s="63">
        <f t="shared" si="74"/>
        <v>0</v>
      </c>
      <c r="EO31" s="63">
        <f t="shared" si="74"/>
        <v>0</v>
      </c>
      <c r="EP31" s="63">
        <f t="shared" si="74"/>
        <v>0</v>
      </c>
      <c r="EQ31" s="63">
        <f t="shared" si="74"/>
        <v>0</v>
      </c>
      <c r="ER31" s="63">
        <f t="shared" si="74"/>
        <v>1</v>
      </c>
      <c r="ES31" s="63">
        <f t="shared" si="74"/>
        <v>0</v>
      </c>
      <c r="ET31" s="156">
        <f t="shared" si="74"/>
        <v>0</v>
      </c>
    </row>
    <row r="32" spans="1:205" s="63" customFormat="1">
      <c r="A32" s="63" t="s">
        <v>63</v>
      </c>
      <c r="B32" s="63">
        <v>79</v>
      </c>
      <c r="C32" s="63" t="s">
        <v>38</v>
      </c>
      <c r="D32" s="63" t="s">
        <v>32</v>
      </c>
      <c r="E32" s="63">
        <v>265</v>
      </c>
      <c r="F32" s="63">
        <v>422</v>
      </c>
      <c r="G32" s="63">
        <v>322</v>
      </c>
      <c r="H32" s="63">
        <v>13</v>
      </c>
      <c r="I32" s="63">
        <v>22</v>
      </c>
      <c r="J32" s="63">
        <v>0</v>
      </c>
      <c r="K32" s="63">
        <v>5</v>
      </c>
      <c r="L32" s="63">
        <v>65</v>
      </c>
      <c r="M32" s="63">
        <v>0</v>
      </c>
      <c r="N32" s="63">
        <v>33</v>
      </c>
      <c r="O32" s="63">
        <v>35</v>
      </c>
      <c r="P32" s="63">
        <v>42</v>
      </c>
      <c r="Q32" s="156">
        <v>33</v>
      </c>
      <c r="R32" s="156">
        <v>35</v>
      </c>
      <c r="S32" s="156">
        <v>0</v>
      </c>
      <c r="T32" s="156">
        <v>0</v>
      </c>
      <c r="U32" s="156">
        <v>0</v>
      </c>
      <c r="V32" s="156">
        <v>20</v>
      </c>
      <c r="W32" s="156">
        <v>0</v>
      </c>
      <c r="X32" s="156">
        <v>0</v>
      </c>
      <c r="Y32" s="156">
        <v>22</v>
      </c>
      <c r="Z32" s="63">
        <v>214</v>
      </c>
      <c r="AA32" s="63">
        <v>300</v>
      </c>
      <c r="AB32" s="63">
        <v>280</v>
      </c>
      <c r="AC32" s="63">
        <v>-39</v>
      </c>
      <c r="AD32" s="63">
        <v>95</v>
      </c>
      <c r="AE32" s="63">
        <v>30</v>
      </c>
      <c r="AF32" s="63">
        <v>-39</v>
      </c>
      <c r="AG32" s="63">
        <v>95</v>
      </c>
      <c r="AH32" s="63">
        <v>30</v>
      </c>
      <c r="AI32" s="155">
        <v>228</v>
      </c>
      <c r="AJ32" s="156">
        <v>16</v>
      </c>
      <c r="AK32" s="157">
        <v>53</v>
      </c>
      <c r="AL32" s="63">
        <v>134</v>
      </c>
      <c r="AM32" s="63">
        <v>15</v>
      </c>
      <c r="AN32" s="63">
        <v>32</v>
      </c>
      <c r="AO32" s="63">
        <v>134</v>
      </c>
      <c r="AP32" s="63">
        <v>15</v>
      </c>
      <c r="AQ32" s="63">
        <v>32</v>
      </c>
      <c r="AR32" s="63">
        <v>398</v>
      </c>
      <c r="AS32" s="63">
        <v>365</v>
      </c>
      <c r="AT32" s="63">
        <v>313</v>
      </c>
      <c r="AU32" s="63">
        <v>493</v>
      </c>
      <c r="AV32" s="63">
        <v>438</v>
      </c>
      <c r="AW32" s="63">
        <v>375</v>
      </c>
      <c r="AX32" s="63">
        <v>95</v>
      </c>
      <c r="AY32" s="63">
        <v>73</v>
      </c>
      <c r="AZ32" s="63">
        <v>62</v>
      </c>
      <c r="BA32" s="63">
        <v>95</v>
      </c>
      <c r="BB32" s="63">
        <v>110</v>
      </c>
      <c r="BC32" s="63">
        <v>62</v>
      </c>
      <c r="BE32" s="63">
        <f t="shared" si="0"/>
        <v>0.43407707910750509</v>
      </c>
      <c r="BF32" s="63">
        <f t="shared" si="1"/>
        <v>0.68493150684931503</v>
      </c>
      <c r="BG32" s="63">
        <f t="shared" si="2"/>
        <v>0.7466666666666667</v>
      </c>
      <c r="BI32" s="63">
        <f t="shared" si="3"/>
        <v>6.6937119675456389E-2</v>
      </c>
      <c r="BJ32" s="63">
        <f t="shared" si="4"/>
        <v>7.9908675799086754E-2</v>
      </c>
      <c r="BK32" s="63">
        <f t="shared" si="5"/>
        <v>0.112</v>
      </c>
      <c r="BM32" s="63">
        <f t="shared" si="6"/>
        <v>6.6937119675456389E-2</v>
      </c>
      <c r="BN32" s="63">
        <f t="shared" si="7"/>
        <v>7.9908675799086754E-2</v>
      </c>
      <c r="BO32" s="63">
        <f t="shared" si="8"/>
        <v>0</v>
      </c>
      <c r="BQ32" s="156">
        <f t="shared" si="9"/>
        <v>0</v>
      </c>
      <c r="BR32" s="156">
        <f t="shared" si="10"/>
        <v>0</v>
      </c>
      <c r="BS32" s="156">
        <f t="shared" si="11"/>
        <v>5.3333333333333337E-2</v>
      </c>
      <c r="BU32" s="156">
        <f t="shared" si="12"/>
        <v>0</v>
      </c>
      <c r="BV32" s="156">
        <f t="shared" si="13"/>
        <v>0</v>
      </c>
      <c r="BW32" s="156">
        <f t="shared" si="14"/>
        <v>5.8666666666666666E-2</v>
      </c>
      <c r="BY32" s="156">
        <f t="shared" si="15"/>
        <v>2.6369168356997971E-2</v>
      </c>
      <c r="BZ32" s="156">
        <f t="shared" si="16"/>
        <v>5.0228310502283102E-2</v>
      </c>
      <c r="CA32" s="156">
        <f t="shared" si="17"/>
        <v>0</v>
      </c>
      <c r="CC32" s="156">
        <f t="shared" si="18"/>
        <v>0.46247464503042596</v>
      </c>
      <c r="CD32" s="156">
        <f t="shared" si="19"/>
        <v>3.6529680365296802E-2</v>
      </c>
      <c r="CE32" s="156">
        <f t="shared" si="20"/>
        <v>0.14133333333333334</v>
      </c>
      <c r="CG32" s="63">
        <f t="shared" si="35"/>
        <v>0.98985801217038549</v>
      </c>
      <c r="CH32" s="63">
        <f t="shared" si="36"/>
        <v>0.85159817351598166</v>
      </c>
      <c r="CI32" s="63">
        <f t="shared" si="37"/>
        <v>1</v>
      </c>
      <c r="CK32" s="63">
        <f t="shared" si="38"/>
        <v>1.0141987829614507E-2</v>
      </c>
      <c r="CL32" s="63">
        <f t="shared" si="39"/>
        <v>0.14840182648401834</v>
      </c>
      <c r="CM32" s="63">
        <f t="shared" si="40"/>
        <v>0</v>
      </c>
      <c r="CO32" s="156">
        <f t="shared" si="41"/>
        <v>4.999999999999952</v>
      </c>
      <c r="CP32" s="156">
        <f t="shared" si="42"/>
        <v>65.000000000000028</v>
      </c>
      <c r="CQ32" s="156">
        <f t="shared" si="43"/>
        <v>0</v>
      </c>
      <c r="CT32" s="63">
        <v>0</v>
      </c>
      <c r="CV32" s="156">
        <f t="shared" si="75"/>
        <v>2.7088607594936707</v>
      </c>
      <c r="CW32" s="156">
        <f t="shared" si="44"/>
        <v>3.7974683544303796</v>
      </c>
      <c r="CX32" s="156">
        <f t="shared" si="45"/>
        <v>3.5443037974683542</v>
      </c>
      <c r="CZ32" s="63">
        <f t="shared" si="46"/>
        <v>1</v>
      </c>
      <c r="DA32" s="63">
        <f t="shared" si="47"/>
        <v>1</v>
      </c>
      <c r="DB32" s="63">
        <f t="shared" si="48"/>
        <v>1</v>
      </c>
      <c r="DC32" s="63">
        <f t="shared" si="49"/>
        <v>1</v>
      </c>
      <c r="DD32" s="63">
        <f t="shared" si="50"/>
        <v>1</v>
      </c>
      <c r="DE32" s="63">
        <f t="shared" si="51"/>
        <v>0</v>
      </c>
      <c r="DF32" s="63">
        <f t="shared" si="52"/>
        <v>0</v>
      </c>
      <c r="DG32" s="63">
        <f t="shared" si="53"/>
        <v>0</v>
      </c>
      <c r="DH32" s="63">
        <f t="shared" si="54"/>
        <v>1</v>
      </c>
      <c r="DI32" s="63">
        <f t="shared" si="55"/>
        <v>0</v>
      </c>
      <c r="DJ32" s="63">
        <f t="shared" si="56"/>
        <v>0</v>
      </c>
      <c r="DK32" s="63">
        <f t="shared" si="57"/>
        <v>1</v>
      </c>
      <c r="DL32" s="63">
        <f t="shared" si="58"/>
        <v>1</v>
      </c>
      <c r="DM32" s="63">
        <f t="shared" si="59"/>
        <v>1</v>
      </c>
      <c r="DN32" s="63">
        <f t="shared" si="60"/>
        <v>0</v>
      </c>
      <c r="DO32" s="63">
        <f t="shared" si="61"/>
        <v>1</v>
      </c>
      <c r="DP32" s="63">
        <f t="shared" si="62"/>
        <v>1</v>
      </c>
      <c r="DQ32" s="63">
        <f t="shared" si="63"/>
        <v>1</v>
      </c>
      <c r="DR32" s="63">
        <f t="shared" si="64"/>
        <v>1</v>
      </c>
      <c r="DS32" s="63">
        <f t="shared" si="65"/>
        <v>1</v>
      </c>
      <c r="DT32" s="63">
        <f t="shared" si="66"/>
        <v>0</v>
      </c>
      <c r="DU32" s="63">
        <f t="shared" si="67"/>
        <v>5</v>
      </c>
      <c r="DV32" s="63">
        <f t="shared" si="68"/>
        <v>5</v>
      </c>
      <c r="DW32" s="63">
        <f t="shared" si="69"/>
        <v>4</v>
      </c>
      <c r="DX32" s="63">
        <f t="shared" si="70"/>
        <v>4.666666666666667</v>
      </c>
      <c r="DY32" s="63">
        <f t="shared" si="71"/>
        <v>0.47140452079103168</v>
      </c>
      <c r="DZ32" s="137">
        <f t="shared" si="72"/>
        <v>0</v>
      </c>
      <c r="EA32" s="63">
        <f t="shared" si="72"/>
        <v>0</v>
      </c>
      <c r="EB32" s="63">
        <f t="shared" si="72"/>
        <v>0</v>
      </c>
      <c r="EC32" s="63">
        <f t="shared" si="72"/>
        <v>0</v>
      </c>
      <c r="ED32" s="63">
        <f t="shared" si="72"/>
        <v>1</v>
      </c>
      <c r="EE32" s="63">
        <f t="shared" si="72"/>
        <v>0</v>
      </c>
      <c r="EF32" s="63">
        <f t="shared" si="72"/>
        <v>0</v>
      </c>
      <c r="EG32" s="63">
        <f t="shared" si="73"/>
        <v>0</v>
      </c>
      <c r="EH32" s="63">
        <f t="shared" si="73"/>
        <v>0</v>
      </c>
      <c r="EI32" s="63">
        <f t="shared" si="73"/>
        <v>0</v>
      </c>
      <c r="EJ32" s="63">
        <f t="shared" si="73"/>
        <v>0</v>
      </c>
      <c r="EK32" s="63">
        <f t="shared" si="73"/>
        <v>1</v>
      </c>
      <c r="EL32" s="63">
        <f t="shared" si="73"/>
        <v>0</v>
      </c>
      <c r="EM32" s="63">
        <f t="shared" si="73"/>
        <v>0</v>
      </c>
      <c r="EN32" s="63">
        <f t="shared" si="74"/>
        <v>0</v>
      </c>
      <c r="EO32" s="63">
        <f t="shared" si="74"/>
        <v>0</v>
      </c>
      <c r="EP32" s="63">
        <f t="shared" si="74"/>
        <v>0</v>
      </c>
      <c r="EQ32" s="63">
        <f t="shared" si="74"/>
        <v>1</v>
      </c>
      <c r="ER32" s="63">
        <f t="shared" si="74"/>
        <v>0</v>
      </c>
      <c r="ES32" s="63">
        <f t="shared" si="74"/>
        <v>0</v>
      </c>
      <c r="ET32" s="156">
        <f t="shared" si="74"/>
        <v>0</v>
      </c>
    </row>
    <row r="33" spans="1:205" s="63" customFormat="1">
      <c r="A33" s="63" t="s">
        <v>64</v>
      </c>
      <c r="B33" s="63">
        <v>250</v>
      </c>
      <c r="C33" s="63" t="s">
        <v>38</v>
      </c>
      <c r="D33" s="63" t="s">
        <v>32</v>
      </c>
      <c r="E33" s="63">
        <v>1520</v>
      </c>
      <c r="F33" s="63">
        <v>2994</v>
      </c>
      <c r="G33" s="63">
        <v>4705</v>
      </c>
      <c r="H33" s="63">
        <v>402</v>
      </c>
      <c r="I33" s="63">
        <v>426</v>
      </c>
      <c r="J33" s="63">
        <v>951</v>
      </c>
      <c r="K33" s="63">
        <v>135</v>
      </c>
      <c r="L33" s="63">
        <v>241</v>
      </c>
      <c r="M33" s="63">
        <v>98</v>
      </c>
      <c r="N33" s="63">
        <v>301</v>
      </c>
      <c r="O33" s="63">
        <v>401</v>
      </c>
      <c r="P33" s="63">
        <v>470</v>
      </c>
      <c r="Q33" s="156">
        <v>0</v>
      </c>
      <c r="R33" s="156">
        <v>0</v>
      </c>
      <c r="S33" s="156">
        <v>0</v>
      </c>
      <c r="T33" s="156">
        <v>74</v>
      </c>
      <c r="U33" s="156">
        <v>160</v>
      </c>
      <c r="V33" s="156">
        <v>186</v>
      </c>
      <c r="W33" s="156">
        <v>227</v>
      </c>
      <c r="X33" s="156">
        <v>240</v>
      </c>
      <c r="Y33" s="156">
        <v>283</v>
      </c>
      <c r="Z33" s="63">
        <v>682</v>
      </c>
      <c r="AA33" s="63">
        <v>1926</v>
      </c>
      <c r="AB33" s="63">
        <v>2335</v>
      </c>
      <c r="AC33" s="63">
        <v>-175</v>
      </c>
      <c r="AD33" s="63">
        <v>-240</v>
      </c>
      <c r="AE33" s="63">
        <v>65</v>
      </c>
      <c r="AF33" s="63">
        <v>-175</v>
      </c>
      <c r="AG33" s="63">
        <v>-240</v>
      </c>
      <c r="AH33" s="63">
        <v>65</v>
      </c>
      <c r="AI33" s="155">
        <v>689</v>
      </c>
      <c r="AJ33" s="156">
        <v>789</v>
      </c>
      <c r="AK33" s="157">
        <v>0</v>
      </c>
      <c r="AL33" s="63">
        <v>147</v>
      </c>
      <c r="AM33" s="63">
        <v>-51</v>
      </c>
      <c r="AN33" s="63">
        <v>0</v>
      </c>
      <c r="AO33" s="63">
        <v>147</v>
      </c>
      <c r="AP33" s="63">
        <v>-51</v>
      </c>
      <c r="AQ33" s="63">
        <v>0</v>
      </c>
      <c r="AR33" s="63">
        <v>2384</v>
      </c>
      <c r="AS33" s="63">
        <v>4074</v>
      </c>
      <c r="AT33" s="63">
        <v>4640</v>
      </c>
      <c r="AU33" s="63">
        <v>2209</v>
      </c>
      <c r="AV33" s="63">
        <v>3783</v>
      </c>
      <c r="AW33" s="63">
        <v>4705</v>
      </c>
      <c r="AX33" s="63">
        <v>-175</v>
      </c>
      <c r="AY33" s="63">
        <v>-291</v>
      </c>
      <c r="AZ33" s="63">
        <v>65</v>
      </c>
      <c r="BA33" s="63">
        <v>-28</v>
      </c>
      <c r="BB33" s="63">
        <v>-291</v>
      </c>
      <c r="BC33" s="63">
        <v>65</v>
      </c>
      <c r="BE33" s="63">
        <f t="shared" si="0"/>
        <v>0.30873698506111363</v>
      </c>
      <c r="BF33" s="63">
        <f t="shared" si="1"/>
        <v>0.50911974623314826</v>
      </c>
      <c r="BG33" s="63">
        <f t="shared" si="2"/>
        <v>0.4962805526036132</v>
      </c>
      <c r="BI33" s="63">
        <f t="shared" si="3"/>
        <v>0.13626075147125397</v>
      </c>
      <c r="BJ33" s="63">
        <f t="shared" si="4"/>
        <v>0.10600052868094105</v>
      </c>
      <c r="BK33" s="63">
        <f t="shared" si="5"/>
        <v>9.9893730074388953E-2</v>
      </c>
      <c r="BM33" s="63">
        <f t="shared" si="6"/>
        <v>0</v>
      </c>
      <c r="BN33" s="63">
        <f t="shared" si="7"/>
        <v>0</v>
      </c>
      <c r="BO33" s="63">
        <f t="shared" si="8"/>
        <v>0</v>
      </c>
      <c r="BQ33" s="156">
        <f t="shared" si="9"/>
        <v>3.3499320959710276E-2</v>
      </c>
      <c r="BR33" s="156">
        <f t="shared" si="10"/>
        <v>4.2294475284166008E-2</v>
      </c>
      <c r="BS33" s="156">
        <f t="shared" si="11"/>
        <v>3.9532412327311368E-2</v>
      </c>
      <c r="BU33" s="156">
        <f t="shared" si="12"/>
        <v>0.10276143051154368</v>
      </c>
      <c r="BV33" s="156">
        <f t="shared" si="13"/>
        <v>6.3441712926249005E-2</v>
      </c>
      <c r="BW33" s="156">
        <f t="shared" si="14"/>
        <v>6.0148777895855474E-2</v>
      </c>
      <c r="BY33" s="156">
        <f t="shared" si="15"/>
        <v>0.18198279764599365</v>
      </c>
      <c r="BZ33" s="156">
        <f t="shared" si="16"/>
        <v>0.11260904044409199</v>
      </c>
      <c r="CA33" s="156">
        <f t="shared" si="17"/>
        <v>0.20212539851222106</v>
      </c>
      <c r="CC33" s="156">
        <f t="shared" si="18"/>
        <v>0.31190583974649161</v>
      </c>
      <c r="CD33" s="156">
        <f t="shared" si="19"/>
        <v>0.20856463124504362</v>
      </c>
      <c r="CE33" s="156">
        <f t="shared" si="20"/>
        <v>0</v>
      </c>
      <c r="CG33" s="63">
        <f t="shared" si="35"/>
        <v>0.93888637392485297</v>
      </c>
      <c r="CH33" s="63">
        <f t="shared" si="36"/>
        <v>0.93629394660322496</v>
      </c>
      <c r="CI33" s="63">
        <f t="shared" si="37"/>
        <v>0.79829968119022321</v>
      </c>
      <c r="CK33" s="63">
        <f t="shared" si="38"/>
        <v>6.1113626075147032E-2</v>
      </c>
      <c r="CL33" s="63">
        <f t="shared" si="39"/>
        <v>6.3706053396775042E-2</v>
      </c>
      <c r="CM33" s="63">
        <f t="shared" si="40"/>
        <v>0.20170031880977679</v>
      </c>
      <c r="CO33" s="156">
        <f t="shared" si="41"/>
        <v>134.9999999999998</v>
      </c>
      <c r="CP33" s="156">
        <f t="shared" si="42"/>
        <v>240.99999999999997</v>
      </c>
      <c r="CQ33" s="156">
        <f t="shared" si="43"/>
        <v>948.99999999999977</v>
      </c>
      <c r="CT33" s="63">
        <v>74</v>
      </c>
      <c r="CV33" s="156">
        <f t="shared" si="75"/>
        <v>2.7280000000000002</v>
      </c>
      <c r="CW33" s="156">
        <f t="shared" si="44"/>
        <v>7.7039999999999997</v>
      </c>
      <c r="CX33" s="156">
        <f t="shared" si="45"/>
        <v>9.34</v>
      </c>
      <c r="CZ33" s="63">
        <f t="shared" si="46"/>
        <v>1</v>
      </c>
      <c r="DA33" s="63">
        <f t="shared" si="47"/>
        <v>1</v>
      </c>
      <c r="DB33" s="63">
        <f t="shared" si="48"/>
        <v>1</v>
      </c>
      <c r="DC33" s="63">
        <f t="shared" si="49"/>
        <v>0</v>
      </c>
      <c r="DD33" s="63">
        <f t="shared" si="50"/>
        <v>0</v>
      </c>
      <c r="DE33" s="63">
        <f t="shared" si="51"/>
        <v>0</v>
      </c>
      <c r="DF33" s="63">
        <f t="shared" si="52"/>
        <v>1</v>
      </c>
      <c r="DG33" s="63">
        <f t="shared" si="53"/>
        <v>1</v>
      </c>
      <c r="DH33" s="63">
        <f t="shared" si="54"/>
        <v>1</v>
      </c>
      <c r="DI33" s="63">
        <f t="shared" si="55"/>
        <v>1</v>
      </c>
      <c r="DJ33" s="63">
        <f t="shared" si="56"/>
        <v>1</v>
      </c>
      <c r="DK33" s="63">
        <f t="shared" si="57"/>
        <v>1</v>
      </c>
      <c r="DL33" s="63">
        <f t="shared" si="58"/>
        <v>1</v>
      </c>
      <c r="DM33" s="63">
        <f t="shared" si="59"/>
        <v>1</v>
      </c>
      <c r="DN33" s="63">
        <f t="shared" si="60"/>
        <v>1</v>
      </c>
      <c r="DO33" s="63">
        <f t="shared" si="61"/>
        <v>1</v>
      </c>
      <c r="DP33" s="63">
        <f t="shared" si="62"/>
        <v>1</v>
      </c>
      <c r="DQ33" s="63">
        <f t="shared" si="63"/>
        <v>0</v>
      </c>
      <c r="DR33" s="63">
        <f t="shared" si="64"/>
        <v>1</v>
      </c>
      <c r="DS33" s="63">
        <f t="shared" si="65"/>
        <v>1</v>
      </c>
      <c r="DT33" s="63">
        <f t="shared" si="66"/>
        <v>1</v>
      </c>
      <c r="DU33" s="63">
        <f t="shared" si="67"/>
        <v>6</v>
      </c>
      <c r="DV33" s="63">
        <f t="shared" si="68"/>
        <v>6</v>
      </c>
      <c r="DW33" s="63">
        <f t="shared" si="69"/>
        <v>5</v>
      </c>
      <c r="DX33" s="63">
        <f t="shared" si="70"/>
        <v>5.666666666666667</v>
      </c>
      <c r="DY33" s="63">
        <f t="shared" si="71"/>
        <v>0.47140452079103168</v>
      </c>
      <c r="DZ33" s="137">
        <f t="shared" si="72"/>
        <v>0</v>
      </c>
      <c r="EA33" s="63">
        <f t="shared" si="72"/>
        <v>0</v>
      </c>
      <c r="EB33" s="63">
        <f t="shared" si="72"/>
        <v>0</v>
      </c>
      <c r="EC33" s="63">
        <f t="shared" si="72"/>
        <v>0</v>
      </c>
      <c r="ED33" s="63">
        <f t="shared" si="72"/>
        <v>0</v>
      </c>
      <c r="EE33" s="63">
        <f t="shared" si="72"/>
        <v>1</v>
      </c>
      <c r="EF33" s="63">
        <f t="shared" si="72"/>
        <v>0</v>
      </c>
      <c r="EG33" s="63">
        <f t="shared" si="73"/>
        <v>0</v>
      </c>
      <c r="EH33" s="63">
        <f t="shared" si="73"/>
        <v>0</v>
      </c>
      <c r="EI33" s="63">
        <f t="shared" si="73"/>
        <v>0</v>
      </c>
      <c r="EJ33" s="63">
        <f t="shared" si="73"/>
        <v>0</v>
      </c>
      <c r="EK33" s="63">
        <f t="shared" si="73"/>
        <v>0</v>
      </c>
      <c r="EL33" s="63">
        <f t="shared" si="73"/>
        <v>1</v>
      </c>
      <c r="EM33" s="63">
        <f t="shared" si="73"/>
        <v>0</v>
      </c>
      <c r="EN33" s="63">
        <f t="shared" si="74"/>
        <v>0</v>
      </c>
      <c r="EO33" s="63">
        <f t="shared" si="74"/>
        <v>0</v>
      </c>
      <c r="EP33" s="63">
        <f t="shared" si="74"/>
        <v>0</v>
      </c>
      <c r="EQ33" s="63">
        <f t="shared" si="74"/>
        <v>0</v>
      </c>
      <c r="ER33" s="63">
        <f t="shared" si="74"/>
        <v>1</v>
      </c>
      <c r="ES33" s="63">
        <f t="shared" si="74"/>
        <v>0</v>
      </c>
      <c r="ET33" s="156">
        <f t="shared" si="74"/>
        <v>0</v>
      </c>
    </row>
    <row r="34" spans="1:205" s="63" customFormat="1">
      <c r="A34" s="63" t="s">
        <v>65</v>
      </c>
      <c r="B34" s="63">
        <v>148</v>
      </c>
      <c r="C34" s="63" t="s">
        <v>38</v>
      </c>
      <c r="D34" s="63" t="s">
        <v>33</v>
      </c>
      <c r="E34" s="63">
        <v>1322</v>
      </c>
      <c r="F34" s="63">
        <v>1324</v>
      </c>
      <c r="G34" s="63">
        <v>1571</v>
      </c>
      <c r="H34" s="63">
        <v>281</v>
      </c>
      <c r="I34" s="63">
        <v>268</v>
      </c>
      <c r="J34" s="63">
        <v>235</v>
      </c>
      <c r="K34" s="63">
        <v>0</v>
      </c>
      <c r="L34" s="63">
        <v>0</v>
      </c>
      <c r="M34" s="63">
        <v>0</v>
      </c>
      <c r="N34" s="63">
        <v>551</v>
      </c>
      <c r="O34" s="63">
        <v>391</v>
      </c>
      <c r="P34" s="63">
        <v>593</v>
      </c>
      <c r="Q34" s="156">
        <v>0</v>
      </c>
      <c r="R34" s="156">
        <v>0</v>
      </c>
      <c r="S34" s="156">
        <v>0</v>
      </c>
      <c r="T34" s="156">
        <v>134</v>
      </c>
      <c r="U34" s="156">
        <v>50</v>
      </c>
      <c r="V34" s="156">
        <v>95</v>
      </c>
      <c r="W34" s="156">
        <v>417</v>
      </c>
      <c r="X34" s="156">
        <v>341</v>
      </c>
      <c r="Y34" s="156">
        <v>498</v>
      </c>
      <c r="Z34" s="63">
        <v>490</v>
      </c>
      <c r="AA34" s="63">
        <v>665</v>
      </c>
      <c r="AB34" s="63">
        <v>743</v>
      </c>
      <c r="AC34" s="63">
        <v>-203</v>
      </c>
      <c r="AD34" s="63">
        <v>-86</v>
      </c>
      <c r="AE34" s="63">
        <v>-394</v>
      </c>
      <c r="AF34" s="63">
        <v>-203</v>
      </c>
      <c r="AG34" s="63">
        <v>-86</v>
      </c>
      <c r="AH34" s="63">
        <v>-406</v>
      </c>
      <c r="AI34" s="155">
        <v>631</v>
      </c>
      <c r="AJ34" s="156">
        <v>547</v>
      </c>
      <c r="AK34" s="157">
        <v>600</v>
      </c>
      <c r="AL34" s="63">
        <v>280</v>
      </c>
      <c r="AM34" s="63">
        <v>247</v>
      </c>
      <c r="AN34" s="63">
        <v>363</v>
      </c>
      <c r="AO34" s="63">
        <v>280</v>
      </c>
      <c r="AP34" s="63">
        <v>247</v>
      </c>
      <c r="AQ34" s="63">
        <v>363</v>
      </c>
      <c r="AR34" s="63">
        <v>1876</v>
      </c>
      <c r="AS34" s="63">
        <v>1710</v>
      </c>
      <c r="AT34" s="63">
        <v>2214</v>
      </c>
      <c r="AU34" s="63">
        <v>1953</v>
      </c>
      <c r="AV34" s="63">
        <v>1871</v>
      </c>
      <c r="AW34" s="63">
        <v>2171</v>
      </c>
      <c r="AX34" s="63">
        <v>77</v>
      </c>
      <c r="AY34" s="63">
        <v>161</v>
      </c>
      <c r="AZ34" s="63">
        <v>-31</v>
      </c>
      <c r="BA34" s="63">
        <v>77</v>
      </c>
      <c r="BB34" s="63">
        <v>161</v>
      </c>
      <c r="BC34" s="63">
        <v>-43</v>
      </c>
      <c r="BE34" s="63">
        <f t="shared" ref="BE34:BE65" si="80">Z34/AU34</f>
        <v>0.25089605734767023</v>
      </c>
      <c r="BF34" s="63">
        <f t="shared" ref="BF34:BF65" si="81">AA34/AV34</f>
        <v>0.35542490646712988</v>
      </c>
      <c r="BG34" s="63">
        <f t="shared" ref="BG34:BG65" si="82">AB34/AW34</f>
        <v>0.34223859972362969</v>
      </c>
      <c r="BI34" s="63">
        <f t="shared" ref="BI34:BI65" si="83">N34/AU34</f>
        <v>0.28213005632360472</v>
      </c>
      <c r="BJ34" s="63">
        <f t="shared" ref="BJ34:BJ65" si="84">O34/AV34</f>
        <v>0.20897915553180119</v>
      </c>
      <c r="BK34" s="63">
        <f t="shared" ref="BK34:BK65" si="85">P34/AW34</f>
        <v>0.27314601566098573</v>
      </c>
      <c r="BM34" s="63">
        <f t="shared" ref="BM34:BM65" si="86">Q34/AU34</f>
        <v>0</v>
      </c>
      <c r="BN34" s="63">
        <f t="shared" ref="BN34:BN65" si="87">R34/AV34</f>
        <v>0</v>
      </c>
      <c r="BO34" s="63">
        <f t="shared" ref="BO34:BO65" si="88">S34/AW34</f>
        <v>0</v>
      </c>
      <c r="BQ34" s="156">
        <f t="shared" ref="BQ34:BQ65" si="89">T34/AU34</f>
        <v>6.8612391193036359E-2</v>
      </c>
      <c r="BR34" s="156">
        <f t="shared" ref="BR34:BR65" si="90">U34/AV34</f>
        <v>2.6723677177979691E-2</v>
      </c>
      <c r="BS34" s="156">
        <f t="shared" ref="BS34:BS65" si="91">V34/AW34</f>
        <v>4.3758636573007832E-2</v>
      </c>
      <c r="BU34" s="156">
        <f t="shared" ref="BU34:BU65" si="92">W34/AU34</f>
        <v>0.21351766513056836</v>
      </c>
      <c r="BV34" s="156">
        <f t="shared" ref="BV34:BV65" si="93">X34/AV34</f>
        <v>0.1822554783538215</v>
      </c>
      <c r="BW34" s="156">
        <f t="shared" ref="BW34:BW65" si="94">Y34/AW34</f>
        <v>0.22938737908797788</v>
      </c>
      <c r="BY34" s="156">
        <f t="shared" ref="BY34:BY65" si="95">H34/AU34</f>
        <v>0.14388120839733742</v>
      </c>
      <c r="BZ34" s="156">
        <f t="shared" ref="BZ34:BZ65" si="96">I34/AV34</f>
        <v>0.14323890967397113</v>
      </c>
      <c r="CA34" s="156">
        <f t="shared" ref="CA34:CA65" si="97">J34/AW34</f>
        <v>0.10824504836480885</v>
      </c>
      <c r="CC34" s="156">
        <f t="shared" ref="CC34:CC65" si="98">AI34/AU34</f>
        <v>0.32309267793138763</v>
      </c>
      <c r="CD34" s="156">
        <f t="shared" ref="CD34:CD65" si="99">AJ34/AV34</f>
        <v>0.29235702832709781</v>
      </c>
      <c r="CE34" s="156">
        <f t="shared" ref="CE34:CE65" si="100">AK34/AW34</f>
        <v>0.27637033625057578</v>
      </c>
      <c r="CG34" s="63">
        <f t="shared" si="35"/>
        <v>1</v>
      </c>
      <c r="CH34" s="63">
        <f t="shared" si="36"/>
        <v>1</v>
      </c>
      <c r="CI34" s="63">
        <f t="shared" si="37"/>
        <v>1</v>
      </c>
      <c r="CK34" s="63">
        <f t="shared" si="38"/>
        <v>0</v>
      </c>
      <c r="CL34" s="63">
        <f t="shared" si="39"/>
        <v>0</v>
      </c>
      <c r="CM34" s="63">
        <f t="shared" si="40"/>
        <v>0</v>
      </c>
      <c r="CO34" s="156">
        <f t="shared" si="41"/>
        <v>0</v>
      </c>
      <c r="CP34" s="156">
        <f t="shared" si="42"/>
        <v>0</v>
      </c>
      <c r="CQ34" s="156">
        <f t="shared" si="43"/>
        <v>0</v>
      </c>
      <c r="CT34" s="63">
        <v>134</v>
      </c>
      <c r="CV34" s="156">
        <f t="shared" si="75"/>
        <v>3.310810810810811</v>
      </c>
      <c r="CW34" s="156">
        <f t="shared" si="44"/>
        <v>4.493243243243243</v>
      </c>
      <c r="CX34" s="156">
        <f t="shared" si="45"/>
        <v>5.0202702702702702</v>
      </c>
      <c r="CZ34" s="63">
        <f t="shared" si="46"/>
        <v>1</v>
      </c>
      <c r="DA34" s="63">
        <f t="shared" si="47"/>
        <v>1</v>
      </c>
      <c r="DB34" s="63">
        <f t="shared" si="48"/>
        <v>1</v>
      </c>
      <c r="DC34" s="63">
        <f t="shared" si="49"/>
        <v>0</v>
      </c>
      <c r="DD34" s="63">
        <f t="shared" si="50"/>
        <v>0</v>
      </c>
      <c r="DE34" s="63">
        <f t="shared" si="51"/>
        <v>0</v>
      </c>
      <c r="DF34" s="63">
        <f t="shared" si="52"/>
        <v>1</v>
      </c>
      <c r="DG34" s="63">
        <f t="shared" si="53"/>
        <v>1</v>
      </c>
      <c r="DH34" s="63">
        <f t="shared" si="54"/>
        <v>1</v>
      </c>
      <c r="DI34" s="63">
        <f t="shared" si="55"/>
        <v>1</v>
      </c>
      <c r="DJ34" s="63">
        <f t="shared" si="56"/>
        <v>1</v>
      </c>
      <c r="DK34" s="63">
        <f t="shared" si="57"/>
        <v>1</v>
      </c>
      <c r="DL34" s="63">
        <f t="shared" si="58"/>
        <v>1</v>
      </c>
      <c r="DM34" s="63">
        <f t="shared" si="59"/>
        <v>1</v>
      </c>
      <c r="DN34" s="63">
        <f t="shared" si="60"/>
        <v>1</v>
      </c>
      <c r="DO34" s="63">
        <f t="shared" si="61"/>
        <v>1</v>
      </c>
      <c r="DP34" s="63">
        <f t="shared" si="62"/>
        <v>1</v>
      </c>
      <c r="DQ34" s="63">
        <f t="shared" si="63"/>
        <v>1</v>
      </c>
      <c r="DR34" s="63">
        <f t="shared" si="64"/>
        <v>0</v>
      </c>
      <c r="DS34" s="63">
        <f t="shared" si="65"/>
        <v>0</v>
      </c>
      <c r="DT34" s="63">
        <f t="shared" si="66"/>
        <v>0</v>
      </c>
      <c r="DU34" s="63">
        <f t="shared" si="67"/>
        <v>5</v>
      </c>
      <c r="DV34" s="63">
        <f t="shared" si="68"/>
        <v>5</v>
      </c>
      <c r="DW34" s="63">
        <f t="shared" si="69"/>
        <v>5</v>
      </c>
      <c r="DX34" s="63">
        <f t="shared" si="70"/>
        <v>5</v>
      </c>
      <c r="DY34" s="63">
        <f t="shared" si="71"/>
        <v>0</v>
      </c>
      <c r="DZ34" s="137">
        <f t="shared" si="72"/>
        <v>0</v>
      </c>
      <c r="EA34" s="63">
        <f t="shared" si="72"/>
        <v>0</v>
      </c>
      <c r="EB34" s="63">
        <f t="shared" si="72"/>
        <v>0</v>
      </c>
      <c r="EC34" s="63">
        <f t="shared" si="72"/>
        <v>0</v>
      </c>
      <c r="ED34" s="63">
        <f t="shared" si="72"/>
        <v>1</v>
      </c>
      <c r="EE34" s="63">
        <f t="shared" si="72"/>
        <v>0</v>
      </c>
      <c r="EF34" s="63">
        <f t="shared" si="72"/>
        <v>0</v>
      </c>
      <c r="EG34" s="63">
        <f t="shared" si="73"/>
        <v>0</v>
      </c>
      <c r="EH34" s="63">
        <f t="shared" si="73"/>
        <v>0</v>
      </c>
      <c r="EI34" s="63">
        <f t="shared" si="73"/>
        <v>0</v>
      </c>
      <c r="EJ34" s="63">
        <f t="shared" si="73"/>
        <v>0</v>
      </c>
      <c r="EK34" s="63">
        <f t="shared" si="73"/>
        <v>1</v>
      </c>
      <c r="EL34" s="63">
        <f t="shared" si="73"/>
        <v>0</v>
      </c>
      <c r="EM34" s="63">
        <f t="shared" si="73"/>
        <v>0</v>
      </c>
      <c r="EN34" s="63">
        <f t="shared" si="74"/>
        <v>0</v>
      </c>
      <c r="EO34" s="63">
        <f t="shared" si="74"/>
        <v>0</v>
      </c>
      <c r="EP34" s="63">
        <f t="shared" si="74"/>
        <v>0</v>
      </c>
      <c r="EQ34" s="63">
        <f t="shared" si="74"/>
        <v>0</v>
      </c>
      <c r="ER34" s="63">
        <f t="shared" si="74"/>
        <v>1</v>
      </c>
      <c r="ES34" s="63">
        <f t="shared" si="74"/>
        <v>0</v>
      </c>
      <c r="ET34" s="156">
        <f t="shared" si="74"/>
        <v>0</v>
      </c>
    </row>
    <row r="35" spans="1:205" s="63" customFormat="1">
      <c r="A35" s="63" t="s">
        <v>66</v>
      </c>
      <c r="B35" s="63">
        <v>47</v>
      </c>
      <c r="C35" s="63" t="s">
        <v>38</v>
      </c>
      <c r="D35" s="63" t="s">
        <v>35</v>
      </c>
      <c r="E35" s="63">
        <v>147</v>
      </c>
      <c r="F35" s="63">
        <v>179</v>
      </c>
      <c r="G35" s="63">
        <v>149</v>
      </c>
      <c r="H35" s="63">
        <v>0</v>
      </c>
      <c r="I35" s="63">
        <v>17</v>
      </c>
      <c r="J35" s="63">
        <v>0</v>
      </c>
      <c r="K35" s="63">
        <v>14</v>
      </c>
      <c r="L35" s="63">
        <v>0</v>
      </c>
      <c r="M35" s="63">
        <v>2</v>
      </c>
      <c r="N35" s="63">
        <v>133</v>
      </c>
      <c r="O35" s="63">
        <v>16</v>
      </c>
      <c r="P35" s="63">
        <v>0</v>
      </c>
      <c r="Q35" s="156">
        <v>0</v>
      </c>
      <c r="R35" s="156">
        <v>0</v>
      </c>
      <c r="S35" s="156">
        <v>0</v>
      </c>
      <c r="T35" s="156">
        <v>114</v>
      </c>
      <c r="U35" s="156">
        <v>0</v>
      </c>
      <c r="V35" s="156">
        <v>0</v>
      </c>
      <c r="W35" s="156">
        <v>19</v>
      </c>
      <c r="X35" s="156">
        <v>16</v>
      </c>
      <c r="Y35" s="156">
        <v>29</v>
      </c>
      <c r="Z35" s="63">
        <v>0</v>
      </c>
      <c r="AA35" s="63">
        <v>146</v>
      </c>
      <c r="AB35" s="63">
        <v>118</v>
      </c>
      <c r="AC35" s="63">
        <v>-30</v>
      </c>
      <c r="AD35" s="63">
        <v>-17</v>
      </c>
      <c r="AE35" s="63">
        <v>4</v>
      </c>
      <c r="AF35" s="63">
        <v>-30</v>
      </c>
      <c r="AG35" s="63">
        <v>-17</v>
      </c>
      <c r="AH35" s="63">
        <v>4</v>
      </c>
      <c r="AI35" s="155">
        <v>81</v>
      </c>
      <c r="AJ35" s="156">
        <v>35</v>
      </c>
      <c r="AK35" s="157">
        <v>6</v>
      </c>
      <c r="AL35" s="63">
        <v>49</v>
      </c>
      <c r="AM35" s="63">
        <v>18</v>
      </c>
      <c r="AN35" s="63">
        <v>0</v>
      </c>
      <c r="AO35" s="63">
        <v>49</v>
      </c>
      <c r="AP35" s="63">
        <v>18</v>
      </c>
      <c r="AQ35" s="63">
        <v>0</v>
      </c>
      <c r="AR35" s="63">
        <v>209</v>
      </c>
      <c r="AS35" s="63">
        <v>213</v>
      </c>
      <c r="AT35" s="63">
        <v>151</v>
      </c>
      <c r="AU35" s="63">
        <v>228</v>
      </c>
      <c r="AV35" s="63">
        <v>214</v>
      </c>
      <c r="AW35" s="63">
        <v>155</v>
      </c>
      <c r="AX35" s="63">
        <v>19</v>
      </c>
      <c r="AY35" s="63">
        <v>1</v>
      </c>
      <c r="AZ35" s="63">
        <v>4</v>
      </c>
      <c r="BA35" s="63">
        <v>19</v>
      </c>
      <c r="BB35" s="63">
        <v>1</v>
      </c>
      <c r="BC35" s="63">
        <v>4</v>
      </c>
      <c r="BE35" s="63">
        <f t="shared" si="80"/>
        <v>0</v>
      </c>
      <c r="BF35" s="63">
        <f t="shared" si="81"/>
        <v>0.68224299065420557</v>
      </c>
      <c r="BG35" s="63">
        <f t="shared" si="82"/>
        <v>0.76129032258064511</v>
      </c>
      <c r="BI35" s="63">
        <f t="shared" si="83"/>
        <v>0.58333333333333337</v>
      </c>
      <c r="BJ35" s="63">
        <f t="shared" si="84"/>
        <v>7.476635514018691E-2</v>
      </c>
      <c r="BK35" s="63">
        <f t="shared" si="85"/>
        <v>0</v>
      </c>
      <c r="BM35" s="63">
        <f t="shared" si="86"/>
        <v>0</v>
      </c>
      <c r="BN35" s="63">
        <f t="shared" si="87"/>
        <v>0</v>
      </c>
      <c r="BO35" s="63">
        <f t="shared" si="88"/>
        <v>0</v>
      </c>
      <c r="BQ35" s="156">
        <f t="shared" si="89"/>
        <v>0.5</v>
      </c>
      <c r="BR35" s="156">
        <f t="shared" si="90"/>
        <v>0</v>
      </c>
      <c r="BS35" s="156">
        <f t="shared" si="91"/>
        <v>0</v>
      </c>
      <c r="BU35" s="156">
        <f t="shared" si="92"/>
        <v>8.3333333333333329E-2</v>
      </c>
      <c r="BV35" s="156">
        <f t="shared" si="93"/>
        <v>7.476635514018691E-2</v>
      </c>
      <c r="BW35" s="156">
        <f t="shared" si="94"/>
        <v>0.18709677419354839</v>
      </c>
      <c r="BY35" s="156">
        <f t="shared" si="95"/>
        <v>0</v>
      </c>
      <c r="BZ35" s="156">
        <f t="shared" si="96"/>
        <v>7.9439252336448593E-2</v>
      </c>
      <c r="CA35" s="156">
        <f t="shared" si="97"/>
        <v>0</v>
      </c>
      <c r="CC35" s="156">
        <f t="shared" si="98"/>
        <v>0.35526315789473684</v>
      </c>
      <c r="CD35" s="156">
        <f t="shared" si="99"/>
        <v>0.16355140186915887</v>
      </c>
      <c r="CE35" s="156">
        <f t="shared" si="100"/>
        <v>3.870967741935484E-2</v>
      </c>
      <c r="CG35" s="63">
        <f t="shared" si="35"/>
        <v>0.93859649122807021</v>
      </c>
      <c r="CH35" s="63">
        <f t="shared" si="36"/>
        <v>0.99999999999999989</v>
      </c>
      <c r="CI35" s="63">
        <f t="shared" si="37"/>
        <v>0.79999999999999993</v>
      </c>
      <c r="CK35" s="63">
        <f t="shared" si="38"/>
        <v>6.1403508771929793E-2</v>
      </c>
      <c r="CL35" s="63">
        <f t="shared" si="39"/>
        <v>0</v>
      </c>
      <c r="CM35" s="63">
        <f t="shared" si="40"/>
        <v>0.20000000000000007</v>
      </c>
      <c r="CO35" s="156">
        <f t="shared" si="41"/>
        <v>13.999999999999993</v>
      </c>
      <c r="CP35" s="156">
        <f t="shared" si="42"/>
        <v>0</v>
      </c>
      <c r="CQ35" s="156">
        <f t="shared" si="43"/>
        <v>31.000000000000011</v>
      </c>
      <c r="CT35" s="63">
        <v>114</v>
      </c>
      <c r="CV35" s="156">
        <f t="shared" si="75"/>
        <v>0</v>
      </c>
      <c r="CW35" s="156">
        <f t="shared" si="44"/>
        <v>3.1063829787234041</v>
      </c>
      <c r="CX35" s="156">
        <f t="shared" si="45"/>
        <v>2.5106382978723403</v>
      </c>
      <c r="CZ35" s="63">
        <f t="shared" si="46"/>
        <v>0</v>
      </c>
      <c r="DA35" s="63">
        <f t="shared" si="47"/>
        <v>1</v>
      </c>
      <c r="DB35" s="63">
        <f t="shared" si="48"/>
        <v>1</v>
      </c>
      <c r="DC35" s="63">
        <f t="shared" si="49"/>
        <v>0</v>
      </c>
      <c r="DD35" s="63">
        <f t="shared" si="50"/>
        <v>0</v>
      </c>
      <c r="DE35" s="63">
        <f t="shared" si="51"/>
        <v>0</v>
      </c>
      <c r="DF35" s="63">
        <f t="shared" si="52"/>
        <v>1</v>
      </c>
      <c r="DG35" s="63">
        <f t="shared" si="53"/>
        <v>0</v>
      </c>
      <c r="DH35" s="63">
        <f t="shared" si="54"/>
        <v>0</v>
      </c>
      <c r="DI35" s="63">
        <f t="shared" si="55"/>
        <v>1</v>
      </c>
      <c r="DJ35" s="63">
        <f t="shared" si="56"/>
        <v>1</v>
      </c>
      <c r="DK35" s="63">
        <f t="shared" si="57"/>
        <v>1</v>
      </c>
      <c r="DL35" s="63">
        <f t="shared" si="58"/>
        <v>0</v>
      </c>
      <c r="DM35" s="63">
        <f t="shared" si="59"/>
        <v>1</v>
      </c>
      <c r="DN35" s="63">
        <f t="shared" si="60"/>
        <v>0</v>
      </c>
      <c r="DO35" s="63">
        <f t="shared" si="61"/>
        <v>1</v>
      </c>
      <c r="DP35" s="63">
        <f t="shared" si="62"/>
        <v>1</v>
      </c>
      <c r="DQ35" s="63">
        <f t="shared" si="63"/>
        <v>1</v>
      </c>
      <c r="DR35" s="63">
        <f t="shared" si="64"/>
        <v>1</v>
      </c>
      <c r="DS35" s="63">
        <f t="shared" si="65"/>
        <v>0</v>
      </c>
      <c r="DT35" s="63">
        <f t="shared" si="66"/>
        <v>1</v>
      </c>
      <c r="DU35" s="63">
        <f t="shared" si="67"/>
        <v>4</v>
      </c>
      <c r="DV35" s="63">
        <f t="shared" si="68"/>
        <v>4</v>
      </c>
      <c r="DW35" s="63">
        <f t="shared" si="69"/>
        <v>4</v>
      </c>
      <c r="DX35" s="63">
        <f t="shared" si="70"/>
        <v>4</v>
      </c>
      <c r="DY35" s="63">
        <f t="shared" si="71"/>
        <v>0</v>
      </c>
      <c r="DZ35" s="137">
        <f t="shared" ref="DZ35:EF66" si="101">IF($DU35=DZ$1,1,0)</f>
        <v>0</v>
      </c>
      <c r="EA35" s="63">
        <f t="shared" si="101"/>
        <v>0</v>
      </c>
      <c r="EB35" s="63">
        <f t="shared" si="101"/>
        <v>0</v>
      </c>
      <c r="EC35" s="63">
        <f t="shared" si="101"/>
        <v>1</v>
      </c>
      <c r="ED35" s="63">
        <f t="shared" si="101"/>
        <v>0</v>
      </c>
      <c r="EE35" s="63">
        <f t="shared" si="101"/>
        <v>0</v>
      </c>
      <c r="EF35" s="63">
        <f t="shared" si="101"/>
        <v>0</v>
      </c>
      <c r="EG35" s="63">
        <f t="shared" ref="EG35:EM66" si="102">IF($DV35=EG$1,1,0)</f>
        <v>0</v>
      </c>
      <c r="EH35" s="63">
        <f t="shared" si="102"/>
        <v>0</v>
      </c>
      <c r="EI35" s="63">
        <f t="shared" si="102"/>
        <v>0</v>
      </c>
      <c r="EJ35" s="63">
        <f t="shared" si="102"/>
        <v>1</v>
      </c>
      <c r="EK35" s="63">
        <f t="shared" si="102"/>
        <v>0</v>
      </c>
      <c r="EL35" s="63">
        <f t="shared" si="102"/>
        <v>0</v>
      </c>
      <c r="EM35" s="63">
        <f t="shared" si="102"/>
        <v>0</v>
      </c>
      <c r="EN35" s="63">
        <f t="shared" ref="EN35:ET66" si="103">IF($DW35=EN$1,1,0)</f>
        <v>0</v>
      </c>
      <c r="EO35" s="63">
        <f t="shared" si="103"/>
        <v>0</v>
      </c>
      <c r="EP35" s="63">
        <f t="shared" si="103"/>
        <v>0</v>
      </c>
      <c r="EQ35" s="63">
        <f t="shared" si="103"/>
        <v>1</v>
      </c>
      <c r="ER35" s="63">
        <f t="shared" si="103"/>
        <v>0</v>
      </c>
      <c r="ES35" s="63">
        <f t="shared" si="103"/>
        <v>0</v>
      </c>
      <c r="ET35" s="156">
        <f t="shared" si="103"/>
        <v>0</v>
      </c>
    </row>
    <row r="36" spans="1:205" s="63" customFormat="1">
      <c r="A36" s="63" t="s">
        <v>67</v>
      </c>
      <c r="B36" s="63">
        <v>351</v>
      </c>
      <c r="C36" s="63" t="s">
        <v>38</v>
      </c>
      <c r="D36" s="63" t="s">
        <v>35</v>
      </c>
      <c r="E36" s="63">
        <v>1516</v>
      </c>
      <c r="F36" s="63">
        <v>1368</v>
      </c>
      <c r="G36" s="63">
        <v>1833</v>
      </c>
      <c r="H36" s="63">
        <v>170</v>
      </c>
      <c r="I36" s="63">
        <v>122</v>
      </c>
      <c r="J36" s="63">
        <v>168</v>
      </c>
      <c r="K36" s="63">
        <v>0</v>
      </c>
      <c r="L36" s="63">
        <v>0</v>
      </c>
      <c r="M36" s="63">
        <v>0</v>
      </c>
      <c r="N36" s="63">
        <v>567</v>
      </c>
      <c r="O36" s="63">
        <v>372</v>
      </c>
      <c r="P36" s="63">
        <v>651</v>
      </c>
      <c r="Q36" s="156">
        <v>0</v>
      </c>
      <c r="R36" s="156">
        <v>0</v>
      </c>
      <c r="S36" s="156">
        <v>0</v>
      </c>
      <c r="T36" s="156">
        <v>455</v>
      </c>
      <c r="U36" s="156">
        <v>292</v>
      </c>
      <c r="V36" s="156">
        <v>504</v>
      </c>
      <c r="W36" s="156">
        <v>112</v>
      </c>
      <c r="X36" s="156">
        <v>79</v>
      </c>
      <c r="Y36" s="156">
        <v>148</v>
      </c>
      <c r="Z36" s="63">
        <v>779</v>
      </c>
      <c r="AA36" s="63">
        <v>874</v>
      </c>
      <c r="AB36" s="63">
        <v>1014</v>
      </c>
      <c r="AC36" s="63">
        <v>-218</v>
      </c>
      <c r="AD36" s="63">
        <v>-250</v>
      </c>
      <c r="AE36" s="63">
        <v>-225</v>
      </c>
      <c r="AF36" s="63">
        <v>-218</v>
      </c>
      <c r="AG36" s="63">
        <v>-250</v>
      </c>
      <c r="AH36" s="63">
        <v>-225</v>
      </c>
      <c r="AI36" s="155">
        <v>423</v>
      </c>
      <c r="AJ36" s="156">
        <v>1097</v>
      </c>
      <c r="AK36" s="157">
        <v>1103</v>
      </c>
      <c r="AL36" s="63">
        <v>82</v>
      </c>
      <c r="AM36" s="63">
        <v>210</v>
      </c>
      <c r="AN36" s="63">
        <v>30</v>
      </c>
      <c r="AO36" s="63">
        <v>82</v>
      </c>
      <c r="AP36" s="63">
        <v>210</v>
      </c>
      <c r="AQ36" s="63">
        <v>30</v>
      </c>
      <c r="AR36" s="63">
        <v>2314</v>
      </c>
      <c r="AS36" s="63">
        <v>2505</v>
      </c>
      <c r="AT36" s="63">
        <v>3131</v>
      </c>
      <c r="AU36" s="63">
        <v>1939</v>
      </c>
      <c r="AV36" s="63">
        <v>2465</v>
      </c>
      <c r="AW36" s="63">
        <v>2936</v>
      </c>
      <c r="AX36" s="63">
        <v>-375</v>
      </c>
      <c r="AY36" s="63">
        <v>-40</v>
      </c>
      <c r="AZ36" s="63">
        <v>-195</v>
      </c>
      <c r="BA36" s="63">
        <v>-136</v>
      </c>
      <c r="BB36" s="63">
        <v>-40</v>
      </c>
      <c r="BC36" s="63">
        <v>-195</v>
      </c>
      <c r="BE36" s="63">
        <f t="shared" si="80"/>
        <v>0.40175348117586385</v>
      </c>
      <c r="BF36" s="63">
        <f t="shared" si="81"/>
        <v>0.35456389452332659</v>
      </c>
      <c r="BG36" s="63">
        <f t="shared" si="82"/>
        <v>0.34536784741144416</v>
      </c>
      <c r="BI36" s="63">
        <f t="shared" si="83"/>
        <v>0.29241877256317689</v>
      </c>
      <c r="BJ36" s="63">
        <f t="shared" si="84"/>
        <v>0.15091277890466531</v>
      </c>
      <c r="BK36" s="63">
        <f t="shared" si="85"/>
        <v>0.22173024523160764</v>
      </c>
      <c r="BM36" s="63">
        <f t="shared" si="86"/>
        <v>0</v>
      </c>
      <c r="BN36" s="63">
        <f t="shared" si="87"/>
        <v>0</v>
      </c>
      <c r="BO36" s="63">
        <f t="shared" si="88"/>
        <v>0</v>
      </c>
      <c r="BQ36" s="156">
        <f t="shared" si="89"/>
        <v>0.23465703971119134</v>
      </c>
      <c r="BR36" s="156">
        <f t="shared" si="90"/>
        <v>0.11845841784989858</v>
      </c>
      <c r="BS36" s="156">
        <f t="shared" si="91"/>
        <v>0.17166212534059946</v>
      </c>
      <c r="BU36" s="156">
        <f t="shared" si="92"/>
        <v>5.7761732851985562E-2</v>
      </c>
      <c r="BV36" s="156">
        <f t="shared" si="93"/>
        <v>3.204868154158215E-2</v>
      </c>
      <c r="BW36" s="156">
        <f t="shared" si="94"/>
        <v>5.0408719346049048E-2</v>
      </c>
      <c r="BY36" s="156">
        <f t="shared" si="95"/>
        <v>8.7674058793192372E-2</v>
      </c>
      <c r="BZ36" s="156">
        <f t="shared" si="96"/>
        <v>4.9492900608519269E-2</v>
      </c>
      <c r="CA36" s="156">
        <f t="shared" si="97"/>
        <v>5.7220708446866483E-2</v>
      </c>
      <c r="CC36" s="156">
        <f t="shared" si="98"/>
        <v>0.21815368746776689</v>
      </c>
      <c r="CD36" s="156">
        <f t="shared" si="99"/>
        <v>0.44503042596348885</v>
      </c>
      <c r="CE36" s="156">
        <f t="shared" si="100"/>
        <v>0.37568119891008173</v>
      </c>
      <c r="CG36" s="63">
        <f t="shared" si="35"/>
        <v>0.99999999999999989</v>
      </c>
      <c r="CH36" s="63">
        <f t="shared" si="36"/>
        <v>1</v>
      </c>
      <c r="CI36" s="63">
        <f t="shared" si="37"/>
        <v>1</v>
      </c>
      <c r="CK36" s="63">
        <f t="shared" si="38"/>
        <v>0</v>
      </c>
      <c r="CL36" s="63">
        <f t="shared" si="39"/>
        <v>0</v>
      </c>
      <c r="CM36" s="63">
        <f t="shared" si="40"/>
        <v>0</v>
      </c>
      <c r="CO36" s="156">
        <f t="shared" si="41"/>
        <v>0</v>
      </c>
      <c r="CP36" s="156">
        <f t="shared" si="42"/>
        <v>0</v>
      </c>
      <c r="CQ36" s="156">
        <f t="shared" si="43"/>
        <v>0</v>
      </c>
      <c r="CT36" s="63">
        <v>455</v>
      </c>
      <c r="CV36" s="156">
        <f t="shared" si="75"/>
        <v>2.2193732193732192</v>
      </c>
      <c r="CW36" s="156">
        <f t="shared" si="44"/>
        <v>2.4900284900284899</v>
      </c>
      <c r="CX36" s="156">
        <f t="shared" si="45"/>
        <v>2.8888888888888888</v>
      </c>
      <c r="CZ36" s="63">
        <f t="shared" si="46"/>
        <v>1</v>
      </c>
      <c r="DA36" s="63">
        <f t="shared" si="47"/>
        <v>1</v>
      </c>
      <c r="DB36" s="63">
        <f t="shared" si="48"/>
        <v>1</v>
      </c>
      <c r="DC36" s="63">
        <f t="shared" si="49"/>
        <v>0</v>
      </c>
      <c r="DD36" s="63">
        <f t="shared" si="50"/>
        <v>0</v>
      </c>
      <c r="DE36" s="63">
        <f t="shared" si="51"/>
        <v>0</v>
      </c>
      <c r="DF36" s="63">
        <f t="shared" si="52"/>
        <v>1</v>
      </c>
      <c r="DG36" s="63">
        <f t="shared" si="53"/>
        <v>1</v>
      </c>
      <c r="DH36" s="63">
        <f t="shared" si="54"/>
        <v>1</v>
      </c>
      <c r="DI36" s="63">
        <f t="shared" si="55"/>
        <v>1</v>
      </c>
      <c r="DJ36" s="63">
        <f t="shared" si="56"/>
        <v>1</v>
      </c>
      <c r="DK36" s="63">
        <f t="shared" si="57"/>
        <v>1</v>
      </c>
      <c r="DL36" s="63">
        <f t="shared" si="58"/>
        <v>1</v>
      </c>
      <c r="DM36" s="63">
        <f t="shared" si="59"/>
        <v>1</v>
      </c>
      <c r="DN36" s="63">
        <f t="shared" si="60"/>
        <v>1</v>
      </c>
      <c r="DO36" s="63">
        <f t="shared" si="61"/>
        <v>1</v>
      </c>
      <c r="DP36" s="63">
        <f t="shared" si="62"/>
        <v>1</v>
      </c>
      <c r="DQ36" s="63">
        <f t="shared" si="63"/>
        <v>1</v>
      </c>
      <c r="DR36" s="63">
        <f t="shared" si="64"/>
        <v>0</v>
      </c>
      <c r="DS36" s="63">
        <f t="shared" si="65"/>
        <v>0</v>
      </c>
      <c r="DT36" s="63">
        <f t="shared" si="66"/>
        <v>0</v>
      </c>
      <c r="DU36" s="63">
        <f t="shared" si="67"/>
        <v>5</v>
      </c>
      <c r="DV36" s="63">
        <f t="shared" si="68"/>
        <v>5</v>
      </c>
      <c r="DW36" s="63">
        <f t="shared" si="69"/>
        <v>5</v>
      </c>
      <c r="DX36" s="63">
        <f t="shared" si="70"/>
        <v>5</v>
      </c>
      <c r="DY36" s="63">
        <f t="shared" si="71"/>
        <v>0</v>
      </c>
      <c r="DZ36" s="137">
        <f t="shared" si="101"/>
        <v>0</v>
      </c>
      <c r="EA36" s="63">
        <f t="shared" si="101"/>
        <v>0</v>
      </c>
      <c r="EB36" s="63">
        <f t="shared" si="101"/>
        <v>0</v>
      </c>
      <c r="EC36" s="63">
        <f t="shared" si="101"/>
        <v>0</v>
      </c>
      <c r="ED36" s="63">
        <f t="shared" si="101"/>
        <v>1</v>
      </c>
      <c r="EE36" s="63">
        <f t="shared" si="101"/>
        <v>0</v>
      </c>
      <c r="EF36" s="63">
        <f t="shared" si="101"/>
        <v>0</v>
      </c>
      <c r="EG36" s="63">
        <f t="shared" si="102"/>
        <v>0</v>
      </c>
      <c r="EH36" s="63">
        <f t="shared" si="102"/>
        <v>0</v>
      </c>
      <c r="EI36" s="63">
        <f t="shared" si="102"/>
        <v>0</v>
      </c>
      <c r="EJ36" s="63">
        <f t="shared" si="102"/>
        <v>0</v>
      </c>
      <c r="EK36" s="63">
        <f t="shared" si="102"/>
        <v>1</v>
      </c>
      <c r="EL36" s="63">
        <f t="shared" si="102"/>
        <v>0</v>
      </c>
      <c r="EM36" s="63">
        <f t="shared" si="102"/>
        <v>0</v>
      </c>
      <c r="EN36" s="63">
        <f t="shared" si="103"/>
        <v>0</v>
      </c>
      <c r="EO36" s="63">
        <f t="shared" si="103"/>
        <v>0</v>
      </c>
      <c r="EP36" s="63">
        <f t="shared" si="103"/>
        <v>0</v>
      </c>
      <c r="EQ36" s="63">
        <f t="shared" si="103"/>
        <v>0</v>
      </c>
      <c r="ER36" s="63">
        <f t="shared" si="103"/>
        <v>1</v>
      </c>
      <c r="ES36" s="63">
        <f t="shared" si="103"/>
        <v>0</v>
      </c>
      <c r="ET36" s="156">
        <f t="shared" si="103"/>
        <v>0</v>
      </c>
    </row>
    <row r="37" spans="1:205" s="63" customFormat="1">
      <c r="A37" s="63" t="s">
        <v>68</v>
      </c>
      <c r="B37" s="63">
        <v>175</v>
      </c>
      <c r="C37" s="63" t="s">
        <v>38</v>
      </c>
      <c r="D37" s="63" t="s">
        <v>32</v>
      </c>
      <c r="E37" s="63">
        <v>627</v>
      </c>
      <c r="F37" s="63">
        <v>691</v>
      </c>
      <c r="G37" s="63">
        <v>1026</v>
      </c>
      <c r="H37" s="63">
        <v>114</v>
      </c>
      <c r="I37" s="63">
        <v>107</v>
      </c>
      <c r="J37" s="63">
        <v>198</v>
      </c>
      <c r="K37" s="63">
        <v>31</v>
      </c>
      <c r="L37" s="63">
        <v>0</v>
      </c>
      <c r="M37" s="63">
        <v>0</v>
      </c>
      <c r="N37" s="63">
        <v>482</v>
      </c>
      <c r="O37" s="63">
        <v>498</v>
      </c>
      <c r="P37" s="63">
        <v>478</v>
      </c>
      <c r="Q37" s="156">
        <v>23</v>
      </c>
      <c r="R37" s="156">
        <v>0</v>
      </c>
      <c r="S37" s="156">
        <v>1</v>
      </c>
      <c r="T37" s="156">
        <v>429</v>
      </c>
      <c r="U37" s="156">
        <v>448</v>
      </c>
      <c r="V37" s="156">
        <v>431</v>
      </c>
      <c r="W37" s="156">
        <v>30</v>
      </c>
      <c r="X37" s="156">
        <v>50</v>
      </c>
      <c r="Y37" s="156">
        <v>46</v>
      </c>
      <c r="Z37" s="63">
        <v>0</v>
      </c>
      <c r="AA37" s="63">
        <v>85</v>
      </c>
      <c r="AB37" s="63">
        <v>350</v>
      </c>
      <c r="AC37" s="63">
        <v>95</v>
      </c>
      <c r="AD37" s="63">
        <v>39</v>
      </c>
      <c r="AE37" s="63">
        <v>204</v>
      </c>
      <c r="AF37" s="63">
        <v>95</v>
      </c>
      <c r="AG37" s="63">
        <v>39</v>
      </c>
      <c r="AH37" s="63">
        <v>204</v>
      </c>
      <c r="AI37" s="155">
        <v>0</v>
      </c>
      <c r="AJ37" s="156">
        <v>0</v>
      </c>
      <c r="AK37" s="157">
        <v>0</v>
      </c>
      <c r="AL37" s="63">
        <v>0</v>
      </c>
      <c r="AM37" s="63">
        <v>0</v>
      </c>
      <c r="AN37" s="63">
        <v>0</v>
      </c>
      <c r="AO37" s="63">
        <v>0</v>
      </c>
      <c r="AP37" s="63">
        <v>0</v>
      </c>
      <c r="AQ37" s="63">
        <v>0</v>
      </c>
      <c r="AR37" s="63">
        <v>532</v>
      </c>
      <c r="AS37" s="63">
        <v>651</v>
      </c>
      <c r="AT37" s="63">
        <v>822</v>
      </c>
      <c r="AU37" s="63">
        <v>627</v>
      </c>
      <c r="AV37" s="63">
        <v>691</v>
      </c>
      <c r="AW37" s="63">
        <v>1026</v>
      </c>
      <c r="AX37" s="63">
        <v>95</v>
      </c>
      <c r="AY37" s="63">
        <v>40</v>
      </c>
      <c r="AZ37" s="63">
        <v>204</v>
      </c>
      <c r="BA37" s="63">
        <v>95</v>
      </c>
      <c r="BB37" s="63">
        <v>39</v>
      </c>
      <c r="BC37" s="63">
        <v>204</v>
      </c>
      <c r="BE37" s="63">
        <f t="shared" si="80"/>
        <v>0</v>
      </c>
      <c r="BF37" s="63">
        <f t="shared" si="81"/>
        <v>0.12301013024602026</v>
      </c>
      <c r="BG37" s="63">
        <f t="shared" si="82"/>
        <v>0.34113060428849901</v>
      </c>
      <c r="BI37" s="63">
        <f t="shared" si="83"/>
        <v>0.76874003189792661</v>
      </c>
      <c r="BJ37" s="63">
        <f t="shared" si="84"/>
        <v>0.72069464544138928</v>
      </c>
      <c r="BK37" s="63">
        <f t="shared" si="85"/>
        <v>0.46588693957115007</v>
      </c>
      <c r="BM37" s="63">
        <f t="shared" si="86"/>
        <v>3.6682615629984053E-2</v>
      </c>
      <c r="BN37" s="63">
        <f t="shared" si="87"/>
        <v>0</v>
      </c>
      <c r="BO37" s="63">
        <f t="shared" si="88"/>
        <v>9.7465886939571145E-4</v>
      </c>
      <c r="BQ37" s="156">
        <f t="shared" si="89"/>
        <v>0.68421052631578949</v>
      </c>
      <c r="BR37" s="156">
        <f t="shared" si="90"/>
        <v>0.64833574529667148</v>
      </c>
      <c r="BS37" s="156">
        <f t="shared" si="91"/>
        <v>0.42007797270955166</v>
      </c>
      <c r="BU37" s="156">
        <f t="shared" si="92"/>
        <v>4.784688995215311E-2</v>
      </c>
      <c r="BV37" s="156">
        <f t="shared" si="93"/>
        <v>7.2358900144717797E-2</v>
      </c>
      <c r="BW37" s="156">
        <f t="shared" si="94"/>
        <v>4.4834307992202727E-2</v>
      </c>
      <c r="BY37" s="156">
        <f t="shared" si="95"/>
        <v>0.18181818181818182</v>
      </c>
      <c r="BZ37" s="156">
        <f t="shared" si="96"/>
        <v>0.15484804630969609</v>
      </c>
      <c r="CA37" s="156">
        <f t="shared" si="97"/>
        <v>0.19298245614035087</v>
      </c>
      <c r="CC37" s="156">
        <f t="shared" si="98"/>
        <v>0</v>
      </c>
      <c r="CD37" s="156">
        <f t="shared" si="99"/>
        <v>0</v>
      </c>
      <c r="CE37" s="156">
        <f t="shared" si="100"/>
        <v>0</v>
      </c>
      <c r="CG37" s="63">
        <f t="shared" si="35"/>
        <v>0.95055821371610838</v>
      </c>
      <c r="CH37" s="63">
        <f t="shared" si="36"/>
        <v>0.9985528219971056</v>
      </c>
      <c r="CI37" s="63">
        <f t="shared" si="37"/>
        <v>1</v>
      </c>
      <c r="CK37" s="63">
        <f t="shared" si="38"/>
        <v>4.944178628389162E-2</v>
      </c>
      <c r="CL37" s="63">
        <f t="shared" si="39"/>
        <v>1.4471780028944004E-3</v>
      </c>
      <c r="CM37" s="63">
        <f t="shared" si="40"/>
        <v>0</v>
      </c>
      <c r="CO37" s="156">
        <f t="shared" si="41"/>
        <v>31.000000000000046</v>
      </c>
      <c r="CP37" s="156">
        <f t="shared" si="42"/>
        <v>1.0000000000000306</v>
      </c>
      <c r="CQ37" s="156">
        <f t="shared" si="43"/>
        <v>0</v>
      </c>
      <c r="CT37" s="63">
        <v>429</v>
      </c>
      <c r="CV37" s="156">
        <f t="shared" si="75"/>
        <v>0</v>
      </c>
      <c r="CW37" s="156">
        <f t="shared" si="44"/>
        <v>0.48571428571428571</v>
      </c>
      <c r="CX37" s="156">
        <f t="shared" si="45"/>
        <v>2</v>
      </c>
      <c r="CZ37" s="63">
        <f t="shared" si="46"/>
        <v>0</v>
      </c>
      <c r="DA37" s="63">
        <f t="shared" si="47"/>
        <v>1</v>
      </c>
      <c r="DB37" s="63">
        <f t="shared" si="48"/>
        <v>1</v>
      </c>
      <c r="DC37" s="63">
        <f t="shared" si="49"/>
        <v>1</v>
      </c>
      <c r="DD37" s="63">
        <f t="shared" si="50"/>
        <v>0</v>
      </c>
      <c r="DE37" s="63">
        <f t="shared" si="51"/>
        <v>1</v>
      </c>
      <c r="DF37" s="63">
        <f t="shared" si="52"/>
        <v>1</v>
      </c>
      <c r="DG37" s="63">
        <f t="shared" si="53"/>
        <v>1</v>
      </c>
      <c r="DH37" s="63">
        <f t="shared" si="54"/>
        <v>1</v>
      </c>
      <c r="DI37" s="63">
        <f t="shared" si="55"/>
        <v>1</v>
      </c>
      <c r="DJ37" s="63">
        <f t="shared" si="56"/>
        <v>1</v>
      </c>
      <c r="DK37" s="63">
        <f t="shared" si="57"/>
        <v>1</v>
      </c>
      <c r="DL37" s="63">
        <f t="shared" si="58"/>
        <v>1</v>
      </c>
      <c r="DM37" s="63">
        <f t="shared" si="59"/>
        <v>1</v>
      </c>
      <c r="DN37" s="63">
        <f t="shared" si="60"/>
        <v>1</v>
      </c>
      <c r="DO37" s="63">
        <f t="shared" si="61"/>
        <v>0</v>
      </c>
      <c r="DP37" s="63">
        <f t="shared" si="62"/>
        <v>0</v>
      </c>
      <c r="DQ37" s="63">
        <f t="shared" si="63"/>
        <v>0</v>
      </c>
      <c r="DR37" s="63">
        <f t="shared" si="64"/>
        <v>1</v>
      </c>
      <c r="DS37" s="63">
        <f t="shared" si="65"/>
        <v>1</v>
      </c>
      <c r="DT37" s="63">
        <f t="shared" si="66"/>
        <v>0</v>
      </c>
      <c r="DU37" s="63">
        <f t="shared" si="67"/>
        <v>5</v>
      </c>
      <c r="DV37" s="63">
        <f t="shared" si="68"/>
        <v>5</v>
      </c>
      <c r="DW37" s="63">
        <f t="shared" si="69"/>
        <v>5</v>
      </c>
      <c r="DX37" s="63">
        <f t="shared" si="70"/>
        <v>5</v>
      </c>
      <c r="DY37" s="63">
        <f t="shared" si="71"/>
        <v>0</v>
      </c>
      <c r="DZ37" s="137">
        <f t="shared" si="101"/>
        <v>0</v>
      </c>
      <c r="EA37" s="63">
        <f t="shared" si="101"/>
        <v>0</v>
      </c>
      <c r="EB37" s="63">
        <f t="shared" si="101"/>
        <v>0</v>
      </c>
      <c r="EC37" s="63">
        <f t="shared" si="101"/>
        <v>0</v>
      </c>
      <c r="ED37" s="63">
        <f t="shared" si="101"/>
        <v>1</v>
      </c>
      <c r="EE37" s="63">
        <f t="shared" si="101"/>
        <v>0</v>
      </c>
      <c r="EF37" s="63">
        <f t="shared" si="101"/>
        <v>0</v>
      </c>
      <c r="EG37" s="63">
        <f t="shared" si="102"/>
        <v>0</v>
      </c>
      <c r="EH37" s="63">
        <f t="shared" si="102"/>
        <v>0</v>
      </c>
      <c r="EI37" s="63">
        <f t="shared" si="102"/>
        <v>0</v>
      </c>
      <c r="EJ37" s="63">
        <f t="shared" si="102"/>
        <v>0</v>
      </c>
      <c r="EK37" s="63">
        <f t="shared" si="102"/>
        <v>1</v>
      </c>
      <c r="EL37" s="63">
        <f t="shared" si="102"/>
        <v>0</v>
      </c>
      <c r="EM37" s="63">
        <f t="shared" si="102"/>
        <v>0</v>
      </c>
      <c r="EN37" s="63">
        <f t="shared" si="103"/>
        <v>0</v>
      </c>
      <c r="EO37" s="63">
        <f t="shared" si="103"/>
        <v>0</v>
      </c>
      <c r="EP37" s="63">
        <f t="shared" si="103"/>
        <v>0</v>
      </c>
      <c r="EQ37" s="63">
        <f t="shared" si="103"/>
        <v>0</v>
      </c>
      <c r="ER37" s="63">
        <f t="shared" si="103"/>
        <v>1</v>
      </c>
      <c r="ES37" s="63">
        <f t="shared" si="103"/>
        <v>0</v>
      </c>
      <c r="ET37" s="156">
        <f t="shared" si="103"/>
        <v>0</v>
      </c>
    </row>
    <row r="38" spans="1:205" s="63" customFormat="1">
      <c r="A38" s="63" t="s">
        <v>69</v>
      </c>
      <c r="B38" s="63">
        <v>190</v>
      </c>
      <c r="C38" s="63" t="s">
        <v>38</v>
      </c>
      <c r="D38" s="63" t="s">
        <v>35</v>
      </c>
      <c r="E38" s="63">
        <v>869</v>
      </c>
      <c r="F38" s="63">
        <v>305</v>
      </c>
      <c r="G38" s="63">
        <v>376</v>
      </c>
      <c r="H38" s="63">
        <v>168</v>
      </c>
      <c r="I38" s="63">
        <v>73</v>
      </c>
      <c r="J38" s="63">
        <v>82</v>
      </c>
      <c r="K38" s="63">
        <v>0</v>
      </c>
      <c r="L38" s="63">
        <v>0</v>
      </c>
      <c r="M38" s="63">
        <v>0</v>
      </c>
      <c r="N38" s="63">
        <v>234</v>
      </c>
      <c r="O38" s="63">
        <v>136</v>
      </c>
      <c r="P38" s="63">
        <v>113</v>
      </c>
      <c r="Q38" s="156">
        <v>0</v>
      </c>
      <c r="R38" s="156">
        <v>0</v>
      </c>
      <c r="S38" s="156">
        <v>0</v>
      </c>
      <c r="T38" s="156">
        <v>176</v>
      </c>
      <c r="U38" s="156">
        <v>78</v>
      </c>
      <c r="V38" s="156">
        <v>65</v>
      </c>
      <c r="W38" s="156">
        <v>48</v>
      </c>
      <c r="X38" s="156">
        <v>58</v>
      </c>
      <c r="Y38" s="156">
        <v>48</v>
      </c>
      <c r="Z38" s="63">
        <v>476</v>
      </c>
      <c r="AA38" s="63">
        <v>96</v>
      </c>
      <c r="AB38" s="63">
        <v>180</v>
      </c>
      <c r="AC38" s="63">
        <v>-1080</v>
      </c>
      <c r="AD38" s="63">
        <v>-457</v>
      </c>
      <c r="AE38" s="63">
        <v>-183</v>
      </c>
      <c r="AF38" s="63">
        <v>-1080</v>
      </c>
      <c r="AG38" s="63">
        <v>-457</v>
      </c>
      <c r="AH38" s="63">
        <v>-183</v>
      </c>
      <c r="AI38" s="155">
        <v>639</v>
      </c>
      <c r="AJ38" s="156">
        <v>809</v>
      </c>
      <c r="AK38" s="157">
        <v>859</v>
      </c>
      <c r="AL38" s="63">
        <v>296</v>
      </c>
      <c r="AM38" s="63">
        <v>142</v>
      </c>
      <c r="AN38" s="63">
        <v>238</v>
      </c>
      <c r="AO38" s="63">
        <v>296</v>
      </c>
      <c r="AP38" s="63">
        <v>142</v>
      </c>
      <c r="AQ38" s="63">
        <v>238</v>
      </c>
      <c r="AR38" s="63">
        <v>2292</v>
      </c>
      <c r="AS38" s="63">
        <v>1429</v>
      </c>
      <c r="AT38" s="63">
        <v>1180</v>
      </c>
      <c r="AU38" s="63">
        <v>1508</v>
      </c>
      <c r="AV38" s="63">
        <v>1114</v>
      </c>
      <c r="AW38" s="63">
        <v>1235</v>
      </c>
      <c r="AX38" s="63">
        <v>-784</v>
      </c>
      <c r="AY38" s="63">
        <v>-315</v>
      </c>
      <c r="AZ38" s="63">
        <v>55</v>
      </c>
      <c r="BA38" s="63">
        <v>-784</v>
      </c>
      <c r="BB38" s="63">
        <v>-315</v>
      </c>
      <c r="BC38" s="63">
        <v>55</v>
      </c>
      <c r="BE38" s="63">
        <f t="shared" si="80"/>
        <v>0.3156498673740053</v>
      </c>
      <c r="BF38" s="63">
        <f t="shared" si="81"/>
        <v>8.6175942549371637E-2</v>
      </c>
      <c r="BG38" s="63">
        <f t="shared" si="82"/>
        <v>0.145748987854251</v>
      </c>
      <c r="BI38" s="63">
        <f t="shared" si="83"/>
        <v>0.15517241379310345</v>
      </c>
      <c r="BJ38" s="63">
        <f t="shared" si="84"/>
        <v>0.12208258527827648</v>
      </c>
      <c r="BK38" s="63">
        <f t="shared" si="85"/>
        <v>9.149797570850203E-2</v>
      </c>
      <c r="BM38" s="63">
        <f t="shared" si="86"/>
        <v>0</v>
      </c>
      <c r="BN38" s="63">
        <f t="shared" si="87"/>
        <v>0</v>
      </c>
      <c r="BO38" s="63">
        <f t="shared" si="88"/>
        <v>0</v>
      </c>
      <c r="BQ38" s="156">
        <f t="shared" si="89"/>
        <v>0.11671087533156499</v>
      </c>
      <c r="BR38" s="156">
        <f t="shared" si="90"/>
        <v>7.0017953321364457E-2</v>
      </c>
      <c r="BS38" s="156">
        <f t="shared" si="91"/>
        <v>5.2631578947368418E-2</v>
      </c>
      <c r="BU38" s="156">
        <f t="shared" si="92"/>
        <v>3.1830238726790451E-2</v>
      </c>
      <c r="BV38" s="156">
        <f t="shared" si="93"/>
        <v>5.2064631956912029E-2</v>
      </c>
      <c r="BW38" s="156">
        <f t="shared" si="94"/>
        <v>3.8866396761133605E-2</v>
      </c>
      <c r="BY38" s="156">
        <f t="shared" si="95"/>
        <v>0.11140583554376658</v>
      </c>
      <c r="BZ38" s="156">
        <f t="shared" si="96"/>
        <v>6.5529622980251348E-2</v>
      </c>
      <c r="CA38" s="156">
        <f t="shared" si="97"/>
        <v>6.6396761133603238E-2</v>
      </c>
      <c r="CC38" s="156">
        <f t="shared" si="98"/>
        <v>0.42374005305039786</v>
      </c>
      <c r="CD38" s="156">
        <f t="shared" si="99"/>
        <v>0.72621184919210058</v>
      </c>
      <c r="CE38" s="156">
        <f t="shared" si="100"/>
        <v>0.69554655870445348</v>
      </c>
      <c r="CG38" s="63">
        <f t="shared" si="35"/>
        <v>1.0059681697612732</v>
      </c>
      <c r="CH38" s="63">
        <f t="shared" si="36"/>
        <v>1</v>
      </c>
      <c r="CI38" s="63">
        <f t="shared" si="37"/>
        <v>0.99919028340080973</v>
      </c>
      <c r="CK38" s="63">
        <f t="shared" si="38"/>
        <v>-5.9681697612732343E-3</v>
      </c>
      <c r="CL38" s="63">
        <f t="shared" si="39"/>
        <v>0</v>
      </c>
      <c r="CM38" s="63">
        <f t="shared" si="40"/>
        <v>8.0971659919026884E-4</v>
      </c>
      <c r="CO38" s="156">
        <v>0</v>
      </c>
      <c r="CP38" s="156">
        <f t="shared" si="42"/>
        <v>0</v>
      </c>
      <c r="CQ38" s="156">
        <v>0</v>
      </c>
      <c r="CT38" s="63">
        <v>176</v>
      </c>
      <c r="CV38" s="156">
        <f t="shared" si="75"/>
        <v>2.5052631578947366</v>
      </c>
      <c r="CW38" s="156">
        <f t="shared" si="44"/>
        <v>0.50526315789473686</v>
      </c>
      <c r="CX38" s="156">
        <f t="shared" si="45"/>
        <v>0.94736842105263153</v>
      </c>
      <c r="CZ38" s="63">
        <f t="shared" si="46"/>
        <v>1</v>
      </c>
      <c r="DA38" s="63">
        <f t="shared" si="47"/>
        <v>1</v>
      </c>
      <c r="DB38" s="63">
        <f t="shared" si="48"/>
        <v>1</v>
      </c>
      <c r="DC38" s="63">
        <f t="shared" si="49"/>
        <v>0</v>
      </c>
      <c r="DD38" s="63">
        <f t="shared" si="50"/>
        <v>0</v>
      </c>
      <c r="DE38" s="63">
        <f t="shared" si="51"/>
        <v>0</v>
      </c>
      <c r="DF38" s="63">
        <f t="shared" si="52"/>
        <v>1</v>
      </c>
      <c r="DG38" s="63">
        <f t="shared" si="53"/>
        <v>1</v>
      </c>
      <c r="DH38" s="63">
        <f t="shared" si="54"/>
        <v>1</v>
      </c>
      <c r="DI38" s="63">
        <f t="shared" si="55"/>
        <v>1</v>
      </c>
      <c r="DJ38" s="63">
        <f t="shared" si="56"/>
        <v>1</v>
      </c>
      <c r="DK38" s="63">
        <f t="shared" si="57"/>
        <v>1</v>
      </c>
      <c r="DL38" s="63">
        <f t="shared" si="58"/>
        <v>1</v>
      </c>
      <c r="DM38" s="63">
        <f t="shared" si="59"/>
        <v>1</v>
      </c>
      <c r="DN38" s="63">
        <f t="shared" si="60"/>
        <v>1</v>
      </c>
      <c r="DO38" s="63">
        <f t="shared" si="61"/>
        <v>1</v>
      </c>
      <c r="DP38" s="63">
        <f t="shared" si="62"/>
        <v>1</v>
      </c>
      <c r="DQ38" s="63">
        <f t="shared" si="63"/>
        <v>1</v>
      </c>
      <c r="DR38" s="63">
        <f t="shared" si="64"/>
        <v>0</v>
      </c>
      <c r="DS38" s="63">
        <f t="shared" si="65"/>
        <v>0</v>
      </c>
      <c r="DT38" s="63">
        <f t="shared" si="66"/>
        <v>0</v>
      </c>
      <c r="DU38" s="63">
        <f t="shared" si="67"/>
        <v>5</v>
      </c>
      <c r="DV38" s="63">
        <f t="shared" si="68"/>
        <v>5</v>
      </c>
      <c r="DW38" s="63">
        <f t="shared" si="69"/>
        <v>5</v>
      </c>
      <c r="DX38" s="63">
        <f t="shared" si="70"/>
        <v>5</v>
      </c>
      <c r="DY38" s="63">
        <f t="shared" si="71"/>
        <v>0</v>
      </c>
      <c r="DZ38" s="137">
        <f t="shared" si="101"/>
        <v>0</v>
      </c>
      <c r="EA38" s="63">
        <f t="shared" si="101"/>
        <v>0</v>
      </c>
      <c r="EB38" s="63">
        <f t="shared" si="101"/>
        <v>0</v>
      </c>
      <c r="EC38" s="63">
        <f t="shared" si="101"/>
        <v>0</v>
      </c>
      <c r="ED38" s="63">
        <f t="shared" si="101"/>
        <v>1</v>
      </c>
      <c r="EE38" s="63">
        <f t="shared" si="101"/>
        <v>0</v>
      </c>
      <c r="EF38" s="63">
        <f t="shared" si="101"/>
        <v>0</v>
      </c>
      <c r="EG38" s="63">
        <f t="shared" si="102"/>
        <v>0</v>
      </c>
      <c r="EH38" s="63">
        <f t="shared" si="102"/>
        <v>0</v>
      </c>
      <c r="EI38" s="63">
        <f t="shared" si="102"/>
        <v>0</v>
      </c>
      <c r="EJ38" s="63">
        <f t="shared" si="102"/>
        <v>0</v>
      </c>
      <c r="EK38" s="63">
        <f t="shared" si="102"/>
        <v>1</v>
      </c>
      <c r="EL38" s="63">
        <f t="shared" si="102"/>
        <v>0</v>
      </c>
      <c r="EM38" s="63">
        <f t="shared" si="102"/>
        <v>0</v>
      </c>
      <c r="EN38" s="63">
        <f t="shared" si="103"/>
        <v>0</v>
      </c>
      <c r="EO38" s="63">
        <f t="shared" si="103"/>
        <v>0</v>
      </c>
      <c r="EP38" s="63">
        <f t="shared" si="103"/>
        <v>0</v>
      </c>
      <c r="EQ38" s="63">
        <f t="shared" si="103"/>
        <v>0</v>
      </c>
      <c r="ER38" s="63">
        <f t="shared" si="103"/>
        <v>1</v>
      </c>
      <c r="ES38" s="63">
        <f t="shared" si="103"/>
        <v>0</v>
      </c>
      <c r="ET38" s="156">
        <f t="shared" si="103"/>
        <v>0</v>
      </c>
    </row>
    <row r="39" spans="1:205" s="63" customFormat="1">
      <c r="A39" s="63" t="s">
        <v>70</v>
      </c>
      <c r="B39" s="63">
        <v>169</v>
      </c>
      <c r="C39" s="63" t="s">
        <v>38</v>
      </c>
      <c r="D39" s="63" t="s">
        <v>32</v>
      </c>
      <c r="E39" s="63">
        <v>227</v>
      </c>
      <c r="F39" s="63">
        <v>245</v>
      </c>
      <c r="G39" s="63">
        <v>189</v>
      </c>
      <c r="H39" s="63">
        <v>17</v>
      </c>
      <c r="I39" s="63">
        <v>46</v>
      </c>
      <c r="J39" s="63">
        <v>18</v>
      </c>
      <c r="K39" s="63">
        <v>0</v>
      </c>
      <c r="L39" s="63">
        <v>2</v>
      </c>
      <c r="M39" s="63">
        <v>0</v>
      </c>
      <c r="N39" s="63">
        <v>100</v>
      </c>
      <c r="O39" s="63">
        <v>97</v>
      </c>
      <c r="P39" s="63">
        <v>71</v>
      </c>
      <c r="Q39" s="156">
        <v>0</v>
      </c>
      <c r="R39" s="156">
        <v>0</v>
      </c>
      <c r="S39" s="156">
        <v>0</v>
      </c>
      <c r="T39" s="156">
        <v>78</v>
      </c>
      <c r="U39" s="156">
        <v>60</v>
      </c>
      <c r="V39" s="156">
        <v>48</v>
      </c>
      <c r="W39" s="156">
        <v>22</v>
      </c>
      <c r="X39" s="156">
        <v>37</v>
      </c>
      <c r="Y39" s="156">
        <v>23</v>
      </c>
      <c r="Z39" s="63">
        <v>110</v>
      </c>
      <c r="AA39" s="63">
        <v>100</v>
      </c>
      <c r="AB39" s="63">
        <v>100</v>
      </c>
      <c r="AC39" s="63">
        <v>-38</v>
      </c>
      <c r="AD39" s="63">
        <v>-1</v>
      </c>
      <c r="AE39" s="63">
        <v>-18</v>
      </c>
      <c r="AF39" s="63">
        <v>-38</v>
      </c>
      <c r="AG39" s="63">
        <v>-1</v>
      </c>
      <c r="AH39" s="63">
        <v>-18</v>
      </c>
      <c r="AI39" s="155">
        <v>20</v>
      </c>
      <c r="AJ39" s="156">
        <v>51</v>
      </c>
      <c r="AK39" s="157">
        <v>28</v>
      </c>
      <c r="AL39" s="63">
        <v>12</v>
      </c>
      <c r="AM39" s="63">
        <v>43</v>
      </c>
      <c r="AN39" s="63">
        <v>22</v>
      </c>
      <c r="AO39" s="63">
        <v>12</v>
      </c>
      <c r="AP39" s="63">
        <v>43</v>
      </c>
      <c r="AQ39" s="63">
        <v>22</v>
      </c>
      <c r="AR39" s="63">
        <v>273</v>
      </c>
      <c r="AS39" s="63">
        <v>254</v>
      </c>
      <c r="AT39" s="63">
        <v>213</v>
      </c>
      <c r="AU39" s="63">
        <v>247</v>
      </c>
      <c r="AV39" s="63">
        <v>296</v>
      </c>
      <c r="AW39" s="63">
        <v>217</v>
      </c>
      <c r="AX39" s="63">
        <v>-26</v>
      </c>
      <c r="AY39" s="63">
        <v>42</v>
      </c>
      <c r="AZ39" s="63">
        <v>4</v>
      </c>
      <c r="BA39" s="63">
        <v>-26</v>
      </c>
      <c r="BB39" s="63">
        <v>42</v>
      </c>
      <c r="BC39" s="63">
        <v>4</v>
      </c>
      <c r="BE39" s="63">
        <f t="shared" si="80"/>
        <v>0.44534412955465585</v>
      </c>
      <c r="BF39" s="63">
        <f t="shared" si="81"/>
        <v>0.33783783783783783</v>
      </c>
      <c r="BG39" s="63">
        <f t="shared" si="82"/>
        <v>0.46082949308755761</v>
      </c>
      <c r="BI39" s="63">
        <f t="shared" si="83"/>
        <v>0.40485829959514169</v>
      </c>
      <c r="BJ39" s="63">
        <f t="shared" si="84"/>
        <v>0.32770270270270269</v>
      </c>
      <c r="BK39" s="63">
        <f t="shared" si="85"/>
        <v>0.32718894009216593</v>
      </c>
      <c r="BM39" s="63">
        <f t="shared" si="86"/>
        <v>0</v>
      </c>
      <c r="BN39" s="63">
        <f t="shared" si="87"/>
        <v>0</v>
      </c>
      <c r="BO39" s="63">
        <f t="shared" si="88"/>
        <v>0</v>
      </c>
      <c r="BQ39" s="156">
        <f t="shared" si="89"/>
        <v>0.31578947368421051</v>
      </c>
      <c r="BR39" s="156">
        <f t="shared" si="90"/>
        <v>0.20270270270270271</v>
      </c>
      <c r="BS39" s="156">
        <f t="shared" si="91"/>
        <v>0.22119815668202766</v>
      </c>
      <c r="BU39" s="156">
        <f t="shared" si="92"/>
        <v>8.9068825910931168E-2</v>
      </c>
      <c r="BV39" s="156">
        <f t="shared" si="93"/>
        <v>0.125</v>
      </c>
      <c r="BW39" s="156">
        <f t="shared" si="94"/>
        <v>0.10599078341013825</v>
      </c>
      <c r="BY39" s="156">
        <f t="shared" si="95"/>
        <v>6.8825910931174086E-2</v>
      </c>
      <c r="BZ39" s="156">
        <f t="shared" si="96"/>
        <v>0.1554054054054054</v>
      </c>
      <c r="CA39" s="156">
        <f t="shared" si="97"/>
        <v>8.294930875576037E-2</v>
      </c>
      <c r="CC39" s="156">
        <f t="shared" si="98"/>
        <v>8.0971659919028341E-2</v>
      </c>
      <c r="CD39" s="156">
        <f t="shared" si="99"/>
        <v>0.17229729729729729</v>
      </c>
      <c r="CE39" s="156">
        <f t="shared" si="100"/>
        <v>0.12903225806451613</v>
      </c>
      <c r="CG39" s="63">
        <f t="shared" si="35"/>
        <v>1</v>
      </c>
      <c r="CH39" s="63">
        <f t="shared" si="36"/>
        <v>0.9932432432432432</v>
      </c>
      <c r="CI39" s="63">
        <f t="shared" si="37"/>
        <v>1</v>
      </c>
      <c r="CK39" s="63">
        <f t="shared" si="38"/>
        <v>0</v>
      </c>
      <c r="CL39" s="63">
        <f t="shared" si="39"/>
        <v>6.7567567567567988E-3</v>
      </c>
      <c r="CM39" s="63">
        <f t="shared" si="40"/>
        <v>0</v>
      </c>
      <c r="CO39" s="156">
        <f t="shared" si="41"/>
        <v>0</v>
      </c>
      <c r="CP39" s="156">
        <f t="shared" si="42"/>
        <v>2.0000000000000124</v>
      </c>
      <c r="CQ39" s="156">
        <f t="shared" si="43"/>
        <v>0</v>
      </c>
      <c r="CT39" s="63">
        <v>78</v>
      </c>
      <c r="CV39" s="156">
        <f t="shared" si="75"/>
        <v>0.65088757396449703</v>
      </c>
      <c r="CW39" s="156">
        <f t="shared" si="44"/>
        <v>0.59171597633136097</v>
      </c>
      <c r="CX39" s="156">
        <f t="shared" si="45"/>
        <v>0.59171597633136097</v>
      </c>
      <c r="CZ39" s="63">
        <f t="shared" si="46"/>
        <v>1</v>
      </c>
      <c r="DA39" s="63">
        <f t="shared" si="47"/>
        <v>1</v>
      </c>
      <c r="DB39" s="63">
        <f t="shared" si="48"/>
        <v>1</v>
      </c>
      <c r="DC39" s="63">
        <f t="shared" si="49"/>
        <v>0</v>
      </c>
      <c r="DD39" s="63">
        <f t="shared" si="50"/>
        <v>0</v>
      </c>
      <c r="DE39" s="63">
        <f t="shared" si="51"/>
        <v>0</v>
      </c>
      <c r="DF39" s="63">
        <f t="shared" si="52"/>
        <v>1</v>
      </c>
      <c r="DG39" s="63">
        <f t="shared" si="53"/>
        <v>1</v>
      </c>
      <c r="DH39" s="63">
        <f t="shared" si="54"/>
        <v>1</v>
      </c>
      <c r="DI39" s="63">
        <f t="shared" si="55"/>
        <v>1</v>
      </c>
      <c r="DJ39" s="63">
        <f t="shared" si="56"/>
        <v>1</v>
      </c>
      <c r="DK39" s="63">
        <f t="shared" si="57"/>
        <v>1</v>
      </c>
      <c r="DL39" s="63">
        <f t="shared" si="58"/>
        <v>1</v>
      </c>
      <c r="DM39" s="63">
        <f t="shared" si="59"/>
        <v>1</v>
      </c>
      <c r="DN39" s="63">
        <f t="shared" si="60"/>
        <v>1</v>
      </c>
      <c r="DO39" s="63">
        <f t="shared" si="61"/>
        <v>1</v>
      </c>
      <c r="DP39" s="63">
        <f t="shared" si="62"/>
        <v>1</v>
      </c>
      <c r="DQ39" s="63">
        <f t="shared" si="63"/>
        <v>1</v>
      </c>
      <c r="DR39" s="63">
        <f t="shared" si="64"/>
        <v>0</v>
      </c>
      <c r="DS39" s="63">
        <f t="shared" si="65"/>
        <v>1</v>
      </c>
      <c r="DT39" s="63">
        <f t="shared" si="66"/>
        <v>0</v>
      </c>
      <c r="DU39" s="63">
        <f t="shared" si="67"/>
        <v>5</v>
      </c>
      <c r="DV39" s="63">
        <f t="shared" si="68"/>
        <v>6</v>
      </c>
      <c r="DW39" s="63">
        <f t="shared" si="69"/>
        <v>5</v>
      </c>
      <c r="DX39" s="63">
        <f t="shared" si="70"/>
        <v>5.333333333333333</v>
      </c>
      <c r="DY39" s="63">
        <f t="shared" si="71"/>
        <v>0.47140452079103168</v>
      </c>
      <c r="DZ39" s="137">
        <f t="shared" si="101"/>
        <v>0</v>
      </c>
      <c r="EA39" s="63">
        <f t="shared" si="101"/>
        <v>0</v>
      </c>
      <c r="EB39" s="63">
        <f t="shared" si="101"/>
        <v>0</v>
      </c>
      <c r="EC39" s="63">
        <f t="shared" si="101"/>
        <v>0</v>
      </c>
      <c r="ED39" s="63">
        <f t="shared" si="101"/>
        <v>1</v>
      </c>
      <c r="EE39" s="63">
        <f t="shared" si="101"/>
        <v>0</v>
      </c>
      <c r="EF39" s="63">
        <f t="shared" si="101"/>
        <v>0</v>
      </c>
      <c r="EG39" s="63">
        <f t="shared" si="102"/>
        <v>0</v>
      </c>
      <c r="EH39" s="63">
        <f t="shared" si="102"/>
        <v>0</v>
      </c>
      <c r="EI39" s="63">
        <f t="shared" si="102"/>
        <v>0</v>
      </c>
      <c r="EJ39" s="63">
        <f t="shared" si="102"/>
        <v>0</v>
      </c>
      <c r="EK39" s="63">
        <f t="shared" si="102"/>
        <v>0</v>
      </c>
      <c r="EL39" s="63">
        <f t="shared" si="102"/>
        <v>1</v>
      </c>
      <c r="EM39" s="63">
        <f t="shared" si="102"/>
        <v>0</v>
      </c>
      <c r="EN39" s="63">
        <f t="shared" si="103"/>
        <v>0</v>
      </c>
      <c r="EO39" s="63">
        <f t="shared" si="103"/>
        <v>0</v>
      </c>
      <c r="EP39" s="63">
        <f t="shared" si="103"/>
        <v>0</v>
      </c>
      <c r="EQ39" s="63">
        <f t="shared" si="103"/>
        <v>0</v>
      </c>
      <c r="ER39" s="63">
        <f t="shared" si="103"/>
        <v>1</v>
      </c>
      <c r="ES39" s="63">
        <f t="shared" si="103"/>
        <v>0</v>
      </c>
      <c r="ET39" s="156">
        <f t="shared" si="103"/>
        <v>0</v>
      </c>
    </row>
    <row r="40" spans="1:205" s="63" customFormat="1">
      <c r="A40" s="63" t="s">
        <v>71</v>
      </c>
      <c r="B40" s="63">
        <v>180</v>
      </c>
      <c r="C40" s="63" t="s">
        <v>38</v>
      </c>
      <c r="D40" s="63" t="s">
        <v>32</v>
      </c>
      <c r="E40" s="63">
        <v>1258</v>
      </c>
      <c r="F40" s="63">
        <v>1121</v>
      </c>
      <c r="G40" s="63">
        <v>952</v>
      </c>
      <c r="H40" s="63">
        <v>720</v>
      </c>
      <c r="I40" s="63">
        <v>207</v>
      </c>
      <c r="J40" s="63">
        <v>211</v>
      </c>
      <c r="K40" s="63">
        <v>-42</v>
      </c>
      <c r="L40" s="63">
        <v>0</v>
      </c>
      <c r="M40" s="63">
        <v>0</v>
      </c>
      <c r="N40" s="63">
        <v>580</v>
      </c>
      <c r="O40" s="63">
        <v>914</v>
      </c>
      <c r="P40" s="63">
        <v>741</v>
      </c>
      <c r="Q40" s="156">
        <v>0</v>
      </c>
      <c r="R40" s="156">
        <v>0</v>
      </c>
      <c r="S40" s="156">
        <v>184</v>
      </c>
      <c r="T40" s="156">
        <v>580</v>
      </c>
      <c r="U40" s="156">
        <v>792</v>
      </c>
      <c r="V40" s="156">
        <v>442</v>
      </c>
      <c r="W40" s="156">
        <v>0</v>
      </c>
      <c r="X40" s="156">
        <v>122</v>
      </c>
      <c r="Y40" s="156">
        <v>115</v>
      </c>
      <c r="Z40" s="63">
        <v>0</v>
      </c>
      <c r="AA40" s="63">
        <v>0</v>
      </c>
      <c r="AB40" s="63">
        <v>0</v>
      </c>
      <c r="AC40" s="63">
        <v>-600</v>
      </c>
      <c r="AD40" s="63">
        <v>-352</v>
      </c>
      <c r="AE40" s="63">
        <v>-269</v>
      </c>
      <c r="AF40" s="63">
        <v>-600</v>
      </c>
      <c r="AG40" s="63">
        <v>-352</v>
      </c>
      <c r="AH40" s="63">
        <v>-269</v>
      </c>
      <c r="AI40" s="155">
        <v>361</v>
      </c>
      <c r="AJ40" s="156">
        <v>367</v>
      </c>
      <c r="AK40" s="157">
        <v>359</v>
      </c>
      <c r="AL40" s="63">
        <v>298</v>
      </c>
      <c r="AM40" s="63">
        <v>309</v>
      </c>
      <c r="AN40" s="63">
        <v>291</v>
      </c>
      <c r="AO40" s="63">
        <v>298</v>
      </c>
      <c r="AP40" s="63">
        <v>309</v>
      </c>
      <c r="AQ40" s="63">
        <v>291</v>
      </c>
      <c r="AR40" s="63">
        <v>1921</v>
      </c>
      <c r="AS40" s="63">
        <v>1533</v>
      </c>
      <c r="AT40" s="63">
        <v>1289</v>
      </c>
      <c r="AU40" s="63">
        <v>1619</v>
      </c>
      <c r="AV40" s="63">
        <v>1488</v>
      </c>
      <c r="AW40" s="63">
        <v>1311</v>
      </c>
      <c r="AX40" s="63">
        <v>-302</v>
      </c>
      <c r="AY40" s="63">
        <v>-45</v>
      </c>
      <c r="AZ40" s="63">
        <v>22</v>
      </c>
      <c r="BA40" s="63">
        <v>-302</v>
      </c>
      <c r="BB40" s="63">
        <v>-43</v>
      </c>
      <c r="BC40" s="63">
        <v>22</v>
      </c>
      <c r="BE40" s="63">
        <f t="shared" si="80"/>
        <v>0</v>
      </c>
      <c r="BF40" s="63">
        <f t="shared" si="81"/>
        <v>0</v>
      </c>
      <c r="BG40" s="63">
        <f t="shared" si="82"/>
        <v>0</v>
      </c>
      <c r="BI40" s="63">
        <f t="shared" si="83"/>
        <v>0.35824583075972821</v>
      </c>
      <c r="BJ40" s="63">
        <f t="shared" si="84"/>
        <v>0.614247311827957</v>
      </c>
      <c r="BK40" s="63">
        <f t="shared" si="85"/>
        <v>0.56521739130434778</v>
      </c>
      <c r="BM40" s="63">
        <f t="shared" si="86"/>
        <v>0</v>
      </c>
      <c r="BN40" s="63">
        <f t="shared" si="87"/>
        <v>0</v>
      </c>
      <c r="BO40" s="63">
        <f t="shared" si="88"/>
        <v>0.14035087719298245</v>
      </c>
      <c r="BQ40" s="156">
        <f t="shared" si="89"/>
        <v>0.35824583075972821</v>
      </c>
      <c r="BR40" s="156">
        <f t="shared" si="90"/>
        <v>0.532258064516129</v>
      </c>
      <c r="BS40" s="156">
        <f t="shared" si="91"/>
        <v>0.33714721586575136</v>
      </c>
      <c r="BU40" s="156">
        <f t="shared" si="92"/>
        <v>0</v>
      </c>
      <c r="BV40" s="156">
        <f t="shared" si="93"/>
        <v>8.1989247311827954E-2</v>
      </c>
      <c r="BW40" s="156">
        <f t="shared" si="94"/>
        <v>8.771929824561403E-2</v>
      </c>
      <c r="BY40" s="156">
        <f t="shared" si="95"/>
        <v>0.44471896232242125</v>
      </c>
      <c r="BZ40" s="156">
        <f t="shared" si="96"/>
        <v>0.13911290322580644</v>
      </c>
      <c r="CA40" s="156">
        <f t="shared" si="97"/>
        <v>0.16094584286803967</v>
      </c>
      <c r="CC40" s="156">
        <f t="shared" si="98"/>
        <v>0.22297714638665844</v>
      </c>
      <c r="CD40" s="156">
        <f t="shared" si="99"/>
        <v>0.24663978494623656</v>
      </c>
      <c r="CE40" s="156">
        <f t="shared" si="100"/>
        <v>0.27383676582761252</v>
      </c>
      <c r="CG40" s="63">
        <f t="shared" si="35"/>
        <v>1.0259419394688081</v>
      </c>
      <c r="CH40" s="63">
        <f t="shared" si="36"/>
        <v>1</v>
      </c>
      <c r="CI40" s="63">
        <f t="shared" si="37"/>
        <v>1</v>
      </c>
      <c r="CK40" s="63">
        <f t="shared" si="38"/>
        <v>-2.5941939468808073E-2</v>
      </c>
      <c r="CL40" s="63">
        <f t="shared" si="39"/>
        <v>0</v>
      </c>
      <c r="CM40" s="63">
        <f t="shared" si="40"/>
        <v>0</v>
      </c>
      <c r="CO40" s="156">
        <v>0</v>
      </c>
      <c r="CP40" s="156">
        <f t="shared" si="42"/>
        <v>0</v>
      </c>
      <c r="CQ40" s="156">
        <f t="shared" si="43"/>
        <v>0</v>
      </c>
      <c r="CT40" s="63">
        <v>580</v>
      </c>
      <c r="CV40" s="156">
        <f t="shared" si="75"/>
        <v>0</v>
      </c>
      <c r="CW40" s="156">
        <f t="shared" si="44"/>
        <v>0</v>
      </c>
      <c r="CX40" s="156">
        <f t="shared" si="45"/>
        <v>0</v>
      </c>
      <c r="CZ40" s="63">
        <f t="shared" si="46"/>
        <v>0</v>
      </c>
      <c r="DA40" s="63">
        <f t="shared" si="47"/>
        <v>0</v>
      </c>
      <c r="DB40" s="63">
        <f t="shared" si="48"/>
        <v>0</v>
      </c>
      <c r="DC40" s="63">
        <f t="shared" si="49"/>
        <v>0</v>
      </c>
      <c r="DD40" s="63">
        <f t="shared" si="50"/>
        <v>0</v>
      </c>
      <c r="DE40" s="63">
        <f t="shared" si="51"/>
        <v>1</v>
      </c>
      <c r="DF40" s="63">
        <f t="shared" si="52"/>
        <v>1</v>
      </c>
      <c r="DG40" s="63">
        <f t="shared" si="53"/>
        <v>1</v>
      </c>
      <c r="DH40" s="63">
        <f t="shared" si="54"/>
        <v>1</v>
      </c>
      <c r="DI40" s="63">
        <f t="shared" si="55"/>
        <v>0</v>
      </c>
      <c r="DJ40" s="63">
        <f t="shared" si="56"/>
        <v>1</v>
      </c>
      <c r="DK40" s="63">
        <f t="shared" si="57"/>
        <v>1</v>
      </c>
      <c r="DL40" s="63">
        <f t="shared" si="58"/>
        <v>1</v>
      </c>
      <c r="DM40" s="63">
        <f t="shared" si="59"/>
        <v>1</v>
      </c>
      <c r="DN40" s="63">
        <f t="shared" si="60"/>
        <v>1</v>
      </c>
      <c r="DO40" s="63">
        <f t="shared" si="61"/>
        <v>1</v>
      </c>
      <c r="DP40" s="63">
        <f t="shared" si="62"/>
        <v>1</v>
      </c>
      <c r="DQ40" s="63">
        <f t="shared" si="63"/>
        <v>1</v>
      </c>
      <c r="DR40" s="63">
        <f t="shared" si="64"/>
        <v>0</v>
      </c>
      <c r="DS40" s="63">
        <f t="shared" si="65"/>
        <v>0</v>
      </c>
      <c r="DT40" s="63">
        <f t="shared" si="66"/>
        <v>0</v>
      </c>
      <c r="DU40" s="63">
        <f t="shared" si="67"/>
        <v>3</v>
      </c>
      <c r="DV40" s="63">
        <f t="shared" si="68"/>
        <v>4</v>
      </c>
      <c r="DW40" s="63">
        <f t="shared" si="69"/>
        <v>5</v>
      </c>
      <c r="DX40" s="63">
        <f t="shared" si="70"/>
        <v>4</v>
      </c>
      <c r="DY40" s="63">
        <f t="shared" si="71"/>
        <v>0.81649658092772603</v>
      </c>
      <c r="DZ40" s="137">
        <f t="shared" si="101"/>
        <v>0</v>
      </c>
      <c r="EA40" s="63">
        <f t="shared" si="101"/>
        <v>0</v>
      </c>
      <c r="EB40" s="63">
        <f t="shared" si="101"/>
        <v>1</v>
      </c>
      <c r="EC40" s="63">
        <f t="shared" si="101"/>
        <v>0</v>
      </c>
      <c r="ED40" s="63">
        <f t="shared" si="101"/>
        <v>0</v>
      </c>
      <c r="EE40" s="63">
        <f t="shared" si="101"/>
        <v>0</v>
      </c>
      <c r="EF40" s="63">
        <f t="shared" si="101"/>
        <v>0</v>
      </c>
      <c r="EG40" s="63">
        <f t="shared" si="102"/>
        <v>0</v>
      </c>
      <c r="EH40" s="63">
        <f t="shared" si="102"/>
        <v>0</v>
      </c>
      <c r="EI40" s="63">
        <f t="shared" si="102"/>
        <v>0</v>
      </c>
      <c r="EJ40" s="63">
        <f t="shared" si="102"/>
        <v>1</v>
      </c>
      <c r="EK40" s="63">
        <f t="shared" si="102"/>
        <v>0</v>
      </c>
      <c r="EL40" s="63">
        <f t="shared" si="102"/>
        <v>0</v>
      </c>
      <c r="EM40" s="63">
        <f t="shared" si="102"/>
        <v>0</v>
      </c>
      <c r="EN40" s="63">
        <f t="shared" si="103"/>
        <v>0</v>
      </c>
      <c r="EO40" s="63">
        <f t="shared" si="103"/>
        <v>0</v>
      </c>
      <c r="EP40" s="63">
        <f t="shared" si="103"/>
        <v>0</v>
      </c>
      <c r="EQ40" s="63">
        <f t="shared" si="103"/>
        <v>0</v>
      </c>
      <c r="ER40" s="63">
        <f t="shared" si="103"/>
        <v>1</v>
      </c>
      <c r="ES40" s="63">
        <f t="shared" si="103"/>
        <v>0</v>
      </c>
      <c r="ET40" s="156">
        <f t="shared" si="103"/>
        <v>0</v>
      </c>
    </row>
    <row r="41" spans="1:205" s="63" customFormat="1">
      <c r="A41" s="63" t="s">
        <v>72</v>
      </c>
      <c r="B41" s="63">
        <v>225</v>
      </c>
      <c r="C41" s="63" t="s">
        <v>38</v>
      </c>
      <c r="D41" s="63" t="s">
        <v>32</v>
      </c>
      <c r="E41" s="63">
        <v>504</v>
      </c>
      <c r="F41" s="63">
        <v>601</v>
      </c>
      <c r="G41" s="63">
        <v>659</v>
      </c>
      <c r="H41" s="63">
        <v>0</v>
      </c>
      <c r="I41" s="63">
        <v>129</v>
      </c>
      <c r="J41" s="63">
        <v>61</v>
      </c>
      <c r="K41" s="63">
        <v>134</v>
      </c>
      <c r="L41" s="63">
        <v>0</v>
      </c>
      <c r="M41" s="63">
        <v>0</v>
      </c>
      <c r="N41" s="63">
        <v>230</v>
      </c>
      <c r="O41" s="63">
        <v>162</v>
      </c>
      <c r="P41" s="63">
        <v>254</v>
      </c>
      <c r="Q41" s="156">
        <v>40</v>
      </c>
      <c r="R41" s="156">
        <v>22</v>
      </c>
      <c r="S41" s="156">
        <v>0</v>
      </c>
      <c r="T41" s="156">
        <v>50</v>
      </c>
      <c r="U41" s="156">
        <v>0</v>
      </c>
      <c r="V41" s="156">
        <v>0</v>
      </c>
      <c r="W41" s="156">
        <v>140</v>
      </c>
      <c r="X41" s="156">
        <v>140</v>
      </c>
      <c r="Y41" s="156">
        <v>254</v>
      </c>
      <c r="Z41" s="63">
        <v>140</v>
      </c>
      <c r="AA41" s="63">
        <v>310</v>
      </c>
      <c r="AB41" s="63">
        <v>344</v>
      </c>
      <c r="AC41" s="63">
        <v>44</v>
      </c>
      <c r="AD41" s="63">
        <v>-41</v>
      </c>
      <c r="AE41" s="63">
        <v>-44</v>
      </c>
      <c r="AF41" s="63">
        <v>44</v>
      </c>
      <c r="AG41" s="63">
        <v>-41</v>
      </c>
      <c r="AH41" s="63">
        <v>-44</v>
      </c>
      <c r="AI41" s="155">
        <v>0</v>
      </c>
      <c r="AJ41" s="156">
        <v>28</v>
      </c>
      <c r="AK41" s="157">
        <v>15</v>
      </c>
      <c r="AL41" s="63">
        <v>0</v>
      </c>
      <c r="AM41" s="63">
        <v>6</v>
      </c>
      <c r="AN41" s="63">
        <v>8</v>
      </c>
      <c r="AO41" s="63">
        <v>0</v>
      </c>
      <c r="AP41" s="63">
        <v>6</v>
      </c>
      <c r="AQ41" s="63">
        <v>8</v>
      </c>
      <c r="AR41" s="63">
        <v>460</v>
      </c>
      <c r="AS41" s="63">
        <v>664</v>
      </c>
      <c r="AT41" s="63">
        <v>710</v>
      </c>
      <c r="AU41" s="63">
        <v>504</v>
      </c>
      <c r="AV41" s="63">
        <v>629</v>
      </c>
      <c r="AW41" s="63">
        <v>674</v>
      </c>
      <c r="AX41" s="63">
        <v>44</v>
      </c>
      <c r="AY41" s="63">
        <v>-35</v>
      </c>
      <c r="AZ41" s="63">
        <v>-36</v>
      </c>
      <c r="BA41" s="63">
        <v>44</v>
      </c>
      <c r="BB41" s="63">
        <v>-35</v>
      </c>
      <c r="BC41" s="63">
        <v>-36</v>
      </c>
      <c r="BE41" s="63">
        <f t="shared" si="80"/>
        <v>0.27777777777777779</v>
      </c>
      <c r="BF41" s="63">
        <f t="shared" si="81"/>
        <v>0.49284578696343401</v>
      </c>
      <c r="BG41" s="63">
        <f t="shared" si="82"/>
        <v>0.51038575667655783</v>
      </c>
      <c r="BI41" s="63">
        <f t="shared" si="83"/>
        <v>0.45634920634920634</v>
      </c>
      <c r="BJ41" s="63">
        <f t="shared" si="84"/>
        <v>0.25755166931637519</v>
      </c>
      <c r="BK41" s="63">
        <f t="shared" si="85"/>
        <v>0.37685459940652821</v>
      </c>
      <c r="BM41" s="63">
        <f t="shared" si="86"/>
        <v>7.9365079365079361E-2</v>
      </c>
      <c r="BN41" s="63">
        <f t="shared" si="87"/>
        <v>3.4976152623211444E-2</v>
      </c>
      <c r="BO41" s="63">
        <f t="shared" si="88"/>
        <v>0</v>
      </c>
      <c r="BQ41" s="156">
        <f t="shared" si="89"/>
        <v>9.9206349206349201E-2</v>
      </c>
      <c r="BR41" s="156">
        <f t="shared" si="90"/>
        <v>0</v>
      </c>
      <c r="BS41" s="156">
        <f t="shared" si="91"/>
        <v>0</v>
      </c>
      <c r="BU41" s="156">
        <f t="shared" si="92"/>
        <v>0.27777777777777779</v>
      </c>
      <c r="BV41" s="156">
        <f t="shared" si="93"/>
        <v>0.22257551669316375</v>
      </c>
      <c r="BW41" s="156">
        <f t="shared" si="94"/>
        <v>0.37685459940652821</v>
      </c>
      <c r="BY41" s="156">
        <f t="shared" si="95"/>
        <v>0</v>
      </c>
      <c r="BZ41" s="156">
        <f t="shared" si="96"/>
        <v>0.20508744038155802</v>
      </c>
      <c r="CA41" s="156">
        <f t="shared" si="97"/>
        <v>9.050445103857567E-2</v>
      </c>
      <c r="CC41" s="156">
        <f t="shared" si="98"/>
        <v>0</v>
      </c>
      <c r="CD41" s="156">
        <f t="shared" si="99"/>
        <v>4.4515103338632747E-2</v>
      </c>
      <c r="CE41" s="156">
        <f t="shared" si="100"/>
        <v>2.2255192878338281E-2</v>
      </c>
      <c r="CG41" s="63">
        <f t="shared" si="35"/>
        <v>0.73412698412698418</v>
      </c>
      <c r="CH41" s="63">
        <f t="shared" si="36"/>
        <v>1</v>
      </c>
      <c r="CI41" s="63">
        <f t="shared" si="37"/>
        <v>1</v>
      </c>
      <c r="CK41" s="63">
        <f t="shared" si="38"/>
        <v>0.26587301587301582</v>
      </c>
      <c r="CL41" s="63">
        <f t="shared" si="39"/>
        <v>0</v>
      </c>
      <c r="CM41" s="63">
        <f t="shared" si="40"/>
        <v>0</v>
      </c>
      <c r="CO41" s="156">
        <f t="shared" si="41"/>
        <v>133.99999999999997</v>
      </c>
      <c r="CP41" s="156">
        <f t="shared" si="42"/>
        <v>0</v>
      </c>
      <c r="CQ41" s="156">
        <f t="shared" si="43"/>
        <v>0</v>
      </c>
      <c r="CT41" s="63">
        <v>50</v>
      </c>
      <c r="CV41" s="156">
        <f t="shared" si="75"/>
        <v>0.62222222222222223</v>
      </c>
      <c r="CW41" s="156">
        <f t="shared" si="44"/>
        <v>1.3777777777777778</v>
      </c>
      <c r="CX41" s="156">
        <f t="shared" si="45"/>
        <v>1.528888888888889</v>
      </c>
      <c r="CZ41" s="63">
        <f t="shared" si="46"/>
        <v>1</v>
      </c>
      <c r="DA41" s="63">
        <f t="shared" si="47"/>
        <v>1</v>
      </c>
      <c r="DB41" s="63">
        <f t="shared" si="48"/>
        <v>1</v>
      </c>
      <c r="DC41" s="63">
        <f t="shared" si="49"/>
        <v>1</v>
      </c>
      <c r="DD41" s="63">
        <f t="shared" si="50"/>
        <v>1</v>
      </c>
      <c r="DE41" s="63">
        <f t="shared" si="51"/>
        <v>0</v>
      </c>
      <c r="DF41" s="63">
        <f t="shared" si="52"/>
        <v>1</v>
      </c>
      <c r="DG41" s="63">
        <f t="shared" si="53"/>
        <v>0</v>
      </c>
      <c r="DH41" s="63">
        <f t="shared" si="54"/>
        <v>0</v>
      </c>
      <c r="DI41" s="63">
        <f t="shared" si="55"/>
        <v>1</v>
      </c>
      <c r="DJ41" s="63">
        <f t="shared" si="56"/>
        <v>1</v>
      </c>
      <c r="DK41" s="63">
        <f t="shared" si="57"/>
        <v>1</v>
      </c>
      <c r="DL41" s="63">
        <f t="shared" si="58"/>
        <v>0</v>
      </c>
      <c r="DM41" s="63">
        <f t="shared" si="59"/>
        <v>1</v>
      </c>
      <c r="DN41" s="63">
        <f t="shared" si="60"/>
        <v>1</v>
      </c>
      <c r="DO41" s="63">
        <f t="shared" si="61"/>
        <v>0</v>
      </c>
      <c r="DP41" s="63">
        <f t="shared" si="62"/>
        <v>1</v>
      </c>
      <c r="DQ41" s="63">
        <f t="shared" si="63"/>
        <v>1</v>
      </c>
      <c r="DR41" s="63">
        <f t="shared" si="64"/>
        <v>1</v>
      </c>
      <c r="DS41" s="63">
        <f t="shared" si="65"/>
        <v>0</v>
      </c>
      <c r="DT41" s="63">
        <f t="shared" si="66"/>
        <v>0</v>
      </c>
      <c r="DU41" s="63">
        <f t="shared" si="67"/>
        <v>5</v>
      </c>
      <c r="DV41" s="63">
        <f t="shared" si="68"/>
        <v>5</v>
      </c>
      <c r="DW41" s="63">
        <f t="shared" si="69"/>
        <v>4</v>
      </c>
      <c r="DX41" s="63">
        <f t="shared" si="70"/>
        <v>4.666666666666667</v>
      </c>
      <c r="DY41" s="63">
        <f t="shared" si="71"/>
        <v>0.47140452079103168</v>
      </c>
      <c r="DZ41" s="137">
        <f t="shared" si="101"/>
        <v>0</v>
      </c>
      <c r="EA41" s="63">
        <f t="shared" si="101"/>
        <v>0</v>
      </c>
      <c r="EB41" s="63">
        <f t="shared" si="101"/>
        <v>0</v>
      </c>
      <c r="EC41" s="63">
        <f t="shared" si="101"/>
        <v>0</v>
      </c>
      <c r="ED41" s="63">
        <f t="shared" si="101"/>
        <v>1</v>
      </c>
      <c r="EE41" s="63">
        <f t="shared" si="101"/>
        <v>0</v>
      </c>
      <c r="EF41" s="63">
        <f t="shared" si="101"/>
        <v>0</v>
      </c>
      <c r="EG41" s="63">
        <f t="shared" si="102"/>
        <v>0</v>
      </c>
      <c r="EH41" s="63">
        <f t="shared" si="102"/>
        <v>0</v>
      </c>
      <c r="EI41" s="63">
        <f t="shared" si="102"/>
        <v>0</v>
      </c>
      <c r="EJ41" s="63">
        <f t="shared" si="102"/>
        <v>0</v>
      </c>
      <c r="EK41" s="63">
        <f t="shared" si="102"/>
        <v>1</v>
      </c>
      <c r="EL41" s="63">
        <f t="shared" si="102"/>
        <v>0</v>
      </c>
      <c r="EM41" s="63">
        <f t="shared" si="102"/>
        <v>0</v>
      </c>
      <c r="EN41" s="63">
        <f t="shared" si="103"/>
        <v>0</v>
      </c>
      <c r="EO41" s="63">
        <f t="shared" si="103"/>
        <v>0</v>
      </c>
      <c r="EP41" s="63">
        <f t="shared" si="103"/>
        <v>0</v>
      </c>
      <c r="EQ41" s="63">
        <f t="shared" si="103"/>
        <v>1</v>
      </c>
      <c r="ER41" s="63">
        <f t="shared" si="103"/>
        <v>0</v>
      </c>
      <c r="ES41" s="63">
        <f t="shared" si="103"/>
        <v>0</v>
      </c>
      <c r="ET41" s="156">
        <f t="shared" si="103"/>
        <v>0</v>
      </c>
    </row>
    <row r="42" spans="1:205" s="63" customFormat="1">
      <c r="A42" s="63" t="s">
        <v>73</v>
      </c>
      <c r="B42" s="63">
        <v>285</v>
      </c>
      <c r="C42" s="63" t="s">
        <v>38</v>
      </c>
      <c r="D42" s="63" t="s">
        <v>32</v>
      </c>
      <c r="E42" s="63">
        <f>(EY42/1500)*285</f>
        <v>2071</v>
      </c>
      <c r="F42" s="63">
        <f t="shared" ref="F42:BC42" si="104">(EZ42/1500)*285</f>
        <v>2469.62</v>
      </c>
      <c r="G42" s="63">
        <f t="shared" si="104"/>
        <v>2415.09</v>
      </c>
      <c r="H42" s="63">
        <f t="shared" si="104"/>
        <v>217.36</v>
      </c>
      <c r="I42" s="63">
        <f t="shared" si="104"/>
        <v>404.13</v>
      </c>
      <c r="J42" s="63">
        <f t="shared" si="104"/>
        <v>328.32</v>
      </c>
      <c r="K42" s="63">
        <f t="shared" si="104"/>
        <v>221.54</v>
      </c>
      <c r="L42" s="63">
        <f t="shared" si="104"/>
        <v>213.75</v>
      </c>
      <c r="M42" s="63">
        <f t="shared" si="104"/>
        <v>-4.75</v>
      </c>
      <c r="N42" s="63">
        <f t="shared" si="104"/>
        <v>544.91999999999996</v>
      </c>
      <c r="O42" s="63">
        <f t="shared" si="104"/>
        <v>535.23</v>
      </c>
      <c r="P42" s="63">
        <f t="shared" si="104"/>
        <v>616.16999999999996</v>
      </c>
      <c r="Q42" s="156">
        <f t="shared" si="104"/>
        <v>70.489999999999995</v>
      </c>
      <c r="R42" s="156">
        <f t="shared" si="104"/>
        <v>60.61</v>
      </c>
      <c r="S42" s="156">
        <f t="shared" si="104"/>
        <v>87.97</v>
      </c>
      <c r="T42" s="156">
        <f t="shared" si="104"/>
        <v>238.26</v>
      </c>
      <c r="U42" s="156">
        <f t="shared" si="104"/>
        <v>182.4</v>
      </c>
      <c r="V42" s="156">
        <f t="shared" si="104"/>
        <v>148.77000000000001</v>
      </c>
      <c r="W42" s="156">
        <f t="shared" si="104"/>
        <v>236.17</v>
      </c>
      <c r="X42" s="156">
        <f t="shared" si="104"/>
        <v>292.22000000000003</v>
      </c>
      <c r="Y42" s="156">
        <f t="shared" si="104"/>
        <v>379.42999999999995</v>
      </c>
      <c r="Z42" s="63">
        <f t="shared" si="104"/>
        <v>1087.18</v>
      </c>
      <c r="AA42" s="63">
        <f t="shared" si="104"/>
        <v>1316.51</v>
      </c>
      <c r="AB42" s="63">
        <f t="shared" si="104"/>
        <v>1475.3500000000001</v>
      </c>
      <c r="AC42" s="63">
        <f t="shared" si="104"/>
        <v>-169.48</v>
      </c>
      <c r="AD42" s="63">
        <f t="shared" si="104"/>
        <v>239.78</v>
      </c>
      <c r="AE42" s="63">
        <f t="shared" si="104"/>
        <v>-178.60000000000002</v>
      </c>
      <c r="AF42" s="63">
        <f t="shared" si="104"/>
        <v>-206.53</v>
      </c>
      <c r="AG42" s="63">
        <f t="shared" si="104"/>
        <v>212.8</v>
      </c>
      <c r="AH42" s="63">
        <f t="shared" si="104"/>
        <v>-213.75</v>
      </c>
      <c r="AI42" s="155">
        <f t="shared" si="104"/>
        <v>171</v>
      </c>
      <c r="AJ42" s="156">
        <f t="shared" si="104"/>
        <v>90.82</v>
      </c>
      <c r="AK42" s="157">
        <f t="shared" si="104"/>
        <v>153.9</v>
      </c>
      <c r="AL42" s="63">
        <f t="shared" si="104"/>
        <v>151.05000000000001</v>
      </c>
      <c r="AM42" s="63">
        <f t="shared" si="104"/>
        <v>85.5</v>
      </c>
      <c r="AN42" s="63">
        <f t="shared" si="104"/>
        <v>146.87</v>
      </c>
      <c r="AO42" s="63">
        <f t="shared" si="104"/>
        <v>151.05000000000001</v>
      </c>
      <c r="AP42" s="63">
        <f t="shared" si="104"/>
        <v>85.5</v>
      </c>
      <c r="AQ42" s="63">
        <f t="shared" si="104"/>
        <v>146.87</v>
      </c>
      <c r="AR42" s="63">
        <f t="shared" si="104"/>
        <v>2260.4299999999998</v>
      </c>
      <c r="AS42" s="63">
        <f t="shared" si="104"/>
        <v>2262.14</v>
      </c>
      <c r="AT42" s="63">
        <f t="shared" si="104"/>
        <v>2635.87</v>
      </c>
      <c r="AU42" s="63">
        <f t="shared" si="104"/>
        <v>2242</v>
      </c>
      <c r="AV42" s="63">
        <f t="shared" si="104"/>
        <v>2560.44</v>
      </c>
      <c r="AW42" s="63">
        <f t="shared" si="104"/>
        <v>2568.9899999999998</v>
      </c>
      <c r="AX42" s="63">
        <f t="shared" si="104"/>
        <v>-18.43</v>
      </c>
      <c r="AY42" s="63">
        <f t="shared" si="104"/>
        <v>298.3</v>
      </c>
      <c r="AZ42" s="63">
        <f t="shared" si="104"/>
        <v>-66.88</v>
      </c>
      <c r="BA42" s="63">
        <f t="shared" si="104"/>
        <v>-55.48</v>
      </c>
      <c r="BB42" s="63">
        <f t="shared" si="104"/>
        <v>298.3</v>
      </c>
      <c r="BC42" s="63">
        <f t="shared" si="104"/>
        <v>-66.88</v>
      </c>
      <c r="BE42" s="63">
        <f t="shared" si="80"/>
        <v>0.48491525423728815</v>
      </c>
      <c r="BF42" s="63">
        <f t="shared" si="81"/>
        <v>0.51417334520629265</v>
      </c>
      <c r="BG42" s="63">
        <f t="shared" si="82"/>
        <v>0.57429184231935515</v>
      </c>
      <c r="BI42" s="63">
        <f t="shared" si="83"/>
        <v>0.24305084745762709</v>
      </c>
      <c r="BJ42" s="63">
        <f t="shared" si="84"/>
        <v>0.20903829029385573</v>
      </c>
      <c r="BK42" s="63">
        <f t="shared" si="85"/>
        <v>0.23984912358553362</v>
      </c>
      <c r="BM42" s="63">
        <f t="shared" si="86"/>
        <v>3.1440677966101692E-2</v>
      </c>
      <c r="BN42" s="63">
        <f t="shared" si="87"/>
        <v>2.3671712674384091E-2</v>
      </c>
      <c r="BO42" s="63">
        <f t="shared" si="88"/>
        <v>3.4243029361733603E-2</v>
      </c>
      <c r="BQ42" s="156">
        <f t="shared" si="89"/>
        <v>0.10627118644067796</v>
      </c>
      <c r="BR42" s="156">
        <f t="shared" si="90"/>
        <v>7.123775601068566E-2</v>
      </c>
      <c r="BS42" s="156">
        <f t="shared" si="91"/>
        <v>5.7909917905480369E-2</v>
      </c>
      <c r="BU42" s="156">
        <f t="shared" si="92"/>
        <v>0.10533898305084745</v>
      </c>
      <c r="BV42" s="156">
        <f t="shared" si="93"/>
        <v>0.114128821608786</v>
      </c>
      <c r="BW42" s="156">
        <f t="shared" si="94"/>
        <v>0.14769617631831963</v>
      </c>
      <c r="BY42" s="156">
        <f t="shared" si="95"/>
        <v>9.6949152542372893E-2</v>
      </c>
      <c r="BZ42" s="156">
        <f t="shared" si="96"/>
        <v>0.15783615316117541</v>
      </c>
      <c r="CA42" s="156">
        <f t="shared" si="97"/>
        <v>0.12780119813623253</v>
      </c>
      <c r="CC42" s="156">
        <f t="shared" si="98"/>
        <v>7.6271186440677971E-2</v>
      </c>
      <c r="CD42" s="156">
        <f t="shared" si="99"/>
        <v>3.5470466013653897E-2</v>
      </c>
      <c r="CE42" s="156">
        <f t="shared" si="100"/>
        <v>5.9906811626359004E-2</v>
      </c>
      <c r="CG42" s="63">
        <f t="shared" si="35"/>
        <v>0.90118644067796616</v>
      </c>
      <c r="CH42" s="63">
        <f t="shared" si="36"/>
        <v>0.91651825467497761</v>
      </c>
      <c r="CI42" s="63">
        <f t="shared" si="37"/>
        <v>1.0018489756674804</v>
      </c>
      <c r="CK42" s="63">
        <f t="shared" si="38"/>
        <v>9.8813559322033839E-2</v>
      </c>
      <c r="CL42" s="63">
        <f t="shared" si="39"/>
        <v>8.3481745325022394E-2</v>
      </c>
      <c r="CM42" s="63">
        <f t="shared" si="40"/>
        <v>-1.8489756674804347E-3</v>
      </c>
      <c r="CO42" s="156">
        <f t="shared" si="41"/>
        <v>221.53999999999988</v>
      </c>
      <c r="CP42" s="156">
        <f t="shared" si="42"/>
        <v>213.75000000000034</v>
      </c>
      <c r="CQ42" s="156">
        <v>0</v>
      </c>
      <c r="CT42" s="63">
        <v>238.26</v>
      </c>
      <c r="CV42" s="156">
        <f t="shared" si="75"/>
        <v>3.8146666666666671</v>
      </c>
      <c r="CW42" s="156">
        <f t="shared" si="44"/>
        <v>4.6193333333333335</v>
      </c>
      <c r="CX42" s="156">
        <f t="shared" si="45"/>
        <v>5.1766666666666667</v>
      </c>
      <c r="CZ42" s="63">
        <f t="shared" si="46"/>
        <v>1</v>
      </c>
      <c r="DA42" s="63">
        <f t="shared" si="47"/>
        <v>1</v>
      </c>
      <c r="DB42" s="63">
        <f t="shared" si="48"/>
        <v>1</v>
      </c>
      <c r="DC42" s="63">
        <f t="shared" si="49"/>
        <v>1</v>
      </c>
      <c r="DD42" s="63">
        <f t="shared" si="50"/>
        <v>1</v>
      </c>
      <c r="DE42" s="63">
        <f t="shared" si="51"/>
        <v>1</v>
      </c>
      <c r="DF42" s="63">
        <f t="shared" si="52"/>
        <v>1</v>
      </c>
      <c r="DG42" s="63">
        <f t="shared" si="53"/>
        <v>1</v>
      </c>
      <c r="DH42" s="63">
        <f t="shared" si="54"/>
        <v>1</v>
      </c>
      <c r="DI42" s="63">
        <f t="shared" si="55"/>
        <v>1</v>
      </c>
      <c r="DJ42" s="63">
        <f t="shared" si="56"/>
        <v>1</v>
      </c>
      <c r="DK42" s="63">
        <f t="shared" si="57"/>
        <v>1</v>
      </c>
      <c r="DL42" s="63">
        <f t="shared" si="58"/>
        <v>1</v>
      </c>
      <c r="DM42" s="63">
        <f t="shared" si="59"/>
        <v>1</v>
      </c>
      <c r="DN42" s="63">
        <f t="shared" si="60"/>
        <v>1</v>
      </c>
      <c r="DO42" s="63">
        <f t="shared" si="61"/>
        <v>1</v>
      </c>
      <c r="DP42" s="63">
        <f t="shared" si="62"/>
        <v>1</v>
      </c>
      <c r="DQ42" s="63">
        <f t="shared" si="63"/>
        <v>1</v>
      </c>
      <c r="DR42" s="63">
        <f t="shared" si="64"/>
        <v>1</v>
      </c>
      <c r="DS42" s="63">
        <f t="shared" si="65"/>
        <v>1</v>
      </c>
      <c r="DT42" s="63">
        <f t="shared" si="66"/>
        <v>0</v>
      </c>
      <c r="DU42" s="63">
        <f t="shared" si="67"/>
        <v>7</v>
      </c>
      <c r="DV42" s="63">
        <f t="shared" si="68"/>
        <v>7</v>
      </c>
      <c r="DW42" s="63">
        <f t="shared" si="69"/>
        <v>6</v>
      </c>
      <c r="DX42" s="63">
        <f t="shared" si="70"/>
        <v>6.666666666666667</v>
      </c>
      <c r="DY42" s="63">
        <f t="shared" si="71"/>
        <v>0.47140452079103168</v>
      </c>
      <c r="DZ42" s="137">
        <f t="shared" si="101"/>
        <v>0</v>
      </c>
      <c r="EA42" s="63">
        <f t="shared" si="101"/>
        <v>0</v>
      </c>
      <c r="EB42" s="63">
        <f t="shared" si="101"/>
        <v>0</v>
      </c>
      <c r="EC42" s="63">
        <f t="shared" si="101"/>
        <v>0</v>
      </c>
      <c r="ED42" s="63">
        <f t="shared" si="101"/>
        <v>0</v>
      </c>
      <c r="EE42" s="63">
        <f t="shared" si="101"/>
        <v>0</v>
      </c>
      <c r="EF42" s="63">
        <f t="shared" si="101"/>
        <v>1</v>
      </c>
      <c r="EG42" s="63">
        <f t="shared" si="102"/>
        <v>0</v>
      </c>
      <c r="EH42" s="63">
        <f t="shared" si="102"/>
        <v>0</v>
      </c>
      <c r="EI42" s="63">
        <f t="shared" si="102"/>
        <v>0</v>
      </c>
      <c r="EJ42" s="63">
        <f t="shared" si="102"/>
        <v>0</v>
      </c>
      <c r="EK42" s="63">
        <f t="shared" si="102"/>
        <v>0</v>
      </c>
      <c r="EL42" s="63">
        <f t="shared" si="102"/>
        <v>0</v>
      </c>
      <c r="EM42" s="63">
        <f t="shared" si="102"/>
        <v>1</v>
      </c>
      <c r="EN42" s="63">
        <f t="shared" si="103"/>
        <v>0</v>
      </c>
      <c r="EO42" s="63">
        <f t="shared" si="103"/>
        <v>0</v>
      </c>
      <c r="EP42" s="63">
        <f t="shared" si="103"/>
        <v>0</v>
      </c>
      <c r="EQ42" s="63">
        <f t="shared" si="103"/>
        <v>0</v>
      </c>
      <c r="ER42" s="63">
        <f t="shared" si="103"/>
        <v>0</v>
      </c>
      <c r="ES42" s="63">
        <f t="shared" si="103"/>
        <v>1</v>
      </c>
      <c r="ET42" s="156">
        <f t="shared" si="103"/>
        <v>0</v>
      </c>
      <c r="EY42" s="63">
        <v>10900</v>
      </c>
      <c r="EZ42" s="63">
        <v>12998</v>
      </c>
      <c r="FA42" s="63">
        <v>12711</v>
      </c>
      <c r="FB42" s="63">
        <v>1144</v>
      </c>
      <c r="FC42" s="63">
        <v>2127</v>
      </c>
      <c r="FD42" s="63">
        <v>1728</v>
      </c>
      <c r="FE42" s="63">
        <v>1166</v>
      </c>
      <c r="FF42" s="63">
        <v>1125</v>
      </c>
      <c r="FG42" s="63">
        <v>-25</v>
      </c>
      <c r="FH42" s="63">
        <v>2868</v>
      </c>
      <c r="FI42" s="63">
        <v>2817</v>
      </c>
      <c r="FJ42" s="63">
        <v>3243</v>
      </c>
      <c r="FK42" s="63">
        <v>371</v>
      </c>
      <c r="FL42" s="63">
        <v>319</v>
      </c>
      <c r="FM42" s="63">
        <v>463</v>
      </c>
      <c r="FN42" s="63">
        <v>1254</v>
      </c>
      <c r="FO42" s="63">
        <v>960</v>
      </c>
      <c r="FP42" s="63">
        <v>783</v>
      </c>
      <c r="FQ42" s="63">
        <v>1243</v>
      </c>
      <c r="FR42" s="63">
        <v>1538</v>
      </c>
      <c r="FS42" s="63">
        <v>1997</v>
      </c>
      <c r="FT42" s="63">
        <v>5722</v>
      </c>
      <c r="FU42" s="63">
        <v>6929</v>
      </c>
      <c r="FV42" s="63">
        <v>7765</v>
      </c>
      <c r="FW42" s="63">
        <v>-892</v>
      </c>
      <c r="FX42" s="63">
        <v>1262</v>
      </c>
      <c r="FY42" s="63">
        <v>-940</v>
      </c>
      <c r="FZ42" s="63">
        <v>-1087</v>
      </c>
      <c r="GA42" s="63">
        <v>1120</v>
      </c>
      <c r="GB42" s="63">
        <v>-1125</v>
      </c>
      <c r="GC42" s="63">
        <v>900</v>
      </c>
      <c r="GD42" s="63">
        <v>478</v>
      </c>
      <c r="GE42" s="63">
        <v>810</v>
      </c>
      <c r="GF42" s="63">
        <v>795</v>
      </c>
      <c r="GG42" s="63">
        <v>450</v>
      </c>
      <c r="GH42" s="63">
        <v>773</v>
      </c>
      <c r="GI42" s="63">
        <v>795</v>
      </c>
      <c r="GJ42" s="63">
        <v>450</v>
      </c>
      <c r="GK42" s="63">
        <v>773</v>
      </c>
      <c r="GL42" s="63">
        <v>11897</v>
      </c>
      <c r="GM42" s="63">
        <v>11906</v>
      </c>
      <c r="GN42" s="63">
        <v>13873</v>
      </c>
      <c r="GO42" s="63">
        <v>11800</v>
      </c>
      <c r="GP42" s="63">
        <v>13476</v>
      </c>
      <c r="GQ42" s="63">
        <v>13521</v>
      </c>
      <c r="GR42" s="63">
        <v>-97</v>
      </c>
      <c r="GS42" s="63">
        <v>1570</v>
      </c>
      <c r="GT42" s="63">
        <v>-352</v>
      </c>
      <c r="GU42" s="63">
        <v>-292</v>
      </c>
      <c r="GV42" s="63">
        <v>1570</v>
      </c>
      <c r="GW42" s="63">
        <v>-352</v>
      </c>
    </row>
    <row r="43" spans="1:205" s="63" customFormat="1">
      <c r="A43" s="63" t="s">
        <v>74</v>
      </c>
      <c r="B43" s="63">
        <v>100</v>
      </c>
      <c r="C43" s="63" t="s">
        <v>38</v>
      </c>
      <c r="D43" s="63" t="s">
        <v>35</v>
      </c>
      <c r="E43" s="63">
        <v>128</v>
      </c>
      <c r="F43" s="63">
        <v>131</v>
      </c>
      <c r="G43" s="63">
        <v>110</v>
      </c>
      <c r="H43" s="63">
        <v>9</v>
      </c>
      <c r="I43" s="63">
        <v>8</v>
      </c>
      <c r="J43" s="63">
        <v>11</v>
      </c>
      <c r="K43" s="63">
        <v>0</v>
      </c>
      <c r="L43" s="63">
        <v>0</v>
      </c>
      <c r="M43" s="63">
        <v>0</v>
      </c>
      <c r="N43" s="63">
        <v>59</v>
      </c>
      <c r="O43" s="63">
        <v>123</v>
      </c>
      <c r="P43" s="63">
        <v>99</v>
      </c>
      <c r="Q43" s="156">
        <v>0</v>
      </c>
      <c r="R43" s="156">
        <v>0</v>
      </c>
      <c r="S43" s="156">
        <v>0</v>
      </c>
      <c r="T43" s="156">
        <v>57</v>
      </c>
      <c r="U43" s="156">
        <v>121</v>
      </c>
      <c r="V43" s="156">
        <v>89</v>
      </c>
      <c r="W43" s="156">
        <v>2</v>
      </c>
      <c r="X43" s="156">
        <v>2</v>
      </c>
      <c r="Y43" s="156">
        <v>10</v>
      </c>
      <c r="Z43" s="63">
        <v>60</v>
      </c>
      <c r="AA43" s="63">
        <v>0</v>
      </c>
      <c r="AB43" s="63">
        <v>0</v>
      </c>
      <c r="AC43" s="63">
        <v>26</v>
      </c>
      <c r="AD43" s="63">
        <v>-14</v>
      </c>
      <c r="AE43" s="63">
        <v>-20</v>
      </c>
      <c r="AF43" s="63">
        <v>26</v>
      </c>
      <c r="AG43" s="63">
        <v>-14</v>
      </c>
      <c r="AH43" s="63">
        <v>-20</v>
      </c>
      <c r="AI43" s="155">
        <v>45</v>
      </c>
      <c r="AJ43" s="156">
        <v>51</v>
      </c>
      <c r="AK43" s="157">
        <v>42</v>
      </c>
      <c r="AL43" s="63">
        <v>7</v>
      </c>
      <c r="AM43" s="63">
        <v>16</v>
      </c>
      <c r="AN43" s="63">
        <v>12</v>
      </c>
      <c r="AO43" s="63">
        <v>7</v>
      </c>
      <c r="AP43" s="63">
        <v>16</v>
      </c>
      <c r="AQ43" s="63">
        <v>12</v>
      </c>
      <c r="AR43" s="63">
        <v>140</v>
      </c>
      <c r="AS43" s="63">
        <v>180</v>
      </c>
      <c r="AT43" s="63">
        <v>160</v>
      </c>
      <c r="AU43" s="63">
        <v>173</v>
      </c>
      <c r="AV43" s="63">
        <v>182</v>
      </c>
      <c r="AW43" s="63">
        <v>152</v>
      </c>
      <c r="AX43" s="63">
        <v>33</v>
      </c>
      <c r="AY43" s="63">
        <v>2</v>
      </c>
      <c r="AZ43" s="63">
        <v>-8</v>
      </c>
      <c r="BA43" s="63">
        <v>33</v>
      </c>
      <c r="BB43" s="63">
        <v>2</v>
      </c>
      <c r="BC43" s="63">
        <v>-8</v>
      </c>
      <c r="BE43" s="63">
        <f t="shared" si="80"/>
        <v>0.34682080924855491</v>
      </c>
      <c r="BF43" s="63">
        <f t="shared" si="81"/>
        <v>0</v>
      </c>
      <c r="BG43" s="63">
        <f t="shared" si="82"/>
        <v>0</v>
      </c>
      <c r="BI43" s="63">
        <f t="shared" si="83"/>
        <v>0.34104046242774566</v>
      </c>
      <c r="BJ43" s="63">
        <f t="shared" si="84"/>
        <v>0.67582417582417587</v>
      </c>
      <c r="BK43" s="63">
        <f t="shared" si="85"/>
        <v>0.65131578947368418</v>
      </c>
      <c r="BM43" s="63">
        <f t="shared" si="86"/>
        <v>0</v>
      </c>
      <c r="BN43" s="63">
        <f t="shared" si="87"/>
        <v>0</v>
      </c>
      <c r="BO43" s="63">
        <f t="shared" si="88"/>
        <v>0</v>
      </c>
      <c r="BQ43" s="156">
        <f t="shared" si="89"/>
        <v>0.32947976878612717</v>
      </c>
      <c r="BR43" s="156">
        <f t="shared" si="90"/>
        <v>0.6648351648351648</v>
      </c>
      <c r="BS43" s="156">
        <f t="shared" si="91"/>
        <v>0.58552631578947367</v>
      </c>
      <c r="BU43" s="156">
        <f t="shared" si="92"/>
        <v>1.1560693641618497E-2</v>
      </c>
      <c r="BV43" s="156">
        <f t="shared" si="93"/>
        <v>1.098901098901099E-2</v>
      </c>
      <c r="BW43" s="156">
        <f t="shared" si="94"/>
        <v>6.5789473684210523E-2</v>
      </c>
      <c r="BY43" s="156">
        <f t="shared" si="95"/>
        <v>5.2023121387283239E-2</v>
      </c>
      <c r="BZ43" s="156">
        <f t="shared" si="96"/>
        <v>4.3956043956043959E-2</v>
      </c>
      <c r="CA43" s="156">
        <f t="shared" si="97"/>
        <v>7.2368421052631582E-2</v>
      </c>
      <c r="CC43" s="156">
        <f t="shared" si="98"/>
        <v>0.26011560693641617</v>
      </c>
      <c r="CD43" s="156">
        <f t="shared" si="99"/>
        <v>0.28021978021978022</v>
      </c>
      <c r="CE43" s="156">
        <f t="shared" si="100"/>
        <v>0.27631578947368424</v>
      </c>
      <c r="CG43" s="63">
        <f t="shared" si="35"/>
        <v>1</v>
      </c>
      <c r="CH43" s="63">
        <f t="shared" si="36"/>
        <v>1</v>
      </c>
      <c r="CI43" s="63">
        <f t="shared" si="37"/>
        <v>1</v>
      </c>
      <c r="CK43" s="63">
        <f t="shared" si="38"/>
        <v>0</v>
      </c>
      <c r="CL43" s="63">
        <f t="shared" si="39"/>
        <v>0</v>
      </c>
      <c r="CM43" s="63">
        <f t="shared" si="40"/>
        <v>0</v>
      </c>
      <c r="CO43" s="156">
        <f t="shared" si="41"/>
        <v>0</v>
      </c>
      <c r="CP43" s="156">
        <f t="shared" si="42"/>
        <v>0</v>
      </c>
      <c r="CQ43" s="156">
        <f t="shared" si="43"/>
        <v>0</v>
      </c>
      <c r="CT43" s="63">
        <v>57</v>
      </c>
      <c r="CV43" s="156">
        <f t="shared" si="75"/>
        <v>0.6</v>
      </c>
      <c r="CW43" s="156">
        <f t="shared" si="44"/>
        <v>0</v>
      </c>
      <c r="CX43" s="156">
        <f t="shared" si="45"/>
        <v>0</v>
      </c>
      <c r="CZ43" s="63">
        <f t="shared" si="46"/>
        <v>1</v>
      </c>
      <c r="DA43" s="63">
        <f t="shared" si="47"/>
        <v>0</v>
      </c>
      <c r="DB43" s="63">
        <f t="shared" si="48"/>
        <v>0</v>
      </c>
      <c r="DC43" s="63">
        <f t="shared" si="49"/>
        <v>0</v>
      </c>
      <c r="DD43" s="63">
        <f t="shared" si="50"/>
        <v>0</v>
      </c>
      <c r="DE43" s="63">
        <f t="shared" si="51"/>
        <v>0</v>
      </c>
      <c r="DF43" s="63">
        <f t="shared" si="52"/>
        <v>1</v>
      </c>
      <c r="DG43" s="63">
        <f t="shared" si="53"/>
        <v>1</v>
      </c>
      <c r="DH43" s="63">
        <f t="shared" si="54"/>
        <v>1</v>
      </c>
      <c r="DI43" s="63">
        <f t="shared" si="55"/>
        <v>1</v>
      </c>
      <c r="DJ43" s="63">
        <f t="shared" si="56"/>
        <v>1</v>
      </c>
      <c r="DK43" s="63">
        <f t="shared" si="57"/>
        <v>1</v>
      </c>
      <c r="DL43" s="63">
        <f t="shared" si="58"/>
        <v>1</v>
      </c>
      <c r="DM43" s="63">
        <f t="shared" si="59"/>
        <v>1</v>
      </c>
      <c r="DN43" s="63">
        <f t="shared" si="60"/>
        <v>1</v>
      </c>
      <c r="DO43" s="63">
        <f t="shared" si="61"/>
        <v>1</v>
      </c>
      <c r="DP43" s="63">
        <f t="shared" si="62"/>
        <v>1</v>
      </c>
      <c r="DQ43" s="63">
        <f t="shared" si="63"/>
        <v>1</v>
      </c>
      <c r="DR43" s="63">
        <f t="shared" si="64"/>
        <v>0</v>
      </c>
      <c r="DS43" s="63">
        <f t="shared" si="65"/>
        <v>0</v>
      </c>
      <c r="DT43" s="63">
        <f t="shared" si="66"/>
        <v>0</v>
      </c>
      <c r="DU43" s="63">
        <f t="shared" si="67"/>
        <v>5</v>
      </c>
      <c r="DV43" s="63">
        <f t="shared" si="68"/>
        <v>4</v>
      </c>
      <c r="DW43" s="63">
        <f t="shared" si="69"/>
        <v>4</v>
      </c>
      <c r="DX43" s="63">
        <f t="shared" si="70"/>
        <v>4.333333333333333</v>
      </c>
      <c r="DY43" s="63">
        <f t="shared" si="71"/>
        <v>0.47140452079103168</v>
      </c>
      <c r="DZ43" s="137">
        <f t="shared" si="101"/>
        <v>0</v>
      </c>
      <c r="EA43" s="63">
        <f t="shared" si="101"/>
        <v>0</v>
      </c>
      <c r="EB43" s="63">
        <f t="shared" si="101"/>
        <v>0</v>
      </c>
      <c r="EC43" s="63">
        <f t="shared" si="101"/>
        <v>0</v>
      </c>
      <c r="ED43" s="63">
        <f t="shared" si="101"/>
        <v>1</v>
      </c>
      <c r="EE43" s="63">
        <f t="shared" si="101"/>
        <v>0</v>
      </c>
      <c r="EF43" s="63">
        <f t="shared" si="101"/>
        <v>0</v>
      </c>
      <c r="EG43" s="63">
        <f t="shared" si="102"/>
        <v>0</v>
      </c>
      <c r="EH43" s="63">
        <f t="shared" si="102"/>
        <v>0</v>
      </c>
      <c r="EI43" s="63">
        <f t="shared" si="102"/>
        <v>0</v>
      </c>
      <c r="EJ43" s="63">
        <f t="shared" si="102"/>
        <v>1</v>
      </c>
      <c r="EK43" s="63">
        <f t="shared" si="102"/>
        <v>0</v>
      </c>
      <c r="EL43" s="63">
        <f t="shared" si="102"/>
        <v>0</v>
      </c>
      <c r="EM43" s="63">
        <f t="shared" si="102"/>
        <v>0</v>
      </c>
      <c r="EN43" s="63">
        <f t="shared" si="103"/>
        <v>0</v>
      </c>
      <c r="EO43" s="63">
        <f t="shared" si="103"/>
        <v>0</v>
      </c>
      <c r="EP43" s="63">
        <f t="shared" si="103"/>
        <v>0</v>
      </c>
      <c r="EQ43" s="63">
        <f t="shared" si="103"/>
        <v>1</v>
      </c>
      <c r="ER43" s="63">
        <f t="shared" si="103"/>
        <v>0</v>
      </c>
      <c r="ES43" s="63">
        <f t="shared" si="103"/>
        <v>0</v>
      </c>
      <c r="ET43" s="156">
        <f t="shared" si="103"/>
        <v>0</v>
      </c>
    </row>
    <row r="44" spans="1:205" s="63" customFormat="1">
      <c r="A44" s="63" t="s">
        <v>83</v>
      </c>
      <c r="B44" s="63">
        <v>180</v>
      </c>
      <c r="C44" s="63" t="s">
        <v>38</v>
      </c>
      <c r="D44" s="63" t="s">
        <v>32</v>
      </c>
      <c r="E44" s="63">
        <v>910</v>
      </c>
      <c r="F44" s="63">
        <v>1000</v>
      </c>
      <c r="G44" s="63">
        <v>782</v>
      </c>
      <c r="H44" s="63">
        <v>28</v>
      </c>
      <c r="I44" s="63">
        <v>0</v>
      </c>
      <c r="J44" s="63">
        <v>0</v>
      </c>
      <c r="K44" s="63">
        <v>12</v>
      </c>
      <c r="L44" s="63">
        <v>4</v>
      </c>
      <c r="M44" s="63">
        <v>0</v>
      </c>
      <c r="N44" s="63">
        <v>151</v>
      </c>
      <c r="O44" s="63">
        <v>168</v>
      </c>
      <c r="P44" s="63">
        <v>120</v>
      </c>
      <c r="Q44" s="156">
        <v>0</v>
      </c>
      <c r="R44" s="156">
        <v>0</v>
      </c>
      <c r="S44" s="156">
        <v>0</v>
      </c>
      <c r="T44" s="156">
        <v>20</v>
      </c>
      <c r="U44" s="156">
        <v>21</v>
      </c>
      <c r="V44" s="156">
        <v>0</v>
      </c>
      <c r="W44" s="156">
        <v>131</v>
      </c>
      <c r="X44" s="156">
        <v>147</v>
      </c>
      <c r="Y44" s="156">
        <v>120</v>
      </c>
      <c r="Z44" s="63">
        <v>719</v>
      </c>
      <c r="AA44" s="63">
        <v>828</v>
      </c>
      <c r="AB44" s="63">
        <v>662</v>
      </c>
      <c r="AC44" s="63">
        <v>-473</v>
      </c>
      <c r="AD44" s="63">
        <v>-37</v>
      </c>
      <c r="AE44" s="63">
        <v>-423</v>
      </c>
      <c r="AF44" s="63">
        <v>-481</v>
      </c>
      <c r="AG44" s="63">
        <v>-41</v>
      </c>
      <c r="AH44" s="63">
        <v>-437</v>
      </c>
      <c r="AI44" s="155">
        <v>341</v>
      </c>
      <c r="AJ44" s="156">
        <v>323</v>
      </c>
      <c r="AK44" s="157">
        <v>375</v>
      </c>
      <c r="AL44" s="63">
        <v>341</v>
      </c>
      <c r="AM44" s="63">
        <v>323</v>
      </c>
      <c r="AN44" s="63">
        <v>375</v>
      </c>
      <c r="AO44" s="63">
        <v>341</v>
      </c>
      <c r="AP44" s="63">
        <v>323</v>
      </c>
      <c r="AQ44" s="63">
        <v>375</v>
      </c>
      <c r="AR44" s="63">
        <v>1384</v>
      </c>
      <c r="AS44" s="63">
        <v>1041</v>
      </c>
      <c r="AT44" s="63">
        <v>1219</v>
      </c>
      <c r="AU44" s="63">
        <v>1251</v>
      </c>
      <c r="AV44" s="63">
        <v>1323</v>
      </c>
      <c r="AW44" s="63">
        <v>1157</v>
      </c>
      <c r="AX44" s="63">
        <v>-133</v>
      </c>
      <c r="AY44" s="63">
        <v>282</v>
      </c>
      <c r="AZ44" s="63">
        <v>-62</v>
      </c>
      <c r="BA44" s="63">
        <v>-140</v>
      </c>
      <c r="BB44" s="63">
        <v>282</v>
      </c>
      <c r="BC44" s="63">
        <v>-62</v>
      </c>
      <c r="BE44" s="63">
        <f t="shared" si="80"/>
        <v>0.57474020783373303</v>
      </c>
      <c r="BF44" s="63">
        <f t="shared" si="81"/>
        <v>0.62585034013605445</v>
      </c>
      <c r="BG44" s="63">
        <f t="shared" si="82"/>
        <v>0.57216940363007773</v>
      </c>
      <c r="BI44" s="63">
        <f t="shared" si="83"/>
        <v>0.12070343725019984</v>
      </c>
      <c r="BJ44" s="63">
        <f t="shared" si="84"/>
        <v>0.12698412698412698</v>
      </c>
      <c r="BK44" s="63">
        <f t="shared" si="85"/>
        <v>0.10371650821089023</v>
      </c>
      <c r="BM44" s="63">
        <f t="shared" si="86"/>
        <v>0</v>
      </c>
      <c r="BN44" s="63">
        <f t="shared" si="87"/>
        <v>0</v>
      </c>
      <c r="BO44" s="63">
        <f t="shared" si="88"/>
        <v>0</v>
      </c>
      <c r="BQ44" s="156">
        <f t="shared" si="89"/>
        <v>1.5987210231814548E-2</v>
      </c>
      <c r="BR44" s="156">
        <f t="shared" si="90"/>
        <v>1.5873015873015872E-2</v>
      </c>
      <c r="BS44" s="156">
        <f t="shared" si="91"/>
        <v>0</v>
      </c>
      <c r="BU44" s="156">
        <f t="shared" si="92"/>
        <v>0.10471622701838529</v>
      </c>
      <c r="BV44" s="156">
        <f t="shared" si="93"/>
        <v>0.1111111111111111</v>
      </c>
      <c r="BW44" s="156">
        <f t="shared" si="94"/>
        <v>0.10371650821089023</v>
      </c>
      <c r="BY44" s="156">
        <f t="shared" si="95"/>
        <v>2.2382094324540368E-2</v>
      </c>
      <c r="BZ44" s="156">
        <f t="shared" si="96"/>
        <v>0</v>
      </c>
      <c r="CA44" s="156">
        <f t="shared" si="97"/>
        <v>0</v>
      </c>
      <c r="CC44" s="156">
        <f t="shared" si="98"/>
        <v>0.27258193445243806</v>
      </c>
      <c r="CD44" s="156">
        <f t="shared" si="99"/>
        <v>0.24414210128495842</v>
      </c>
      <c r="CE44" s="156">
        <f t="shared" si="100"/>
        <v>0.32411408815903198</v>
      </c>
      <c r="CG44" s="63">
        <f t="shared" si="35"/>
        <v>0.99040767386091133</v>
      </c>
      <c r="CH44" s="63">
        <f t="shared" si="36"/>
        <v>0.99697656840513982</v>
      </c>
      <c r="CI44" s="63">
        <f t="shared" si="37"/>
        <v>0.99999999999999989</v>
      </c>
      <c r="CK44" s="63">
        <f t="shared" si="38"/>
        <v>9.5923261390886694E-3</v>
      </c>
      <c r="CL44" s="63">
        <f t="shared" si="39"/>
        <v>3.023431594860182E-3</v>
      </c>
      <c r="CM44" s="63">
        <f t="shared" si="40"/>
        <v>0</v>
      </c>
      <c r="CO44" s="156">
        <f t="shared" si="41"/>
        <v>11.999999999999925</v>
      </c>
      <c r="CP44" s="156">
        <f t="shared" si="42"/>
        <v>4.0000000000000204</v>
      </c>
      <c r="CQ44" s="156">
        <f t="shared" si="43"/>
        <v>0</v>
      </c>
      <c r="CT44" s="63">
        <v>20</v>
      </c>
      <c r="CV44" s="156">
        <f t="shared" si="75"/>
        <v>3.9944444444444445</v>
      </c>
      <c r="CW44" s="156">
        <f t="shared" si="44"/>
        <v>4.5999999999999996</v>
      </c>
      <c r="CX44" s="156">
        <f t="shared" si="45"/>
        <v>3.6777777777777776</v>
      </c>
      <c r="CZ44" s="63">
        <f t="shared" si="46"/>
        <v>1</v>
      </c>
      <c r="DA44" s="63">
        <f t="shared" si="47"/>
        <v>1</v>
      </c>
      <c r="DB44" s="63">
        <f t="shared" si="48"/>
        <v>1</v>
      </c>
      <c r="DC44" s="63">
        <f t="shared" si="49"/>
        <v>0</v>
      </c>
      <c r="DD44" s="63">
        <f t="shared" si="50"/>
        <v>0</v>
      </c>
      <c r="DE44" s="63">
        <f t="shared" si="51"/>
        <v>0</v>
      </c>
      <c r="DF44" s="63">
        <f t="shared" si="52"/>
        <v>1</v>
      </c>
      <c r="DG44" s="63">
        <f t="shared" si="53"/>
        <v>1</v>
      </c>
      <c r="DH44" s="63">
        <f t="shared" si="54"/>
        <v>0</v>
      </c>
      <c r="DI44" s="63">
        <f t="shared" si="55"/>
        <v>1</v>
      </c>
      <c r="DJ44" s="63">
        <f t="shared" si="56"/>
        <v>1</v>
      </c>
      <c r="DK44" s="63">
        <f t="shared" si="57"/>
        <v>1</v>
      </c>
      <c r="DL44" s="63">
        <f t="shared" si="58"/>
        <v>1</v>
      </c>
      <c r="DM44" s="63">
        <f t="shared" si="59"/>
        <v>0</v>
      </c>
      <c r="DN44" s="63">
        <f t="shared" si="60"/>
        <v>0</v>
      </c>
      <c r="DO44" s="63">
        <f t="shared" si="61"/>
        <v>1</v>
      </c>
      <c r="DP44" s="63">
        <f t="shared" si="62"/>
        <v>1</v>
      </c>
      <c r="DQ44" s="63">
        <f t="shared" si="63"/>
        <v>1</v>
      </c>
      <c r="DR44" s="63">
        <f t="shared" si="64"/>
        <v>1</v>
      </c>
      <c r="DS44" s="63">
        <f t="shared" si="65"/>
        <v>1</v>
      </c>
      <c r="DT44" s="63">
        <f t="shared" si="66"/>
        <v>0</v>
      </c>
      <c r="DU44" s="63">
        <f t="shared" si="67"/>
        <v>6</v>
      </c>
      <c r="DV44" s="63">
        <f t="shared" si="68"/>
        <v>5</v>
      </c>
      <c r="DW44" s="63">
        <f t="shared" si="69"/>
        <v>3</v>
      </c>
      <c r="DX44" s="63">
        <f t="shared" si="70"/>
        <v>4.666666666666667</v>
      </c>
      <c r="DY44" s="63">
        <f t="shared" si="71"/>
        <v>1.247219128924647</v>
      </c>
      <c r="DZ44" s="137">
        <f t="shared" si="101"/>
        <v>0</v>
      </c>
      <c r="EA44" s="63">
        <f t="shared" si="101"/>
        <v>0</v>
      </c>
      <c r="EB44" s="63">
        <f t="shared" si="101"/>
        <v>0</v>
      </c>
      <c r="EC44" s="63">
        <f t="shared" si="101"/>
        <v>0</v>
      </c>
      <c r="ED44" s="63">
        <f t="shared" si="101"/>
        <v>0</v>
      </c>
      <c r="EE44" s="63">
        <f t="shared" si="101"/>
        <v>1</v>
      </c>
      <c r="EF44" s="63">
        <f t="shared" si="101"/>
        <v>0</v>
      </c>
      <c r="EG44" s="63">
        <f t="shared" si="102"/>
        <v>0</v>
      </c>
      <c r="EH44" s="63">
        <f t="shared" si="102"/>
        <v>0</v>
      </c>
      <c r="EI44" s="63">
        <f t="shared" si="102"/>
        <v>0</v>
      </c>
      <c r="EJ44" s="63">
        <f t="shared" si="102"/>
        <v>0</v>
      </c>
      <c r="EK44" s="63">
        <f t="shared" si="102"/>
        <v>1</v>
      </c>
      <c r="EL44" s="63">
        <f t="shared" si="102"/>
        <v>0</v>
      </c>
      <c r="EM44" s="63">
        <f t="shared" si="102"/>
        <v>0</v>
      </c>
      <c r="EN44" s="63">
        <f t="shared" si="103"/>
        <v>0</v>
      </c>
      <c r="EO44" s="63">
        <f t="shared" si="103"/>
        <v>0</v>
      </c>
      <c r="EP44" s="63">
        <f t="shared" si="103"/>
        <v>1</v>
      </c>
      <c r="EQ44" s="63">
        <f t="shared" si="103"/>
        <v>0</v>
      </c>
      <c r="ER44" s="63">
        <f t="shared" si="103"/>
        <v>0</v>
      </c>
      <c r="ES44" s="63">
        <f t="shared" si="103"/>
        <v>0</v>
      </c>
      <c r="ET44" s="156">
        <f t="shared" si="103"/>
        <v>0</v>
      </c>
    </row>
    <row r="45" spans="1:205" s="63" customFormat="1">
      <c r="A45" s="63" t="s">
        <v>84</v>
      </c>
      <c r="B45" s="63">
        <v>90</v>
      </c>
      <c r="C45" s="63" t="s">
        <v>38</v>
      </c>
      <c r="D45" s="63" t="s">
        <v>33</v>
      </c>
      <c r="E45" s="63">
        <v>550</v>
      </c>
      <c r="F45" s="63">
        <v>544</v>
      </c>
      <c r="G45" s="63">
        <v>537</v>
      </c>
      <c r="H45" s="63">
        <v>264</v>
      </c>
      <c r="I45" s="63">
        <v>286</v>
      </c>
      <c r="J45" s="63">
        <v>355</v>
      </c>
      <c r="K45" s="63">
        <v>286</v>
      </c>
      <c r="L45" s="63">
        <v>0</v>
      </c>
      <c r="M45" s="63">
        <v>0</v>
      </c>
      <c r="N45" s="63">
        <v>0</v>
      </c>
      <c r="O45" s="63">
        <v>0</v>
      </c>
      <c r="P45" s="63">
        <v>76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76</v>
      </c>
      <c r="W45" s="156">
        <v>0</v>
      </c>
      <c r="X45" s="156">
        <v>0</v>
      </c>
      <c r="Y45" s="156">
        <v>0</v>
      </c>
      <c r="Z45" s="63">
        <v>0</v>
      </c>
      <c r="AA45" s="63">
        <v>258</v>
      </c>
      <c r="AB45" s="63">
        <v>106</v>
      </c>
      <c r="AC45" s="63">
        <v>-29</v>
      </c>
      <c r="AD45" s="63">
        <v>-99</v>
      </c>
      <c r="AE45" s="63">
        <v>38</v>
      </c>
      <c r="AF45" s="63">
        <v>-29</v>
      </c>
      <c r="AG45" s="63">
        <v>-99</v>
      </c>
      <c r="AH45" s="63">
        <v>38</v>
      </c>
      <c r="AI45" s="155">
        <v>68</v>
      </c>
      <c r="AJ45" s="156">
        <v>14</v>
      </c>
      <c r="AK45" s="157">
        <v>47</v>
      </c>
      <c r="AL45" s="63">
        <v>30</v>
      </c>
      <c r="AM45" s="63">
        <v>7</v>
      </c>
      <c r="AN45" s="63">
        <v>21</v>
      </c>
      <c r="AO45" s="63">
        <v>30</v>
      </c>
      <c r="AP45" s="63">
        <v>7</v>
      </c>
      <c r="AQ45" s="63">
        <v>21</v>
      </c>
      <c r="AR45" s="63">
        <v>617</v>
      </c>
      <c r="AS45" s="63">
        <v>650</v>
      </c>
      <c r="AT45" s="63">
        <v>525</v>
      </c>
      <c r="AU45" s="63">
        <v>618</v>
      </c>
      <c r="AV45" s="63">
        <v>558</v>
      </c>
      <c r="AW45" s="63">
        <v>584</v>
      </c>
      <c r="AX45" s="63">
        <v>1</v>
      </c>
      <c r="AY45" s="63">
        <v>-92</v>
      </c>
      <c r="AZ45" s="63">
        <v>59</v>
      </c>
      <c r="BA45" s="63">
        <v>1</v>
      </c>
      <c r="BB45" s="63">
        <v>-92</v>
      </c>
      <c r="BC45" s="63">
        <v>59</v>
      </c>
      <c r="BE45" s="63">
        <f t="shared" si="80"/>
        <v>0</v>
      </c>
      <c r="BF45" s="63">
        <f t="shared" si="81"/>
        <v>0.46236559139784944</v>
      </c>
      <c r="BG45" s="63">
        <f t="shared" si="82"/>
        <v>0.1815068493150685</v>
      </c>
      <c r="BI45" s="63">
        <f t="shared" si="83"/>
        <v>0</v>
      </c>
      <c r="BJ45" s="63">
        <f t="shared" si="84"/>
        <v>0</v>
      </c>
      <c r="BK45" s="63">
        <f t="shared" si="85"/>
        <v>0.13013698630136986</v>
      </c>
      <c r="BM45" s="63">
        <f t="shared" si="86"/>
        <v>0</v>
      </c>
      <c r="BN45" s="63">
        <f t="shared" si="87"/>
        <v>0</v>
      </c>
      <c r="BO45" s="63">
        <f t="shared" si="88"/>
        <v>0</v>
      </c>
      <c r="BQ45" s="156">
        <f t="shared" si="89"/>
        <v>0</v>
      </c>
      <c r="BR45" s="156">
        <f t="shared" si="90"/>
        <v>0</v>
      </c>
      <c r="BS45" s="156">
        <f t="shared" si="91"/>
        <v>0.13013698630136986</v>
      </c>
      <c r="BU45" s="156">
        <f t="shared" si="92"/>
        <v>0</v>
      </c>
      <c r="BV45" s="156">
        <f t="shared" si="93"/>
        <v>0</v>
      </c>
      <c r="BW45" s="156">
        <f t="shared" si="94"/>
        <v>0</v>
      </c>
      <c r="BY45" s="156">
        <f t="shared" si="95"/>
        <v>0.42718446601941745</v>
      </c>
      <c r="BZ45" s="156">
        <f t="shared" si="96"/>
        <v>0.51254480286738346</v>
      </c>
      <c r="CA45" s="156">
        <f t="shared" si="97"/>
        <v>0.60787671232876717</v>
      </c>
      <c r="CC45" s="156">
        <f t="shared" si="98"/>
        <v>0.11003236245954692</v>
      </c>
      <c r="CD45" s="156">
        <f t="shared" si="99"/>
        <v>2.5089605734767026E-2</v>
      </c>
      <c r="CE45" s="156">
        <f t="shared" si="100"/>
        <v>8.0479452054794523E-2</v>
      </c>
      <c r="CG45" s="63">
        <f t="shared" si="35"/>
        <v>0.53721682847896435</v>
      </c>
      <c r="CH45" s="63">
        <f t="shared" si="36"/>
        <v>0.99999999999999989</v>
      </c>
      <c r="CI45" s="63">
        <f t="shared" si="37"/>
        <v>1</v>
      </c>
      <c r="CK45" s="63">
        <f t="shared" si="38"/>
        <v>0.46278317152103565</v>
      </c>
      <c r="CL45" s="63">
        <f t="shared" si="39"/>
        <v>0</v>
      </c>
      <c r="CM45" s="63">
        <f t="shared" si="40"/>
        <v>0</v>
      </c>
      <c r="CO45" s="156">
        <f t="shared" si="41"/>
        <v>286.00000000000006</v>
      </c>
      <c r="CP45" s="156">
        <f t="shared" si="42"/>
        <v>0</v>
      </c>
      <c r="CQ45" s="156">
        <f t="shared" si="43"/>
        <v>0</v>
      </c>
      <c r="CT45" s="63">
        <v>0</v>
      </c>
      <c r="CV45" s="156">
        <f t="shared" si="75"/>
        <v>0</v>
      </c>
      <c r="CW45" s="156">
        <f t="shared" si="44"/>
        <v>2.8666666666666667</v>
      </c>
      <c r="CX45" s="156">
        <f t="shared" si="45"/>
        <v>1.1777777777777778</v>
      </c>
      <c r="CZ45" s="63">
        <f t="shared" si="46"/>
        <v>0</v>
      </c>
      <c r="DA45" s="63">
        <f t="shared" si="47"/>
        <v>1</v>
      </c>
      <c r="DB45" s="63">
        <f t="shared" si="48"/>
        <v>1</v>
      </c>
      <c r="DC45" s="63">
        <f t="shared" si="49"/>
        <v>0</v>
      </c>
      <c r="DD45" s="63">
        <f t="shared" si="50"/>
        <v>0</v>
      </c>
      <c r="DE45" s="63">
        <f t="shared" si="51"/>
        <v>0</v>
      </c>
      <c r="DF45" s="63">
        <f t="shared" si="52"/>
        <v>0</v>
      </c>
      <c r="DG45" s="63">
        <f t="shared" si="53"/>
        <v>0</v>
      </c>
      <c r="DH45" s="63">
        <f t="shared" si="54"/>
        <v>1</v>
      </c>
      <c r="DI45" s="63">
        <f t="shared" si="55"/>
        <v>0</v>
      </c>
      <c r="DJ45" s="63">
        <f t="shared" si="56"/>
        <v>0</v>
      </c>
      <c r="DK45" s="63">
        <f t="shared" si="57"/>
        <v>0</v>
      </c>
      <c r="DL45" s="63">
        <f t="shared" si="58"/>
        <v>1</v>
      </c>
      <c r="DM45" s="63">
        <f t="shared" si="59"/>
        <v>1</v>
      </c>
      <c r="DN45" s="63">
        <f t="shared" si="60"/>
        <v>1</v>
      </c>
      <c r="DO45" s="63">
        <f t="shared" si="61"/>
        <v>1</v>
      </c>
      <c r="DP45" s="63">
        <f t="shared" si="62"/>
        <v>1</v>
      </c>
      <c r="DQ45" s="63">
        <f t="shared" si="63"/>
        <v>1</v>
      </c>
      <c r="DR45" s="63">
        <f t="shared" si="64"/>
        <v>1</v>
      </c>
      <c r="DS45" s="63">
        <f t="shared" si="65"/>
        <v>0</v>
      </c>
      <c r="DT45" s="63">
        <f t="shared" si="66"/>
        <v>0</v>
      </c>
      <c r="DU45" s="63">
        <f t="shared" si="67"/>
        <v>3</v>
      </c>
      <c r="DV45" s="63">
        <f t="shared" si="68"/>
        <v>3</v>
      </c>
      <c r="DW45" s="63">
        <f t="shared" si="69"/>
        <v>4</v>
      </c>
      <c r="DX45" s="63">
        <f t="shared" si="70"/>
        <v>3.3333333333333335</v>
      </c>
      <c r="DY45" s="63">
        <f t="shared" si="71"/>
        <v>0.47140452079103168</v>
      </c>
      <c r="DZ45" s="137">
        <f t="shared" si="101"/>
        <v>0</v>
      </c>
      <c r="EA45" s="63">
        <f t="shared" si="101"/>
        <v>0</v>
      </c>
      <c r="EB45" s="63">
        <f t="shared" si="101"/>
        <v>1</v>
      </c>
      <c r="EC45" s="63">
        <f t="shared" si="101"/>
        <v>0</v>
      </c>
      <c r="ED45" s="63">
        <f t="shared" si="101"/>
        <v>0</v>
      </c>
      <c r="EE45" s="63">
        <f t="shared" si="101"/>
        <v>0</v>
      </c>
      <c r="EF45" s="63">
        <f t="shared" si="101"/>
        <v>0</v>
      </c>
      <c r="EG45" s="63">
        <f t="shared" si="102"/>
        <v>0</v>
      </c>
      <c r="EH45" s="63">
        <f t="shared" si="102"/>
        <v>0</v>
      </c>
      <c r="EI45" s="63">
        <f t="shared" si="102"/>
        <v>1</v>
      </c>
      <c r="EJ45" s="63">
        <f t="shared" si="102"/>
        <v>0</v>
      </c>
      <c r="EK45" s="63">
        <f t="shared" si="102"/>
        <v>0</v>
      </c>
      <c r="EL45" s="63">
        <f t="shared" si="102"/>
        <v>0</v>
      </c>
      <c r="EM45" s="63">
        <f t="shared" si="102"/>
        <v>0</v>
      </c>
      <c r="EN45" s="63">
        <f t="shared" si="103"/>
        <v>0</v>
      </c>
      <c r="EO45" s="63">
        <f t="shared" si="103"/>
        <v>0</v>
      </c>
      <c r="EP45" s="63">
        <f t="shared" si="103"/>
        <v>0</v>
      </c>
      <c r="EQ45" s="63">
        <f t="shared" si="103"/>
        <v>1</v>
      </c>
      <c r="ER45" s="63">
        <f t="shared" si="103"/>
        <v>0</v>
      </c>
      <c r="ES45" s="63">
        <f t="shared" si="103"/>
        <v>0</v>
      </c>
      <c r="ET45" s="156">
        <f t="shared" si="103"/>
        <v>0</v>
      </c>
    </row>
    <row r="46" spans="1:205" s="63" customFormat="1">
      <c r="A46" s="63" t="s">
        <v>85</v>
      </c>
      <c r="B46" s="63">
        <v>80</v>
      </c>
      <c r="C46" s="63" t="s">
        <v>38</v>
      </c>
      <c r="D46" s="63" t="s">
        <v>35</v>
      </c>
      <c r="E46" s="63">
        <v>386</v>
      </c>
      <c r="F46" s="63">
        <v>448</v>
      </c>
      <c r="G46" s="63">
        <v>540</v>
      </c>
      <c r="H46" s="63">
        <v>87</v>
      </c>
      <c r="I46" s="63">
        <v>129</v>
      </c>
      <c r="J46" s="63">
        <v>108</v>
      </c>
      <c r="K46" s="63">
        <v>0</v>
      </c>
      <c r="L46" s="63">
        <v>0</v>
      </c>
      <c r="M46" s="63">
        <v>4</v>
      </c>
      <c r="N46" s="63">
        <v>152</v>
      </c>
      <c r="O46" s="63">
        <v>103</v>
      </c>
      <c r="P46" s="63">
        <v>131</v>
      </c>
      <c r="Q46" s="156">
        <v>21</v>
      </c>
      <c r="R46" s="156">
        <v>1</v>
      </c>
      <c r="S46" s="156">
        <v>0</v>
      </c>
      <c r="T46" s="156">
        <v>102</v>
      </c>
      <c r="U46" s="156">
        <v>78</v>
      </c>
      <c r="V46" s="156">
        <v>106</v>
      </c>
      <c r="W46" s="156">
        <v>29</v>
      </c>
      <c r="X46" s="156">
        <v>24</v>
      </c>
      <c r="Y46" s="156">
        <v>25</v>
      </c>
      <c r="Z46" s="63">
        <v>145</v>
      </c>
      <c r="AA46" s="63">
        <v>216</v>
      </c>
      <c r="AB46" s="63">
        <v>296</v>
      </c>
      <c r="AC46" s="63">
        <v>-23</v>
      </c>
      <c r="AD46" s="63">
        <v>-1</v>
      </c>
      <c r="AE46" s="63">
        <v>-18</v>
      </c>
      <c r="AF46" s="63">
        <v>-23</v>
      </c>
      <c r="AG46" s="63">
        <v>-1</v>
      </c>
      <c r="AH46" s="63">
        <v>-18</v>
      </c>
      <c r="AI46" s="155">
        <v>0</v>
      </c>
      <c r="AJ46" s="156">
        <v>0</v>
      </c>
      <c r="AK46" s="157">
        <v>0</v>
      </c>
      <c r="AL46" s="63">
        <v>0</v>
      </c>
      <c r="AM46" s="63">
        <v>0</v>
      </c>
      <c r="AN46" s="63">
        <v>0</v>
      </c>
      <c r="AO46" s="63">
        <v>0</v>
      </c>
      <c r="AP46" s="63">
        <v>0</v>
      </c>
      <c r="AQ46" s="63">
        <v>0</v>
      </c>
      <c r="AR46" s="63">
        <v>408</v>
      </c>
      <c r="AS46" s="63">
        <v>449</v>
      </c>
      <c r="AT46" s="63">
        <v>557</v>
      </c>
      <c r="AU46" s="63">
        <v>386</v>
      </c>
      <c r="AV46" s="63">
        <v>448</v>
      </c>
      <c r="AW46" s="63">
        <v>540</v>
      </c>
      <c r="AX46" s="63">
        <v>-22</v>
      </c>
      <c r="AY46" s="63">
        <v>-1</v>
      </c>
      <c r="AZ46" s="63">
        <v>-17</v>
      </c>
      <c r="BA46" s="63">
        <v>-23</v>
      </c>
      <c r="BB46" s="63">
        <v>-1</v>
      </c>
      <c r="BC46" s="63">
        <v>-18</v>
      </c>
      <c r="BE46" s="63">
        <f t="shared" si="80"/>
        <v>0.37564766839378239</v>
      </c>
      <c r="BF46" s="63">
        <f t="shared" si="81"/>
        <v>0.48214285714285715</v>
      </c>
      <c r="BG46" s="63">
        <f t="shared" si="82"/>
        <v>0.54814814814814816</v>
      </c>
      <c r="BI46" s="63">
        <f t="shared" si="83"/>
        <v>0.39378238341968913</v>
      </c>
      <c r="BJ46" s="63">
        <f t="shared" si="84"/>
        <v>0.22991071428571427</v>
      </c>
      <c r="BK46" s="63">
        <f t="shared" si="85"/>
        <v>0.24259259259259258</v>
      </c>
      <c r="BM46" s="63">
        <f t="shared" si="86"/>
        <v>5.4404145077720206E-2</v>
      </c>
      <c r="BN46" s="63">
        <f t="shared" si="87"/>
        <v>2.232142857142857E-3</v>
      </c>
      <c r="BO46" s="63">
        <f t="shared" si="88"/>
        <v>0</v>
      </c>
      <c r="BQ46" s="156">
        <f t="shared" si="89"/>
        <v>0.26424870466321243</v>
      </c>
      <c r="BR46" s="156">
        <f t="shared" si="90"/>
        <v>0.17410714285714285</v>
      </c>
      <c r="BS46" s="156">
        <f t="shared" si="91"/>
        <v>0.1962962962962963</v>
      </c>
      <c r="BU46" s="156">
        <f t="shared" si="92"/>
        <v>7.512953367875648E-2</v>
      </c>
      <c r="BV46" s="156">
        <f t="shared" si="93"/>
        <v>5.3571428571428568E-2</v>
      </c>
      <c r="BW46" s="156">
        <f t="shared" si="94"/>
        <v>4.6296296296296294E-2</v>
      </c>
      <c r="BY46" s="156">
        <f t="shared" si="95"/>
        <v>0.22538860103626943</v>
      </c>
      <c r="BZ46" s="156">
        <f t="shared" si="96"/>
        <v>0.28794642857142855</v>
      </c>
      <c r="CA46" s="156">
        <f t="shared" si="97"/>
        <v>0.2</v>
      </c>
      <c r="CC46" s="156">
        <f t="shared" si="98"/>
        <v>0</v>
      </c>
      <c r="CD46" s="156">
        <f t="shared" si="99"/>
        <v>0</v>
      </c>
      <c r="CE46" s="156">
        <f t="shared" si="100"/>
        <v>0</v>
      </c>
      <c r="CG46" s="63">
        <f t="shared" si="35"/>
        <v>0.99481865284974103</v>
      </c>
      <c r="CH46" s="63">
        <f t="shared" si="36"/>
        <v>1</v>
      </c>
      <c r="CI46" s="63">
        <f t="shared" si="37"/>
        <v>0.9907407407407407</v>
      </c>
      <c r="CK46" s="63">
        <f t="shared" si="38"/>
        <v>5.1813471502589747E-3</v>
      </c>
      <c r="CL46" s="63">
        <f t="shared" si="39"/>
        <v>0</v>
      </c>
      <c r="CM46" s="63">
        <f t="shared" si="40"/>
        <v>9.2592592592593004E-3</v>
      </c>
      <c r="CO46" s="156">
        <f t="shared" si="41"/>
        <v>1.9999999999999643</v>
      </c>
      <c r="CP46" s="156">
        <f t="shared" si="42"/>
        <v>0</v>
      </c>
      <c r="CQ46" s="156">
        <f t="shared" si="43"/>
        <v>5.0000000000000222</v>
      </c>
      <c r="CT46" s="63">
        <v>102</v>
      </c>
      <c r="CV46" s="156">
        <f t="shared" si="75"/>
        <v>1.8125</v>
      </c>
      <c r="CW46" s="156">
        <f t="shared" si="44"/>
        <v>2.7</v>
      </c>
      <c r="CX46" s="156">
        <f t="shared" si="45"/>
        <v>3.7</v>
      </c>
      <c r="CZ46" s="63">
        <f t="shared" si="46"/>
        <v>1</v>
      </c>
      <c r="DA46" s="63">
        <f t="shared" si="47"/>
        <v>1</v>
      </c>
      <c r="DB46" s="63">
        <f t="shared" si="48"/>
        <v>1</v>
      </c>
      <c r="DC46" s="63">
        <f t="shared" si="49"/>
        <v>1</v>
      </c>
      <c r="DD46" s="63">
        <f t="shared" si="50"/>
        <v>1</v>
      </c>
      <c r="DE46" s="63">
        <f t="shared" si="51"/>
        <v>0</v>
      </c>
      <c r="DF46" s="63">
        <f t="shared" si="52"/>
        <v>1</v>
      </c>
      <c r="DG46" s="63">
        <f t="shared" si="53"/>
        <v>1</v>
      </c>
      <c r="DH46" s="63">
        <f t="shared" si="54"/>
        <v>1</v>
      </c>
      <c r="DI46" s="63">
        <f t="shared" si="55"/>
        <v>1</v>
      </c>
      <c r="DJ46" s="63">
        <f t="shared" si="56"/>
        <v>1</v>
      </c>
      <c r="DK46" s="63">
        <f t="shared" si="57"/>
        <v>1</v>
      </c>
      <c r="DL46" s="63">
        <f t="shared" si="58"/>
        <v>1</v>
      </c>
      <c r="DM46" s="63">
        <f t="shared" si="59"/>
        <v>1</v>
      </c>
      <c r="DN46" s="63">
        <f t="shared" si="60"/>
        <v>1</v>
      </c>
      <c r="DO46" s="63">
        <f t="shared" si="61"/>
        <v>0</v>
      </c>
      <c r="DP46" s="63">
        <f t="shared" si="62"/>
        <v>0</v>
      </c>
      <c r="DQ46" s="63">
        <f t="shared" si="63"/>
        <v>0</v>
      </c>
      <c r="DR46" s="63">
        <f t="shared" si="64"/>
        <v>1</v>
      </c>
      <c r="DS46" s="63">
        <f t="shared" si="65"/>
        <v>0</v>
      </c>
      <c r="DT46" s="63">
        <f t="shared" si="66"/>
        <v>1</v>
      </c>
      <c r="DU46" s="63">
        <f t="shared" si="67"/>
        <v>6</v>
      </c>
      <c r="DV46" s="63">
        <f t="shared" si="68"/>
        <v>5</v>
      </c>
      <c r="DW46" s="63">
        <f t="shared" si="69"/>
        <v>5</v>
      </c>
      <c r="DX46" s="63">
        <f t="shared" si="70"/>
        <v>5.333333333333333</v>
      </c>
      <c r="DY46" s="63">
        <f t="shared" si="71"/>
        <v>0.47140452079103168</v>
      </c>
      <c r="DZ46" s="137">
        <f t="shared" si="101"/>
        <v>0</v>
      </c>
      <c r="EA46" s="63">
        <f t="shared" si="101"/>
        <v>0</v>
      </c>
      <c r="EB46" s="63">
        <f t="shared" si="101"/>
        <v>0</v>
      </c>
      <c r="EC46" s="63">
        <f t="shared" si="101"/>
        <v>0</v>
      </c>
      <c r="ED46" s="63">
        <f t="shared" si="101"/>
        <v>0</v>
      </c>
      <c r="EE46" s="63">
        <f t="shared" si="101"/>
        <v>1</v>
      </c>
      <c r="EF46" s="63">
        <f t="shared" si="101"/>
        <v>0</v>
      </c>
      <c r="EG46" s="63">
        <f t="shared" si="102"/>
        <v>0</v>
      </c>
      <c r="EH46" s="63">
        <f t="shared" si="102"/>
        <v>0</v>
      </c>
      <c r="EI46" s="63">
        <f t="shared" si="102"/>
        <v>0</v>
      </c>
      <c r="EJ46" s="63">
        <f t="shared" si="102"/>
        <v>0</v>
      </c>
      <c r="EK46" s="63">
        <f t="shared" si="102"/>
        <v>1</v>
      </c>
      <c r="EL46" s="63">
        <f t="shared" si="102"/>
        <v>0</v>
      </c>
      <c r="EM46" s="63">
        <f t="shared" si="102"/>
        <v>0</v>
      </c>
      <c r="EN46" s="63">
        <f t="shared" si="103"/>
        <v>0</v>
      </c>
      <c r="EO46" s="63">
        <f t="shared" si="103"/>
        <v>0</v>
      </c>
      <c r="EP46" s="63">
        <f t="shared" si="103"/>
        <v>0</v>
      </c>
      <c r="EQ46" s="63">
        <f t="shared" si="103"/>
        <v>0</v>
      </c>
      <c r="ER46" s="63">
        <f t="shared" si="103"/>
        <v>1</v>
      </c>
      <c r="ES46" s="63">
        <f t="shared" si="103"/>
        <v>0</v>
      </c>
      <c r="ET46" s="156">
        <f t="shared" si="103"/>
        <v>0</v>
      </c>
    </row>
    <row r="47" spans="1:205" s="63" customFormat="1">
      <c r="A47" s="63" t="s">
        <v>86</v>
      </c>
      <c r="B47" s="63">
        <v>50</v>
      </c>
      <c r="C47" s="63" t="s">
        <v>38</v>
      </c>
      <c r="D47" s="63" t="s">
        <v>33</v>
      </c>
      <c r="E47" s="63">
        <v>138</v>
      </c>
      <c r="F47" s="63">
        <v>143</v>
      </c>
      <c r="G47" s="63">
        <v>152</v>
      </c>
      <c r="H47" s="63">
        <v>0</v>
      </c>
      <c r="I47" s="63">
        <v>30</v>
      </c>
      <c r="J47" s="63">
        <v>13</v>
      </c>
      <c r="K47" s="63">
        <v>69</v>
      </c>
      <c r="L47" s="63">
        <v>0</v>
      </c>
      <c r="M47" s="63">
        <v>9</v>
      </c>
      <c r="N47" s="63">
        <v>24</v>
      </c>
      <c r="O47" s="63">
        <v>13</v>
      </c>
      <c r="P47" s="63">
        <v>30</v>
      </c>
      <c r="Q47" s="156">
        <v>0</v>
      </c>
      <c r="R47" s="156">
        <v>0</v>
      </c>
      <c r="S47" s="156">
        <v>0</v>
      </c>
      <c r="T47" s="156">
        <v>21</v>
      </c>
      <c r="U47" s="156">
        <v>10</v>
      </c>
      <c r="V47" s="156">
        <v>27</v>
      </c>
      <c r="W47" s="156">
        <v>3</v>
      </c>
      <c r="X47" s="156">
        <v>3</v>
      </c>
      <c r="Y47" s="156">
        <v>3</v>
      </c>
      <c r="Z47" s="63">
        <v>45</v>
      </c>
      <c r="AA47" s="63">
        <v>100</v>
      </c>
      <c r="AB47" s="63">
        <v>100</v>
      </c>
      <c r="AC47" s="63">
        <v>-96</v>
      </c>
      <c r="AD47" s="63">
        <v>-63</v>
      </c>
      <c r="AE47" s="63">
        <v>-189</v>
      </c>
      <c r="AF47" s="63">
        <v>-96</v>
      </c>
      <c r="AG47" s="63">
        <v>-63</v>
      </c>
      <c r="AH47" s="63">
        <v>-189</v>
      </c>
      <c r="AI47" s="155">
        <v>96</v>
      </c>
      <c r="AJ47" s="156">
        <v>131</v>
      </c>
      <c r="AK47" s="157">
        <v>127</v>
      </c>
      <c r="AL47" s="63">
        <v>96</v>
      </c>
      <c r="AM47" s="63">
        <v>131</v>
      </c>
      <c r="AN47" s="63">
        <v>127</v>
      </c>
      <c r="AO47" s="63">
        <v>96</v>
      </c>
      <c r="AP47" s="63">
        <v>131</v>
      </c>
      <c r="AQ47" s="63">
        <v>127</v>
      </c>
      <c r="AR47" s="63">
        <v>234</v>
      </c>
      <c r="AS47" s="63">
        <v>206</v>
      </c>
      <c r="AT47" s="63">
        <v>341</v>
      </c>
      <c r="AU47" s="63">
        <v>234</v>
      </c>
      <c r="AV47" s="63">
        <v>274</v>
      </c>
      <c r="AW47" s="63">
        <v>279</v>
      </c>
      <c r="AX47" s="63">
        <v>0</v>
      </c>
      <c r="AY47" s="63">
        <v>68</v>
      </c>
      <c r="AZ47" s="63">
        <v>-62</v>
      </c>
      <c r="BA47" s="63">
        <v>0</v>
      </c>
      <c r="BB47" s="63">
        <v>68</v>
      </c>
      <c r="BC47" s="63">
        <v>-62</v>
      </c>
      <c r="BE47" s="63">
        <f t="shared" si="80"/>
        <v>0.19230769230769232</v>
      </c>
      <c r="BF47" s="63">
        <f t="shared" si="81"/>
        <v>0.36496350364963503</v>
      </c>
      <c r="BG47" s="63">
        <f t="shared" si="82"/>
        <v>0.35842293906810035</v>
      </c>
      <c r="BI47" s="63">
        <f t="shared" si="83"/>
        <v>0.10256410256410256</v>
      </c>
      <c r="BJ47" s="63">
        <f t="shared" si="84"/>
        <v>4.7445255474452552E-2</v>
      </c>
      <c r="BK47" s="63">
        <f t="shared" si="85"/>
        <v>0.10752688172043011</v>
      </c>
      <c r="BM47" s="63">
        <f t="shared" si="86"/>
        <v>0</v>
      </c>
      <c r="BN47" s="63">
        <f t="shared" si="87"/>
        <v>0</v>
      </c>
      <c r="BO47" s="63">
        <f t="shared" si="88"/>
        <v>0</v>
      </c>
      <c r="BQ47" s="156">
        <f t="shared" si="89"/>
        <v>8.9743589743589744E-2</v>
      </c>
      <c r="BR47" s="156">
        <f t="shared" si="90"/>
        <v>3.6496350364963501E-2</v>
      </c>
      <c r="BS47" s="156">
        <f t="shared" si="91"/>
        <v>9.6774193548387094E-2</v>
      </c>
      <c r="BU47" s="156">
        <f t="shared" si="92"/>
        <v>1.282051282051282E-2</v>
      </c>
      <c r="BV47" s="156">
        <f t="shared" si="93"/>
        <v>1.0948905109489052E-2</v>
      </c>
      <c r="BW47" s="156">
        <f t="shared" si="94"/>
        <v>1.0752688172043012E-2</v>
      </c>
      <c r="BY47" s="156">
        <f t="shared" si="95"/>
        <v>0</v>
      </c>
      <c r="BZ47" s="156">
        <f t="shared" si="96"/>
        <v>0.10948905109489052</v>
      </c>
      <c r="CA47" s="156">
        <f t="shared" si="97"/>
        <v>4.6594982078853049E-2</v>
      </c>
      <c r="CC47" s="156">
        <f t="shared" si="98"/>
        <v>0.41025641025641024</v>
      </c>
      <c r="CD47" s="156">
        <f t="shared" si="99"/>
        <v>0.47810218978102192</v>
      </c>
      <c r="CE47" s="156">
        <f t="shared" si="100"/>
        <v>0.45519713261648748</v>
      </c>
      <c r="CG47" s="63">
        <f t="shared" si="35"/>
        <v>0.70512820512820507</v>
      </c>
      <c r="CH47" s="63">
        <f t="shared" si="36"/>
        <v>1</v>
      </c>
      <c r="CI47" s="63">
        <f t="shared" si="37"/>
        <v>0.967741935483871</v>
      </c>
      <c r="CK47" s="63">
        <f t="shared" si="38"/>
        <v>0.29487179487179493</v>
      </c>
      <c r="CL47" s="63">
        <f t="shared" si="39"/>
        <v>0</v>
      </c>
      <c r="CM47" s="63">
        <f t="shared" si="40"/>
        <v>3.2258064516129004E-2</v>
      </c>
      <c r="CO47" s="156">
        <f t="shared" si="41"/>
        <v>69.000000000000014</v>
      </c>
      <c r="CP47" s="156">
        <f t="shared" si="42"/>
        <v>0</v>
      </c>
      <c r="CQ47" s="156">
        <f t="shared" si="43"/>
        <v>8.9999999999999929</v>
      </c>
      <c r="CT47" s="63">
        <v>21</v>
      </c>
      <c r="CV47" s="156">
        <f t="shared" si="75"/>
        <v>0.9</v>
      </c>
      <c r="CW47" s="156">
        <f t="shared" si="44"/>
        <v>2</v>
      </c>
      <c r="CX47" s="156">
        <f t="shared" si="45"/>
        <v>2</v>
      </c>
      <c r="CZ47" s="63">
        <f t="shared" si="46"/>
        <v>1</v>
      </c>
      <c r="DA47" s="63">
        <f t="shared" si="47"/>
        <v>1</v>
      </c>
      <c r="DB47" s="63">
        <f t="shared" si="48"/>
        <v>1</v>
      </c>
      <c r="DC47" s="63">
        <f t="shared" si="49"/>
        <v>0</v>
      </c>
      <c r="DD47" s="63">
        <f t="shared" si="50"/>
        <v>0</v>
      </c>
      <c r="DE47" s="63">
        <f t="shared" si="51"/>
        <v>0</v>
      </c>
      <c r="DF47" s="63">
        <f t="shared" si="52"/>
        <v>1</v>
      </c>
      <c r="DG47" s="63">
        <f t="shared" si="53"/>
        <v>1</v>
      </c>
      <c r="DH47" s="63">
        <f t="shared" si="54"/>
        <v>1</v>
      </c>
      <c r="DI47" s="63">
        <f t="shared" si="55"/>
        <v>1</v>
      </c>
      <c r="DJ47" s="63">
        <f t="shared" si="56"/>
        <v>1</v>
      </c>
      <c r="DK47" s="63">
        <f t="shared" si="57"/>
        <v>1</v>
      </c>
      <c r="DL47" s="63">
        <f t="shared" si="58"/>
        <v>0</v>
      </c>
      <c r="DM47" s="63">
        <f t="shared" si="59"/>
        <v>1</v>
      </c>
      <c r="DN47" s="63">
        <f t="shared" si="60"/>
        <v>1</v>
      </c>
      <c r="DO47" s="63">
        <f t="shared" si="61"/>
        <v>1</v>
      </c>
      <c r="DP47" s="63">
        <f t="shared" si="62"/>
        <v>1</v>
      </c>
      <c r="DQ47" s="63">
        <f t="shared" si="63"/>
        <v>1</v>
      </c>
      <c r="DR47" s="63">
        <f t="shared" si="64"/>
        <v>1</v>
      </c>
      <c r="DS47" s="63">
        <f t="shared" si="65"/>
        <v>0</v>
      </c>
      <c r="DT47" s="63">
        <f t="shared" si="66"/>
        <v>1</v>
      </c>
      <c r="DU47" s="63">
        <f t="shared" si="67"/>
        <v>5</v>
      </c>
      <c r="DV47" s="63">
        <f t="shared" si="68"/>
        <v>5</v>
      </c>
      <c r="DW47" s="63">
        <f t="shared" si="69"/>
        <v>6</v>
      </c>
      <c r="DX47" s="63">
        <f t="shared" si="70"/>
        <v>5.333333333333333</v>
      </c>
      <c r="DY47" s="63">
        <f t="shared" si="71"/>
        <v>0.47140452079103168</v>
      </c>
      <c r="DZ47" s="137">
        <f t="shared" si="101"/>
        <v>0</v>
      </c>
      <c r="EA47" s="63">
        <f t="shared" si="101"/>
        <v>0</v>
      </c>
      <c r="EB47" s="63">
        <f t="shared" si="101"/>
        <v>0</v>
      </c>
      <c r="EC47" s="63">
        <f t="shared" si="101"/>
        <v>0</v>
      </c>
      <c r="ED47" s="63">
        <f t="shared" si="101"/>
        <v>1</v>
      </c>
      <c r="EE47" s="63">
        <f t="shared" si="101"/>
        <v>0</v>
      </c>
      <c r="EF47" s="63">
        <f t="shared" si="101"/>
        <v>0</v>
      </c>
      <c r="EG47" s="63">
        <f t="shared" si="102"/>
        <v>0</v>
      </c>
      <c r="EH47" s="63">
        <f t="shared" si="102"/>
        <v>0</v>
      </c>
      <c r="EI47" s="63">
        <f t="shared" si="102"/>
        <v>0</v>
      </c>
      <c r="EJ47" s="63">
        <f t="shared" si="102"/>
        <v>0</v>
      </c>
      <c r="EK47" s="63">
        <f t="shared" si="102"/>
        <v>1</v>
      </c>
      <c r="EL47" s="63">
        <f t="shared" si="102"/>
        <v>0</v>
      </c>
      <c r="EM47" s="63">
        <f t="shared" si="102"/>
        <v>0</v>
      </c>
      <c r="EN47" s="63">
        <f t="shared" si="103"/>
        <v>0</v>
      </c>
      <c r="EO47" s="63">
        <f t="shared" si="103"/>
        <v>0</v>
      </c>
      <c r="EP47" s="63">
        <f t="shared" si="103"/>
        <v>0</v>
      </c>
      <c r="EQ47" s="63">
        <f t="shared" si="103"/>
        <v>0</v>
      </c>
      <c r="ER47" s="63">
        <f t="shared" si="103"/>
        <v>0</v>
      </c>
      <c r="ES47" s="63">
        <f t="shared" si="103"/>
        <v>1</v>
      </c>
      <c r="ET47" s="156">
        <f t="shared" si="103"/>
        <v>0</v>
      </c>
    </row>
    <row r="48" spans="1:205" s="63" customFormat="1">
      <c r="A48" s="63" t="s">
        <v>91</v>
      </c>
      <c r="B48" s="63">
        <v>70</v>
      </c>
      <c r="C48" s="63" t="s">
        <v>38</v>
      </c>
      <c r="D48" s="63" t="s">
        <v>35</v>
      </c>
      <c r="E48" s="63">
        <v>310</v>
      </c>
      <c r="F48" s="63">
        <v>160</v>
      </c>
      <c r="G48" s="63">
        <v>427</v>
      </c>
      <c r="H48" s="63">
        <v>0</v>
      </c>
      <c r="I48" s="63">
        <v>0</v>
      </c>
      <c r="J48" s="63">
        <v>0</v>
      </c>
      <c r="K48" s="63">
        <v>23</v>
      </c>
      <c r="L48" s="63">
        <v>33</v>
      </c>
      <c r="M48" s="63">
        <v>243</v>
      </c>
      <c r="N48" s="63">
        <v>87</v>
      </c>
      <c r="O48" s="63">
        <v>50</v>
      </c>
      <c r="P48" s="63">
        <v>43</v>
      </c>
      <c r="Q48" s="156">
        <v>21</v>
      </c>
      <c r="R48" s="156">
        <v>0</v>
      </c>
      <c r="S48" s="156">
        <v>0</v>
      </c>
      <c r="T48" s="156">
        <v>52</v>
      </c>
      <c r="U48" s="156">
        <v>29</v>
      </c>
      <c r="V48" s="156">
        <v>33</v>
      </c>
      <c r="W48" s="156">
        <v>14</v>
      </c>
      <c r="X48" s="156">
        <v>21</v>
      </c>
      <c r="Y48" s="156">
        <v>10</v>
      </c>
      <c r="Z48" s="63">
        <v>200</v>
      </c>
      <c r="AA48" s="63">
        <v>77</v>
      </c>
      <c r="AB48" s="63">
        <v>141</v>
      </c>
      <c r="AC48" s="63">
        <v>109</v>
      </c>
      <c r="AD48" s="63">
        <v>-97</v>
      </c>
      <c r="AE48" s="63">
        <v>216</v>
      </c>
      <c r="AF48" s="63">
        <v>109</v>
      </c>
      <c r="AG48" s="63">
        <v>-97</v>
      </c>
      <c r="AH48" s="63">
        <v>216</v>
      </c>
      <c r="AI48" s="155">
        <v>0</v>
      </c>
      <c r="AJ48" s="156">
        <v>0</v>
      </c>
      <c r="AK48" s="157">
        <v>0</v>
      </c>
      <c r="AL48" s="63">
        <v>0</v>
      </c>
      <c r="AM48" s="63">
        <v>0</v>
      </c>
      <c r="AN48" s="63">
        <v>0</v>
      </c>
      <c r="AO48" s="63">
        <v>0</v>
      </c>
      <c r="AP48" s="63">
        <v>0</v>
      </c>
      <c r="AQ48" s="63">
        <v>0</v>
      </c>
      <c r="AR48" s="63">
        <v>201</v>
      </c>
      <c r="AS48" s="63">
        <v>257</v>
      </c>
      <c r="AT48" s="63">
        <v>211</v>
      </c>
      <c r="AU48" s="63">
        <v>310</v>
      </c>
      <c r="AV48" s="63">
        <v>160</v>
      </c>
      <c r="AW48" s="63">
        <v>427</v>
      </c>
      <c r="AX48" s="63">
        <v>109</v>
      </c>
      <c r="AY48" s="63">
        <v>-97</v>
      </c>
      <c r="AZ48" s="63">
        <v>216</v>
      </c>
      <c r="BA48" s="63">
        <v>109</v>
      </c>
      <c r="BB48" s="63">
        <v>-97</v>
      </c>
      <c r="BC48" s="63">
        <v>216</v>
      </c>
      <c r="BE48" s="63">
        <f t="shared" si="80"/>
        <v>0.64516129032258063</v>
      </c>
      <c r="BF48" s="63">
        <f t="shared" si="81"/>
        <v>0.48125000000000001</v>
      </c>
      <c r="BG48" s="63">
        <f t="shared" si="82"/>
        <v>0.33021077283372363</v>
      </c>
      <c r="BI48" s="63">
        <f t="shared" si="83"/>
        <v>0.28064516129032258</v>
      </c>
      <c r="BJ48" s="63">
        <f t="shared" si="84"/>
        <v>0.3125</v>
      </c>
      <c r="BK48" s="63">
        <f t="shared" si="85"/>
        <v>0.10070257611241218</v>
      </c>
      <c r="BM48" s="63">
        <f t="shared" si="86"/>
        <v>6.7741935483870974E-2</v>
      </c>
      <c r="BN48" s="63">
        <f t="shared" si="87"/>
        <v>0</v>
      </c>
      <c r="BO48" s="63">
        <f t="shared" si="88"/>
        <v>0</v>
      </c>
      <c r="BQ48" s="156">
        <f t="shared" si="89"/>
        <v>0.16774193548387098</v>
      </c>
      <c r="BR48" s="156">
        <f t="shared" si="90"/>
        <v>0.18124999999999999</v>
      </c>
      <c r="BS48" s="156">
        <f t="shared" si="91"/>
        <v>7.7283372365339581E-2</v>
      </c>
      <c r="BU48" s="156">
        <f t="shared" si="92"/>
        <v>4.5161290322580643E-2</v>
      </c>
      <c r="BV48" s="156">
        <f t="shared" si="93"/>
        <v>0.13125000000000001</v>
      </c>
      <c r="BW48" s="156">
        <f t="shared" si="94"/>
        <v>2.3419203747072601E-2</v>
      </c>
      <c r="BY48" s="156">
        <f t="shared" si="95"/>
        <v>0</v>
      </c>
      <c r="BZ48" s="156">
        <f t="shared" si="96"/>
        <v>0</v>
      </c>
      <c r="CA48" s="156">
        <f t="shared" si="97"/>
        <v>0</v>
      </c>
      <c r="CC48" s="156">
        <f t="shared" si="98"/>
        <v>0</v>
      </c>
      <c r="CD48" s="156">
        <f t="shared" si="99"/>
        <v>0</v>
      </c>
      <c r="CE48" s="156">
        <f t="shared" si="100"/>
        <v>0</v>
      </c>
      <c r="CG48" s="63">
        <f t="shared" si="35"/>
        <v>0.9258064516129032</v>
      </c>
      <c r="CH48" s="63">
        <f t="shared" si="36"/>
        <v>0.79374999999999996</v>
      </c>
      <c r="CI48" s="63">
        <f t="shared" si="37"/>
        <v>0.43091334894613581</v>
      </c>
      <c r="CK48" s="63">
        <f t="shared" si="38"/>
        <v>7.4193548387096797E-2</v>
      </c>
      <c r="CL48" s="63">
        <f t="shared" si="39"/>
        <v>0.20625000000000004</v>
      </c>
      <c r="CM48" s="63">
        <f t="shared" si="40"/>
        <v>0.56908665105386413</v>
      </c>
      <c r="CO48" s="156">
        <f t="shared" si="41"/>
        <v>23.000000000000007</v>
      </c>
      <c r="CP48" s="156">
        <f t="shared" si="42"/>
        <v>33.000000000000007</v>
      </c>
      <c r="CQ48" s="156">
        <f t="shared" si="43"/>
        <v>242.99999999999997</v>
      </c>
      <c r="CT48" s="63">
        <v>52</v>
      </c>
      <c r="CV48" s="156">
        <f t="shared" si="75"/>
        <v>2.8571428571428572</v>
      </c>
      <c r="CW48" s="156">
        <f t="shared" si="44"/>
        <v>1.1000000000000001</v>
      </c>
      <c r="CX48" s="156">
        <f t="shared" si="45"/>
        <v>2.0142857142857142</v>
      </c>
      <c r="CZ48" s="63">
        <f t="shared" si="46"/>
        <v>1</v>
      </c>
      <c r="DA48" s="63">
        <f t="shared" si="47"/>
        <v>1</v>
      </c>
      <c r="DB48" s="63">
        <f t="shared" si="48"/>
        <v>1</v>
      </c>
      <c r="DC48" s="63">
        <f t="shared" si="49"/>
        <v>1</v>
      </c>
      <c r="DD48" s="63">
        <f t="shared" si="50"/>
        <v>0</v>
      </c>
      <c r="DE48" s="63">
        <f t="shared" si="51"/>
        <v>0</v>
      </c>
      <c r="DF48" s="63">
        <f t="shared" si="52"/>
        <v>1</v>
      </c>
      <c r="DG48" s="63">
        <f t="shared" si="53"/>
        <v>1</v>
      </c>
      <c r="DH48" s="63">
        <f t="shared" si="54"/>
        <v>1</v>
      </c>
      <c r="DI48" s="63">
        <f t="shared" si="55"/>
        <v>1</v>
      </c>
      <c r="DJ48" s="63">
        <f t="shared" si="56"/>
        <v>1</v>
      </c>
      <c r="DK48" s="63">
        <f t="shared" si="57"/>
        <v>1</v>
      </c>
      <c r="DL48" s="63">
        <f t="shared" si="58"/>
        <v>0</v>
      </c>
      <c r="DM48" s="63">
        <f t="shared" si="59"/>
        <v>0</v>
      </c>
      <c r="DN48" s="63">
        <f t="shared" si="60"/>
        <v>0</v>
      </c>
      <c r="DO48" s="63">
        <f t="shared" si="61"/>
        <v>0</v>
      </c>
      <c r="DP48" s="63">
        <f t="shared" si="62"/>
        <v>0</v>
      </c>
      <c r="DQ48" s="63">
        <f t="shared" si="63"/>
        <v>0</v>
      </c>
      <c r="DR48" s="63">
        <f t="shared" si="64"/>
        <v>1</v>
      </c>
      <c r="DS48" s="63">
        <f t="shared" si="65"/>
        <v>1</v>
      </c>
      <c r="DT48" s="63">
        <f t="shared" si="66"/>
        <v>1</v>
      </c>
      <c r="DU48" s="63">
        <f t="shared" si="67"/>
        <v>5</v>
      </c>
      <c r="DV48" s="63">
        <f t="shared" si="68"/>
        <v>4</v>
      </c>
      <c r="DW48" s="63">
        <f t="shared" si="69"/>
        <v>4</v>
      </c>
      <c r="DX48" s="63">
        <f t="shared" si="70"/>
        <v>4.333333333333333</v>
      </c>
      <c r="DY48" s="63">
        <f t="shared" si="71"/>
        <v>0.47140452079103168</v>
      </c>
      <c r="DZ48" s="137">
        <f t="shared" si="101"/>
        <v>0</v>
      </c>
      <c r="EA48" s="63">
        <f t="shared" si="101"/>
        <v>0</v>
      </c>
      <c r="EB48" s="63">
        <f t="shared" si="101"/>
        <v>0</v>
      </c>
      <c r="EC48" s="63">
        <f t="shared" si="101"/>
        <v>0</v>
      </c>
      <c r="ED48" s="63">
        <f t="shared" si="101"/>
        <v>1</v>
      </c>
      <c r="EE48" s="63">
        <f t="shared" si="101"/>
        <v>0</v>
      </c>
      <c r="EF48" s="63">
        <f t="shared" si="101"/>
        <v>0</v>
      </c>
      <c r="EG48" s="63">
        <f t="shared" si="102"/>
        <v>0</v>
      </c>
      <c r="EH48" s="63">
        <f t="shared" si="102"/>
        <v>0</v>
      </c>
      <c r="EI48" s="63">
        <f t="shared" si="102"/>
        <v>0</v>
      </c>
      <c r="EJ48" s="63">
        <f t="shared" si="102"/>
        <v>1</v>
      </c>
      <c r="EK48" s="63">
        <f t="shared" si="102"/>
        <v>0</v>
      </c>
      <c r="EL48" s="63">
        <f t="shared" si="102"/>
        <v>0</v>
      </c>
      <c r="EM48" s="63">
        <f t="shared" si="102"/>
        <v>0</v>
      </c>
      <c r="EN48" s="63">
        <f t="shared" si="103"/>
        <v>0</v>
      </c>
      <c r="EO48" s="63">
        <f t="shared" si="103"/>
        <v>0</v>
      </c>
      <c r="EP48" s="63">
        <f t="shared" si="103"/>
        <v>0</v>
      </c>
      <c r="EQ48" s="63">
        <f t="shared" si="103"/>
        <v>1</v>
      </c>
      <c r="ER48" s="63">
        <f t="shared" si="103"/>
        <v>0</v>
      </c>
      <c r="ES48" s="63">
        <f t="shared" si="103"/>
        <v>0</v>
      </c>
      <c r="ET48" s="156">
        <f t="shared" si="103"/>
        <v>0</v>
      </c>
    </row>
    <row r="49" spans="1:205" s="63" customFormat="1">
      <c r="A49" s="63" t="s">
        <v>95</v>
      </c>
      <c r="B49" s="63">
        <v>255</v>
      </c>
      <c r="C49" s="63" t="s">
        <v>38</v>
      </c>
      <c r="D49" s="63" t="s">
        <v>35</v>
      </c>
      <c r="E49" s="63">
        <v>1462</v>
      </c>
      <c r="F49" s="63">
        <v>2658</v>
      </c>
      <c r="G49" s="63">
        <v>2980</v>
      </c>
      <c r="H49" s="63">
        <v>942</v>
      </c>
      <c r="I49" s="63">
        <v>9</v>
      </c>
      <c r="J49" s="63">
        <v>17</v>
      </c>
      <c r="K49" s="63">
        <v>0</v>
      </c>
      <c r="L49" s="63">
        <v>348</v>
      </c>
      <c r="M49" s="63">
        <v>494</v>
      </c>
      <c r="N49" s="63">
        <v>104</v>
      </c>
      <c r="O49" s="63">
        <v>1828</v>
      </c>
      <c r="P49" s="63">
        <v>1522</v>
      </c>
      <c r="Q49" s="156">
        <v>0</v>
      </c>
      <c r="R49" s="156">
        <v>637</v>
      </c>
      <c r="S49" s="156">
        <v>428</v>
      </c>
      <c r="T49" s="156">
        <v>104</v>
      </c>
      <c r="U49" s="156">
        <v>247</v>
      </c>
      <c r="V49" s="156">
        <v>77</v>
      </c>
      <c r="W49" s="156">
        <v>0</v>
      </c>
      <c r="X49" s="156">
        <v>944</v>
      </c>
      <c r="Y49" s="156">
        <v>1017</v>
      </c>
      <c r="Z49" s="63">
        <v>416</v>
      </c>
      <c r="AA49" s="63">
        <v>473</v>
      </c>
      <c r="AB49" s="63">
        <v>947</v>
      </c>
      <c r="AC49" s="63">
        <v>-756</v>
      </c>
      <c r="AD49" s="63">
        <v>-237</v>
      </c>
      <c r="AE49" s="63">
        <v>-511</v>
      </c>
      <c r="AF49" s="63">
        <v>-756</v>
      </c>
      <c r="AG49" s="63">
        <v>-237</v>
      </c>
      <c r="AH49" s="63">
        <v>-511</v>
      </c>
      <c r="AI49" s="155">
        <v>2218</v>
      </c>
      <c r="AJ49" s="156">
        <v>2012</v>
      </c>
      <c r="AK49" s="157">
        <v>2044</v>
      </c>
      <c r="AL49" s="63">
        <v>1328</v>
      </c>
      <c r="AM49" s="63">
        <v>1097</v>
      </c>
      <c r="AN49" s="63">
        <v>915</v>
      </c>
      <c r="AO49" s="63">
        <v>1151</v>
      </c>
      <c r="AP49" s="63">
        <v>951</v>
      </c>
      <c r="AQ49" s="63">
        <v>798</v>
      </c>
      <c r="AR49" s="63">
        <v>3108</v>
      </c>
      <c r="AS49" s="63">
        <v>3956</v>
      </c>
      <c r="AT49" s="63">
        <v>4737</v>
      </c>
      <c r="AU49" s="63">
        <v>3680</v>
      </c>
      <c r="AV49" s="63">
        <v>4670</v>
      </c>
      <c r="AW49" s="63">
        <v>5024</v>
      </c>
      <c r="AX49" s="63">
        <v>572</v>
      </c>
      <c r="AY49" s="63">
        <v>714</v>
      </c>
      <c r="AZ49" s="63">
        <v>287</v>
      </c>
      <c r="BA49" s="63">
        <v>395</v>
      </c>
      <c r="BB49" s="63">
        <v>714</v>
      </c>
      <c r="BC49" s="63">
        <v>287</v>
      </c>
      <c r="BE49" s="63">
        <f t="shared" si="80"/>
        <v>0.11304347826086956</v>
      </c>
      <c r="BF49" s="63">
        <f t="shared" si="81"/>
        <v>0.1012847965738758</v>
      </c>
      <c r="BG49" s="63">
        <f t="shared" si="82"/>
        <v>0.18849522292993631</v>
      </c>
      <c r="BI49" s="63">
        <f t="shared" si="83"/>
        <v>2.8260869565217391E-2</v>
      </c>
      <c r="BJ49" s="63">
        <f t="shared" si="84"/>
        <v>0.39143468950749466</v>
      </c>
      <c r="BK49" s="63">
        <f t="shared" si="85"/>
        <v>0.30294585987261147</v>
      </c>
      <c r="BM49" s="63">
        <f t="shared" si="86"/>
        <v>0</v>
      </c>
      <c r="BN49" s="63">
        <f t="shared" si="87"/>
        <v>0.13640256959314775</v>
      </c>
      <c r="BO49" s="63">
        <f t="shared" si="88"/>
        <v>8.5191082802547766E-2</v>
      </c>
      <c r="BQ49" s="156">
        <f t="shared" si="89"/>
        <v>2.8260869565217391E-2</v>
      </c>
      <c r="BR49" s="156">
        <f t="shared" si="90"/>
        <v>5.2890792291220554E-2</v>
      </c>
      <c r="BS49" s="156">
        <f t="shared" si="91"/>
        <v>1.5326433121019108E-2</v>
      </c>
      <c r="BU49" s="156">
        <f t="shared" si="92"/>
        <v>0</v>
      </c>
      <c r="BV49" s="156">
        <f t="shared" si="93"/>
        <v>0.20214132762312634</v>
      </c>
      <c r="BW49" s="156">
        <f t="shared" si="94"/>
        <v>0.20242834394904458</v>
      </c>
      <c r="BY49" s="156">
        <f t="shared" si="95"/>
        <v>0.25597826086956521</v>
      </c>
      <c r="BZ49" s="156">
        <f t="shared" si="96"/>
        <v>1.9271948608137045E-3</v>
      </c>
      <c r="CA49" s="156">
        <f t="shared" si="97"/>
        <v>3.3837579617834396E-3</v>
      </c>
      <c r="CC49" s="156">
        <f t="shared" si="98"/>
        <v>0.60271739130434787</v>
      </c>
      <c r="CD49" s="156">
        <f t="shared" si="99"/>
        <v>0.43083511777301925</v>
      </c>
      <c r="CE49" s="156">
        <f t="shared" si="100"/>
        <v>0.40684713375796178</v>
      </c>
      <c r="CG49" s="63">
        <f t="shared" si="35"/>
        <v>1</v>
      </c>
      <c r="CH49" s="63">
        <f t="shared" si="36"/>
        <v>0.92548179871520342</v>
      </c>
      <c r="CI49" s="63">
        <f t="shared" si="37"/>
        <v>0.90167197452229297</v>
      </c>
      <c r="CK49" s="63">
        <f t="shared" si="38"/>
        <v>0</v>
      </c>
      <c r="CL49" s="63">
        <f t="shared" si="39"/>
        <v>7.4518201284796581E-2</v>
      </c>
      <c r="CM49" s="63">
        <f t="shared" si="40"/>
        <v>9.8328025477707026E-2</v>
      </c>
      <c r="CO49" s="156">
        <f t="shared" si="41"/>
        <v>0</v>
      </c>
      <c r="CP49" s="156">
        <f t="shared" si="42"/>
        <v>348.00000000000006</v>
      </c>
      <c r="CQ49" s="156">
        <f t="shared" si="43"/>
        <v>494.00000000000011</v>
      </c>
      <c r="CT49" s="63">
        <v>104</v>
      </c>
      <c r="CV49" s="156">
        <f t="shared" si="75"/>
        <v>1.6313725490196078</v>
      </c>
      <c r="CW49" s="156">
        <f t="shared" si="44"/>
        <v>1.8549019607843138</v>
      </c>
      <c r="CX49" s="156">
        <f t="shared" si="45"/>
        <v>3.7137254901960786</v>
      </c>
      <c r="CZ49" s="63">
        <f t="shared" si="46"/>
        <v>1</v>
      </c>
      <c r="DA49" s="63">
        <f t="shared" si="47"/>
        <v>1</v>
      </c>
      <c r="DB49" s="63">
        <f t="shared" si="48"/>
        <v>1</v>
      </c>
      <c r="DC49" s="63">
        <f t="shared" si="49"/>
        <v>0</v>
      </c>
      <c r="DD49" s="63">
        <f t="shared" si="50"/>
        <v>1</v>
      </c>
      <c r="DE49" s="63">
        <f t="shared" si="51"/>
        <v>1</v>
      </c>
      <c r="DF49" s="63">
        <f t="shared" si="52"/>
        <v>1</v>
      </c>
      <c r="DG49" s="63">
        <f t="shared" si="53"/>
        <v>1</v>
      </c>
      <c r="DH49" s="63">
        <f t="shared" si="54"/>
        <v>1</v>
      </c>
      <c r="DI49" s="63">
        <f t="shared" si="55"/>
        <v>0</v>
      </c>
      <c r="DJ49" s="63">
        <f t="shared" si="56"/>
        <v>1</v>
      </c>
      <c r="DK49" s="63">
        <f t="shared" si="57"/>
        <v>1</v>
      </c>
      <c r="DL49" s="63">
        <f t="shared" si="58"/>
        <v>1</v>
      </c>
      <c r="DM49" s="63">
        <f t="shared" si="59"/>
        <v>1</v>
      </c>
      <c r="DN49" s="63">
        <f t="shared" si="60"/>
        <v>1</v>
      </c>
      <c r="DO49" s="63">
        <f t="shared" si="61"/>
        <v>1</v>
      </c>
      <c r="DP49" s="63">
        <f t="shared" si="62"/>
        <v>1</v>
      </c>
      <c r="DQ49" s="63">
        <f t="shared" si="63"/>
        <v>1</v>
      </c>
      <c r="DR49" s="63">
        <f t="shared" si="64"/>
        <v>0</v>
      </c>
      <c r="DS49" s="63">
        <f t="shared" si="65"/>
        <v>1</v>
      </c>
      <c r="DT49" s="63">
        <f t="shared" si="66"/>
        <v>1</v>
      </c>
      <c r="DU49" s="63">
        <f t="shared" si="67"/>
        <v>4</v>
      </c>
      <c r="DV49" s="63">
        <f t="shared" si="68"/>
        <v>7</v>
      </c>
      <c r="DW49" s="63">
        <f t="shared" si="69"/>
        <v>7</v>
      </c>
      <c r="DX49" s="63">
        <f t="shared" si="70"/>
        <v>6</v>
      </c>
      <c r="DY49" s="63">
        <f t="shared" si="71"/>
        <v>1.4142135623730951</v>
      </c>
      <c r="DZ49" s="137">
        <f t="shared" si="101"/>
        <v>0</v>
      </c>
      <c r="EA49" s="63">
        <f t="shared" si="101"/>
        <v>0</v>
      </c>
      <c r="EB49" s="63">
        <f t="shared" si="101"/>
        <v>0</v>
      </c>
      <c r="EC49" s="63">
        <f t="shared" si="101"/>
        <v>1</v>
      </c>
      <c r="ED49" s="63">
        <f t="shared" si="101"/>
        <v>0</v>
      </c>
      <c r="EE49" s="63">
        <f t="shared" si="101"/>
        <v>0</v>
      </c>
      <c r="EF49" s="63">
        <f t="shared" si="101"/>
        <v>0</v>
      </c>
      <c r="EG49" s="63">
        <f t="shared" si="102"/>
        <v>0</v>
      </c>
      <c r="EH49" s="63">
        <f t="shared" si="102"/>
        <v>0</v>
      </c>
      <c r="EI49" s="63">
        <f t="shared" si="102"/>
        <v>0</v>
      </c>
      <c r="EJ49" s="63">
        <f t="shared" si="102"/>
        <v>0</v>
      </c>
      <c r="EK49" s="63">
        <f t="shared" si="102"/>
        <v>0</v>
      </c>
      <c r="EL49" s="63">
        <f t="shared" si="102"/>
        <v>0</v>
      </c>
      <c r="EM49" s="63">
        <f t="shared" si="102"/>
        <v>1</v>
      </c>
      <c r="EN49" s="63">
        <f t="shared" si="103"/>
        <v>0</v>
      </c>
      <c r="EO49" s="63">
        <f t="shared" si="103"/>
        <v>0</v>
      </c>
      <c r="EP49" s="63">
        <f t="shared" si="103"/>
        <v>0</v>
      </c>
      <c r="EQ49" s="63">
        <f t="shared" si="103"/>
        <v>0</v>
      </c>
      <c r="ER49" s="63">
        <f t="shared" si="103"/>
        <v>0</v>
      </c>
      <c r="ES49" s="63">
        <f t="shared" si="103"/>
        <v>0</v>
      </c>
      <c r="ET49" s="156">
        <f t="shared" si="103"/>
        <v>1</v>
      </c>
    </row>
    <row r="50" spans="1:205" s="63" customFormat="1">
      <c r="A50" s="63" t="s">
        <v>110</v>
      </c>
      <c r="B50" s="63">
        <v>230</v>
      </c>
      <c r="C50" s="63" t="s">
        <v>38</v>
      </c>
      <c r="D50" s="63" t="s">
        <v>32</v>
      </c>
      <c r="E50" s="63">
        <v>426</v>
      </c>
      <c r="F50" s="63">
        <v>588</v>
      </c>
      <c r="G50" s="63">
        <v>765</v>
      </c>
      <c r="H50" s="63">
        <v>67</v>
      </c>
      <c r="I50" s="63">
        <v>293</v>
      </c>
      <c r="J50" s="63">
        <v>293</v>
      </c>
      <c r="K50" s="63">
        <v>0</v>
      </c>
      <c r="L50" s="63">
        <v>24</v>
      </c>
      <c r="M50" s="63">
        <v>44</v>
      </c>
      <c r="N50" s="63">
        <v>190</v>
      </c>
      <c r="O50" s="63">
        <v>81</v>
      </c>
      <c r="P50" s="63">
        <v>93</v>
      </c>
      <c r="Q50" s="156">
        <v>0</v>
      </c>
      <c r="R50" s="156">
        <v>0</v>
      </c>
      <c r="S50" s="156">
        <v>0</v>
      </c>
      <c r="T50" s="156">
        <v>158</v>
      </c>
      <c r="U50" s="156">
        <v>41</v>
      </c>
      <c r="V50" s="156">
        <v>48</v>
      </c>
      <c r="W50" s="156">
        <v>32</v>
      </c>
      <c r="X50" s="156">
        <v>40</v>
      </c>
      <c r="Y50" s="156">
        <v>45</v>
      </c>
      <c r="Z50" s="63">
        <v>169</v>
      </c>
      <c r="AA50" s="63">
        <v>190</v>
      </c>
      <c r="AB50" s="63">
        <v>335</v>
      </c>
      <c r="AC50" s="63">
        <v>0</v>
      </c>
      <c r="AD50" s="63">
        <v>0</v>
      </c>
      <c r="AE50" s="63">
        <v>-253</v>
      </c>
      <c r="AF50" s="63">
        <v>0</v>
      </c>
      <c r="AG50" s="63">
        <v>0</v>
      </c>
      <c r="AH50" s="63">
        <v>-253</v>
      </c>
      <c r="AI50" s="155">
        <v>0</v>
      </c>
      <c r="AJ50" s="156">
        <v>0</v>
      </c>
      <c r="AK50" s="157">
        <v>0</v>
      </c>
      <c r="AL50" s="63">
        <v>0</v>
      </c>
      <c r="AM50" s="63">
        <v>0</v>
      </c>
      <c r="AN50" s="63">
        <v>0</v>
      </c>
      <c r="AO50" s="63">
        <v>0</v>
      </c>
      <c r="AP50" s="63">
        <v>0</v>
      </c>
      <c r="AQ50" s="63">
        <v>0</v>
      </c>
      <c r="AR50" s="63">
        <v>426</v>
      </c>
      <c r="AS50" s="63">
        <v>588</v>
      </c>
      <c r="AT50" s="63">
        <v>1018</v>
      </c>
      <c r="AU50" s="63">
        <v>426</v>
      </c>
      <c r="AV50" s="63">
        <v>588</v>
      </c>
      <c r="AW50" s="63">
        <v>765</v>
      </c>
      <c r="AX50" s="63">
        <v>0</v>
      </c>
      <c r="AY50" s="63">
        <v>0</v>
      </c>
      <c r="AZ50" s="63">
        <v>-253</v>
      </c>
      <c r="BA50" s="63">
        <v>0</v>
      </c>
      <c r="BB50" s="63">
        <v>0</v>
      </c>
      <c r="BC50" s="63">
        <v>-253</v>
      </c>
      <c r="BE50" s="63">
        <f t="shared" si="80"/>
        <v>0.39671361502347419</v>
      </c>
      <c r="BF50" s="63">
        <f t="shared" si="81"/>
        <v>0.3231292517006803</v>
      </c>
      <c r="BG50" s="63">
        <f t="shared" si="82"/>
        <v>0.43790849673202614</v>
      </c>
      <c r="BI50" s="63">
        <f t="shared" si="83"/>
        <v>0.4460093896713615</v>
      </c>
      <c r="BJ50" s="63">
        <f t="shared" si="84"/>
        <v>0.13775510204081631</v>
      </c>
      <c r="BK50" s="63">
        <f t="shared" si="85"/>
        <v>0.12156862745098039</v>
      </c>
      <c r="BM50" s="63">
        <f t="shared" si="86"/>
        <v>0</v>
      </c>
      <c r="BN50" s="63">
        <f t="shared" si="87"/>
        <v>0</v>
      </c>
      <c r="BO50" s="63">
        <f t="shared" si="88"/>
        <v>0</v>
      </c>
      <c r="BQ50" s="156">
        <f t="shared" si="89"/>
        <v>0.37089201877934275</v>
      </c>
      <c r="BR50" s="156">
        <f t="shared" si="90"/>
        <v>6.9727891156462579E-2</v>
      </c>
      <c r="BS50" s="156">
        <f t="shared" si="91"/>
        <v>6.2745098039215685E-2</v>
      </c>
      <c r="BU50" s="156">
        <f t="shared" si="92"/>
        <v>7.5117370892018781E-2</v>
      </c>
      <c r="BV50" s="156">
        <f t="shared" si="93"/>
        <v>6.8027210884353748E-2</v>
      </c>
      <c r="BW50" s="156">
        <f t="shared" si="94"/>
        <v>5.8823529411764705E-2</v>
      </c>
      <c r="BY50" s="156">
        <f t="shared" si="95"/>
        <v>0.15727699530516431</v>
      </c>
      <c r="BZ50" s="156">
        <f t="shared" si="96"/>
        <v>0.49829931972789115</v>
      </c>
      <c r="CA50" s="156">
        <f t="shared" si="97"/>
        <v>0.38300653594771245</v>
      </c>
      <c r="CC50" s="156">
        <f t="shared" si="98"/>
        <v>0</v>
      </c>
      <c r="CD50" s="156">
        <f t="shared" si="99"/>
        <v>0</v>
      </c>
      <c r="CE50" s="156">
        <f t="shared" si="100"/>
        <v>0</v>
      </c>
      <c r="CG50" s="63">
        <f t="shared" si="35"/>
        <v>1</v>
      </c>
      <c r="CH50" s="63">
        <f t="shared" si="36"/>
        <v>0.95918367346938771</v>
      </c>
      <c r="CI50" s="63">
        <f t="shared" si="37"/>
        <v>0.94248366013071894</v>
      </c>
      <c r="CK50" s="63">
        <f t="shared" si="38"/>
        <v>0</v>
      </c>
      <c r="CL50" s="63">
        <f t="shared" si="39"/>
        <v>4.081632653061229E-2</v>
      </c>
      <c r="CM50" s="63">
        <f t="shared" si="40"/>
        <v>5.7516339869281063E-2</v>
      </c>
      <c r="CO50" s="156">
        <f t="shared" si="41"/>
        <v>0</v>
      </c>
      <c r="CP50" s="156">
        <f t="shared" si="42"/>
        <v>24.000000000000028</v>
      </c>
      <c r="CQ50" s="156">
        <f t="shared" si="43"/>
        <v>44.000000000000014</v>
      </c>
      <c r="CT50" s="63">
        <v>158</v>
      </c>
      <c r="CV50" s="156">
        <f t="shared" si="75"/>
        <v>0.73478260869565215</v>
      </c>
      <c r="CW50" s="156">
        <f t="shared" si="44"/>
        <v>0.82608695652173914</v>
      </c>
      <c r="CX50" s="156">
        <f t="shared" si="45"/>
        <v>1.4565217391304348</v>
      </c>
      <c r="CZ50" s="63">
        <f t="shared" si="46"/>
        <v>1</v>
      </c>
      <c r="DA50" s="63">
        <f t="shared" si="47"/>
        <v>1</v>
      </c>
      <c r="DB50" s="63">
        <f t="shared" si="48"/>
        <v>1</v>
      </c>
      <c r="DC50" s="63">
        <f t="shared" si="49"/>
        <v>0</v>
      </c>
      <c r="DD50" s="63">
        <f t="shared" si="50"/>
        <v>0</v>
      </c>
      <c r="DE50" s="63">
        <f t="shared" si="51"/>
        <v>0</v>
      </c>
      <c r="DF50" s="63">
        <f t="shared" si="52"/>
        <v>1</v>
      </c>
      <c r="DG50" s="63">
        <f t="shared" si="53"/>
        <v>1</v>
      </c>
      <c r="DH50" s="63">
        <f t="shared" si="54"/>
        <v>1</v>
      </c>
      <c r="DI50" s="63">
        <f t="shared" si="55"/>
        <v>1</v>
      </c>
      <c r="DJ50" s="63">
        <f t="shared" si="56"/>
        <v>1</v>
      </c>
      <c r="DK50" s="63">
        <f t="shared" si="57"/>
        <v>1</v>
      </c>
      <c r="DL50" s="63">
        <f t="shared" si="58"/>
        <v>1</v>
      </c>
      <c r="DM50" s="63">
        <f t="shared" si="59"/>
        <v>1</v>
      </c>
      <c r="DN50" s="63">
        <f t="shared" si="60"/>
        <v>1</v>
      </c>
      <c r="DO50" s="63">
        <f t="shared" si="61"/>
        <v>0</v>
      </c>
      <c r="DP50" s="63">
        <f t="shared" si="62"/>
        <v>0</v>
      </c>
      <c r="DQ50" s="63">
        <f t="shared" si="63"/>
        <v>0</v>
      </c>
      <c r="DR50" s="63">
        <f t="shared" si="64"/>
        <v>0</v>
      </c>
      <c r="DS50" s="63">
        <f t="shared" si="65"/>
        <v>1</v>
      </c>
      <c r="DT50" s="63">
        <f t="shared" si="66"/>
        <v>1</v>
      </c>
      <c r="DU50" s="63">
        <f t="shared" si="67"/>
        <v>4</v>
      </c>
      <c r="DV50" s="63">
        <f t="shared" si="68"/>
        <v>5</v>
      </c>
      <c r="DW50" s="63">
        <f t="shared" si="69"/>
        <v>5</v>
      </c>
      <c r="DX50" s="63">
        <f t="shared" si="70"/>
        <v>4.666666666666667</v>
      </c>
      <c r="DY50" s="63">
        <f t="shared" si="71"/>
        <v>0.47140452079103168</v>
      </c>
      <c r="DZ50" s="137">
        <f t="shared" si="101"/>
        <v>0</v>
      </c>
      <c r="EA50" s="63">
        <f t="shared" si="101"/>
        <v>0</v>
      </c>
      <c r="EB50" s="63">
        <f t="shared" si="101"/>
        <v>0</v>
      </c>
      <c r="EC50" s="63">
        <f t="shared" si="101"/>
        <v>1</v>
      </c>
      <c r="ED50" s="63">
        <f t="shared" si="101"/>
        <v>0</v>
      </c>
      <c r="EE50" s="63">
        <f t="shared" si="101"/>
        <v>0</v>
      </c>
      <c r="EF50" s="63">
        <f t="shared" si="101"/>
        <v>0</v>
      </c>
      <c r="EG50" s="63">
        <f t="shared" si="102"/>
        <v>0</v>
      </c>
      <c r="EH50" s="63">
        <f t="shared" si="102"/>
        <v>0</v>
      </c>
      <c r="EI50" s="63">
        <f t="shared" si="102"/>
        <v>0</v>
      </c>
      <c r="EJ50" s="63">
        <f t="shared" si="102"/>
        <v>0</v>
      </c>
      <c r="EK50" s="63">
        <f t="shared" si="102"/>
        <v>1</v>
      </c>
      <c r="EL50" s="63">
        <f t="shared" si="102"/>
        <v>0</v>
      </c>
      <c r="EM50" s="63">
        <f t="shared" si="102"/>
        <v>0</v>
      </c>
      <c r="EN50" s="63">
        <f t="shared" si="103"/>
        <v>0</v>
      </c>
      <c r="EO50" s="63">
        <f t="shared" si="103"/>
        <v>0</v>
      </c>
      <c r="EP50" s="63">
        <f t="shared" si="103"/>
        <v>0</v>
      </c>
      <c r="EQ50" s="63">
        <f t="shared" si="103"/>
        <v>0</v>
      </c>
      <c r="ER50" s="63">
        <f t="shared" si="103"/>
        <v>1</v>
      </c>
      <c r="ES50" s="63">
        <f t="shared" si="103"/>
        <v>0</v>
      </c>
      <c r="ET50" s="156">
        <f t="shared" si="103"/>
        <v>0</v>
      </c>
    </row>
    <row r="51" spans="1:205" s="63" customFormat="1">
      <c r="A51" s="63" t="s">
        <v>111</v>
      </c>
      <c r="B51" s="63">
        <v>420</v>
      </c>
      <c r="C51" s="63" t="s">
        <v>38</v>
      </c>
      <c r="D51" s="63" t="s">
        <v>35</v>
      </c>
      <c r="E51" s="63">
        <v>72</v>
      </c>
      <c r="F51" s="63">
        <v>120</v>
      </c>
      <c r="G51" s="63">
        <v>106</v>
      </c>
      <c r="H51" s="63">
        <v>30</v>
      </c>
      <c r="I51" s="63">
        <v>14</v>
      </c>
      <c r="J51" s="63">
        <v>14</v>
      </c>
      <c r="K51" s="63">
        <v>0</v>
      </c>
      <c r="L51" s="63">
        <v>0</v>
      </c>
      <c r="M51" s="63">
        <v>0</v>
      </c>
      <c r="N51" s="63">
        <v>42</v>
      </c>
      <c r="O51" s="63">
        <v>106</v>
      </c>
      <c r="P51" s="63">
        <v>36</v>
      </c>
      <c r="Q51" s="156">
        <v>0</v>
      </c>
      <c r="R51" s="156">
        <v>0</v>
      </c>
      <c r="S51" s="156">
        <v>0</v>
      </c>
      <c r="T51" s="156">
        <v>17</v>
      </c>
      <c r="U51" s="156">
        <v>83</v>
      </c>
      <c r="V51" s="156">
        <v>13</v>
      </c>
      <c r="W51" s="156">
        <v>25</v>
      </c>
      <c r="X51" s="156">
        <v>21</v>
      </c>
      <c r="Y51" s="156">
        <v>23</v>
      </c>
      <c r="Z51" s="63">
        <v>0</v>
      </c>
      <c r="AA51" s="63">
        <v>0</v>
      </c>
      <c r="AB51" s="63">
        <v>56</v>
      </c>
      <c r="AC51" s="63">
        <v>14</v>
      </c>
      <c r="AD51" s="63">
        <v>9</v>
      </c>
      <c r="AE51" s="63">
        <v>9</v>
      </c>
      <c r="AF51" s="63">
        <v>14</v>
      </c>
      <c r="AG51" s="63">
        <v>9</v>
      </c>
      <c r="AH51" s="63">
        <v>9</v>
      </c>
      <c r="AI51" s="155">
        <v>18</v>
      </c>
      <c r="AJ51" s="156">
        <v>39</v>
      </c>
      <c r="AK51" s="157">
        <v>39</v>
      </c>
      <c r="AL51" s="63">
        <v>18</v>
      </c>
      <c r="AM51" s="63">
        <v>39</v>
      </c>
      <c r="AN51" s="63">
        <v>39</v>
      </c>
      <c r="AO51" s="63">
        <v>18</v>
      </c>
      <c r="AP51" s="63">
        <v>39</v>
      </c>
      <c r="AQ51" s="63">
        <v>39</v>
      </c>
      <c r="AR51" s="63">
        <v>58</v>
      </c>
      <c r="AS51" s="63">
        <v>111</v>
      </c>
      <c r="AT51" s="63">
        <v>97</v>
      </c>
      <c r="AU51" s="63">
        <v>90</v>
      </c>
      <c r="AV51" s="63">
        <v>159</v>
      </c>
      <c r="AW51" s="63">
        <v>145</v>
      </c>
      <c r="AX51" s="63">
        <v>32</v>
      </c>
      <c r="AY51" s="63">
        <v>48</v>
      </c>
      <c r="AZ51" s="63">
        <v>48</v>
      </c>
      <c r="BA51" s="63">
        <v>32</v>
      </c>
      <c r="BB51" s="63">
        <v>48</v>
      </c>
      <c r="BC51" s="63">
        <v>48</v>
      </c>
      <c r="BE51" s="63">
        <f t="shared" si="80"/>
        <v>0</v>
      </c>
      <c r="BF51" s="63">
        <f t="shared" si="81"/>
        <v>0</v>
      </c>
      <c r="BG51" s="63">
        <f t="shared" si="82"/>
        <v>0.38620689655172413</v>
      </c>
      <c r="BI51" s="63">
        <f t="shared" si="83"/>
        <v>0.46666666666666667</v>
      </c>
      <c r="BJ51" s="63">
        <f t="shared" si="84"/>
        <v>0.66666666666666663</v>
      </c>
      <c r="BK51" s="63">
        <f t="shared" si="85"/>
        <v>0.24827586206896551</v>
      </c>
      <c r="BM51" s="63">
        <f t="shared" si="86"/>
        <v>0</v>
      </c>
      <c r="BN51" s="63">
        <f t="shared" si="87"/>
        <v>0</v>
      </c>
      <c r="BO51" s="63">
        <f t="shared" si="88"/>
        <v>0</v>
      </c>
      <c r="BQ51" s="156">
        <f t="shared" si="89"/>
        <v>0.18888888888888888</v>
      </c>
      <c r="BR51" s="156">
        <f t="shared" si="90"/>
        <v>0.5220125786163522</v>
      </c>
      <c r="BS51" s="156">
        <f t="shared" si="91"/>
        <v>8.9655172413793102E-2</v>
      </c>
      <c r="BU51" s="156">
        <f t="shared" si="92"/>
        <v>0.27777777777777779</v>
      </c>
      <c r="BV51" s="156">
        <f t="shared" si="93"/>
        <v>0.13207547169811321</v>
      </c>
      <c r="BW51" s="156">
        <f t="shared" si="94"/>
        <v>0.15862068965517243</v>
      </c>
      <c r="BY51" s="156">
        <f t="shared" si="95"/>
        <v>0.33333333333333331</v>
      </c>
      <c r="BZ51" s="156">
        <f t="shared" si="96"/>
        <v>8.8050314465408799E-2</v>
      </c>
      <c r="CA51" s="156">
        <f t="shared" si="97"/>
        <v>9.6551724137931033E-2</v>
      </c>
      <c r="CC51" s="156">
        <f t="shared" si="98"/>
        <v>0.2</v>
      </c>
      <c r="CD51" s="156">
        <f t="shared" si="99"/>
        <v>0.24528301886792453</v>
      </c>
      <c r="CE51" s="156">
        <f t="shared" si="100"/>
        <v>0.26896551724137929</v>
      </c>
      <c r="CG51" s="63">
        <f t="shared" si="35"/>
        <v>1</v>
      </c>
      <c r="CH51" s="63">
        <f t="shared" si="36"/>
        <v>1</v>
      </c>
      <c r="CI51" s="63">
        <f t="shared" si="37"/>
        <v>0.99999999999999989</v>
      </c>
      <c r="CK51" s="63">
        <f t="shared" si="38"/>
        <v>0</v>
      </c>
      <c r="CL51" s="63">
        <f t="shared" si="39"/>
        <v>0</v>
      </c>
      <c r="CM51" s="63">
        <f t="shared" si="40"/>
        <v>0</v>
      </c>
      <c r="CO51" s="156">
        <f t="shared" si="41"/>
        <v>0</v>
      </c>
      <c r="CP51" s="156">
        <f t="shared" si="42"/>
        <v>0</v>
      </c>
      <c r="CQ51" s="156">
        <f t="shared" si="43"/>
        <v>0</v>
      </c>
      <c r="CT51" s="63">
        <v>17</v>
      </c>
      <c r="CV51" s="156">
        <f t="shared" si="75"/>
        <v>0</v>
      </c>
      <c r="CW51" s="156">
        <f t="shared" si="44"/>
        <v>0</v>
      </c>
      <c r="CX51" s="156">
        <f t="shared" si="45"/>
        <v>0.13333333333333333</v>
      </c>
      <c r="CZ51" s="63">
        <f t="shared" si="46"/>
        <v>0</v>
      </c>
      <c r="DA51" s="63">
        <f t="shared" si="47"/>
        <v>0</v>
      </c>
      <c r="DB51" s="63">
        <f t="shared" si="48"/>
        <v>1</v>
      </c>
      <c r="DC51" s="63">
        <f t="shared" si="49"/>
        <v>0</v>
      </c>
      <c r="DD51" s="63">
        <f t="shared" si="50"/>
        <v>0</v>
      </c>
      <c r="DE51" s="63">
        <f t="shared" si="51"/>
        <v>0</v>
      </c>
      <c r="DF51" s="63">
        <f t="shared" si="52"/>
        <v>1</v>
      </c>
      <c r="DG51" s="63">
        <f t="shared" si="53"/>
        <v>1</v>
      </c>
      <c r="DH51" s="63">
        <f t="shared" si="54"/>
        <v>1</v>
      </c>
      <c r="DI51" s="63">
        <f t="shared" si="55"/>
        <v>1</v>
      </c>
      <c r="DJ51" s="63">
        <f t="shared" si="56"/>
        <v>1</v>
      </c>
      <c r="DK51" s="63">
        <f t="shared" si="57"/>
        <v>1</v>
      </c>
      <c r="DL51" s="63">
        <f t="shared" si="58"/>
        <v>1</v>
      </c>
      <c r="DM51" s="63">
        <f t="shared" si="59"/>
        <v>1</v>
      </c>
      <c r="DN51" s="63">
        <f t="shared" si="60"/>
        <v>1</v>
      </c>
      <c r="DO51" s="63">
        <f t="shared" si="61"/>
        <v>1</v>
      </c>
      <c r="DP51" s="63">
        <f t="shared" si="62"/>
        <v>1</v>
      </c>
      <c r="DQ51" s="63">
        <f t="shared" si="63"/>
        <v>1</v>
      </c>
      <c r="DR51" s="63">
        <f t="shared" si="64"/>
        <v>0</v>
      </c>
      <c r="DS51" s="63">
        <f t="shared" si="65"/>
        <v>0</v>
      </c>
      <c r="DT51" s="63">
        <f t="shared" si="66"/>
        <v>0</v>
      </c>
      <c r="DU51" s="63">
        <f t="shared" si="67"/>
        <v>4</v>
      </c>
      <c r="DV51" s="63">
        <f t="shared" si="68"/>
        <v>4</v>
      </c>
      <c r="DW51" s="63">
        <f t="shared" si="69"/>
        <v>5</v>
      </c>
      <c r="DX51" s="63">
        <f t="shared" si="70"/>
        <v>4.333333333333333</v>
      </c>
      <c r="DY51" s="63">
        <f t="shared" si="71"/>
        <v>0.47140452079103168</v>
      </c>
      <c r="DZ51" s="137">
        <f t="shared" si="101"/>
        <v>0</v>
      </c>
      <c r="EA51" s="63">
        <f t="shared" si="101"/>
        <v>0</v>
      </c>
      <c r="EB51" s="63">
        <f t="shared" si="101"/>
        <v>0</v>
      </c>
      <c r="EC51" s="63">
        <f t="shared" si="101"/>
        <v>1</v>
      </c>
      <c r="ED51" s="63">
        <f t="shared" si="101"/>
        <v>0</v>
      </c>
      <c r="EE51" s="63">
        <f t="shared" si="101"/>
        <v>0</v>
      </c>
      <c r="EF51" s="63">
        <f t="shared" si="101"/>
        <v>0</v>
      </c>
      <c r="EG51" s="63">
        <f t="shared" si="102"/>
        <v>0</v>
      </c>
      <c r="EH51" s="63">
        <f t="shared" si="102"/>
        <v>0</v>
      </c>
      <c r="EI51" s="63">
        <f t="shared" si="102"/>
        <v>0</v>
      </c>
      <c r="EJ51" s="63">
        <f t="shared" si="102"/>
        <v>1</v>
      </c>
      <c r="EK51" s="63">
        <f t="shared" si="102"/>
        <v>0</v>
      </c>
      <c r="EL51" s="63">
        <f t="shared" si="102"/>
        <v>0</v>
      </c>
      <c r="EM51" s="63">
        <f t="shared" si="102"/>
        <v>0</v>
      </c>
      <c r="EN51" s="63">
        <f t="shared" si="103"/>
        <v>0</v>
      </c>
      <c r="EO51" s="63">
        <f t="shared" si="103"/>
        <v>0</v>
      </c>
      <c r="EP51" s="63">
        <f t="shared" si="103"/>
        <v>0</v>
      </c>
      <c r="EQ51" s="63">
        <f t="shared" si="103"/>
        <v>0</v>
      </c>
      <c r="ER51" s="63">
        <f t="shared" si="103"/>
        <v>1</v>
      </c>
      <c r="ES51" s="63">
        <f t="shared" si="103"/>
        <v>0</v>
      </c>
      <c r="ET51" s="156">
        <f t="shared" si="103"/>
        <v>0</v>
      </c>
    </row>
    <row r="52" spans="1:205" s="63" customFormat="1">
      <c r="A52" s="63" t="s">
        <v>112</v>
      </c>
      <c r="B52" s="63">
        <v>125</v>
      </c>
      <c r="C52" s="63" t="s">
        <v>38</v>
      </c>
      <c r="D52" s="63" t="s">
        <v>35</v>
      </c>
      <c r="E52" s="63">
        <f>(EY52/1125)*125</f>
        <v>1456.6666666666667</v>
      </c>
      <c r="F52" s="63">
        <f t="shared" ref="F52:BC52" si="105">(EZ52/1125)*125</f>
        <v>1489</v>
      </c>
      <c r="G52" s="63">
        <f t="shared" si="105"/>
        <v>276.22222222222223</v>
      </c>
      <c r="H52" s="63">
        <f t="shared" si="105"/>
        <v>336.55555555555554</v>
      </c>
      <c r="I52" s="63">
        <f t="shared" si="105"/>
        <v>342</v>
      </c>
      <c r="J52" s="63">
        <f t="shared" si="105"/>
        <v>5.1111111111111116</v>
      </c>
      <c r="K52" s="63">
        <f t="shared" si="105"/>
        <v>97.1111111111111</v>
      </c>
      <c r="L52" s="63">
        <f t="shared" si="105"/>
        <v>61.111111111111107</v>
      </c>
      <c r="M52" s="63">
        <f t="shared" si="105"/>
        <v>5.2222222222222214</v>
      </c>
      <c r="N52" s="63">
        <f t="shared" si="105"/>
        <v>1022.9999999999999</v>
      </c>
      <c r="O52" s="63">
        <f t="shared" si="105"/>
        <v>793.44444444444434</v>
      </c>
      <c r="P52" s="63">
        <f t="shared" si="105"/>
        <v>223.55555555555557</v>
      </c>
      <c r="Q52" s="156">
        <f t="shared" si="105"/>
        <v>0</v>
      </c>
      <c r="R52" s="156">
        <f t="shared" si="105"/>
        <v>0</v>
      </c>
      <c r="S52" s="156">
        <f t="shared" si="105"/>
        <v>0</v>
      </c>
      <c r="T52" s="156">
        <f t="shared" si="105"/>
        <v>683.66666666666663</v>
      </c>
      <c r="U52" s="156">
        <f t="shared" si="105"/>
        <v>423.5555555555556</v>
      </c>
      <c r="V52" s="156">
        <f t="shared" si="105"/>
        <v>88.444444444444457</v>
      </c>
      <c r="W52" s="156">
        <f t="shared" si="105"/>
        <v>339.33333333333331</v>
      </c>
      <c r="X52" s="156">
        <f t="shared" si="105"/>
        <v>369.88888888888886</v>
      </c>
      <c r="Y52" s="156">
        <f t="shared" si="105"/>
        <v>135.11111111111109</v>
      </c>
      <c r="Z52" s="63">
        <f t="shared" si="105"/>
        <v>0</v>
      </c>
      <c r="AA52" s="63">
        <f t="shared" si="105"/>
        <v>279.11111111111109</v>
      </c>
      <c r="AB52" s="63">
        <f t="shared" si="105"/>
        <v>42.333333333333336</v>
      </c>
      <c r="AC52" s="63">
        <f t="shared" si="105"/>
        <v>-55.888888888888893</v>
      </c>
      <c r="AD52" s="63">
        <f t="shared" si="105"/>
        <v>63.222222222222221</v>
      </c>
      <c r="AE52" s="63">
        <f t="shared" si="105"/>
        <v>-32.444444444444443</v>
      </c>
      <c r="AF52" s="63">
        <f t="shared" si="105"/>
        <v>-55.888888888888893</v>
      </c>
      <c r="AG52" s="63">
        <f t="shared" si="105"/>
        <v>63.222222222222221</v>
      </c>
      <c r="AH52" s="63">
        <f t="shared" si="105"/>
        <v>-32.444444444444443</v>
      </c>
      <c r="AI52" s="155">
        <f t="shared" si="105"/>
        <v>640.8888888888888</v>
      </c>
      <c r="AJ52" s="156">
        <f t="shared" si="105"/>
        <v>649.22222222222229</v>
      </c>
      <c r="AK52" s="157">
        <f t="shared" si="105"/>
        <v>47.666666666666671</v>
      </c>
      <c r="AL52" s="63">
        <f t="shared" si="105"/>
        <v>200.11111111111111</v>
      </c>
      <c r="AM52" s="63">
        <f t="shared" si="105"/>
        <v>167.33333333333334</v>
      </c>
      <c r="AN52" s="63">
        <f t="shared" si="105"/>
        <v>8.8888888888888893</v>
      </c>
      <c r="AO52" s="63">
        <f t="shared" si="105"/>
        <v>173.55555555555554</v>
      </c>
      <c r="AP52" s="63">
        <f t="shared" si="105"/>
        <v>145.11111111111111</v>
      </c>
      <c r="AQ52" s="63">
        <f t="shared" si="105"/>
        <v>8.8888888888888893</v>
      </c>
      <c r="AR52" s="63">
        <f t="shared" si="105"/>
        <v>1953.3333333333333</v>
      </c>
      <c r="AS52" s="63">
        <f t="shared" si="105"/>
        <v>1930.2222222222222</v>
      </c>
      <c r="AT52" s="63">
        <f t="shared" si="105"/>
        <v>347.44444444444446</v>
      </c>
      <c r="AU52" s="63">
        <f t="shared" si="105"/>
        <v>2097.5555555555557</v>
      </c>
      <c r="AV52" s="63">
        <f t="shared" si="105"/>
        <v>2138.2222222222222</v>
      </c>
      <c r="AW52" s="63">
        <f t="shared" si="105"/>
        <v>323.88888888888891</v>
      </c>
      <c r="AX52" s="63">
        <f t="shared" si="105"/>
        <v>144.22222222222223</v>
      </c>
      <c r="AY52" s="63">
        <f t="shared" si="105"/>
        <v>208</v>
      </c>
      <c r="AZ52" s="63">
        <f t="shared" si="105"/>
        <v>-23.555555555555554</v>
      </c>
      <c r="BA52" s="63">
        <f t="shared" si="105"/>
        <v>117.66666666666667</v>
      </c>
      <c r="BB52" s="63">
        <f t="shared" si="105"/>
        <v>208.33333333333334</v>
      </c>
      <c r="BC52" s="63">
        <f t="shared" si="105"/>
        <v>-23.555555555555554</v>
      </c>
      <c r="BE52" s="63">
        <f t="shared" si="80"/>
        <v>0</v>
      </c>
      <c r="BF52" s="63">
        <f t="shared" si="81"/>
        <v>0.13053419247557679</v>
      </c>
      <c r="BG52" s="63">
        <f t="shared" si="82"/>
        <v>0.13070325900514579</v>
      </c>
      <c r="BI52" s="63">
        <f t="shared" si="83"/>
        <v>0.48771056255959311</v>
      </c>
      <c r="BJ52" s="63">
        <f t="shared" si="84"/>
        <v>0.37107669923092906</v>
      </c>
      <c r="BK52" s="63">
        <f t="shared" si="85"/>
        <v>0.69022298456260722</v>
      </c>
      <c r="BM52" s="63">
        <f t="shared" si="86"/>
        <v>0</v>
      </c>
      <c r="BN52" s="63">
        <f t="shared" si="87"/>
        <v>0</v>
      </c>
      <c r="BO52" s="63">
        <f t="shared" si="88"/>
        <v>0</v>
      </c>
      <c r="BQ52" s="156">
        <f t="shared" si="89"/>
        <v>0.32593495073630679</v>
      </c>
      <c r="BR52" s="156">
        <f t="shared" si="90"/>
        <v>0.19808771565163169</v>
      </c>
      <c r="BS52" s="156">
        <f t="shared" si="91"/>
        <v>0.27307032590051461</v>
      </c>
      <c r="BU52" s="156">
        <f t="shared" si="92"/>
        <v>0.16177561182328634</v>
      </c>
      <c r="BV52" s="156">
        <f t="shared" si="93"/>
        <v>0.17298898357929743</v>
      </c>
      <c r="BW52" s="156">
        <f t="shared" si="94"/>
        <v>0.4171526586620925</v>
      </c>
      <c r="BY52" s="156">
        <f t="shared" si="95"/>
        <v>0.16045131899565632</v>
      </c>
      <c r="BZ52" s="156">
        <f t="shared" si="96"/>
        <v>0.15994595718145915</v>
      </c>
      <c r="CA52" s="156">
        <f t="shared" si="97"/>
        <v>1.5780445969125215E-2</v>
      </c>
      <c r="CC52" s="156">
        <f t="shared" si="98"/>
        <v>0.30554084119080405</v>
      </c>
      <c r="CD52" s="156">
        <f t="shared" si="99"/>
        <v>0.30362710455206821</v>
      </c>
      <c r="CE52" s="156">
        <f t="shared" si="100"/>
        <v>0.14716981132075471</v>
      </c>
      <c r="CG52" s="63">
        <f t="shared" si="35"/>
        <v>0.9537027227460535</v>
      </c>
      <c r="CH52" s="63">
        <f t="shared" si="36"/>
        <v>0.96518395344003327</v>
      </c>
      <c r="CI52" s="63">
        <f t="shared" si="37"/>
        <v>0.9838765008576329</v>
      </c>
      <c r="CK52" s="63">
        <f t="shared" si="38"/>
        <v>4.6297277253946501E-2</v>
      </c>
      <c r="CL52" s="63">
        <f t="shared" si="39"/>
        <v>3.4816046559966729E-2</v>
      </c>
      <c r="CM52" s="63">
        <f t="shared" si="40"/>
        <v>1.6123499142367104E-2</v>
      </c>
      <c r="CO52" s="156">
        <f t="shared" si="41"/>
        <v>97.111111111111342</v>
      </c>
      <c r="CP52" s="156">
        <f t="shared" si="42"/>
        <v>74.444444444444414</v>
      </c>
      <c r="CQ52" s="156">
        <f t="shared" si="43"/>
        <v>5.2222222222222348</v>
      </c>
      <c r="CT52" s="63">
        <v>683.66666666666663</v>
      </c>
      <c r="CV52" s="156">
        <f t="shared" si="75"/>
        <v>0</v>
      </c>
      <c r="CW52" s="156">
        <f t="shared" si="44"/>
        <v>2.2328888888888887</v>
      </c>
      <c r="CX52" s="156">
        <f t="shared" si="45"/>
        <v>0.33866666666666667</v>
      </c>
      <c r="CZ52" s="63">
        <f t="shared" si="46"/>
        <v>0</v>
      </c>
      <c r="DA52" s="63">
        <f t="shared" si="47"/>
        <v>1</v>
      </c>
      <c r="DB52" s="63">
        <f t="shared" si="48"/>
        <v>1</v>
      </c>
      <c r="DC52" s="63">
        <f t="shared" si="49"/>
        <v>0</v>
      </c>
      <c r="DD52" s="63">
        <f t="shared" si="50"/>
        <v>0</v>
      </c>
      <c r="DE52" s="63">
        <f t="shared" si="51"/>
        <v>0</v>
      </c>
      <c r="DF52" s="63">
        <f t="shared" si="52"/>
        <v>1</v>
      </c>
      <c r="DG52" s="63">
        <f t="shared" si="53"/>
        <v>1</v>
      </c>
      <c r="DH52" s="63">
        <f t="shared" si="54"/>
        <v>1</v>
      </c>
      <c r="DI52" s="63">
        <f t="shared" si="55"/>
        <v>1</v>
      </c>
      <c r="DJ52" s="63">
        <f t="shared" si="56"/>
        <v>1</v>
      </c>
      <c r="DK52" s="63">
        <f t="shared" si="57"/>
        <v>1</v>
      </c>
      <c r="DL52" s="63">
        <f t="shared" si="58"/>
        <v>1</v>
      </c>
      <c r="DM52" s="63">
        <f t="shared" si="59"/>
        <v>1</v>
      </c>
      <c r="DN52" s="63">
        <f t="shared" si="60"/>
        <v>1</v>
      </c>
      <c r="DO52" s="63">
        <f t="shared" si="61"/>
        <v>1</v>
      </c>
      <c r="DP52" s="63">
        <f t="shared" si="62"/>
        <v>1</v>
      </c>
      <c r="DQ52" s="63">
        <f t="shared" si="63"/>
        <v>1</v>
      </c>
      <c r="DR52" s="63">
        <f t="shared" si="64"/>
        <v>1</v>
      </c>
      <c r="DS52" s="63">
        <f t="shared" si="65"/>
        <v>1</v>
      </c>
      <c r="DT52" s="63">
        <f t="shared" si="66"/>
        <v>1</v>
      </c>
      <c r="DU52" s="63">
        <f t="shared" si="67"/>
        <v>5</v>
      </c>
      <c r="DV52" s="63">
        <f t="shared" si="68"/>
        <v>6</v>
      </c>
      <c r="DW52" s="63">
        <f t="shared" si="69"/>
        <v>6</v>
      </c>
      <c r="DX52" s="63">
        <f t="shared" si="70"/>
        <v>5.666666666666667</v>
      </c>
      <c r="DY52" s="63">
        <f t="shared" si="71"/>
        <v>0.47140452079103168</v>
      </c>
      <c r="DZ52" s="137">
        <f t="shared" si="101"/>
        <v>0</v>
      </c>
      <c r="EA52" s="63">
        <f t="shared" si="101"/>
        <v>0</v>
      </c>
      <c r="EB52" s="63">
        <f t="shared" si="101"/>
        <v>0</v>
      </c>
      <c r="EC52" s="63">
        <f t="shared" si="101"/>
        <v>0</v>
      </c>
      <c r="ED52" s="63">
        <f t="shared" si="101"/>
        <v>1</v>
      </c>
      <c r="EE52" s="63">
        <f t="shared" si="101"/>
        <v>0</v>
      </c>
      <c r="EF52" s="63">
        <f t="shared" si="101"/>
        <v>0</v>
      </c>
      <c r="EG52" s="63">
        <f t="shared" si="102"/>
        <v>0</v>
      </c>
      <c r="EH52" s="63">
        <f t="shared" si="102"/>
        <v>0</v>
      </c>
      <c r="EI52" s="63">
        <f t="shared" si="102"/>
        <v>0</v>
      </c>
      <c r="EJ52" s="63">
        <f t="shared" si="102"/>
        <v>0</v>
      </c>
      <c r="EK52" s="63">
        <f t="shared" si="102"/>
        <v>0</v>
      </c>
      <c r="EL52" s="63">
        <f t="shared" si="102"/>
        <v>1</v>
      </c>
      <c r="EM52" s="63">
        <f t="shared" si="102"/>
        <v>0</v>
      </c>
      <c r="EN52" s="63">
        <f t="shared" si="103"/>
        <v>0</v>
      </c>
      <c r="EO52" s="63">
        <f t="shared" si="103"/>
        <v>0</v>
      </c>
      <c r="EP52" s="63">
        <f t="shared" si="103"/>
        <v>0</v>
      </c>
      <c r="EQ52" s="63">
        <f t="shared" si="103"/>
        <v>0</v>
      </c>
      <c r="ER52" s="63">
        <f t="shared" si="103"/>
        <v>0</v>
      </c>
      <c r="ES52" s="63">
        <f t="shared" si="103"/>
        <v>1</v>
      </c>
      <c r="ET52" s="156">
        <f t="shared" si="103"/>
        <v>0</v>
      </c>
      <c r="EY52" s="63">
        <v>13110</v>
      </c>
      <c r="EZ52" s="63">
        <v>13401</v>
      </c>
      <c r="FA52" s="63">
        <v>2486</v>
      </c>
      <c r="FB52" s="63">
        <v>3029</v>
      </c>
      <c r="FC52" s="63">
        <v>3078</v>
      </c>
      <c r="FD52" s="63">
        <v>46</v>
      </c>
      <c r="FE52" s="63">
        <v>874</v>
      </c>
      <c r="FF52" s="63">
        <v>550</v>
      </c>
      <c r="FG52" s="63">
        <v>47</v>
      </c>
      <c r="FH52" s="63">
        <v>9207</v>
      </c>
      <c r="FI52" s="63">
        <v>7141</v>
      </c>
      <c r="FJ52" s="63">
        <v>2012</v>
      </c>
      <c r="FK52" s="63">
        <v>0</v>
      </c>
      <c r="FL52" s="63">
        <v>0</v>
      </c>
      <c r="FM52" s="63">
        <v>0</v>
      </c>
      <c r="FN52" s="63">
        <v>6153</v>
      </c>
      <c r="FO52" s="63">
        <v>3812</v>
      </c>
      <c r="FP52" s="63">
        <v>796</v>
      </c>
      <c r="FQ52" s="63">
        <v>3054</v>
      </c>
      <c r="FR52" s="63">
        <v>3329</v>
      </c>
      <c r="FS52" s="63">
        <v>1216</v>
      </c>
      <c r="FT52" s="63">
        <v>0</v>
      </c>
      <c r="FU52" s="63">
        <v>2512</v>
      </c>
      <c r="FV52" s="63">
        <v>381</v>
      </c>
      <c r="FW52" s="63">
        <v>-503</v>
      </c>
      <c r="FX52" s="63">
        <v>569</v>
      </c>
      <c r="FY52" s="63">
        <v>-292</v>
      </c>
      <c r="FZ52" s="63">
        <v>-503</v>
      </c>
      <c r="GA52" s="63">
        <v>569</v>
      </c>
      <c r="GB52" s="63">
        <v>-292</v>
      </c>
      <c r="GC52" s="63">
        <v>5768</v>
      </c>
      <c r="GD52" s="63">
        <v>5843</v>
      </c>
      <c r="GE52" s="63">
        <v>429</v>
      </c>
      <c r="GF52" s="63">
        <v>1801</v>
      </c>
      <c r="GG52" s="63">
        <v>1506</v>
      </c>
      <c r="GH52" s="63">
        <v>80</v>
      </c>
      <c r="GI52" s="63">
        <v>1562</v>
      </c>
      <c r="GJ52" s="63">
        <v>1306</v>
      </c>
      <c r="GK52" s="63">
        <v>80</v>
      </c>
      <c r="GL52" s="63">
        <v>17580</v>
      </c>
      <c r="GM52" s="63">
        <v>17372</v>
      </c>
      <c r="GN52" s="63">
        <v>3127</v>
      </c>
      <c r="GO52" s="63">
        <v>18878</v>
      </c>
      <c r="GP52" s="63">
        <v>19244</v>
      </c>
      <c r="GQ52" s="63">
        <v>2915</v>
      </c>
      <c r="GR52" s="63">
        <v>1298</v>
      </c>
      <c r="GS52" s="63">
        <v>1872</v>
      </c>
      <c r="GT52" s="63">
        <v>-212</v>
      </c>
      <c r="GU52" s="63">
        <v>1059</v>
      </c>
      <c r="GV52" s="63">
        <v>1875</v>
      </c>
      <c r="GW52" s="63">
        <v>-212</v>
      </c>
    </row>
    <row r="53" spans="1:205" s="63" customFormat="1">
      <c r="A53" s="63" t="s">
        <v>113</v>
      </c>
      <c r="B53" s="63">
        <v>100</v>
      </c>
      <c r="C53" s="63" t="s">
        <v>38</v>
      </c>
      <c r="D53" s="63" t="s">
        <v>35</v>
      </c>
      <c r="E53" s="63">
        <v>335</v>
      </c>
      <c r="F53" s="63">
        <v>221</v>
      </c>
      <c r="G53" s="63">
        <v>283</v>
      </c>
      <c r="H53" s="63">
        <v>116</v>
      </c>
      <c r="I53" s="63">
        <v>108</v>
      </c>
      <c r="J53" s="63">
        <v>91</v>
      </c>
      <c r="K53" s="63">
        <v>29</v>
      </c>
      <c r="L53" s="63">
        <v>11</v>
      </c>
      <c r="M53" s="63">
        <v>9</v>
      </c>
      <c r="N53" s="63">
        <v>118</v>
      </c>
      <c r="O53" s="63">
        <v>52</v>
      </c>
      <c r="P53" s="63">
        <v>59</v>
      </c>
      <c r="Q53" s="156">
        <v>0</v>
      </c>
      <c r="R53" s="156">
        <v>0</v>
      </c>
      <c r="S53" s="156">
        <v>0</v>
      </c>
      <c r="T53" s="156">
        <v>13</v>
      </c>
      <c r="U53" s="156">
        <v>12</v>
      </c>
      <c r="V53" s="156">
        <v>6</v>
      </c>
      <c r="W53" s="156">
        <v>105</v>
      </c>
      <c r="X53" s="156">
        <v>40</v>
      </c>
      <c r="Y53" s="156">
        <v>53</v>
      </c>
      <c r="Z53" s="63">
        <v>72</v>
      </c>
      <c r="AA53" s="63">
        <v>50</v>
      </c>
      <c r="AB53" s="63">
        <v>124</v>
      </c>
      <c r="AC53" s="63">
        <v>49</v>
      </c>
      <c r="AD53" s="63">
        <v>-80</v>
      </c>
      <c r="AE53" s="63">
        <v>6</v>
      </c>
      <c r="AF53" s="63">
        <v>49</v>
      </c>
      <c r="AG53" s="63">
        <v>-80</v>
      </c>
      <c r="AH53" s="63">
        <v>6</v>
      </c>
      <c r="AI53" s="155">
        <v>148</v>
      </c>
      <c r="AJ53" s="156">
        <v>77</v>
      </c>
      <c r="AK53" s="157">
        <v>90</v>
      </c>
      <c r="AL53" s="63">
        <v>51</v>
      </c>
      <c r="AM53" s="63">
        <v>65</v>
      </c>
      <c r="AN53" s="63">
        <v>70</v>
      </c>
      <c r="AO53" s="63">
        <v>51</v>
      </c>
      <c r="AP53" s="63">
        <v>65</v>
      </c>
      <c r="AQ53" s="63">
        <v>70</v>
      </c>
      <c r="AR53" s="63">
        <v>383</v>
      </c>
      <c r="AS53" s="63">
        <v>313</v>
      </c>
      <c r="AT53" s="63">
        <v>297</v>
      </c>
      <c r="AU53" s="63">
        <v>483</v>
      </c>
      <c r="AV53" s="63">
        <v>298</v>
      </c>
      <c r="AW53" s="63">
        <v>373</v>
      </c>
      <c r="AX53" s="63">
        <v>100</v>
      </c>
      <c r="AY53" s="63">
        <v>-15</v>
      </c>
      <c r="AZ53" s="63">
        <v>76</v>
      </c>
      <c r="BA53" s="63">
        <v>100</v>
      </c>
      <c r="BB53" s="63">
        <v>-15</v>
      </c>
      <c r="BC53" s="63">
        <v>76</v>
      </c>
      <c r="BE53" s="63">
        <f t="shared" si="80"/>
        <v>0.14906832298136646</v>
      </c>
      <c r="BF53" s="63">
        <f t="shared" si="81"/>
        <v>0.16778523489932887</v>
      </c>
      <c r="BG53" s="63">
        <f t="shared" si="82"/>
        <v>0.33243967828418231</v>
      </c>
      <c r="BI53" s="63">
        <f t="shared" si="83"/>
        <v>0.2443064182194617</v>
      </c>
      <c r="BJ53" s="63">
        <f t="shared" si="84"/>
        <v>0.17449664429530201</v>
      </c>
      <c r="BK53" s="63">
        <f t="shared" si="85"/>
        <v>0.1581769436997319</v>
      </c>
      <c r="BM53" s="63">
        <f t="shared" si="86"/>
        <v>0</v>
      </c>
      <c r="BN53" s="63">
        <f t="shared" si="87"/>
        <v>0</v>
      </c>
      <c r="BO53" s="63">
        <f t="shared" si="88"/>
        <v>0</v>
      </c>
      <c r="BQ53" s="156">
        <f t="shared" si="89"/>
        <v>2.6915113871635612E-2</v>
      </c>
      <c r="BR53" s="156">
        <f t="shared" si="90"/>
        <v>4.0268456375838924E-2</v>
      </c>
      <c r="BS53" s="156">
        <f t="shared" si="91"/>
        <v>1.6085790884718499E-2</v>
      </c>
      <c r="BU53" s="156">
        <f t="shared" si="92"/>
        <v>0.21739130434782608</v>
      </c>
      <c r="BV53" s="156">
        <f t="shared" si="93"/>
        <v>0.13422818791946309</v>
      </c>
      <c r="BW53" s="156">
        <f t="shared" si="94"/>
        <v>0.14209115281501342</v>
      </c>
      <c r="BY53" s="156">
        <f t="shared" si="95"/>
        <v>0.2401656314699793</v>
      </c>
      <c r="BZ53" s="156">
        <f t="shared" si="96"/>
        <v>0.36241610738255031</v>
      </c>
      <c r="CA53" s="156">
        <f t="shared" si="97"/>
        <v>0.24396782841823056</v>
      </c>
      <c r="CC53" s="156">
        <f t="shared" si="98"/>
        <v>0.30641821946169773</v>
      </c>
      <c r="CD53" s="156">
        <f t="shared" si="99"/>
        <v>0.25838926174496646</v>
      </c>
      <c r="CE53" s="156">
        <f t="shared" si="100"/>
        <v>0.24128686327077747</v>
      </c>
      <c r="CG53" s="63">
        <f t="shared" si="35"/>
        <v>0.9399585921325051</v>
      </c>
      <c r="CH53" s="63">
        <f t="shared" si="36"/>
        <v>0.96308724832214765</v>
      </c>
      <c r="CI53" s="63">
        <f t="shared" si="37"/>
        <v>0.97587131367292224</v>
      </c>
      <c r="CK53" s="63">
        <f t="shared" si="38"/>
        <v>6.00414078674949E-2</v>
      </c>
      <c r="CL53" s="63">
        <f t="shared" si="39"/>
        <v>3.6912751677852351E-2</v>
      </c>
      <c r="CM53" s="63">
        <f t="shared" si="40"/>
        <v>2.4128686327077764E-2</v>
      </c>
      <c r="CO53" s="156">
        <f t="shared" si="41"/>
        <v>29.000000000000036</v>
      </c>
      <c r="CP53" s="156">
        <f t="shared" si="42"/>
        <v>11</v>
      </c>
      <c r="CQ53" s="156">
        <f t="shared" si="43"/>
        <v>9.0000000000000053</v>
      </c>
      <c r="CT53" s="63">
        <v>13</v>
      </c>
      <c r="CV53" s="156">
        <f t="shared" si="75"/>
        <v>0.72</v>
      </c>
      <c r="CW53" s="156">
        <f t="shared" si="44"/>
        <v>0.5</v>
      </c>
      <c r="CX53" s="156">
        <f t="shared" si="45"/>
        <v>1.24</v>
      </c>
      <c r="CZ53" s="63">
        <f t="shared" si="46"/>
        <v>1</v>
      </c>
      <c r="DA53" s="63">
        <f t="shared" si="47"/>
        <v>1</v>
      </c>
      <c r="DB53" s="63">
        <f t="shared" si="48"/>
        <v>1</v>
      </c>
      <c r="DC53" s="63">
        <f t="shared" si="49"/>
        <v>0</v>
      </c>
      <c r="DD53" s="63">
        <f t="shared" si="50"/>
        <v>0</v>
      </c>
      <c r="DE53" s="63">
        <f t="shared" si="51"/>
        <v>0</v>
      </c>
      <c r="DF53" s="63">
        <f t="shared" si="52"/>
        <v>1</v>
      </c>
      <c r="DG53" s="63">
        <f t="shared" si="53"/>
        <v>1</v>
      </c>
      <c r="DH53" s="63">
        <f t="shared" si="54"/>
        <v>1</v>
      </c>
      <c r="DI53" s="63">
        <f t="shared" si="55"/>
        <v>1</v>
      </c>
      <c r="DJ53" s="63">
        <f t="shared" si="56"/>
        <v>1</v>
      </c>
      <c r="DK53" s="63">
        <f t="shared" si="57"/>
        <v>1</v>
      </c>
      <c r="DL53" s="63">
        <f t="shared" si="58"/>
        <v>1</v>
      </c>
      <c r="DM53" s="63">
        <f t="shared" si="59"/>
        <v>1</v>
      </c>
      <c r="DN53" s="63">
        <f t="shared" si="60"/>
        <v>1</v>
      </c>
      <c r="DO53" s="63">
        <f t="shared" si="61"/>
        <v>1</v>
      </c>
      <c r="DP53" s="63">
        <f t="shared" si="62"/>
        <v>1</v>
      </c>
      <c r="DQ53" s="63">
        <f t="shared" si="63"/>
        <v>1</v>
      </c>
      <c r="DR53" s="63">
        <f t="shared" si="64"/>
        <v>1</v>
      </c>
      <c r="DS53" s="63">
        <f t="shared" si="65"/>
        <v>1</v>
      </c>
      <c r="DT53" s="63">
        <f t="shared" si="66"/>
        <v>1</v>
      </c>
      <c r="DU53" s="63">
        <f t="shared" si="67"/>
        <v>6</v>
      </c>
      <c r="DV53" s="63">
        <f t="shared" si="68"/>
        <v>6</v>
      </c>
      <c r="DW53" s="63">
        <f t="shared" si="69"/>
        <v>6</v>
      </c>
      <c r="DX53" s="63">
        <f t="shared" si="70"/>
        <v>6</v>
      </c>
      <c r="DY53" s="63">
        <f t="shared" si="71"/>
        <v>0</v>
      </c>
      <c r="DZ53" s="137">
        <f t="shared" si="101"/>
        <v>0</v>
      </c>
      <c r="EA53" s="63">
        <f t="shared" si="101"/>
        <v>0</v>
      </c>
      <c r="EB53" s="63">
        <f t="shared" si="101"/>
        <v>0</v>
      </c>
      <c r="EC53" s="63">
        <f t="shared" si="101"/>
        <v>0</v>
      </c>
      <c r="ED53" s="63">
        <f t="shared" si="101"/>
        <v>0</v>
      </c>
      <c r="EE53" s="63">
        <f t="shared" si="101"/>
        <v>1</v>
      </c>
      <c r="EF53" s="63">
        <f t="shared" si="101"/>
        <v>0</v>
      </c>
      <c r="EG53" s="63">
        <f t="shared" si="102"/>
        <v>0</v>
      </c>
      <c r="EH53" s="63">
        <f t="shared" si="102"/>
        <v>0</v>
      </c>
      <c r="EI53" s="63">
        <f t="shared" si="102"/>
        <v>0</v>
      </c>
      <c r="EJ53" s="63">
        <f t="shared" si="102"/>
        <v>0</v>
      </c>
      <c r="EK53" s="63">
        <f t="shared" si="102"/>
        <v>0</v>
      </c>
      <c r="EL53" s="63">
        <f t="shared" si="102"/>
        <v>1</v>
      </c>
      <c r="EM53" s="63">
        <f t="shared" si="102"/>
        <v>0</v>
      </c>
      <c r="EN53" s="63">
        <f t="shared" si="103"/>
        <v>0</v>
      </c>
      <c r="EO53" s="63">
        <f t="shared" si="103"/>
        <v>0</v>
      </c>
      <c r="EP53" s="63">
        <f t="shared" si="103"/>
        <v>0</v>
      </c>
      <c r="EQ53" s="63">
        <f t="shared" si="103"/>
        <v>0</v>
      </c>
      <c r="ER53" s="63">
        <f t="shared" si="103"/>
        <v>0</v>
      </c>
      <c r="ES53" s="63">
        <f t="shared" si="103"/>
        <v>1</v>
      </c>
      <c r="ET53" s="156">
        <f t="shared" si="103"/>
        <v>0</v>
      </c>
    </row>
    <row r="54" spans="1:205" s="63" customFormat="1">
      <c r="A54" s="63" t="s">
        <v>114</v>
      </c>
      <c r="B54" s="63">
        <v>195</v>
      </c>
      <c r="C54" s="63" t="s">
        <v>38</v>
      </c>
      <c r="D54" s="63" t="s">
        <v>33</v>
      </c>
      <c r="E54" s="63">
        <v>867</v>
      </c>
      <c r="F54" s="63">
        <v>1740</v>
      </c>
      <c r="G54" s="63">
        <v>1040</v>
      </c>
      <c r="H54" s="63">
        <v>392</v>
      </c>
      <c r="I54" s="63">
        <v>278</v>
      </c>
      <c r="J54" s="63">
        <v>183</v>
      </c>
      <c r="K54" s="63">
        <v>1</v>
      </c>
      <c r="L54" s="63">
        <v>0</v>
      </c>
      <c r="M54" s="63">
        <v>0</v>
      </c>
      <c r="N54" s="63">
        <v>474</v>
      </c>
      <c r="O54" s="63">
        <v>1462</v>
      </c>
      <c r="P54" s="63">
        <v>393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393</v>
      </c>
      <c r="W54" s="156">
        <v>474</v>
      </c>
      <c r="X54" s="156">
        <v>1462</v>
      </c>
      <c r="Y54" s="156">
        <v>0</v>
      </c>
      <c r="Z54" s="63">
        <v>0</v>
      </c>
      <c r="AA54" s="63">
        <v>0</v>
      </c>
      <c r="AB54" s="63">
        <v>464</v>
      </c>
      <c r="AC54" s="63">
        <v>-1</v>
      </c>
      <c r="AD54" s="63">
        <v>-10</v>
      </c>
      <c r="AE54" s="63">
        <v>-1</v>
      </c>
      <c r="AF54" s="63">
        <v>-1</v>
      </c>
      <c r="AG54" s="63">
        <v>-10</v>
      </c>
      <c r="AH54" s="63">
        <v>-1</v>
      </c>
      <c r="AI54" s="155">
        <v>105</v>
      </c>
      <c r="AJ54" s="156">
        <v>291</v>
      </c>
      <c r="AK54" s="157">
        <v>203</v>
      </c>
      <c r="AL54" s="63">
        <v>56</v>
      </c>
      <c r="AM54" s="63">
        <v>0</v>
      </c>
      <c r="AN54" s="63">
        <v>-4</v>
      </c>
      <c r="AO54" s="63">
        <v>56</v>
      </c>
      <c r="AP54" s="63">
        <v>0</v>
      </c>
      <c r="AQ54" s="63">
        <v>-4</v>
      </c>
      <c r="AR54" s="63">
        <v>917</v>
      </c>
      <c r="AS54" s="63">
        <v>2041</v>
      </c>
      <c r="AT54" s="63">
        <v>1248</v>
      </c>
      <c r="AU54" s="63">
        <v>972</v>
      </c>
      <c r="AV54" s="63">
        <v>2031</v>
      </c>
      <c r="AW54" s="63">
        <v>1243</v>
      </c>
      <c r="AX54" s="63">
        <v>55</v>
      </c>
      <c r="AY54" s="63">
        <v>-10</v>
      </c>
      <c r="AZ54" s="63">
        <v>-5</v>
      </c>
      <c r="BA54" s="63">
        <v>55</v>
      </c>
      <c r="BB54" s="63">
        <v>-10</v>
      </c>
      <c r="BC54" s="63">
        <v>-5</v>
      </c>
      <c r="BE54" s="63">
        <f t="shared" si="80"/>
        <v>0</v>
      </c>
      <c r="BF54" s="63">
        <f t="shared" si="81"/>
        <v>0</v>
      </c>
      <c r="BG54" s="63">
        <f t="shared" si="82"/>
        <v>0.37329042638777155</v>
      </c>
      <c r="BI54" s="63">
        <f t="shared" si="83"/>
        <v>0.48765432098765432</v>
      </c>
      <c r="BJ54" s="63">
        <f t="shared" si="84"/>
        <v>0.71984244214672577</v>
      </c>
      <c r="BK54" s="63">
        <f t="shared" si="85"/>
        <v>0.3161705551086082</v>
      </c>
      <c r="BM54" s="63">
        <f t="shared" si="86"/>
        <v>0</v>
      </c>
      <c r="BN54" s="63">
        <f t="shared" si="87"/>
        <v>0</v>
      </c>
      <c r="BO54" s="63">
        <f t="shared" si="88"/>
        <v>0</v>
      </c>
      <c r="BQ54" s="156">
        <f t="shared" si="89"/>
        <v>0</v>
      </c>
      <c r="BR54" s="156">
        <f t="shared" si="90"/>
        <v>0</v>
      </c>
      <c r="BS54" s="156">
        <f t="shared" si="91"/>
        <v>0.3161705551086082</v>
      </c>
      <c r="BU54" s="156">
        <f t="shared" si="92"/>
        <v>0.48765432098765432</v>
      </c>
      <c r="BV54" s="156">
        <f t="shared" si="93"/>
        <v>0.71984244214672577</v>
      </c>
      <c r="BW54" s="156">
        <f t="shared" si="94"/>
        <v>0</v>
      </c>
      <c r="BY54" s="156">
        <f t="shared" si="95"/>
        <v>0.40329218106995884</v>
      </c>
      <c r="BZ54" s="156">
        <f t="shared" si="96"/>
        <v>0.13687838503200395</v>
      </c>
      <c r="CA54" s="156">
        <f t="shared" si="97"/>
        <v>0.14722445695897024</v>
      </c>
      <c r="CC54" s="156">
        <f t="shared" si="98"/>
        <v>0.10802469135802469</v>
      </c>
      <c r="CD54" s="156">
        <f t="shared" si="99"/>
        <v>0.14327917282127031</v>
      </c>
      <c r="CE54" s="156">
        <f t="shared" si="100"/>
        <v>0.16331456154465004</v>
      </c>
      <c r="CG54" s="63">
        <f t="shared" si="35"/>
        <v>0.99897119341563789</v>
      </c>
      <c r="CH54" s="63">
        <f t="shared" si="36"/>
        <v>1</v>
      </c>
      <c r="CI54" s="63">
        <f t="shared" si="37"/>
        <v>1</v>
      </c>
      <c r="CK54" s="63">
        <f t="shared" si="38"/>
        <v>1.0288065843621075E-3</v>
      </c>
      <c r="CL54" s="63">
        <f t="shared" si="39"/>
        <v>0</v>
      </c>
      <c r="CM54" s="63">
        <f t="shared" si="40"/>
        <v>0</v>
      </c>
      <c r="CO54" s="156">
        <f t="shared" si="41"/>
        <v>0.99999999999996847</v>
      </c>
      <c r="CP54" s="156">
        <f t="shared" si="42"/>
        <v>0</v>
      </c>
      <c r="CQ54" s="156">
        <f t="shared" si="43"/>
        <v>0</v>
      </c>
      <c r="CT54" s="63">
        <v>0</v>
      </c>
      <c r="CV54" s="156">
        <f t="shared" si="75"/>
        <v>0</v>
      </c>
      <c r="CW54" s="156">
        <f t="shared" si="44"/>
        <v>0</v>
      </c>
      <c r="CX54" s="156">
        <f t="shared" si="45"/>
        <v>2.3794871794871795</v>
      </c>
      <c r="CZ54" s="63">
        <f t="shared" si="46"/>
        <v>0</v>
      </c>
      <c r="DA54" s="63">
        <f t="shared" si="47"/>
        <v>0</v>
      </c>
      <c r="DB54" s="63">
        <f t="shared" si="48"/>
        <v>1</v>
      </c>
      <c r="DC54" s="63">
        <f t="shared" si="49"/>
        <v>0</v>
      </c>
      <c r="DD54" s="63">
        <f t="shared" si="50"/>
        <v>0</v>
      </c>
      <c r="DE54" s="63">
        <f t="shared" si="51"/>
        <v>0</v>
      </c>
      <c r="DF54" s="63">
        <f t="shared" si="52"/>
        <v>0</v>
      </c>
      <c r="DG54" s="63">
        <f t="shared" si="53"/>
        <v>0</v>
      </c>
      <c r="DH54" s="63">
        <f t="shared" si="54"/>
        <v>1</v>
      </c>
      <c r="DI54" s="63">
        <f t="shared" si="55"/>
        <v>1</v>
      </c>
      <c r="DJ54" s="63">
        <f t="shared" si="56"/>
        <v>1</v>
      </c>
      <c r="DK54" s="63">
        <f t="shared" si="57"/>
        <v>0</v>
      </c>
      <c r="DL54" s="63">
        <f t="shared" si="58"/>
        <v>1</v>
      </c>
      <c r="DM54" s="63">
        <f t="shared" si="59"/>
        <v>1</v>
      </c>
      <c r="DN54" s="63">
        <f t="shared" si="60"/>
        <v>1</v>
      </c>
      <c r="DO54" s="63">
        <f t="shared" si="61"/>
        <v>1</v>
      </c>
      <c r="DP54" s="63">
        <f t="shared" si="62"/>
        <v>1</v>
      </c>
      <c r="DQ54" s="63">
        <f t="shared" si="63"/>
        <v>1</v>
      </c>
      <c r="DR54" s="63">
        <f t="shared" si="64"/>
        <v>1</v>
      </c>
      <c r="DS54" s="63">
        <f t="shared" si="65"/>
        <v>0</v>
      </c>
      <c r="DT54" s="63">
        <f t="shared" si="66"/>
        <v>0</v>
      </c>
      <c r="DU54" s="63">
        <f t="shared" si="67"/>
        <v>4</v>
      </c>
      <c r="DV54" s="63">
        <f t="shared" si="68"/>
        <v>3</v>
      </c>
      <c r="DW54" s="63">
        <f t="shared" si="69"/>
        <v>4</v>
      </c>
      <c r="DX54" s="63">
        <f t="shared" si="70"/>
        <v>3.6666666666666665</v>
      </c>
      <c r="DY54" s="63">
        <f t="shared" si="71"/>
        <v>0.47140452079103168</v>
      </c>
      <c r="DZ54" s="137">
        <f t="shared" si="101"/>
        <v>0</v>
      </c>
      <c r="EA54" s="63">
        <f t="shared" si="101"/>
        <v>0</v>
      </c>
      <c r="EB54" s="63">
        <f t="shared" si="101"/>
        <v>0</v>
      </c>
      <c r="EC54" s="63">
        <f t="shared" si="101"/>
        <v>1</v>
      </c>
      <c r="ED54" s="63">
        <f t="shared" si="101"/>
        <v>0</v>
      </c>
      <c r="EE54" s="63">
        <f t="shared" si="101"/>
        <v>0</v>
      </c>
      <c r="EF54" s="63">
        <f t="shared" si="101"/>
        <v>0</v>
      </c>
      <c r="EG54" s="63">
        <f t="shared" si="102"/>
        <v>0</v>
      </c>
      <c r="EH54" s="63">
        <f t="shared" si="102"/>
        <v>0</v>
      </c>
      <c r="EI54" s="63">
        <f t="shared" si="102"/>
        <v>1</v>
      </c>
      <c r="EJ54" s="63">
        <f t="shared" si="102"/>
        <v>0</v>
      </c>
      <c r="EK54" s="63">
        <f t="shared" si="102"/>
        <v>0</v>
      </c>
      <c r="EL54" s="63">
        <f t="shared" si="102"/>
        <v>0</v>
      </c>
      <c r="EM54" s="63">
        <f t="shared" si="102"/>
        <v>0</v>
      </c>
      <c r="EN54" s="63">
        <f t="shared" si="103"/>
        <v>0</v>
      </c>
      <c r="EO54" s="63">
        <f t="shared" si="103"/>
        <v>0</v>
      </c>
      <c r="EP54" s="63">
        <f t="shared" si="103"/>
        <v>0</v>
      </c>
      <c r="EQ54" s="63">
        <f t="shared" si="103"/>
        <v>1</v>
      </c>
      <c r="ER54" s="63">
        <f t="shared" si="103"/>
        <v>0</v>
      </c>
      <c r="ES54" s="63">
        <f t="shared" si="103"/>
        <v>0</v>
      </c>
      <c r="ET54" s="156">
        <f t="shared" si="103"/>
        <v>0</v>
      </c>
    </row>
    <row r="55" spans="1:205" s="63" customFormat="1">
      <c r="A55" s="63" t="s">
        <v>115</v>
      </c>
      <c r="B55" s="63">
        <v>112</v>
      </c>
      <c r="C55" s="63" t="s">
        <v>38</v>
      </c>
      <c r="D55" s="63" t="s">
        <v>35</v>
      </c>
      <c r="E55" s="63">
        <v>77</v>
      </c>
      <c r="F55" s="63">
        <v>73</v>
      </c>
      <c r="G55" s="63">
        <v>69</v>
      </c>
      <c r="H55" s="63">
        <v>0</v>
      </c>
      <c r="I55" s="63">
        <v>0</v>
      </c>
      <c r="J55" s="63">
        <v>0</v>
      </c>
      <c r="K55" s="63">
        <v>0</v>
      </c>
      <c r="L55" s="63">
        <v>5</v>
      </c>
      <c r="M55" s="63">
        <v>2</v>
      </c>
      <c r="N55" s="63">
        <v>77</v>
      </c>
      <c r="O55" s="63">
        <v>68</v>
      </c>
      <c r="P55" s="63">
        <v>67</v>
      </c>
      <c r="Q55" s="156">
        <v>0</v>
      </c>
      <c r="R55" s="156">
        <v>0</v>
      </c>
      <c r="S55" s="156">
        <v>0</v>
      </c>
      <c r="T55" s="156">
        <v>55</v>
      </c>
      <c r="U55" s="156">
        <v>33</v>
      </c>
      <c r="V55" s="156">
        <v>50</v>
      </c>
      <c r="W55" s="156">
        <v>22</v>
      </c>
      <c r="X55" s="156">
        <v>35</v>
      </c>
      <c r="Y55" s="156">
        <v>17</v>
      </c>
      <c r="Z55" s="63">
        <v>0</v>
      </c>
      <c r="AA55" s="63">
        <v>0</v>
      </c>
      <c r="AB55" s="63">
        <v>0</v>
      </c>
      <c r="AC55" s="63">
        <v>3</v>
      </c>
      <c r="AD55" s="63">
        <v>-3</v>
      </c>
      <c r="AE55" s="63">
        <v>0</v>
      </c>
      <c r="AF55" s="63">
        <v>3</v>
      </c>
      <c r="AG55" s="63">
        <v>-3</v>
      </c>
      <c r="AH55" s="63">
        <v>0</v>
      </c>
      <c r="AI55" s="155">
        <v>3</v>
      </c>
      <c r="AJ55" s="156">
        <v>3</v>
      </c>
      <c r="AK55" s="157">
        <v>0</v>
      </c>
      <c r="AL55" s="63">
        <v>3</v>
      </c>
      <c r="AM55" s="63">
        <v>3</v>
      </c>
      <c r="AN55" s="63">
        <v>0</v>
      </c>
      <c r="AO55" s="63">
        <v>3</v>
      </c>
      <c r="AP55" s="63">
        <v>3</v>
      </c>
      <c r="AQ55" s="63">
        <v>0</v>
      </c>
      <c r="AR55" s="63">
        <v>74</v>
      </c>
      <c r="AS55" s="63">
        <v>76</v>
      </c>
      <c r="AT55" s="63">
        <v>69</v>
      </c>
      <c r="AU55" s="63">
        <v>80</v>
      </c>
      <c r="AV55" s="63">
        <v>76</v>
      </c>
      <c r="AW55" s="63">
        <v>69</v>
      </c>
      <c r="AX55" s="63">
        <v>6</v>
      </c>
      <c r="AY55" s="63">
        <v>0</v>
      </c>
      <c r="AZ55" s="63">
        <v>0</v>
      </c>
      <c r="BA55" s="63">
        <v>6</v>
      </c>
      <c r="BB55" s="63">
        <v>0</v>
      </c>
      <c r="BC55" s="63">
        <v>0</v>
      </c>
      <c r="BE55" s="63">
        <f t="shared" si="80"/>
        <v>0</v>
      </c>
      <c r="BF55" s="63">
        <f t="shared" si="81"/>
        <v>0</v>
      </c>
      <c r="BG55" s="63">
        <f t="shared" si="82"/>
        <v>0</v>
      </c>
      <c r="BI55" s="63">
        <f t="shared" si="83"/>
        <v>0.96250000000000002</v>
      </c>
      <c r="BJ55" s="63">
        <f t="shared" si="84"/>
        <v>0.89473684210526316</v>
      </c>
      <c r="BK55" s="63">
        <f t="shared" si="85"/>
        <v>0.97101449275362317</v>
      </c>
      <c r="BM55" s="63">
        <f t="shared" si="86"/>
        <v>0</v>
      </c>
      <c r="BN55" s="63">
        <f t="shared" si="87"/>
        <v>0</v>
      </c>
      <c r="BO55" s="63">
        <f t="shared" si="88"/>
        <v>0</v>
      </c>
      <c r="BQ55" s="156">
        <f t="shared" si="89"/>
        <v>0.6875</v>
      </c>
      <c r="BR55" s="156">
        <f t="shared" si="90"/>
        <v>0.43421052631578949</v>
      </c>
      <c r="BS55" s="156">
        <f t="shared" si="91"/>
        <v>0.72463768115942029</v>
      </c>
      <c r="BU55" s="156">
        <f t="shared" si="92"/>
        <v>0.27500000000000002</v>
      </c>
      <c r="BV55" s="156">
        <f t="shared" si="93"/>
        <v>0.46052631578947367</v>
      </c>
      <c r="BW55" s="156">
        <f t="shared" si="94"/>
        <v>0.24637681159420291</v>
      </c>
      <c r="BY55" s="156">
        <f t="shared" si="95"/>
        <v>0</v>
      </c>
      <c r="BZ55" s="156">
        <f t="shared" si="96"/>
        <v>0</v>
      </c>
      <c r="CA55" s="156">
        <f t="shared" si="97"/>
        <v>0</v>
      </c>
      <c r="CC55" s="156">
        <f t="shared" si="98"/>
        <v>3.7499999999999999E-2</v>
      </c>
      <c r="CD55" s="156">
        <f t="shared" si="99"/>
        <v>3.9473684210526314E-2</v>
      </c>
      <c r="CE55" s="156">
        <f t="shared" si="100"/>
        <v>0</v>
      </c>
      <c r="CG55" s="63">
        <f t="shared" si="35"/>
        <v>1</v>
      </c>
      <c r="CH55" s="63">
        <f t="shared" si="36"/>
        <v>0.93421052631578949</v>
      </c>
      <c r="CI55" s="63">
        <f t="shared" si="37"/>
        <v>0.97101449275362317</v>
      </c>
      <c r="CK55" s="63">
        <f t="shared" si="38"/>
        <v>0</v>
      </c>
      <c r="CL55" s="63">
        <f t="shared" si="39"/>
        <v>6.5789473684210509E-2</v>
      </c>
      <c r="CM55" s="63">
        <f t="shared" si="40"/>
        <v>2.8985507246376829E-2</v>
      </c>
      <c r="CO55" s="156">
        <f t="shared" si="41"/>
        <v>0</v>
      </c>
      <c r="CP55" s="156">
        <f t="shared" si="42"/>
        <v>4.9999999999999982</v>
      </c>
      <c r="CQ55" s="156">
        <f t="shared" si="43"/>
        <v>2.0000000000000013</v>
      </c>
      <c r="CT55" s="63">
        <v>55</v>
      </c>
      <c r="CV55" s="156">
        <f t="shared" si="75"/>
        <v>0</v>
      </c>
      <c r="CW55" s="156">
        <f t="shared" si="44"/>
        <v>0</v>
      </c>
      <c r="CX55" s="156">
        <f t="shared" si="45"/>
        <v>0</v>
      </c>
      <c r="CZ55" s="63">
        <f t="shared" si="46"/>
        <v>0</v>
      </c>
      <c r="DA55" s="63">
        <f t="shared" si="47"/>
        <v>0</v>
      </c>
      <c r="DB55" s="63">
        <f t="shared" si="48"/>
        <v>0</v>
      </c>
      <c r="DC55" s="63">
        <f t="shared" si="49"/>
        <v>0</v>
      </c>
      <c r="DD55" s="63">
        <f t="shared" si="50"/>
        <v>0</v>
      </c>
      <c r="DE55" s="63">
        <f t="shared" si="51"/>
        <v>0</v>
      </c>
      <c r="DF55" s="63">
        <f t="shared" si="52"/>
        <v>1</v>
      </c>
      <c r="DG55" s="63">
        <f t="shared" si="53"/>
        <v>1</v>
      </c>
      <c r="DH55" s="63">
        <f t="shared" si="54"/>
        <v>1</v>
      </c>
      <c r="DI55" s="63">
        <f t="shared" si="55"/>
        <v>1</v>
      </c>
      <c r="DJ55" s="63">
        <f t="shared" si="56"/>
        <v>1</v>
      </c>
      <c r="DK55" s="63">
        <f t="shared" si="57"/>
        <v>1</v>
      </c>
      <c r="DL55" s="63">
        <f t="shared" si="58"/>
        <v>0</v>
      </c>
      <c r="DM55" s="63">
        <f t="shared" si="59"/>
        <v>0</v>
      </c>
      <c r="DN55" s="63">
        <f t="shared" si="60"/>
        <v>0</v>
      </c>
      <c r="DO55" s="63">
        <f t="shared" si="61"/>
        <v>1</v>
      </c>
      <c r="DP55" s="63">
        <f t="shared" si="62"/>
        <v>1</v>
      </c>
      <c r="DQ55" s="63">
        <f t="shared" si="63"/>
        <v>0</v>
      </c>
      <c r="DR55" s="63">
        <f t="shared" si="64"/>
        <v>0</v>
      </c>
      <c r="DS55" s="63">
        <f t="shared" si="65"/>
        <v>1</v>
      </c>
      <c r="DT55" s="63">
        <f t="shared" si="66"/>
        <v>1</v>
      </c>
      <c r="DU55" s="63">
        <f t="shared" si="67"/>
        <v>3</v>
      </c>
      <c r="DV55" s="63">
        <f t="shared" si="68"/>
        <v>4</v>
      </c>
      <c r="DW55" s="63">
        <f t="shared" si="69"/>
        <v>3</v>
      </c>
      <c r="DX55" s="63">
        <f t="shared" si="70"/>
        <v>3.3333333333333335</v>
      </c>
      <c r="DY55" s="63">
        <f t="shared" si="71"/>
        <v>0.47140452079103168</v>
      </c>
      <c r="DZ55" s="137">
        <f t="shared" si="101"/>
        <v>0</v>
      </c>
      <c r="EA55" s="63">
        <f t="shared" si="101"/>
        <v>0</v>
      </c>
      <c r="EB55" s="63">
        <f t="shared" si="101"/>
        <v>1</v>
      </c>
      <c r="EC55" s="63">
        <f t="shared" si="101"/>
        <v>0</v>
      </c>
      <c r="ED55" s="63">
        <f t="shared" si="101"/>
        <v>0</v>
      </c>
      <c r="EE55" s="63">
        <f t="shared" si="101"/>
        <v>0</v>
      </c>
      <c r="EF55" s="63">
        <f t="shared" si="101"/>
        <v>0</v>
      </c>
      <c r="EG55" s="63">
        <f t="shared" si="102"/>
        <v>0</v>
      </c>
      <c r="EH55" s="63">
        <f t="shared" si="102"/>
        <v>0</v>
      </c>
      <c r="EI55" s="63">
        <f t="shared" si="102"/>
        <v>0</v>
      </c>
      <c r="EJ55" s="63">
        <f t="shared" si="102"/>
        <v>1</v>
      </c>
      <c r="EK55" s="63">
        <f t="shared" si="102"/>
        <v>0</v>
      </c>
      <c r="EL55" s="63">
        <f t="shared" si="102"/>
        <v>0</v>
      </c>
      <c r="EM55" s="63">
        <f t="shared" si="102"/>
        <v>0</v>
      </c>
      <c r="EN55" s="63">
        <f t="shared" si="103"/>
        <v>0</v>
      </c>
      <c r="EO55" s="63">
        <f t="shared" si="103"/>
        <v>0</v>
      </c>
      <c r="EP55" s="63">
        <f t="shared" si="103"/>
        <v>1</v>
      </c>
      <c r="EQ55" s="63">
        <f t="shared" si="103"/>
        <v>0</v>
      </c>
      <c r="ER55" s="63">
        <f t="shared" si="103"/>
        <v>0</v>
      </c>
      <c r="ES55" s="63">
        <f t="shared" si="103"/>
        <v>0</v>
      </c>
      <c r="ET55" s="156">
        <f t="shared" si="103"/>
        <v>0</v>
      </c>
    </row>
    <row r="56" spans="1:205" s="63" customFormat="1">
      <c r="A56" s="63" t="s">
        <v>116</v>
      </c>
      <c r="B56" s="63">
        <v>130</v>
      </c>
      <c r="C56" s="63" t="s">
        <v>38</v>
      </c>
      <c r="D56" s="63" t="s">
        <v>33</v>
      </c>
      <c r="E56" s="63">
        <v>311</v>
      </c>
      <c r="F56" s="63">
        <v>457</v>
      </c>
      <c r="G56" s="63">
        <v>442</v>
      </c>
      <c r="H56" s="63">
        <v>53</v>
      </c>
      <c r="I56" s="63">
        <v>78</v>
      </c>
      <c r="J56" s="63">
        <v>43</v>
      </c>
      <c r="K56" s="63">
        <v>0</v>
      </c>
      <c r="L56" s="63">
        <v>0</v>
      </c>
      <c r="M56" s="63">
        <v>0</v>
      </c>
      <c r="N56" s="63">
        <v>108</v>
      </c>
      <c r="O56" s="63">
        <v>127</v>
      </c>
      <c r="P56" s="63">
        <v>249</v>
      </c>
      <c r="Q56" s="156">
        <v>0</v>
      </c>
      <c r="R56" s="156">
        <v>0</v>
      </c>
      <c r="S56" s="156">
        <v>0</v>
      </c>
      <c r="T56" s="156">
        <v>72</v>
      </c>
      <c r="U56" s="156">
        <v>73</v>
      </c>
      <c r="V56" s="156">
        <v>207</v>
      </c>
      <c r="W56" s="156">
        <v>36</v>
      </c>
      <c r="X56" s="156">
        <v>54</v>
      </c>
      <c r="Y56" s="156">
        <v>42</v>
      </c>
      <c r="Z56" s="63">
        <v>150</v>
      </c>
      <c r="AA56" s="63">
        <v>252</v>
      </c>
      <c r="AB56" s="63">
        <v>150</v>
      </c>
      <c r="AC56" s="63">
        <v>-19</v>
      </c>
      <c r="AD56" s="63">
        <v>15</v>
      </c>
      <c r="AE56" s="63">
        <v>38</v>
      </c>
      <c r="AF56" s="63">
        <v>-19</v>
      </c>
      <c r="AG56" s="63">
        <v>15</v>
      </c>
      <c r="AH56" s="63">
        <v>38</v>
      </c>
      <c r="AI56" s="155">
        <v>53</v>
      </c>
      <c r="AJ56" s="156">
        <v>24</v>
      </c>
      <c r="AK56" s="157">
        <v>47</v>
      </c>
      <c r="AL56" s="63">
        <v>53</v>
      </c>
      <c r="AM56" s="63">
        <v>24</v>
      </c>
      <c r="AN56" s="63">
        <v>47</v>
      </c>
      <c r="AO56" s="63">
        <v>53</v>
      </c>
      <c r="AP56" s="63">
        <v>24</v>
      </c>
      <c r="AQ56" s="63">
        <v>47</v>
      </c>
      <c r="AR56" s="63">
        <v>641</v>
      </c>
      <c r="AS56" s="63">
        <v>442</v>
      </c>
      <c r="AT56" s="63">
        <v>404</v>
      </c>
      <c r="AU56" s="63">
        <v>364</v>
      </c>
      <c r="AV56" s="63">
        <v>481</v>
      </c>
      <c r="AW56" s="63">
        <v>489</v>
      </c>
      <c r="AX56" s="63">
        <v>-277</v>
      </c>
      <c r="AY56" s="63">
        <v>39</v>
      </c>
      <c r="AZ56" s="63">
        <v>85</v>
      </c>
      <c r="BA56" s="63">
        <v>34</v>
      </c>
      <c r="BB56" s="63">
        <v>39</v>
      </c>
      <c r="BC56" s="63">
        <v>85</v>
      </c>
      <c r="BE56" s="63">
        <f t="shared" si="80"/>
        <v>0.41208791208791207</v>
      </c>
      <c r="BF56" s="63">
        <f t="shared" si="81"/>
        <v>0.52390852390852394</v>
      </c>
      <c r="BG56" s="63">
        <f t="shared" si="82"/>
        <v>0.30674846625766872</v>
      </c>
      <c r="BI56" s="63">
        <f t="shared" si="83"/>
        <v>0.2967032967032967</v>
      </c>
      <c r="BJ56" s="63">
        <f t="shared" si="84"/>
        <v>0.26403326403326405</v>
      </c>
      <c r="BK56" s="63">
        <f t="shared" si="85"/>
        <v>0.50920245398773001</v>
      </c>
      <c r="BM56" s="63">
        <f t="shared" si="86"/>
        <v>0</v>
      </c>
      <c r="BN56" s="63">
        <f t="shared" si="87"/>
        <v>0</v>
      </c>
      <c r="BO56" s="63">
        <f t="shared" si="88"/>
        <v>0</v>
      </c>
      <c r="BQ56" s="156">
        <f t="shared" si="89"/>
        <v>0.19780219780219779</v>
      </c>
      <c r="BR56" s="156">
        <f t="shared" si="90"/>
        <v>0.15176715176715178</v>
      </c>
      <c r="BS56" s="156">
        <f t="shared" si="91"/>
        <v>0.42331288343558282</v>
      </c>
      <c r="BU56" s="156">
        <f t="shared" si="92"/>
        <v>9.8901098901098897E-2</v>
      </c>
      <c r="BV56" s="156">
        <f t="shared" si="93"/>
        <v>0.11226611226611227</v>
      </c>
      <c r="BW56" s="156">
        <f t="shared" si="94"/>
        <v>8.5889570552147243E-2</v>
      </c>
      <c r="BY56" s="156">
        <f t="shared" si="95"/>
        <v>0.14560439560439561</v>
      </c>
      <c r="BZ56" s="156">
        <f t="shared" si="96"/>
        <v>0.16216216216216217</v>
      </c>
      <c r="CA56" s="156">
        <f t="shared" si="97"/>
        <v>8.7934560327198361E-2</v>
      </c>
      <c r="CC56" s="156">
        <f t="shared" si="98"/>
        <v>0.14560439560439561</v>
      </c>
      <c r="CD56" s="156">
        <f t="shared" si="99"/>
        <v>4.9896049896049899E-2</v>
      </c>
      <c r="CE56" s="156">
        <f t="shared" si="100"/>
        <v>9.6114519427402859E-2</v>
      </c>
      <c r="CG56" s="63">
        <f t="shared" si="35"/>
        <v>1</v>
      </c>
      <c r="CH56" s="63">
        <f t="shared" si="36"/>
        <v>1</v>
      </c>
      <c r="CI56" s="63">
        <f t="shared" si="37"/>
        <v>1</v>
      </c>
      <c r="CK56" s="63">
        <f t="shared" si="38"/>
        <v>0</v>
      </c>
      <c r="CL56" s="63">
        <f t="shared" si="39"/>
        <v>0</v>
      </c>
      <c r="CM56" s="63">
        <f t="shared" si="40"/>
        <v>0</v>
      </c>
      <c r="CO56" s="156">
        <f t="shared" si="41"/>
        <v>0</v>
      </c>
      <c r="CP56" s="156">
        <f t="shared" si="42"/>
        <v>0</v>
      </c>
      <c r="CQ56" s="156">
        <f t="shared" si="43"/>
        <v>0</v>
      </c>
      <c r="CT56" s="63">
        <v>72</v>
      </c>
      <c r="CV56" s="156">
        <f t="shared" si="75"/>
        <v>1.1538461538461537</v>
      </c>
      <c r="CW56" s="156">
        <f t="shared" si="44"/>
        <v>1.9384615384615385</v>
      </c>
      <c r="CX56" s="156">
        <f t="shared" si="45"/>
        <v>1.1538461538461537</v>
      </c>
      <c r="CZ56" s="63">
        <f t="shared" si="46"/>
        <v>1</v>
      </c>
      <c r="DA56" s="63">
        <f t="shared" si="47"/>
        <v>1</v>
      </c>
      <c r="DB56" s="63">
        <f t="shared" si="48"/>
        <v>1</v>
      </c>
      <c r="DC56" s="63">
        <f t="shared" si="49"/>
        <v>0</v>
      </c>
      <c r="DD56" s="63">
        <f t="shared" si="50"/>
        <v>0</v>
      </c>
      <c r="DE56" s="63">
        <f t="shared" si="51"/>
        <v>0</v>
      </c>
      <c r="DF56" s="63">
        <f t="shared" si="52"/>
        <v>1</v>
      </c>
      <c r="DG56" s="63">
        <f t="shared" si="53"/>
        <v>1</v>
      </c>
      <c r="DH56" s="63">
        <f t="shared" si="54"/>
        <v>1</v>
      </c>
      <c r="DI56" s="63">
        <f t="shared" si="55"/>
        <v>1</v>
      </c>
      <c r="DJ56" s="63">
        <f t="shared" si="56"/>
        <v>1</v>
      </c>
      <c r="DK56" s="63">
        <f t="shared" si="57"/>
        <v>1</v>
      </c>
      <c r="DL56" s="63">
        <f t="shared" si="58"/>
        <v>1</v>
      </c>
      <c r="DM56" s="63">
        <f t="shared" si="59"/>
        <v>1</v>
      </c>
      <c r="DN56" s="63">
        <f t="shared" si="60"/>
        <v>1</v>
      </c>
      <c r="DO56" s="63">
        <f t="shared" si="61"/>
        <v>1</v>
      </c>
      <c r="DP56" s="63">
        <f t="shared" si="62"/>
        <v>1</v>
      </c>
      <c r="DQ56" s="63">
        <f t="shared" si="63"/>
        <v>1</v>
      </c>
      <c r="DR56" s="63">
        <f t="shared" si="64"/>
        <v>0</v>
      </c>
      <c r="DS56" s="63">
        <f t="shared" si="65"/>
        <v>0</v>
      </c>
      <c r="DT56" s="63">
        <f t="shared" si="66"/>
        <v>0</v>
      </c>
      <c r="DU56" s="63">
        <f t="shared" si="67"/>
        <v>5</v>
      </c>
      <c r="DV56" s="63">
        <f t="shared" si="68"/>
        <v>5</v>
      </c>
      <c r="DW56" s="63">
        <f t="shared" si="69"/>
        <v>5</v>
      </c>
      <c r="DX56" s="63">
        <f t="shared" si="70"/>
        <v>5</v>
      </c>
      <c r="DY56" s="63">
        <f t="shared" si="71"/>
        <v>0</v>
      </c>
      <c r="DZ56" s="137">
        <f t="shared" si="101"/>
        <v>0</v>
      </c>
      <c r="EA56" s="63">
        <f t="shared" si="101"/>
        <v>0</v>
      </c>
      <c r="EB56" s="63">
        <f t="shared" si="101"/>
        <v>0</v>
      </c>
      <c r="EC56" s="63">
        <f t="shared" si="101"/>
        <v>0</v>
      </c>
      <c r="ED56" s="63">
        <f t="shared" si="101"/>
        <v>1</v>
      </c>
      <c r="EE56" s="63">
        <f t="shared" si="101"/>
        <v>0</v>
      </c>
      <c r="EF56" s="63">
        <f t="shared" si="101"/>
        <v>0</v>
      </c>
      <c r="EG56" s="63">
        <f t="shared" si="102"/>
        <v>0</v>
      </c>
      <c r="EH56" s="63">
        <f t="shared" si="102"/>
        <v>0</v>
      </c>
      <c r="EI56" s="63">
        <f t="shared" si="102"/>
        <v>0</v>
      </c>
      <c r="EJ56" s="63">
        <f t="shared" si="102"/>
        <v>0</v>
      </c>
      <c r="EK56" s="63">
        <f t="shared" si="102"/>
        <v>1</v>
      </c>
      <c r="EL56" s="63">
        <f t="shared" si="102"/>
        <v>0</v>
      </c>
      <c r="EM56" s="63">
        <f t="shared" si="102"/>
        <v>0</v>
      </c>
      <c r="EN56" s="63">
        <f t="shared" si="103"/>
        <v>0</v>
      </c>
      <c r="EO56" s="63">
        <f t="shared" si="103"/>
        <v>0</v>
      </c>
      <c r="EP56" s="63">
        <f t="shared" si="103"/>
        <v>0</v>
      </c>
      <c r="EQ56" s="63">
        <f t="shared" si="103"/>
        <v>0</v>
      </c>
      <c r="ER56" s="63">
        <f t="shared" si="103"/>
        <v>1</v>
      </c>
      <c r="ES56" s="63">
        <f t="shared" si="103"/>
        <v>0</v>
      </c>
      <c r="ET56" s="156">
        <f t="shared" si="103"/>
        <v>0</v>
      </c>
    </row>
    <row r="57" spans="1:205" s="63" customFormat="1">
      <c r="A57" s="63" t="s">
        <v>117</v>
      </c>
      <c r="B57" s="63">
        <v>187</v>
      </c>
      <c r="C57" s="63" t="s">
        <v>38</v>
      </c>
      <c r="D57" s="63" t="s">
        <v>32</v>
      </c>
      <c r="E57" s="63">
        <v>388</v>
      </c>
      <c r="F57" s="63">
        <v>552</v>
      </c>
      <c r="G57" s="63">
        <v>568</v>
      </c>
      <c r="H57" s="63">
        <v>35</v>
      </c>
      <c r="I57" s="63">
        <v>56</v>
      </c>
      <c r="J57" s="63">
        <v>59</v>
      </c>
      <c r="K57" s="63">
        <v>8</v>
      </c>
      <c r="L57" s="63">
        <v>2</v>
      </c>
      <c r="M57" s="63">
        <v>1</v>
      </c>
      <c r="N57" s="63">
        <v>145</v>
      </c>
      <c r="O57" s="63">
        <v>193</v>
      </c>
      <c r="P57" s="63">
        <v>83</v>
      </c>
      <c r="Q57" s="156">
        <v>0</v>
      </c>
      <c r="R57" s="156">
        <v>0</v>
      </c>
      <c r="S57" s="156">
        <v>0</v>
      </c>
      <c r="T57" s="156">
        <v>112</v>
      </c>
      <c r="U57" s="156">
        <v>140</v>
      </c>
      <c r="V57" s="156">
        <v>41</v>
      </c>
      <c r="W57" s="156">
        <v>33</v>
      </c>
      <c r="X57" s="156">
        <v>53</v>
      </c>
      <c r="Y57" s="156">
        <v>42</v>
      </c>
      <c r="Z57" s="63">
        <v>200</v>
      </c>
      <c r="AA57" s="63">
        <v>301</v>
      </c>
      <c r="AB57" s="63">
        <v>425</v>
      </c>
      <c r="AC57" s="63">
        <v>-112</v>
      </c>
      <c r="AD57" s="63">
        <v>-38</v>
      </c>
      <c r="AE57" s="63">
        <v>-61</v>
      </c>
      <c r="AF57" s="63">
        <v>-112</v>
      </c>
      <c r="AG57" s="63">
        <v>-38</v>
      </c>
      <c r="AH57" s="63">
        <v>-61</v>
      </c>
      <c r="AI57" s="155">
        <v>188</v>
      </c>
      <c r="AJ57" s="156">
        <v>125</v>
      </c>
      <c r="AK57" s="157">
        <v>136</v>
      </c>
      <c r="AL57" s="63">
        <v>176</v>
      </c>
      <c r="AM57" s="63">
        <v>92</v>
      </c>
      <c r="AN57" s="63">
        <v>121</v>
      </c>
      <c r="AO57" s="63">
        <v>176</v>
      </c>
      <c r="AP57" s="63">
        <v>92</v>
      </c>
      <c r="AQ57" s="63">
        <v>121</v>
      </c>
      <c r="AR57" s="63">
        <v>512</v>
      </c>
      <c r="AS57" s="63">
        <v>623</v>
      </c>
      <c r="AT57" s="63">
        <v>644</v>
      </c>
      <c r="AU57" s="63">
        <v>576</v>
      </c>
      <c r="AV57" s="63">
        <v>677</v>
      </c>
      <c r="AW57" s="63">
        <v>704</v>
      </c>
      <c r="AX57" s="63">
        <v>64</v>
      </c>
      <c r="AY57" s="63">
        <v>54</v>
      </c>
      <c r="AZ57" s="63">
        <v>60</v>
      </c>
      <c r="BA57" s="63">
        <v>64</v>
      </c>
      <c r="BB57" s="63">
        <v>54</v>
      </c>
      <c r="BC57" s="63">
        <v>60</v>
      </c>
      <c r="BE57" s="63">
        <f t="shared" si="80"/>
        <v>0.34722222222222221</v>
      </c>
      <c r="BF57" s="63">
        <f t="shared" si="81"/>
        <v>0.4446085672082718</v>
      </c>
      <c r="BG57" s="63">
        <f t="shared" si="82"/>
        <v>0.60369318181818177</v>
      </c>
      <c r="BI57" s="63">
        <f t="shared" si="83"/>
        <v>0.2517361111111111</v>
      </c>
      <c r="BJ57" s="63">
        <f t="shared" si="84"/>
        <v>0.28508124076809455</v>
      </c>
      <c r="BK57" s="63">
        <f t="shared" si="85"/>
        <v>0.11789772727272728</v>
      </c>
      <c r="BM57" s="63">
        <f t="shared" si="86"/>
        <v>0</v>
      </c>
      <c r="BN57" s="63">
        <f t="shared" si="87"/>
        <v>0</v>
      </c>
      <c r="BO57" s="63">
        <f t="shared" si="88"/>
        <v>0</v>
      </c>
      <c r="BQ57" s="156">
        <f t="shared" si="89"/>
        <v>0.19444444444444445</v>
      </c>
      <c r="BR57" s="156">
        <f t="shared" si="90"/>
        <v>0.206794682422452</v>
      </c>
      <c r="BS57" s="156">
        <f t="shared" si="91"/>
        <v>5.823863636363636E-2</v>
      </c>
      <c r="BU57" s="156">
        <f t="shared" si="92"/>
        <v>5.7291666666666664E-2</v>
      </c>
      <c r="BV57" s="156">
        <f t="shared" si="93"/>
        <v>7.8286558345642535E-2</v>
      </c>
      <c r="BW57" s="156">
        <f t="shared" si="94"/>
        <v>5.9659090909090912E-2</v>
      </c>
      <c r="BY57" s="156">
        <f t="shared" si="95"/>
        <v>6.0763888888888888E-2</v>
      </c>
      <c r="BZ57" s="156">
        <f t="shared" si="96"/>
        <v>8.2717872968980796E-2</v>
      </c>
      <c r="CA57" s="156">
        <f t="shared" si="97"/>
        <v>8.3806818181818177E-2</v>
      </c>
      <c r="CC57" s="156">
        <f t="shared" si="98"/>
        <v>0.3263888888888889</v>
      </c>
      <c r="CD57" s="156">
        <f t="shared" si="99"/>
        <v>0.18463810930576072</v>
      </c>
      <c r="CE57" s="156">
        <f t="shared" si="100"/>
        <v>0.19318181818181818</v>
      </c>
      <c r="CG57" s="63">
        <f t="shared" si="35"/>
        <v>0.98611111111111094</v>
      </c>
      <c r="CH57" s="63">
        <f t="shared" si="36"/>
        <v>0.99704579025110784</v>
      </c>
      <c r="CI57" s="63">
        <f t="shared" si="37"/>
        <v>0.99857954545454541</v>
      </c>
      <c r="CK57" s="63">
        <f t="shared" si="38"/>
        <v>1.3888888888889062E-2</v>
      </c>
      <c r="CL57" s="63">
        <f t="shared" si="39"/>
        <v>2.9542097488921559E-3</v>
      </c>
      <c r="CM57" s="63">
        <f t="shared" si="40"/>
        <v>1.4204545454545858E-3</v>
      </c>
      <c r="CO57" s="156">
        <f t="shared" si="41"/>
        <v>8.0000000000000995</v>
      </c>
      <c r="CP57" s="156">
        <f t="shared" si="42"/>
        <v>1.9999999999999896</v>
      </c>
      <c r="CQ57" s="156">
        <f t="shared" si="43"/>
        <v>1.0000000000000284</v>
      </c>
      <c r="CT57" s="63">
        <v>112</v>
      </c>
      <c r="CV57" s="156">
        <f t="shared" si="75"/>
        <v>1.0695187165775402</v>
      </c>
      <c r="CW57" s="156">
        <f t="shared" si="44"/>
        <v>1.6096256684491979</v>
      </c>
      <c r="CX57" s="156">
        <f t="shared" si="45"/>
        <v>2.2727272727272729</v>
      </c>
      <c r="CZ57" s="63">
        <f t="shared" si="46"/>
        <v>1</v>
      </c>
      <c r="DA57" s="63">
        <f t="shared" si="47"/>
        <v>1</v>
      </c>
      <c r="DB57" s="63">
        <f t="shared" si="48"/>
        <v>1</v>
      </c>
      <c r="DC57" s="63">
        <f t="shared" si="49"/>
        <v>0</v>
      </c>
      <c r="DD57" s="63">
        <f t="shared" si="50"/>
        <v>0</v>
      </c>
      <c r="DE57" s="63">
        <f t="shared" si="51"/>
        <v>0</v>
      </c>
      <c r="DF57" s="63">
        <f t="shared" si="52"/>
        <v>1</v>
      </c>
      <c r="DG57" s="63">
        <f t="shared" si="53"/>
        <v>1</v>
      </c>
      <c r="DH57" s="63">
        <f t="shared" si="54"/>
        <v>1</v>
      </c>
      <c r="DI57" s="63">
        <f t="shared" si="55"/>
        <v>1</v>
      </c>
      <c r="DJ57" s="63">
        <f t="shared" si="56"/>
        <v>1</v>
      </c>
      <c r="DK57" s="63">
        <f t="shared" si="57"/>
        <v>1</v>
      </c>
      <c r="DL57" s="63">
        <f t="shared" si="58"/>
        <v>1</v>
      </c>
      <c r="DM57" s="63">
        <f t="shared" si="59"/>
        <v>1</v>
      </c>
      <c r="DN57" s="63">
        <f t="shared" si="60"/>
        <v>1</v>
      </c>
      <c r="DO57" s="63">
        <f t="shared" si="61"/>
        <v>1</v>
      </c>
      <c r="DP57" s="63">
        <f t="shared" si="62"/>
        <v>1</v>
      </c>
      <c r="DQ57" s="63">
        <f t="shared" si="63"/>
        <v>1</v>
      </c>
      <c r="DR57" s="63">
        <f t="shared" si="64"/>
        <v>1</v>
      </c>
      <c r="DS57" s="63">
        <f t="shared" si="65"/>
        <v>1</v>
      </c>
      <c r="DT57" s="63">
        <f t="shared" si="66"/>
        <v>1</v>
      </c>
      <c r="DU57" s="63">
        <f t="shared" si="67"/>
        <v>6</v>
      </c>
      <c r="DV57" s="63">
        <f t="shared" si="68"/>
        <v>6</v>
      </c>
      <c r="DW57" s="63">
        <f t="shared" si="69"/>
        <v>6</v>
      </c>
      <c r="DX57" s="63">
        <f t="shared" si="70"/>
        <v>6</v>
      </c>
      <c r="DY57" s="63">
        <f t="shared" si="71"/>
        <v>0</v>
      </c>
      <c r="DZ57" s="137">
        <f t="shared" si="101"/>
        <v>0</v>
      </c>
      <c r="EA57" s="63">
        <f t="shared" si="101"/>
        <v>0</v>
      </c>
      <c r="EB57" s="63">
        <f t="shared" si="101"/>
        <v>0</v>
      </c>
      <c r="EC57" s="63">
        <f t="shared" si="101"/>
        <v>0</v>
      </c>
      <c r="ED57" s="63">
        <f t="shared" si="101"/>
        <v>0</v>
      </c>
      <c r="EE57" s="63">
        <f t="shared" si="101"/>
        <v>1</v>
      </c>
      <c r="EF57" s="63">
        <f t="shared" si="101"/>
        <v>0</v>
      </c>
      <c r="EG57" s="63">
        <f t="shared" si="102"/>
        <v>0</v>
      </c>
      <c r="EH57" s="63">
        <f t="shared" si="102"/>
        <v>0</v>
      </c>
      <c r="EI57" s="63">
        <f t="shared" si="102"/>
        <v>0</v>
      </c>
      <c r="EJ57" s="63">
        <f t="shared" si="102"/>
        <v>0</v>
      </c>
      <c r="EK57" s="63">
        <f t="shared" si="102"/>
        <v>0</v>
      </c>
      <c r="EL57" s="63">
        <f t="shared" si="102"/>
        <v>1</v>
      </c>
      <c r="EM57" s="63">
        <f t="shared" si="102"/>
        <v>0</v>
      </c>
      <c r="EN57" s="63">
        <f t="shared" si="103"/>
        <v>0</v>
      </c>
      <c r="EO57" s="63">
        <f t="shared" si="103"/>
        <v>0</v>
      </c>
      <c r="EP57" s="63">
        <f t="shared" si="103"/>
        <v>0</v>
      </c>
      <c r="EQ57" s="63">
        <f t="shared" si="103"/>
        <v>0</v>
      </c>
      <c r="ER57" s="63">
        <f t="shared" si="103"/>
        <v>0</v>
      </c>
      <c r="ES57" s="63">
        <f t="shared" si="103"/>
        <v>1</v>
      </c>
      <c r="ET57" s="156">
        <f t="shared" si="103"/>
        <v>0</v>
      </c>
    </row>
    <row r="58" spans="1:205" s="63" customFormat="1">
      <c r="A58" s="63" t="s">
        <v>118</v>
      </c>
      <c r="B58" s="63">
        <v>55</v>
      </c>
      <c r="C58" s="63" t="s">
        <v>38</v>
      </c>
      <c r="D58" s="63" t="s">
        <v>35</v>
      </c>
      <c r="E58" s="63">
        <v>229</v>
      </c>
      <c r="F58" s="63">
        <v>240</v>
      </c>
      <c r="G58" s="63">
        <v>352</v>
      </c>
      <c r="H58" s="63">
        <v>229</v>
      </c>
      <c r="I58" s="63">
        <v>0</v>
      </c>
      <c r="J58" s="63">
        <v>121</v>
      </c>
      <c r="K58" s="63">
        <v>0</v>
      </c>
      <c r="L58" s="63">
        <v>0</v>
      </c>
      <c r="M58" s="63">
        <v>0</v>
      </c>
      <c r="N58" s="63">
        <v>0</v>
      </c>
      <c r="O58" s="63">
        <v>51</v>
      </c>
      <c r="P58" s="63">
        <v>0</v>
      </c>
      <c r="Q58" s="156">
        <v>0</v>
      </c>
      <c r="R58" s="156">
        <v>0</v>
      </c>
      <c r="S58" s="156">
        <v>0</v>
      </c>
      <c r="T58" s="156">
        <v>0</v>
      </c>
      <c r="U58" s="156">
        <v>37</v>
      </c>
      <c r="V58" s="156">
        <v>0</v>
      </c>
      <c r="W58" s="156">
        <v>0</v>
      </c>
      <c r="X58" s="156">
        <v>14</v>
      </c>
      <c r="Y58" s="156">
        <v>0</v>
      </c>
      <c r="Z58" s="63">
        <v>0</v>
      </c>
      <c r="AA58" s="63">
        <v>189</v>
      </c>
      <c r="AB58" s="63">
        <v>231</v>
      </c>
      <c r="AC58" s="63">
        <v>0</v>
      </c>
      <c r="AD58" s="63">
        <v>0</v>
      </c>
      <c r="AE58" s="63">
        <v>18</v>
      </c>
      <c r="AF58" s="63">
        <v>0</v>
      </c>
      <c r="AG58" s="63">
        <v>0</v>
      </c>
      <c r="AH58" s="63">
        <v>18</v>
      </c>
      <c r="AI58" s="155">
        <v>0</v>
      </c>
      <c r="AJ58" s="156">
        <v>0</v>
      </c>
      <c r="AK58" s="157">
        <v>0</v>
      </c>
      <c r="AL58" s="63">
        <v>0</v>
      </c>
      <c r="AM58" s="63">
        <v>0</v>
      </c>
      <c r="AN58" s="63">
        <v>0</v>
      </c>
      <c r="AO58" s="63">
        <v>0</v>
      </c>
      <c r="AP58" s="63">
        <v>0</v>
      </c>
      <c r="AQ58" s="63">
        <v>0</v>
      </c>
      <c r="AR58" s="63">
        <v>229</v>
      </c>
      <c r="AS58" s="63">
        <v>240</v>
      </c>
      <c r="AT58" s="63">
        <v>334</v>
      </c>
      <c r="AU58" s="63">
        <v>229</v>
      </c>
      <c r="AV58" s="63">
        <v>240</v>
      </c>
      <c r="AW58" s="63">
        <v>352</v>
      </c>
      <c r="AX58" s="63">
        <v>0</v>
      </c>
      <c r="AY58" s="63">
        <v>0</v>
      </c>
      <c r="AZ58" s="63">
        <v>18</v>
      </c>
      <c r="BA58" s="63">
        <v>0</v>
      </c>
      <c r="BB58" s="63">
        <v>0</v>
      </c>
      <c r="BC58" s="63">
        <v>18</v>
      </c>
      <c r="BE58" s="63">
        <f t="shared" si="80"/>
        <v>0</v>
      </c>
      <c r="BF58" s="63">
        <f t="shared" si="81"/>
        <v>0.78749999999999998</v>
      </c>
      <c r="BG58" s="63">
        <f t="shared" si="82"/>
        <v>0.65625</v>
      </c>
      <c r="BI58" s="63">
        <f t="shared" si="83"/>
        <v>0</v>
      </c>
      <c r="BJ58" s="63">
        <f t="shared" si="84"/>
        <v>0.21249999999999999</v>
      </c>
      <c r="BK58" s="63">
        <f t="shared" si="85"/>
        <v>0</v>
      </c>
      <c r="BM58" s="63">
        <f t="shared" si="86"/>
        <v>0</v>
      </c>
      <c r="BN58" s="63">
        <f t="shared" si="87"/>
        <v>0</v>
      </c>
      <c r="BO58" s="63">
        <f t="shared" si="88"/>
        <v>0</v>
      </c>
      <c r="BQ58" s="156">
        <f t="shared" si="89"/>
        <v>0</v>
      </c>
      <c r="BR58" s="156">
        <f t="shared" si="90"/>
        <v>0.15416666666666667</v>
      </c>
      <c r="BS58" s="156">
        <f t="shared" si="91"/>
        <v>0</v>
      </c>
      <c r="BU58" s="156">
        <f t="shared" si="92"/>
        <v>0</v>
      </c>
      <c r="BV58" s="156">
        <f t="shared" si="93"/>
        <v>5.8333333333333334E-2</v>
      </c>
      <c r="BW58" s="156">
        <f t="shared" si="94"/>
        <v>0</v>
      </c>
      <c r="BY58" s="156">
        <f t="shared" si="95"/>
        <v>1</v>
      </c>
      <c r="BZ58" s="156">
        <f t="shared" si="96"/>
        <v>0</v>
      </c>
      <c r="CA58" s="156">
        <f t="shared" si="97"/>
        <v>0.34375</v>
      </c>
      <c r="CC58" s="156">
        <f t="shared" si="98"/>
        <v>0</v>
      </c>
      <c r="CD58" s="156">
        <f t="shared" si="99"/>
        <v>0</v>
      </c>
      <c r="CE58" s="156">
        <f t="shared" si="100"/>
        <v>0</v>
      </c>
      <c r="CG58" s="63">
        <f t="shared" si="35"/>
        <v>1</v>
      </c>
      <c r="CH58" s="63">
        <f t="shared" si="36"/>
        <v>1</v>
      </c>
      <c r="CI58" s="63">
        <f t="shared" si="37"/>
        <v>1</v>
      </c>
      <c r="CK58" s="63">
        <f t="shared" si="38"/>
        <v>0</v>
      </c>
      <c r="CL58" s="63">
        <f t="shared" si="39"/>
        <v>0</v>
      </c>
      <c r="CM58" s="63">
        <f t="shared" si="40"/>
        <v>0</v>
      </c>
      <c r="CO58" s="156">
        <f t="shared" si="41"/>
        <v>0</v>
      </c>
      <c r="CP58" s="156">
        <f t="shared" si="42"/>
        <v>0</v>
      </c>
      <c r="CQ58" s="156">
        <f t="shared" si="43"/>
        <v>0</v>
      </c>
      <c r="CT58" s="63">
        <v>0</v>
      </c>
      <c r="CV58" s="156">
        <f t="shared" si="75"/>
        <v>0</v>
      </c>
      <c r="CW58" s="156">
        <f t="shared" si="44"/>
        <v>3.4363636363636365</v>
      </c>
      <c r="CX58" s="156">
        <f t="shared" si="45"/>
        <v>4.2</v>
      </c>
      <c r="CZ58" s="63">
        <f t="shared" si="46"/>
        <v>0</v>
      </c>
      <c r="DA58" s="63">
        <f t="shared" si="47"/>
        <v>1</v>
      </c>
      <c r="DB58" s="63">
        <f t="shared" si="48"/>
        <v>1</v>
      </c>
      <c r="DC58" s="63">
        <f t="shared" si="49"/>
        <v>0</v>
      </c>
      <c r="DD58" s="63">
        <f t="shared" si="50"/>
        <v>0</v>
      </c>
      <c r="DE58" s="63">
        <f t="shared" si="51"/>
        <v>0</v>
      </c>
      <c r="DF58" s="63">
        <f t="shared" si="52"/>
        <v>0</v>
      </c>
      <c r="DG58" s="63">
        <f t="shared" si="53"/>
        <v>1</v>
      </c>
      <c r="DH58" s="63">
        <f t="shared" si="54"/>
        <v>0</v>
      </c>
      <c r="DI58" s="63">
        <f t="shared" si="55"/>
        <v>0</v>
      </c>
      <c r="DJ58" s="63">
        <f t="shared" si="56"/>
        <v>1</v>
      </c>
      <c r="DK58" s="63">
        <f t="shared" si="57"/>
        <v>0</v>
      </c>
      <c r="DL58" s="63">
        <f t="shared" si="58"/>
        <v>1</v>
      </c>
      <c r="DM58" s="63">
        <f t="shared" si="59"/>
        <v>0</v>
      </c>
      <c r="DN58" s="63">
        <f t="shared" si="60"/>
        <v>1</v>
      </c>
      <c r="DO58" s="63">
        <f t="shared" si="61"/>
        <v>0</v>
      </c>
      <c r="DP58" s="63">
        <f t="shared" si="62"/>
        <v>0</v>
      </c>
      <c r="DQ58" s="63">
        <f t="shared" si="63"/>
        <v>0</v>
      </c>
      <c r="DR58" s="63">
        <f t="shared" si="64"/>
        <v>0</v>
      </c>
      <c r="DS58" s="63">
        <f t="shared" si="65"/>
        <v>0</v>
      </c>
      <c r="DT58" s="63">
        <f t="shared" si="66"/>
        <v>0</v>
      </c>
      <c r="DU58" s="63">
        <f t="shared" si="67"/>
        <v>1</v>
      </c>
      <c r="DV58" s="63">
        <f t="shared" si="68"/>
        <v>3</v>
      </c>
      <c r="DW58" s="63">
        <f t="shared" si="69"/>
        <v>2</v>
      </c>
      <c r="DX58" s="63">
        <f t="shared" si="70"/>
        <v>2</v>
      </c>
      <c r="DY58" s="63">
        <f t="shared" si="71"/>
        <v>0.81649658092772603</v>
      </c>
      <c r="DZ58" s="137">
        <f t="shared" si="101"/>
        <v>1</v>
      </c>
      <c r="EA58" s="63">
        <f t="shared" si="101"/>
        <v>0</v>
      </c>
      <c r="EB58" s="63">
        <f t="shared" si="101"/>
        <v>0</v>
      </c>
      <c r="EC58" s="63">
        <f t="shared" si="101"/>
        <v>0</v>
      </c>
      <c r="ED58" s="63">
        <f t="shared" si="101"/>
        <v>0</v>
      </c>
      <c r="EE58" s="63">
        <f t="shared" si="101"/>
        <v>0</v>
      </c>
      <c r="EF58" s="63">
        <f t="shared" si="101"/>
        <v>0</v>
      </c>
      <c r="EG58" s="63">
        <f t="shared" si="102"/>
        <v>0</v>
      </c>
      <c r="EH58" s="63">
        <f t="shared" si="102"/>
        <v>0</v>
      </c>
      <c r="EI58" s="63">
        <f t="shared" si="102"/>
        <v>1</v>
      </c>
      <c r="EJ58" s="63">
        <f t="shared" si="102"/>
        <v>0</v>
      </c>
      <c r="EK58" s="63">
        <f t="shared" si="102"/>
        <v>0</v>
      </c>
      <c r="EL58" s="63">
        <f t="shared" si="102"/>
        <v>0</v>
      </c>
      <c r="EM58" s="63">
        <f t="shared" si="102"/>
        <v>0</v>
      </c>
      <c r="EN58" s="63">
        <f t="shared" si="103"/>
        <v>0</v>
      </c>
      <c r="EO58" s="63">
        <f t="shared" si="103"/>
        <v>1</v>
      </c>
      <c r="EP58" s="63">
        <f t="shared" si="103"/>
        <v>0</v>
      </c>
      <c r="EQ58" s="63">
        <f t="shared" si="103"/>
        <v>0</v>
      </c>
      <c r="ER58" s="63">
        <f t="shared" si="103"/>
        <v>0</v>
      </c>
      <c r="ES58" s="63">
        <f t="shared" si="103"/>
        <v>0</v>
      </c>
      <c r="ET58" s="156">
        <f t="shared" si="103"/>
        <v>0</v>
      </c>
    </row>
    <row r="59" spans="1:205" s="63" customFormat="1">
      <c r="A59" s="63" t="s">
        <v>119</v>
      </c>
      <c r="B59" s="63">
        <v>336</v>
      </c>
      <c r="C59" s="63" t="s">
        <v>38</v>
      </c>
      <c r="D59" s="63" t="s">
        <v>32</v>
      </c>
      <c r="E59" s="63">
        <v>2730</v>
      </c>
      <c r="F59" s="63">
        <v>3258</v>
      </c>
      <c r="G59" s="63">
        <v>3083</v>
      </c>
      <c r="H59" s="63">
        <v>128</v>
      </c>
      <c r="I59" s="63">
        <v>208</v>
      </c>
      <c r="J59" s="63">
        <v>245</v>
      </c>
      <c r="K59" s="63">
        <v>20</v>
      </c>
      <c r="L59" s="63">
        <v>146</v>
      </c>
      <c r="M59" s="63">
        <v>70</v>
      </c>
      <c r="N59" s="63">
        <v>650</v>
      </c>
      <c r="O59" s="63">
        <v>728</v>
      </c>
      <c r="P59" s="63">
        <v>350</v>
      </c>
      <c r="Q59" s="156">
        <v>77</v>
      </c>
      <c r="R59" s="156">
        <v>0</v>
      </c>
      <c r="S59" s="156">
        <v>0</v>
      </c>
      <c r="T59" s="156">
        <v>110</v>
      </c>
      <c r="U59" s="156">
        <v>131</v>
      </c>
      <c r="V59" s="156">
        <v>25</v>
      </c>
      <c r="W59" s="156">
        <v>463</v>
      </c>
      <c r="X59" s="156">
        <v>597</v>
      </c>
      <c r="Y59" s="156">
        <v>325</v>
      </c>
      <c r="Z59" s="63">
        <v>1932</v>
      </c>
      <c r="AA59" s="63">
        <v>2176</v>
      </c>
      <c r="AB59" s="63">
        <v>2418</v>
      </c>
      <c r="AC59" s="63">
        <v>-6</v>
      </c>
      <c r="AD59" s="63">
        <v>1</v>
      </c>
      <c r="AE59" s="63">
        <v>2</v>
      </c>
      <c r="AF59" s="63">
        <v>-6</v>
      </c>
      <c r="AG59" s="63">
        <v>1</v>
      </c>
      <c r="AH59" s="63">
        <v>2</v>
      </c>
      <c r="AI59" s="155">
        <v>205</v>
      </c>
      <c r="AJ59" s="156">
        <v>125</v>
      </c>
      <c r="AK59" s="157">
        <v>71</v>
      </c>
      <c r="AL59" s="63">
        <v>29</v>
      </c>
      <c r="AM59" s="63">
        <v>4</v>
      </c>
      <c r="AN59" s="63">
        <v>2</v>
      </c>
      <c r="AO59" s="63">
        <v>29</v>
      </c>
      <c r="AP59" s="63">
        <v>4</v>
      </c>
      <c r="AQ59" s="63">
        <v>2</v>
      </c>
      <c r="AR59" s="63">
        <v>2912</v>
      </c>
      <c r="AS59" s="63">
        <v>3378</v>
      </c>
      <c r="AT59" s="63">
        <v>3150</v>
      </c>
      <c r="AU59" s="63">
        <v>2935</v>
      </c>
      <c r="AV59" s="63">
        <v>3383</v>
      </c>
      <c r="AW59" s="63">
        <v>3154</v>
      </c>
      <c r="AX59" s="63">
        <v>23</v>
      </c>
      <c r="AY59" s="63">
        <v>5</v>
      </c>
      <c r="AZ59" s="63">
        <v>4</v>
      </c>
      <c r="BA59" s="63">
        <v>23</v>
      </c>
      <c r="BB59" s="63">
        <v>5</v>
      </c>
      <c r="BC59" s="63">
        <v>4</v>
      </c>
      <c r="BE59" s="63">
        <f t="shared" si="80"/>
        <v>0.65826235093696761</v>
      </c>
      <c r="BF59" s="63">
        <f t="shared" si="81"/>
        <v>0.64321608040201006</v>
      </c>
      <c r="BG59" s="63">
        <f t="shared" si="82"/>
        <v>0.76664552948636655</v>
      </c>
      <c r="BI59" s="63">
        <f t="shared" si="83"/>
        <v>0.22146507666098808</v>
      </c>
      <c r="BJ59" s="63">
        <f t="shared" si="84"/>
        <v>0.215193615134496</v>
      </c>
      <c r="BK59" s="63">
        <f t="shared" si="85"/>
        <v>0.11097019657577679</v>
      </c>
      <c r="BM59" s="63">
        <f t="shared" si="86"/>
        <v>2.6235093696763204E-2</v>
      </c>
      <c r="BN59" s="63">
        <f t="shared" si="87"/>
        <v>0</v>
      </c>
      <c r="BO59" s="63">
        <f t="shared" si="88"/>
        <v>0</v>
      </c>
      <c r="BQ59" s="156">
        <f t="shared" si="89"/>
        <v>3.7478705281090291E-2</v>
      </c>
      <c r="BR59" s="156">
        <f t="shared" si="90"/>
        <v>3.8723026899201894E-2</v>
      </c>
      <c r="BS59" s="156">
        <f t="shared" si="91"/>
        <v>7.9264426125554843E-3</v>
      </c>
      <c r="BU59" s="156">
        <f t="shared" si="92"/>
        <v>0.15775127768313457</v>
      </c>
      <c r="BV59" s="156">
        <f t="shared" si="93"/>
        <v>0.17647058823529413</v>
      </c>
      <c r="BW59" s="156">
        <f t="shared" si="94"/>
        <v>0.10304375396322131</v>
      </c>
      <c r="BY59" s="156">
        <f t="shared" si="95"/>
        <v>4.361158432708688E-2</v>
      </c>
      <c r="BZ59" s="156">
        <f t="shared" si="96"/>
        <v>6.1483890038427434E-2</v>
      </c>
      <c r="CA59" s="156">
        <f t="shared" si="97"/>
        <v>7.7679137603043749E-2</v>
      </c>
      <c r="CC59" s="156">
        <f t="shared" si="98"/>
        <v>6.9846678023850084E-2</v>
      </c>
      <c r="CD59" s="156">
        <f t="shared" si="99"/>
        <v>3.6949453148093406E-2</v>
      </c>
      <c r="CE59" s="156">
        <f t="shared" si="100"/>
        <v>2.2511097019657578E-2</v>
      </c>
      <c r="CG59" s="63">
        <f t="shared" si="35"/>
        <v>0.99318568994889267</v>
      </c>
      <c r="CH59" s="63">
        <f t="shared" si="36"/>
        <v>0.9568430387230269</v>
      </c>
      <c r="CI59" s="63">
        <f t="shared" si="37"/>
        <v>0.97780596068484471</v>
      </c>
      <c r="CK59" s="63">
        <f t="shared" si="38"/>
        <v>6.8143100511073307E-3</v>
      </c>
      <c r="CL59" s="63">
        <f t="shared" si="39"/>
        <v>4.3156961276973105E-2</v>
      </c>
      <c r="CM59" s="63">
        <f t="shared" si="40"/>
        <v>2.2194039315155289E-2</v>
      </c>
      <c r="CO59" s="156">
        <f t="shared" si="41"/>
        <v>20.000000000000014</v>
      </c>
      <c r="CP59" s="156">
        <f t="shared" si="42"/>
        <v>146</v>
      </c>
      <c r="CQ59" s="156">
        <f t="shared" si="43"/>
        <v>69.999999999999787</v>
      </c>
      <c r="CT59" s="63">
        <v>110</v>
      </c>
      <c r="CV59" s="156">
        <f t="shared" si="75"/>
        <v>5.75</v>
      </c>
      <c r="CW59" s="156">
        <f t="shared" si="44"/>
        <v>6.4761904761904763</v>
      </c>
      <c r="CX59" s="156">
        <f t="shared" si="45"/>
        <v>7.1964285714285712</v>
      </c>
      <c r="CZ59" s="63">
        <f t="shared" si="46"/>
        <v>1</v>
      </c>
      <c r="DA59" s="63">
        <f t="shared" si="47"/>
        <v>1</v>
      </c>
      <c r="DB59" s="63">
        <f t="shared" si="48"/>
        <v>1</v>
      </c>
      <c r="DC59" s="63">
        <f t="shared" si="49"/>
        <v>1</v>
      </c>
      <c r="DD59" s="63">
        <f t="shared" si="50"/>
        <v>0</v>
      </c>
      <c r="DE59" s="63">
        <f t="shared" si="51"/>
        <v>0</v>
      </c>
      <c r="DF59" s="63">
        <f t="shared" si="52"/>
        <v>1</v>
      </c>
      <c r="DG59" s="63">
        <f t="shared" si="53"/>
        <v>1</v>
      </c>
      <c r="DH59" s="63">
        <f t="shared" si="54"/>
        <v>1</v>
      </c>
      <c r="DI59" s="63">
        <f t="shared" si="55"/>
        <v>1</v>
      </c>
      <c r="DJ59" s="63">
        <f t="shared" si="56"/>
        <v>1</v>
      </c>
      <c r="DK59" s="63">
        <f t="shared" si="57"/>
        <v>1</v>
      </c>
      <c r="DL59" s="63">
        <f t="shared" si="58"/>
        <v>1</v>
      </c>
      <c r="DM59" s="63">
        <f t="shared" si="59"/>
        <v>1</v>
      </c>
      <c r="DN59" s="63">
        <f t="shared" si="60"/>
        <v>1</v>
      </c>
      <c r="DO59" s="63">
        <f t="shared" si="61"/>
        <v>1</v>
      </c>
      <c r="DP59" s="63">
        <f t="shared" si="62"/>
        <v>1</v>
      </c>
      <c r="DQ59" s="63">
        <f t="shared" si="63"/>
        <v>1</v>
      </c>
      <c r="DR59" s="63">
        <f t="shared" si="64"/>
        <v>1</v>
      </c>
      <c r="DS59" s="63">
        <f t="shared" si="65"/>
        <v>1</v>
      </c>
      <c r="DT59" s="63">
        <f t="shared" si="66"/>
        <v>1</v>
      </c>
      <c r="DU59" s="63">
        <f t="shared" si="67"/>
        <v>7</v>
      </c>
      <c r="DV59" s="63">
        <f t="shared" si="68"/>
        <v>6</v>
      </c>
      <c r="DW59" s="63">
        <f t="shared" si="69"/>
        <v>6</v>
      </c>
      <c r="DX59" s="63">
        <f t="shared" si="70"/>
        <v>6.333333333333333</v>
      </c>
      <c r="DY59" s="63">
        <f t="shared" si="71"/>
        <v>0.47140452079103168</v>
      </c>
      <c r="DZ59" s="137">
        <f t="shared" si="101"/>
        <v>0</v>
      </c>
      <c r="EA59" s="63">
        <f t="shared" si="101"/>
        <v>0</v>
      </c>
      <c r="EB59" s="63">
        <f t="shared" si="101"/>
        <v>0</v>
      </c>
      <c r="EC59" s="63">
        <f t="shared" si="101"/>
        <v>0</v>
      </c>
      <c r="ED59" s="63">
        <f t="shared" si="101"/>
        <v>0</v>
      </c>
      <c r="EE59" s="63">
        <f t="shared" si="101"/>
        <v>0</v>
      </c>
      <c r="EF59" s="63">
        <f t="shared" si="101"/>
        <v>1</v>
      </c>
      <c r="EG59" s="63">
        <f t="shared" si="102"/>
        <v>0</v>
      </c>
      <c r="EH59" s="63">
        <f t="shared" si="102"/>
        <v>0</v>
      </c>
      <c r="EI59" s="63">
        <f t="shared" si="102"/>
        <v>0</v>
      </c>
      <c r="EJ59" s="63">
        <f t="shared" si="102"/>
        <v>0</v>
      </c>
      <c r="EK59" s="63">
        <f t="shared" si="102"/>
        <v>0</v>
      </c>
      <c r="EL59" s="63">
        <f t="shared" si="102"/>
        <v>1</v>
      </c>
      <c r="EM59" s="63">
        <f t="shared" si="102"/>
        <v>0</v>
      </c>
      <c r="EN59" s="63">
        <f t="shared" si="103"/>
        <v>0</v>
      </c>
      <c r="EO59" s="63">
        <f t="shared" si="103"/>
        <v>0</v>
      </c>
      <c r="EP59" s="63">
        <f t="shared" si="103"/>
        <v>0</v>
      </c>
      <c r="EQ59" s="63">
        <f t="shared" si="103"/>
        <v>0</v>
      </c>
      <c r="ER59" s="63">
        <f t="shared" si="103"/>
        <v>0</v>
      </c>
      <c r="ES59" s="63">
        <f t="shared" si="103"/>
        <v>1</v>
      </c>
      <c r="ET59" s="156">
        <f t="shared" si="103"/>
        <v>0</v>
      </c>
    </row>
    <row r="60" spans="1:205" s="63" customFormat="1">
      <c r="A60" s="63" t="s">
        <v>120</v>
      </c>
      <c r="B60" s="63">
        <v>104</v>
      </c>
      <c r="C60" s="63" t="s">
        <v>38</v>
      </c>
      <c r="D60" s="63" t="s">
        <v>32</v>
      </c>
      <c r="E60" s="63">
        <v>268</v>
      </c>
      <c r="F60" s="63">
        <v>400</v>
      </c>
      <c r="G60" s="63">
        <v>650</v>
      </c>
      <c r="H60" s="63">
        <v>10</v>
      </c>
      <c r="I60" s="63">
        <v>12</v>
      </c>
      <c r="J60" s="63">
        <v>14</v>
      </c>
      <c r="K60" s="63">
        <v>0</v>
      </c>
      <c r="L60" s="63">
        <v>0</v>
      </c>
      <c r="M60" s="63">
        <v>1</v>
      </c>
      <c r="N60" s="63">
        <v>122</v>
      </c>
      <c r="O60" s="63">
        <v>388</v>
      </c>
      <c r="P60" s="63">
        <v>211</v>
      </c>
      <c r="Q60" s="156">
        <v>0</v>
      </c>
      <c r="R60" s="156">
        <v>0</v>
      </c>
      <c r="S60" s="156">
        <v>0</v>
      </c>
      <c r="T60" s="156">
        <v>95</v>
      </c>
      <c r="U60" s="156">
        <v>330</v>
      </c>
      <c r="V60" s="156">
        <v>112</v>
      </c>
      <c r="W60" s="156">
        <v>24</v>
      </c>
      <c r="X60" s="156">
        <v>58</v>
      </c>
      <c r="Y60" s="156">
        <v>99</v>
      </c>
      <c r="Z60" s="63">
        <v>136</v>
      </c>
      <c r="AA60" s="63">
        <v>0</v>
      </c>
      <c r="AB60" s="63">
        <v>424</v>
      </c>
      <c r="AC60" s="63">
        <v>-63</v>
      </c>
      <c r="AD60" s="63">
        <v>-100</v>
      </c>
      <c r="AE60" s="63">
        <v>49</v>
      </c>
      <c r="AF60" s="63">
        <v>-63</v>
      </c>
      <c r="AG60" s="63">
        <v>-100</v>
      </c>
      <c r="AH60" s="63">
        <v>49</v>
      </c>
      <c r="AI60" s="155">
        <v>211</v>
      </c>
      <c r="AJ60" s="156">
        <v>364</v>
      </c>
      <c r="AK60" s="157">
        <v>284</v>
      </c>
      <c r="AL60" s="63">
        <v>116</v>
      </c>
      <c r="AM60" s="63">
        <v>218</v>
      </c>
      <c r="AN60" s="63">
        <v>128</v>
      </c>
      <c r="AO60" s="63">
        <v>116</v>
      </c>
      <c r="AP60" s="63">
        <v>218</v>
      </c>
      <c r="AQ60" s="63">
        <v>128</v>
      </c>
      <c r="AR60" s="63">
        <v>426</v>
      </c>
      <c r="AS60" s="63">
        <v>646</v>
      </c>
      <c r="AT60" s="63">
        <v>757</v>
      </c>
      <c r="AU60" s="63">
        <v>479</v>
      </c>
      <c r="AV60" s="63">
        <v>764</v>
      </c>
      <c r="AW60" s="63">
        <v>934</v>
      </c>
      <c r="AX60" s="63">
        <v>53</v>
      </c>
      <c r="AY60" s="63">
        <v>118</v>
      </c>
      <c r="AZ60" s="63">
        <v>177</v>
      </c>
      <c r="BA60" s="63">
        <v>53</v>
      </c>
      <c r="BB60" s="63">
        <v>118</v>
      </c>
      <c r="BC60" s="63">
        <v>177</v>
      </c>
      <c r="BE60" s="63">
        <f t="shared" si="80"/>
        <v>0.28392484342379959</v>
      </c>
      <c r="BF60" s="63">
        <f t="shared" si="81"/>
        <v>0</v>
      </c>
      <c r="BG60" s="63">
        <f t="shared" si="82"/>
        <v>0.45396145610278371</v>
      </c>
      <c r="BI60" s="63">
        <f t="shared" si="83"/>
        <v>0.25469728601252611</v>
      </c>
      <c r="BJ60" s="63">
        <f t="shared" si="84"/>
        <v>0.50785340314136129</v>
      </c>
      <c r="BK60" s="63">
        <f t="shared" si="85"/>
        <v>0.22591006423982871</v>
      </c>
      <c r="BM60" s="63">
        <f t="shared" si="86"/>
        <v>0</v>
      </c>
      <c r="BN60" s="63">
        <f t="shared" si="87"/>
        <v>0</v>
      </c>
      <c r="BO60" s="63">
        <f t="shared" si="88"/>
        <v>0</v>
      </c>
      <c r="BQ60" s="156">
        <f t="shared" si="89"/>
        <v>0.19832985386221294</v>
      </c>
      <c r="BR60" s="156">
        <f t="shared" si="90"/>
        <v>0.43193717277486909</v>
      </c>
      <c r="BS60" s="156">
        <f t="shared" si="91"/>
        <v>0.11991434689507495</v>
      </c>
      <c r="BU60" s="156">
        <f t="shared" si="92"/>
        <v>5.0104384133611693E-2</v>
      </c>
      <c r="BV60" s="156">
        <f t="shared" si="93"/>
        <v>7.5916230366492143E-2</v>
      </c>
      <c r="BW60" s="156">
        <f t="shared" si="94"/>
        <v>0.10599571734475374</v>
      </c>
      <c r="BY60" s="156">
        <f t="shared" si="95"/>
        <v>2.0876826722338204E-2</v>
      </c>
      <c r="BZ60" s="156">
        <f t="shared" si="96"/>
        <v>1.5706806282722512E-2</v>
      </c>
      <c r="CA60" s="156">
        <f t="shared" si="97"/>
        <v>1.4989293361884369E-2</v>
      </c>
      <c r="CC60" s="156">
        <f t="shared" si="98"/>
        <v>0.44050104384133609</v>
      </c>
      <c r="CD60" s="156">
        <f t="shared" si="99"/>
        <v>0.47643979057591623</v>
      </c>
      <c r="CE60" s="156">
        <f t="shared" si="100"/>
        <v>0.30406852248394006</v>
      </c>
      <c r="CG60" s="63">
        <f t="shared" si="35"/>
        <v>1</v>
      </c>
      <c r="CH60" s="63">
        <f t="shared" si="36"/>
        <v>1</v>
      </c>
      <c r="CI60" s="63">
        <f t="shared" si="37"/>
        <v>0.99892933618843682</v>
      </c>
      <c r="CK60" s="63">
        <f t="shared" si="38"/>
        <v>0</v>
      </c>
      <c r="CL60" s="63">
        <f t="shared" si="39"/>
        <v>0</v>
      </c>
      <c r="CM60" s="63">
        <f t="shared" si="40"/>
        <v>1.0706638115631772E-3</v>
      </c>
      <c r="CO60" s="156">
        <f t="shared" si="41"/>
        <v>0</v>
      </c>
      <c r="CP60" s="156">
        <f t="shared" si="42"/>
        <v>0</v>
      </c>
      <c r="CQ60" s="156">
        <f t="shared" si="43"/>
        <v>1.0000000000000075</v>
      </c>
      <c r="CT60" s="63">
        <v>95</v>
      </c>
      <c r="CV60" s="156">
        <f t="shared" si="75"/>
        <v>1.3076923076923077</v>
      </c>
      <c r="CW60" s="156">
        <f t="shared" si="44"/>
        <v>0</v>
      </c>
      <c r="CX60" s="156">
        <f t="shared" si="45"/>
        <v>4.0769230769230766</v>
      </c>
      <c r="CZ60" s="63">
        <f t="shared" si="46"/>
        <v>1</v>
      </c>
      <c r="DA60" s="63">
        <f t="shared" si="47"/>
        <v>0</v>
      </c>
      <c r="DB60" s="63">
        <f t="shared" si="48"/>
        <v>1</v>
      </c>
      <c r="DC60" s="63">
        <f t="shared" si="49"/>
        <v>0</v>
      </c>
      <c r="DD60" s="63">
        <f t="shared" si="50"/>
        <v>0</v>
      </c>
      <c r="DE60" s="63">
        <f t="shared" si="51"/>
        <v>0</v>
      </c>
      <c r="DF60" s="63">
        <f t="shared" si="52"/>
        <v>1</v>
      </c>
      <c r="DG60" s="63">
        <f t="shared" si="53"/>
        <v>1</v>
      </c>
      <c r="DH60" s="63">
        <f t="shared" si="54"/>
        <v>1</v>
      </c>
      <c r="DI60" s="63">
        <f t="shared" si="55"/>
        <v>1</v>
      </c>
      <c r="DJ60" s="63">
        <f t="shared" si="56"/>
        <v>1</v>
      </c>
      <c r="DK60" s="63">
        <f t="shared" si="57"/>
        <v>1</v>
      </c>
      <c r="DL60" s="63">
        <f t="shared" si="58"/>
        <v>1</v>
      </c>
      <c r="DM60" s="63">
        <f t="shared" si="59"/>
        <v>1</v>
      </c>
      <c r="DN60" s="63">
        <f t="shared" si="60"/>
        <v>1</v>
      </c>
      <c r="DO60" s="63">
        <f t="shared" si="61"/>
        <v>1</v>
      </c>
      <c r="DP60" s="63">
        <f t="shared" si="62"/>
        <v>1</v>
      </c>
      <c r="DQ60" s="63">
        <f t="shared" si="63"/>
        <v>1</v>
      </c>
      <c r="DR60" s="63">
        <f t="shared" si="64"/>
        <v>0</v>
      </c>
      <c r="DS60" s="63">
        <f t="shared" si="65"/>
        <v>0</v>
      </c>
      <c r="DT60" s="63">
        <f t="shared" si="66"/>
        <v>1</v>
      </c>
      <c r="DU60" s="63">
        <f t="shared" si="67"/>
        <v>5</v>
      </c>
      <c r="DV60" s="63">
        <f t="shared" si="68"/>
        <v>4</v>
      </c>
      <c r="DW60" s="63">
        <f t="shared" si="69"/>
        <v>6</v>
      </c>
      <c r="DX60" s="63">
        <f t="shared" si="70"/>
        <v>5</v>
      </c>
      <c r="DY60" s="63">
        <f t="shared" si="71"/>
        <v>0.81649658092772603</v>
      </c>
      <c r="DZ60" s="137">
        <f t="shared" si="101"/>
        <v>0</v>
      </c>
      <c r="EA60" s="63">
        <f t="shared" si="101"/>
        <v>0</v>
      </c>
      <c r="EB60" s="63">
        <f t="shared" si="101"/>
        <v>0</v>
      </c>
      <c r="EC60" s="63">
        <f t="shared" si="101"/>
        <v>0</v>
      </c>
      <c r="ED60" s="63">
        <f t="shared" si="101"/>
        <v>1</v>
      </c>
      <c r="EE60" s="63">
        <f t="shared" si="101"/>
        <v>0</v>
      </c>
      <c r="EF60" s="63">
        <f t="shared" si="101"/>
        <v>0</v>
      </c>
      <c r="EG60" s="63">
        <f t="shared" si="102"/>
        <v>0</v>
      </c>
      <c r="EH60" s="63">
        <f t="shared" si="102"/>
        <v>0</v>
      </c>
      <c r="EI60" s="63">
        <f t="shared" si="102"/>
        <v>0</v>
      </c>
      <c r="EJ60" s="63">
        <f t="shared" si="102"/>
        <v>1</v>
      </c>
      <c r="EK60" s="63">
        <f t="shared" si="102"/>
        <v>0</v>
      </c>
      <c r="EL60" s="63">
        <f t="shared" si="102"/>
        <v>0</v>
      </c>
      <c r="EM60" s="63">
        <f t="shared" si="102"/>
        <v>0</v>
      </c>
      <c r="EN60" s="63">
        <f t="shared" si="103"/>
        <v>0</v>
      </c>
      <c r="EO60" s="63">
        <f t="shared" si="103"/>
        <v>0</v>
      </c>
      <c r="EP60" s="63">
        <f t="shared" si="103"/>
        <v>0</v>
      </c>
      <c r="EQ60" s="63">
        <f t="shared" si="103"/>
        <v>0</v>
      </c>
      <c r="ER60" s="63">
        <f t="shared" si="103"/>
        <v>0</v>
      </c>
      <c r="ES60" s="63">
        <f t="shared" si="103"/>
        <v>1</v>
      </c>
      <c r="ET60" s="156">
        <f t="shared" si="103"/>
        <v>0</v>
      </c>
    </row>
    <row r="61" spans="1:205" s="63" customFormat="1">
      <c r="A61" s="63" t="s">
        <v>121</v>
      </c>
      <c r="B61" s="63">
        <v>127</v>
      </c>
      <c r="C61" s="63" t="s">
        <v>38</v>
      </c>
      <c r="D61" s="63" t="s">
        <v>35</v>
      </c>
      <c r="E61" s="63">
        <v>188</v>
      </c>
      <c r="F61" s="63">
        <v>222</v>
      </c>
      <c r="G61" s="63">
        <v>254</v>
      </c>
      <c r="H61" s="63">
        <v>33</v>
      </c>
      <c r="I61" s="63">
        <v>45</v>
      </c>
      <c r="J61" s="63">
        <v>45</v>
      </c>
      <c r="K61" s="63">
        <v>17</v>
      </c>
      <c r="L61" s="63">
        <v>10</v>
      </c>
      <c r="M61" s="63">
        <v>56</v>
      </c>
      <c r="N61" s="63">
        <v>68</v>
      </c>
      <c r="O61" s="63">
        <v>52</v>
      </c>
      <c r="P61" s="63">
        <v>63</v>
      </c>
      <c r="Q61" s="156">
        <v>0</v>
      </c>
      <c r="R61" s="156">
        <v>0</v>
      </c>
      <c r="S61" s="156">
        <v>0</v>
      </c>
      <c r="T61" s="156">
        <v>47</v>
      </c>
      <c r="U61" s="156">
        <v>30</v>
      </c>
      <c r="V61" s="156">
        <v>63</v>
      </c>
      <c r="W61" s="156">
        <v>21</v>
      </c>
      <c r="X61" s="156">
        <v>22</v>
      </c>
      <c r="Y61" s="156">
        <v>0</v>
      </c>
      <c r="Z61" s="63">
        <v>70</v>
      </c>
      <c r="AA61" s="63">
        <v>115</v>
      </c>
      <c r="AB61" s="63">
        <v>90</v>
      </c>
      <c r="AC61" s="63">
        <v>-149</v>
      </c>
      <c r="AD61" s="63">
        <v>-57</v>
      </c>
      <c r="AE61" s="63">
        <v>-75</v>
      </c>
      <c r="AF61" s="63">
        <v>-149</v>
      </c>
      <c r="AG61" s="63">
        <v>-57</v>
      </c>
      <c r="AH61" s="63">
        <v>-75</v>
      </c>
      <c r="AI61" s="155">
        <v>293</v>
      </c>
      <c r="AJ61" s="156">
        <v>388</v>
      </c>
      <c r="AK61" s="157">
        <v>507</v>
      </c>
      <c r="AL61" s="63">
        <v>144</v>
      </c>
      <c r="AM61" s="63">
        <v>148</v>
      </c>
      <c r="AN61" s="63">
        <v>238</v>
      </c>
      <c r="AO61" s="63">
        <v>144</v>
      </c>
      <c r="AP61" s="63">
        <v>148</v>
      </c>
      <c r="AQ61" s="63">
        <v>238</v>
      </c>
      <c r="AR61" s="63">
        <v>486</v>
      </c>
      <c r="AS61" s="63">
        <v>519</v>
      </c>
      <c r="AT61" s="63">
        <v>598</v>
      </c>
      <c r="AU61" s="63">
        <v>481</v>
      </c>
      <c r="AV61" s="63">
        <v>610</v>
      </c>
      <c r="AW61" s="63">
        <v>761</v>
      </c>
      <c r="AX61" s="63">
        <v>-5</v>
      </c>
      <c r="AY61" s="63">
        <v>91</v>
      </c>
      <c r="AZ61" s="63">
        <v>163</v>
      </c>
      <c r="BA61" s="63">
        <v>-5</v>
      </c>
      <c r="BB61" s="63">
        <v>91</v>
      </c>
      <c r="BC61" s="63">
        <v>163</v>
      </c>
      <c r="BE61" s="63">
        <f t="shared" si="80"/>
        <v>0.14553014553014554</v>
      </c>
      <c r="BF61" s="63">
        <f t="shared" si="81"/>
        <v>0.18852459016393441</v>
      </c>
      <c r="BG61" s="63">
        <f t="shared" si="82"/>
        <v>0.11826544021024968</v>
      </c>
      <c r="BI61" s="63">
        <f t="shared" si="83"/>
        <v>0.14137214137214138</v>
      </c>
      <c r="BJ61" s="63">
        <f t="shared" si="84"/>
        <v>8.5245901639344257E-2</v>
      </c>
      <c r="BK61" s="63">
        <f t="shared" si="85"/>
        <v>8.2785808147174775E-2</v>
      </c>
      <c r="BM61" s="63">
        <f t="shared" si="86"/>
        <v>0</v>
      </c>
      <c r="BN61" s="63">
        <f t="shared" si="87"/>
        <v>0</v>
      </c>
      <c r="BO61" s="63">
        <f t="shared" si="88"/>
        <v>0</v>
      </c>
      <c r="BQ61" s="156">
        <f t="shared" si="89"/>
        <v>9.7713097713097719E-2</v>
      </c>
      <c r="BR61" s="156">
        <f t="shared" si="90"/>
        <v>4.9180327868852458E-2</v>
      </c>
      <c r="BS61" s="156">
        <f t="shared" si="91"/>
        <v>8.2785808147174775E-2</v>
      </c>
      <c r="BU61" s="156">
        <f t="shared" si="92"/>
        <v>4.3659043659043661E-2</v>
      </c>
      <c r="BV61" s="156">
        <f t="shared" si="93"/>
        <v>3.6065573770491806E-2</v>
      </c>
      <c r="BW61" s="156">
        <f t="shared" si="94"/>
        <v>0</v>
      </c>
      <c r="BY61" s="156">
        <f t="shared" si="95"/>
        <v>6.8607068607068611E-2</v>
      </c>
      <c r="BZ61" s="156">
        <f t="shared" si="96"/>
        <v>7.3770491803278687E-2</v>
      </c>
      <c r="CA61" s="156">
        <f t="shared" si="97"/>
        <v>5.9132720105124839E-2</v>
      </c>
      <c r="CC61" s="156">
        <f t="shared" si="98"/>
        <v>0.60914760914760913</v>
      </c>
      <c r="CD61" s="156">
        <f t="shared" si="99"/>
        <v>0.63606557377049178</v>
      </c>
      <c r="CE61" s="156">
        <f t="shared" si="100"/>
        <v>0.66622864651773983</v>
      </c>
      <c r="CG61" s="63">
        <f t="shared" si="35"/>
        <v>0.96465696465696471</v>
      </c>
      <c r="CH61" s="63">
        <f t="shared" si="36"/>
        <v>0.98360655737704916</v>
      </c>
      <c r="CI61" s="63">
        <f t="shared" si="37"/>
        <v>0.92641261498028915</v>
      </c>
      <c r="CK61" s="63">
        <f t="shared" si="38"/>
        <v>3.5343035343035289E-2</v>
      </c>
      <c r="CL61" s="63">
        <f t="shared" si="39"/>
        <v>1.6393442622950838E-2</v>
      </c>
      <c r="CM61" s="63">
        <f t="shared" si="40"/>
        <v>7.3587385019710849E-2</v>
      </c>
      <c r="CO61" s="156">
        <f t="shared" si="41"/>
        <v>16.999999999999975</v>
      </c>
      <c r="CP61" s="156">
        <f t="shared" si="42"/>
        <v>10.000000000000011</v>
      </c>
      <c r="CQ61" s="156">
        <f t="shared" si="43"/>
        <v>55.999999999999957</v>
      </c>
      <c r="CT61" s="63">
        <v>47</v>
      </c>
      <c r="CV61" s="156">
        <f t="shared" si="75"/>
        <v>0.55118110236220474</v>
      </c>
      <c r="CW61" s="156">
        <f t="shared" si="44"/>
        <v>0.90551181102362199</v>
      </c>
      <c r="CX61" s="156">
        <f t="shared" si="45"/>
        <v>0.70866141732283461</v>
      </c>
      <c r="CZ61" s="63">
        <f t="shared" si="46"/>
        <v>1</v>
      </c>
      <c r="DA61" s="63">
        <f t="shared" si="47"/>
        <v>1</v>
      </c>
      <c r="DB61" s="63">
        <f t="shared" si="48"/>
        <v>1</v>
      </c>
      <c r="DC61" s="63">
        <f t="shared" si="49"/>
        <v>0</v>
      </c>
      <c r="DD61" s="63">
        <f t="shared" si="50"/>
        <v>0</v>
      </c>
      <c r="DE61" s="63">
        <f t="shared" si="51"/>
        <v>0</v>
      </c>
      <c r="DF61" s="63">
        <f t="shared" si="52"/>
        <v>1</v>
      </c>
      <c r="DG61" s="63">
        <f t="shared" si="53"/>
        <v>1</v>
      </c>
      <c r="DH61" s="63">
        <f t="shared" si="54"/>
        <v>1</v>
      </c>
      <c r="DI61" s="63">
        <f t="shared" si="55"/>
        <v>1</v>
      </c>
      <c r="DJ61" s="63">
        <f t="shared" si="56"/>
        <v>1</v>
      </c>
      <c r="DK61" s="63">
        <f t="shared" si="57"/>
        <v>0</v>
      </c>
      <c r="DL61" s="63">
        <f t="shared" si="58"/>
        <v>1</v>
      </c>
      <c r="DM61" s="63">
        <f t="shared" si="59"/>
        <v>1</v>
      </c>
      <c r="DN61" s="63">
        <f t="shared" si="60"/>
        <v>1</v>
      </c>
      <c r="DO61" s="63">
        <f t="shared" si="61"/>
        <v>1</v>
      </c>
      <c r="DP61" s="63">
        <f t="shared" si="62"/>
        <v>1</v>
      </c>
      <c r="DQ61" s="63">
        <f t="shared" si="63"/>
        <v>1</v>
      </c>
      <c r="DR61" s="63">
        <f t="shared" si="64"/>
        <v>1</v>
      </c>
      <c r="DS61" s="63">
        <f t="shared" si="65"/>
        <v>1</v>
      </c>
      <c r="DT61" s="63">
        <f t="shared" si="66"/>
        <v>1</v>
      </c>
      <c r="DU61" s="63">
        <f t="shared" si="67"/>
        <v>6</v>
      </c>
      <c r="DV61" s="63">
        <f t="shared" si="68"/>
        <v>6</v>
      </c>
      <c r="DW61" s="63">
        <f t="shared" si="69"/>
        <v>5</v>
      </c>
      <c r="DX61" s="63">
        <f t="shared" si="70"/>
        <v>5.666666666666667</v>
      </c>
      <c r="DY61" s="63">
        <f t="shared" si="71"/>
        <v>0.47140452079103168</v>
      </c>
      <c r="DZ61" s="137">
        <f t="shared" si="101"/>
        <v>0</v>
      </c>
      <c r="EA61" s="63">
        <f t="shared" si="101"/>
        <v>0</v>
      </c>
      <c r="EB61" s="63">
        <f t="shared" si="101"/>
        <v>0</v>
      </c>
      <c r="EC61" s="63">
        <f t="shared" si="101"/>
        <v>0</v>
      </c>
      <c r="ED61" s="63">
        <f t="shared" si="101"/>
        <v>0</v>
      </c>
      <c r="EE61" s="63">
        <f t="shared" si="101"/>
        <v>1</v>
      </c>
      <c r="EF61" s="63">
        <f t="shared" si="101"/>
        <v>0</v>
      </c>
      <c r="EG61" s="63">
        <f t="shared" si="102"/>
        <v>0</v>
      </c>
      <c r="EH61" s="63">
        <f t="shared" si="102"/>
        <v>0</v>
      </c>
      <c r="EI61" s="63">
        <f t="shared" si="102"/>
        <v>0</v>
      </c>
      <c r="EJ61" s="63">
        <f t="shared" si="102"/>
        <v>0</v>
      </c>
      <c r="EK61" s="63">
        <f t="shared" si="102"/>
        <v>0</v>
      </c>
      <c r="EL61" s="63">
        <f t="shared" si="102"/>
        <v>1</v>
      </c>
      <c r="EM61" s="63">
        <f t="shared" si="102"/>
        <v>0</v>
      </c>
      <c r="EN61" s="63">
        <f t="shared" si="103"/>
        <v>0</v>
      </c>
      <c r="EO61" s="63">
        <f t="shared" si="103"/>
        <v>0</v>
      </c>
      <c r="EP61" s="63">
        <f t="shared" si="103"/>
        <v>0</v>
      </c>
      <c r="EQ61" s="63">
        <f t="shared" si="103"/>
        <v>0</v>
      </c>
      <c r="ER61" s="63">
        <f t="shared" si="103"/>
        <v>1</v>
      </c>
      <c r="ES61" s="63">
        <f t="shared" si="103"/>
        <v>0</v>
      </c>
      <c r="ET61" s="156">
        <f t="shared" si="103"/>
        <v>0</v>
      </c>
    </row>
    <row r="62" spans="1:205" s="63" customFormat="1">
      <c r="A62" s="63" t="s">
        <v>122</v>
      </c>
      <c r="B62" s="63">
        <v>147</v>
      </c>
      <c r="C62" s="63" t="s">
        <v>38</v>
      </c>
      <c r="D62" s="63" t="s">
        <v>35</v>
      </c>
      <c r="E62" s="63">
        <v>121</v>
      </c>
      <c r="F62" s="63">
        <v>240</v>
      </c>
      <c r="G62" s="63">
        <v>346</v>
      </c>
      <c r="H62" s="63">
        <v>10</v>
      </c>
      <c r="I62" s="63">
        <v>9</v>
      </c>
      <c r="J62" s="63">
        <v>19</v>
      </c>
      <c r="K62" s="63">
        <v>0</v>
      </c>
      <c r="L62" s="63">
        <v>0</v>
      </c>
      <c r="M62" s="63">
        <v>0</v>
      </c>
      <c r="N62" s="63">
        <v>58</v>
      </c>
      <c r="O62" s="63">
        <v>46</v>
      </c>
      <c r="P62" s="63">
        <v>96</v>
      </c>
      <c r="Q62" s="156">
        <v>0</v>
      </c>
      <c r="R62" s="156">
        <v>0</v>
      </c>
      <c r="S62" s="156">
        <v>0</v>
      </c>
      <c r="T62" s="156">
        <v>43</v>
      </c>
      <c r="U62" s="156">
        <v>26</v>
      </c>
      <c r="V62" s="156">
        <v>42</v>
      </c>
      <c r="W62" s="156">
        <v>15</v>
      </c>
      <c r="X62" s="156">
        <v>20</v>
      </c>
      <c r="Y62" s="156">
        <v>54</v>
      </c>
      <c r="Z62" s="63">
        <v>53</v>
      </c>
      <c r="AA62" s="63">
        <v>185</v>
      </c>
      <c r="AB62" s="63">
        <v>231</v>
      </c>
      <c r="AC62" s="63">
        <v>-39</v>
      </c>
      <c r="AD62" s="63">
        <v>-54</v>
      </c>
      <c r="AE62" s="63">
        <v>15</v>
      </c>
      <c r="AF62" s="63">
        <v>-39</v>
      </c>
      <c r="AG62" s="63">
        <v>-54</v>
      </c>
      <c r="AH62" s="63">
        <v>15</v>
      </c>
      <c r="AI62" s="155">
        <v>319</v>
      </c>
      <c r="AJ62" s="156">
        <v>395</v>
      </c>
      <c r="AK62" s="157">
        <v>282</v>
      </c>
      <c r="AL62" s="63">
        <v>98</v>
      </c>
      <c r="AM62" s="63">
        <v>201</v>
      </c>
      <c r="AN62" s="63">
        <v>72</v>
      </c>
      <c r="AO62" s="63">
        <v>98</v>
      </c>
      <c r="AP62" s="63">
        <v>201</v>
      </c>
      <c r="AQ62" s="63">
        <v>72</v>
      </c>
      <c r="AR62" s="63">
        <v>381</v>
      </c>
      <c r="AS62" s="63">
        <v>488</v>
      </c>
      <c r="AT62" s="63">
        <v>541</v>
      </c>
      <c r="AU62" s="63">
        <v>440</v>
      </c>
      <c r="AV62" s="63">
        <v>635</v>
      </c>
      <c r="AW62" s="63">
        <v>628</v>
      </c>
      <c r="AX62" s="63">
        <v>59</v>
      </c>
      <c r="AY62" s="63">
        <v>147</v>
      </c>
      <c r="AZ62" s="63">
        <v>87</v>
      </c>
      <c r="BA62" s="63">
        <v>59</v>
      </c>
      <c r="BB62" s="63">
        <v>147</v>
      </c>
      <c r="BC62" s="63">
        <v>87</v>
      </c>
      <c r="BE62" s="63">
        <f t="shared" si="80"/>
        <v>0.12045454545454545</v>
      </c>
      <c r="BF62" s="63">
        <f t="shared" si="81"/>
        <v>0.29133858267716534</v>
      </c>
      <c r="BG62" s="63">
        <f t="shared" si="82"/>
        <v>0.36783439490445857</v>
      </c>
      <c r="BI62" s="63">
        <f t="shared" si="83"/>
        <v>0.13181818181818181</v>
      </c>
      <c r="BJ62" s="63">
        <f t="shared" si="84"/>
        <v>7.2440944881889763E-2</v>
      </c>
      <c r="BK62" s="63">
        <f t="shared" si="85"/>
        <v>0.15286624203821655</v>
      </c>
      <c r="BM62" s="63">
        <f t="shared" si="86"/>
        <v>0</v>
      </c>
      <c r="BN62" s="63">
        <f t="shared" si="87"/>
        <v>0</v>
      </c>
      <c r="BO62" s="63">
        <f t="shared" si="88"/>
        <v>0</v>
      </c>
      <c r="BQ62" s="156">
        <f t="shared" si="89"/>
        <v>9.7727272727272732E-2</v>
      </c>
      <c r="BR62" s="156">
        <f t="shared" si="90"/>
        <v>4.0944881889763779E-2</v>
      </c>
      <c r="BS62" s="156">
        <f t="shared" si="91"/>
        <v>6.6878980891719744E-2</v>
      </c>
      <c r="BU62" s="156">
        <f t="shared" si="92"/>
        <v>3.4090909090909088E-2</v>
      </c>
      <c r="BV62" s="156">
        <f t="shared" si="93"/>
        <v>3.1496062992125984E-2</v>
      </c>
      <c r="BW62" s="156">
        <f t="shared" si="94"/>
        <v>8.598726114649681E-2</v>
      </c>
      <c r="BY62" s="156">
        <f t="shared" si="95"/>
        <v>2.2727272727272728E-2</v>
      </c>
      <c r="BZ62" s="156">
        <f t="shared" si="96"/>
        <v>1.4173228346456693E-2</v>
      </c>
      <c r="CA62" s="156">
        <f t="shared" si="97"/>
        <v>3.0254777070063694E-2</v>
      </c>
      <c r="CC62" s="156">
        <f t="shared" si="98"/>
        <v>0.72499999999999998</v>
      </c>
      <c r="CD62" s="156">
        <f t="shared" si="99"/>
        <v>0.62204724409448819</v>
      </c>
      <c r="CE62" s="156">
        <f t="shared" si="100"/>
        <v>0.44904458598726116</v>
      </c>
      <c r="CG62" s="63">
        <f t="shared" si="35"/>
        <v>1</v>
      </c>
      <c r="CH62" s="63">
        <f t="shared" si="36"/>
        <v>1</v>
      </c>
      <c r="CI62" s="63">
        <f t="shared" si="37"/>
        <v>1</v>
      </c>
      <c r="CK62" s="63">
        <f t="shared" si="38"/>
        <v>0</v>
      </c>
      <c r="CL62" s="63">
        <f t="shared" si="39"/>
        <v>0</v>
      </c>
      <c r="CM62" s="63">
        <f t="shared" si="40"/>
        <v>0</v>
      </c>
      <c r="CO62" s="156">
        <f t="shared" si="41"/>
        <v>0</v>
      </c>
      <c r="CP62" s="156">
        <f t="shared" si="42"/>
        <v>0</v>
      </c>
      <c r="CQ62" s="156">
        <f t="shared" si="43"/>
        <v>0</v>
      </c>
      <c r="CT62" s="63">
        <v>43</v>
      </c>
      <c r="CV62" s="156">
        <f t="shared" si="75"/>
        <v>0.36054421768707484</v>
      </c>
      <c r="CW62" s="156">
        <f t="shared" si="44"/>
        <v>1.2585034013605443</v>
      </c>
      <c r="CX62" s="156">
        <f t="shared" si="45"/>
        <v>1.5714285714285714</v>
      </c>
      <c r="CZ62" s="63">
        <f t="shared" si="46"/>
        <v>1</v>
      </c>
      <c r="DA62" s="63">
        <f t="shared" si="47"/>
        <v>1</v>
      </c>
      <c r="DB62" s="63">
        <f t="shared" si="48"/>
        <v>1</v>
      </c>
      <c r="DC62" s="63">
        <f t="shared" si="49"/>
        <v>0</v>
      </c>
      <c r="DD62" s="63">
        <f t="shared" si="50"/>
        <v>0</v>
      </c>
      <c r="DE62" s="63">
        <f t="shared" si="51"/>
        <v>0</v>
      </c>
      <c r="DF62" s="63">
        <f t="shared" si="52"/>
        <v>1</v>
      </c>
      <c r="DG62" s="63">
        <f t="shared" si="53"/>
        <v>1</v>
      </c>
      <c r="DH62" s="63">
        <f t="shared" si="54"/>
        <v>1</v>
      </c>
      <c r="DI62" s="63">
        <f t="shared" si="55"/>
        <v>1</v>
      </c>
      <c r="DJ62" s="63">
        <f t="shared" si="56"/>
        <v>1</v>
      </c>
      <c r="DK62" s="63">
        <f t="shared" si="57"/>
        <v>1</v>
      </c>
      <c r="DL62" s="63">
        <f t="shared" si="58"/>
        <v>1</v>
      </c>
      <c r="DM62" s="63">
        <f t="shared" si="59"/>
        <v>1</v>
      </c>
      <c r="DN62" s="63">
        <f t="shared" si="60"/>
        <v>1</v>
      </c>
      <c r="DO62" s="63">
        <f t="shared" si="61"/>
        <v>1</v>
      </c>
      <c r="DP62" s="63">
        <f t="shared" si="62"/>
        <v>1</v>
      </c>
      <c r="DQ62" s="63">
        <f t="shared" si="63"/>
        <v>1</v>
      </c>
      <c r="DR62" s="63">
        <f t="shared" si="64"/>
        <v>0</v>
      </c>
      <c r="DS62" s="63">
        <f t="shared" si="65"/>
        <v>0</v>
      </c>
      <c r="DT62" s="63">
        <f t="shared" si="66"/>
        <v>0</v>
      </c>
      <c r="DU62" s="63">
        <f t="shared" si="67"/>
        <v>5</v>
      </c>
      <c r="DV62" s="63">
        <f t="shared" si="68"/>
        <v>5</v>
      </c>
      <c r="DW62" s="63">
        <f t="shared" si="69"/>
        <v>5</v>
      </c>
      <c r="DX62" s="63">
        <f t="shared" si="70"/>
        <v>5</v>
      </c>
      <c r="DY62" s="63">
        <f t="shared" si="71"/>
        <v>0</v>
      </c>
      <c r="DZ62" s="137">
        <f t="shared" si="101"/>
        <v>0</v>
      </c>
      <c r="EA62" s="63">
        <f t="shared" si="101"/>
        <v>0</v>
      </c>
      <c r="EB62" s="63">
        <f t="shared" si="101"/>
        <v>0</v>
      </c>
      <c r="EC62" s="63">
        <f t="shared" si="101"/>
        <v>0</v>
      </c>
      <c r="ED62" s="63">
        <f t="shared" si="101"/>
        <v>1</v>
      </c>
      <c r="EE62" s="63">
        <f t="shared" si="101"/>
        <v>0</v>
      </c>
      <c r="EF62" s="63">
        <f t="shared" si="101"/>
        <v>0</v>
      </c>
      <c r="EG62" s="63">
        <f t="shared" si="102"/>
        <v>0</v>
      </c>
      <c r="EH62" s="63">
        <f t="shared" si="102"/>
        <v>0</v>
      </c>
      <c r="EI62" s="63">
        <f t="shared" si="102"/>
        <v>0</v>
      </c>
      <c r="EJ62" s="63">
        <f t="shared" si="102"/>
        <v>0</v>
      </c>
      <c r="EK62" s="63">
        <f t="shared" si="102"/>
        <v>1</v>
      </c>
      <c r="EL62" s="63">
        <f t="shared" si="102"/>
        <v>0</v>
      </c>
      <c r="EM62" s="63">
        <f t="shared" si="102"/>
        <v>0</v>
      </c>
      <c r="EN62" s="63">
        <f t="shared" si="103"/>
        <v>0</v>
      </c>
      <c r="EO62" s="63">
        <f t="shared" si="103"/>
        <v>0</v>
      </c>
      <c r="EP62" s="63">
        <f t="shared" si="103"/>
        <v>0</v>
      </c>
      <c r="EQ62" s="63">
        <f t="shared" si="103"/>
        <v>0</v>
      </c>
      <c r="ER62" s="63">
        <f t="shared" si="103"/>
        <v>1</v>
      </c>
      <c r="ES62" s="63">
        <f t="shared" si="103"/>
        <v>0</v>
      </c>
      <c r="ET62" s="156">
        <f t="shared" si="103"/>
        <v>0</v>
      </c>
    </row>
    <row r="63" spans="1:205" s="63" customFormat="1">
      <c r="A63" s="63" t="s">
        <v>123</v>
      </c>
      <c r="B63" s="63">
        <v>45</v>
      </c>
      <c r="C63" s="63" t="s">
        <v>38</v>
      </c>
      <c r="D63" s="63" t="s">
        <v>35</v>
      </c>
      <c r="E63" s="63">
        <v>95</v>
      </c>
      <c r="F63" s="63">
        <v>253</v>
      </c>
      <c r="G63" s="63">
        <v>249</v>
      </c>
      <c r="H63" s="63">
        <v>3</v>
      </c>
      <c r="I63" s="63">
        <v>0</v>
      </c>
      <c r="J63" s="63">
        <v>0</v>
      </c>
      <c r="K63" s="63">
        <v>33</v>
      </c>
      <c r="L63" s="63">
        <v>133</v>
      </c>
      <c r="M63" s="63">
        <v>18</v>
      </c>
      <c r="N63" s="63">
        <v>35</v>
      </c>
      <c r="O63" s="63">
        <v>63</v>
      </c>
      <c r="P63" s="63">
        <v>89</v>
      </c>
      <c r="Q63" s="156">
        <v>0</v>
      </c>
      <c r="R63" s="156">
        <v>0</v>
      </c>
      <c r="S63" s="156">
        <v>16</v>
      </c>
      <c r="T63" s="156">
        <v>14</v>
      </c>
      <c r="U63" s="156">
        <v>14</v>
      </c>
      <c r="V63" s="156">
        <v>23</v>
      </c>
      <c r="W63" s="156">
        <v>21</v>
      </c>
      <c r="X63" s="156">
        <v>49</v>
      </c>
      <c r="Y63" s="156">
        <v>50</v>
      </c>
      <c r="Z63" s="63">
        <v>24</v>
      </c>
      <c r="AA63" s="63">
        <v>146</v>
      </c>
      <c r="AB63" s="63">
        <v>142</v>
      </c>
      <c r="AC63" s="63">
        <v>-20</v>
      </c>
      <c r="AD63" s="63">
        <v>-56</v>
      </c>
      <c r="AE63" s="63">
        <v>-25</v>
      </c>
      <c r="AF63" s="63">
        <v>-20</v>
      </c>
      <c r="AG63" s="63">
        <v>-56</v>
      </c>
      <c r="AH63" s="63">
        <v>-25</v>
      </c>
      <c r="AI63" s="155">
        <v>0</v>
      </c>
      <c r="AJ63" s="156">
        <v>177</v>
      </c>
      <c r="AK63" s="157">
        <v>10</v>
      </c>
      <c r="AL63" s="63">
        <v>0</v>
      </c>
      <c r="AM63" s="63">
        <v>177</v>
      </c>
      <c r="AN63" s="63">
        <v>10</v>
      </c>
      <c r="AO63" s="63">
        <v>0</v>
      </c>
      <c r="AP63" s="63">
        <v>177</v>
      </c>
      <c r="AQ63" s="63">
        <v>10</v>
      </c>
      <c r="AR63" s="63">
        <v>115</v>
      </c>
      <c r="AS63" s="63">
        <v>309</v>
      </c>
      <c r="AT63" s="63">
        <v>274</v>
      </c>
      <c r="AU63" s="63">
        <v>95</v>
      </c>
      <c r="AV63" s="63">
        <v>430</v>
      </c>
      <c r="AW63" s="63">
        <v>259</v>
      </c>
      <c r="AX63" s="63">
        <v>-20</v>
      </c>
      <c r="AY63" s="63">
        <v>121</v>
      </c>
      <c r="AZ63" s="63">
        <v>-15</v>
      </c>
      <c r="BA63" s="63">
        <v>-20</v>
      </c>
      <c r="BB63" s="63">
        <v>121</v>
      </c>
      <c r="BC63" s="63">
        <v>-15</v>
      </c>
      <c r="BE63" s="63">
        <f t="shared" si="80"/>
        <v>0.25263157894736843</v>
      </c>
      <c r="BF63" s="63">
        <f t="shared" si="81"/>
        <v>0.33953488372093021</v>
      </c>
      <c r="BG63" s="63">
        <f t="shared" si="82"/>
        <v>0.54826254826254828</v>
      </c>
      <c r="BI63" s="63">
        <f t="shared" si="83"/>
        <v>0.36842105263157893</v>
      </c>
      <c r="BJ63" s="63">
        <f t="shared" si="84"/>
        <v>0.14651162790697675</v>
      </c>
      <c r="BK63" s="63">
        <f t="shared" si="85"/>
        <v>0.34362934362934361</v>
      </c>
      <c r="BM63" s="63">
        <f t="shared" si="86"/>
        <v>0</v>
      </c>
      <c r="BN63" s="63">
        <f t="shared" si="87"/>
        <v>0</v>
      </c>
      <c r="BO63" s="63">
        <f t="shared" si="88"/>
        <v>6.1776061776061778E-2</v>
      </c>
      <c r="BQ63" s="156">
        <f t="shared" si="89"/>
        <v>0.14736842105263157</v>
      </c>
      <c r="BR63" s="156">
        <f t="shared" si="90"/>
        <v>3.255813953488372E-2</v>
      </c>
      <c r="BS63" s="156">
        <f t="shared" si="91"/>
        <v>8.8803088803088806E-2</v>
      </c>
      <c r="BU63" s="156">
        <f t="shared" si="92"/>
        <v>0.22105263157894736</v>
      </c>
      <c r="BV63" s="156">
        <f t="shared" si="93"/>
        <v>0.11395348837209303</v>
      </c>
      <c r="BW63" s="156">
        <f t="shared" si="94"/>
        <v>0.19305019305019305</v>
      </c>
      <c r="BY63" s="156">
        <f t="shared" si="95"/>
        <v>3.1578947368421054E-2</v>
      </c>
      <c r="BZ63" s="156">
        <f t="shared" si="96"/>
        <v>0</v>
      </c>
      <c r="CA63" s="156">
        <f t="shared" si="97"/>
        <v>0</v>
      </c>
      <c r="CC63" s="156">
        <f t="shared" si="98"/>
        <v>0</v>
      </c>
      <c r="CD63" s="156">
        <f t="shared" si="99"/>
        <v>0.41162790697674417</v>
      </c>
      <c r="CE63" s="156">
        <f t="shared" si="100"/>
        <v>3.8610038610038609E-2</v>
      </c>
      <c r="CG63" s="63">
        <f t="shared" si="35"/>
        <v>0.65263157894736834</v>
      </c>
      <c r="CH63" s="63">
        <f t="shared" si="36"/>
        <v>0.89767441860465114</v>
      </c>
      <c r="CI63" s="63">
        <f t="shared" si="37"/>
        <v>0.93050193050193053</v>
      </c>
      <c r="CK63" s="63">
        <f t="shared" si="38"/>
        <v>0.34736842105263166</v>
      </c>
      <c r="CL63" s="63">
        <f t="shared" si="39"/>
        <v>0.10232558139534886</v>
      </c>
      <c r="CM63" s="63">
        <f t="shared" si="40"/>
        <v>6.949806949806947E-2</v>
      </c>
      <c r="CO63" s="156">
        <f t="shared" si="41"/>
        <v>33.000000000000007</v>
      </c>
      <c r="CP63" s="156">
        <f t="shared" si="42"/>
        <v>44.000000000000014</v>
      </c>
      <c r="CQ63" s="156">
        <f t="shared" si="43"/>
        <v>17.999999999999993</v>
      </c>
      <c r="CT63" s="63">
        <v>14</v>
      </c>
      <c r="CV63" s="156">
        <f t="shared" si="75"/>
        <v>0.53333333333333333</v>
      </c>
      <c r="CW63" s="156">
        <f t="shared" si="44"/>
        <v>3.2444444444444445</v>
      </c>
      <c r="CX63" s="156">
        <f t="shared" si="45"/>
        <v>3.1555555555555554</v>
      </c>
      <c r="CZ63" s="63">
        <f t="shared" si="46"/>
        <v>1</v>
      </c>
      <c r="DA63" s="63">
        <f t="shared" si="47"/>
        <v>1</v>
      </c>
      <c r="DB63" s="63">
        <f t="shared" si="48"/>
        <v>1</v>
      </c>
      <c r="DC63" s="63">
        <f t="shared" si="49"/>
        <v>0</v>
      </c>
      <c r="DD63" s="63">
        <f t="shared" si="50"/>
        <v>0</v>
      </c>
      <c r="DE63" s="63">
        <f t="shared" si="51"/>
        <v>1</v>
      </c>
      <c r="DF63" s="63">
        <f t="shared" si="52"/>
        <v>1</v>
      </c>
      <c r="DG63" s="63">
        <f t="shared" si="53"/>
        <v>1</v>
      </c>
      <c r="DH63" s="63">
        <f t="shared" si="54"/>
        <v>1</v>
      </c>
      <c r="DI63" s="63">
        <f t="shared" si="55"/>
        <v>1</v>
      </c>
      <c r="DJ63" s="63">
        <f t="shared" si="56"/>
        <v>1</v>
      </c>
      <c r="DK63" s="63">
        <f t="shared" si="57"/>
        <v>1</v>
      </c>
      <c r="DL63" s="63">
        <f t="shared" si="58"/>
        <v>1</v>
      </c>
      <c r="DM63" s="63">
        <f t="shared" si="59"/>
        <v>0</v>
      </c>
      <c r="DN63" s="63">
        <f t="shared" si="60"/>
        <v>0</v>
      </c>
      <c r="DO63" s="63">
        <f t="shared" si="61"/>
        <v>0</v>
      </c>
      <c r="DP63" s="63">
        <f t="shared" si="62"/>
        <v>1</v>
      </c>
      <c r="DQ63" s="63">
        <f t="shared" si="63"/>
        <v>1</v>
      </c>
      <c r="DR63" s="63">
        <f t="shared" si="64"/>
        <v>1</v>
      </c>
      <c r="DS63" s="63">
        <f t="shared" si="65"/>
        <v>1</v>
      </c>
      <c r="DT63" s="63">
        <f t="shared" si="66"/>
        <v>1</v>
      </c>
      <c r="DU63" s="63">
        <f t="shared" si="67"/>
        <v>5</v>
      </c>
      <c r="DV63" s="63">
        <f t="shared" si="68"/>
        <v>5</v>
      </c>
      <c r="DW63" s="63">
        <f t="shared" si="69"/>
        <v>6</v>
      </c>
      <c r="DX63" s="63">
        <f t="shared" si="70"/>
        <v>5.333333333333333</v>
      </c>
      <c r="DY63" s="63">
        <f t="shared" si="71"/>
        <v>0.47140452079103168</v>
      </c>
      <c r="DZ63" s="137">
        <f t="shared" si="101"/>
        <v>0</v>
      </c>
      <c r="EA63" s="63">
        <f t="shared" si="101"/>
        <v>0</v>
      </c>
      <c r="EB63" s="63">
        <f t="shared" si="101"/>
        <v>0</v>
      </c>
      <c r="EC63" s="63">
        <f t="shared" si="101"/>
        <v>0</v>
      </c>
      <c r="ED63" s="63">
        <f t="shared" si="101"/>
        <v>1</v>
      </c>
      <c r="EE63" s="63">
        <f t="shared" si="101"/>
        <v>0</v>
      </c>
      <c r="EF63" s="63">
        <f t="shared" si="101"/>
        <v>0</v>
      </c>
      <c r="EG63" s="63">
        <f t="shared" si="102"/>
        <v>0</v>
      </c>
      <c r="EH63" s="63">
        <f t="shared" si="102"/>
        <v>0</v>
      </c>
      <c r="EI63" s="63">
        <f t="shared" si="102"/>
        <v>0</v>
      </c>
      <c r="EJ63" s="63">
        <f t="shared" si="102"/>
        <v>0</v>
      </c>
      <c r="EK63" s="63">
        <f t="shared" si="102"/>
        <v>1</v>
      </c>
      <c r="EL63" s="63">
        <f t="shared" si="102"/>
        <v>0</v>
      </c>
      <c r="EM63" s="63">
        <f t="shared" si="102"/>
        <v>0</v>
      </c>
      <c r="EN63" s="63">
        <f t="shared" si="103"/>
        <v>0</v>
      </c>
      <c r="EO63" s="63">
        <f t="shared" si="103"/>
        <v>0</v>
      </c>
      <c r="EP63" s="63">
        <f t="shared" si="103"/>
        <v>0</v>
      </c>
      <c r="EQ63" s="63">
        <f t="shared" si="103"/>
        <v>0</v>
      </c>
      <c r="ER63" s="63">
        <f t="shared" si="103"/>
        <v>0</v>
      </c>
      <c r="ES63" s="63">
        <f t="shared" si="103"/>
        <v>1</v>
      </c>
      <c r="ET63" s="156">
        <f t="shared" si="103"/>
        <v>0</v>
      </c>
    </row>
    <row r="64" spans="1:205" s="63" customFormat="1">
      <c r="A64" s="63" t="s">
        <v>124</v>
      </c>
      <c r="B64" s="63">
        <v>120</v>
      </c>
      <c r="C64" s="63" t="s">
        <v>38</v>
      </c>
      <c r="D64" s="63" t="s">
        <v>35</v>
      </c>
      <c r="E64" s="63">
        <v>933</v>
      </c>
      <c r="F64" s="63">
        <v>537</v>
      </c>
      <c r="G64" s="63">
        <v>365</v>
      </c>
      <c r="H64" s="63">
        <v>933</v>
      </c>
      <c r="I64" s="63">
        <v>10</v>
      </c>
      <c r="J64" s="63">
        <v>18</v>
      </c>
      <c r="K64" s="63">
        <v>0</v>
      </c>
      <c r="L64" s="63">
        <v>20</v>
      </c>
      <c r="M64" s="63">
        <v>0</v>
      </c>
      <c r="N64" s="63">
        <v>0</v>
      </c>
      <c r="O64" s="63">
        <v>97</v>
      </c>
      <c r="P64" s="63">
        <v>47</v>
      </c>
      <c r="Q64" s="156">
        <v>0</v>
      </c>
      <c r="R64" s="156">
        <v>61</v>
      </c>
      <c r="S64" s="156">
        <v>0</v>
      </c>
      <c r="T64" s="156">
        <v>0</v>
      </c>
      <c r="U64" s="156">
        <v>36</v>
      </c>
      <c r="V64" s="156">
        <v>11</v>
      </c>
      <c r="W64" s="156">
        <v>0</v>
      </c>
      <c r="X64" s="156">
        <v>0</v>
      </c>
      <c r="Y64" s="156">
        <v>36</v>
      </c>
      <c r="Z64" s="63">
        <v>0</v>
      </c>
      <c r="AA64" s="63">
        <v>410</v>
      </c>
      <c r="AB64" s="63">
        <v>300</v>
      </c>
      <c r="AC64" s="63">
        <v>-270</v>
      </c>
      <c r="AD64" s="63">
        <v>80</v>
      </c>
      <c r="AE64" s="63">
        <v>3</v>
      </c>
      <c r="AF64" s="63">
        <v>-270</v>
      </c>
      <c r="AG64" s="63">
        <v>80</v>
      </c>
      <c r="AH64" s="63">
        <v>3</v>
      </c>
      <c r="AI64" s="155">
        <v>0</v>
      </c>
      <c r="AJ64" s="156">
        <v>0</v>
      </c>
      <c r="AK64" s="157">
        <v>0</v>
      </c>
      <c r="AL64" s="63">
        <v>0</v>
      </c>
      <c r="AM64" s="63">
        <v>0</v>
      </c>
      <c r="AN64" s="63">
        <v>0</v>
      </c>
      <c r="AO64" s="63">
        <v>0</v>
      </c>
      <c r="AP64" s="63">
        <v>0</v>
      </c>
      <c r="AQ64" s="63">
        <v>0</v>
      </c>
      <c r="AR64" s="63">
        <v>1203</v>
      </c>
      <c r="AS64" s="63">
        <v>457</v>
      </c>
      <c r="AT64" s="63">
        <v>362</v>
      </c>
      <c r="AU64" s="63">
        <v>933</v>
      </c>
      <c r="AV64" s="63">
        <v>537</v>
      </c>
      <c r="AW64" s="63">
        <v>365</v>
      </c>
      <c r="AX64" s="63">
        <v>-270</v>
      </c>
      <c r="AY64" s="63">
        <v>80</v>
      </c>
      <c r="AZ64" s="63">
        <v>3</v>
      </c>
      <c r="BA64" s="63">
        <v>-270</v>
      </c>
      <c r="BB64" s="63">
        <v>80</v>
      </c>
      <c r="BC64" s="63">
        <v>3</v>
      </c>
      <c r="BE64" s="63">
        <f t="shared" si="80"/>
        <v>0</v>
      </c>
      <c r="BF64" s="63">
        <f t="shared" si="81"/>
        <v>0.76350093109869643</v>
      </c>
      <c r="BG64" s="63">
        <f t="shared" si="82"/>
        <v>0.82191780821917804</v>
      </c>
      <c r="BI64" s="63">
        <f t="shared" si="83"/>
        <v>0</v>
      </c>
      <c r="BJ64" s="63">
        <f t="shared" si="84"/>
        <v>0.18063314711359404</v>
      </c>
      <c r="BK64" s="63">
        <f t="shared" si="85"/>
        <v>0.12876712328767123</v>
      </c>
      <c r="BM64" s="63">
        <f t="shared" si="86"/>
        <v>0</v>
      </c>
      <c r="BN64" s="63">
        <f t="shared" si="87"/>
        <v>0.11359404096834265</v>
      </c>
      <c r="BO64" s="63">
        <f t="shared" si="88"/>
        <v>0</v>
      </c>
      <c r="BQ64" s="156">
        <f t="shared" si="89"/>
        <v>0</v>
      </c>
      <c r="BR64" s="156">
        <f t="shared" si="90"/>
        <v>6.7039106145251395E-2</v>
      </c>
      <c r="BS64" s="156">
        <f t="shared" si="91"/>
        <v>3.0136986301369864E-2</v>
      </c>
      <c r="BU64" s="156">
        <f t="shared" si="92"/>
        <v>0</v>
      </c>
      <c r="BV64" s="156">
        <f t="shared" si="93"/>
        <v>0</v>
      </c>
      <c r="BW64" s="156">
        <f t="shared" si="94"/>
        <v>9.8630136986301367E-2</v>
      </c>
      <c r="BY64" s="156">
        <f t="shared" si="95"/>
        <v>1</v>
      </c>
      <c r="BZ64" s="156">
        <f t="shared" si="96"/>
        <v>1.86219739292365E-2</v>
      </c>
      <c r="CA64" s="156">
        <f t="shared" si="97"/>
        <v>4.9315068493150684E-2</v>
      </c>
      <c r="CC64" s="156">
        <f t="shared" si="98"/>
        <v>0</v>
      </c>
      <c r="CD64" s="156">
        <f t="shared" si="99"/>
        <v>0</v>
      </c>
      <c r="CE64" s="156">
        <f t="shared" si="100"/>
        <v>0</v>
      </c>
      <c r="CG64" s="63">
        <f t="shared" si="35"/>
        <v>1</v>
      </c>
      <c r="CH64" s="63">
        <f t="shared" si="36"/>
        <v>0.96275605214152693</v>
      </c>
      <c r="CI64" s="63">
        <f t="shared" si="37"/>
        <v>1</v>
      </c>
      <c r="CK64" s="63">
        <f t="shared" si="38"/>
        <v>0</v>
      </c>
      <c r="CL64" s="63">
        <f t="shared" si="39"/>
        <v>3.724394785847307E-2</v>
      </c>
      <c r="CM64" s="63">
        <f t="shared" si="40"/>
        <v>0</v>
      </c>
      <c r="CO64" s="156">
        <f t="shared" si="41"/>
        <v>0</v>
      </c>
      <c r="CP64" s="156">
        <f t="shared" si="42"/>
        <v>20.000000000000039</v>
      </c>
      <c r="CQ64" s="156">
        <f t="shared" si="43"/>
        <v>0</v>
      </c>
      <c r="CT64" s="63">
        <v>0</v>
      </c>
      <c r="CV64" s="156">
        <f t="shared" si="75"/>
        <v>0</v>
      </c>
      <c r="CW64" s="156">
        <f t="shared" si="44"/>
        <v>3.4166666666666665</v>
      </c>
      <c r="CX64" s="156">
        <f t="shared" si="45"/>
        <v>2.5</v>
      </c>
      <c r="CZ64" s="63">
        <f t="shared" si="46"/>
        <v>0</v>
      </c>
      <c r="DA64" s="63">
        <f t="shared" si="47"/>
        <v>1</v>
      </c>
      <c r="DB64" s="63">
        <f t="shared" si="48"/>
        <v>1</v>
      </c>
      <c r="DC64" s="63">
        <f t="shared" si="49"/>
        <v>0</v>
      </c>
      <c r="DD64" s="63">
        <f t="shared" si="50"/>
        <v>1</v>
      </c>
      <c r="DE64" s="63">
        <f t="shared" si="51"/>
        <v>0</v>
      </c>
      <c r="DF64" s="63">
        <f t="shared" si="52"/>
        <v>0</v>
      </c>
      <c r="DG64" s="63">
        <f t="shared" si="53"/>
        <v>1</v>
      </c>
      <c r="DH64" s="63">
        <f t="shared" si="54"/>
        <v>1</v>
      </c>
      <c r="DI64" s="63">
        <f t="shared" si="55"/>
        <v>0</v>
      </c>
      <c r="DJ64" s="63">
        <f t="shared" si="56"/>
        <v>0</v>
      </c>
      <c r="DK64" s="63">
        <f t="shared" si="57"/>
        <v>1</v>
      </c>
      <c r="DL64" s="63">
        <f t="shared" si="58"/>
        <v>1</v>
      </c>
      <c r="DM64" s="63">
        <f t="shared" si="59"/>
        <v>1</v>
      </c>
      <c r="DN64" s="63">
        <f t="shared" si="60"/>
        <v>1</v>
      </c>
      <c r="DO64" s="63">
        <f t="shared" si="61"/>
        <v>0</v>
      </c>
      <c r="DP64" s="63">
        <f t="shared" si="62"/>
        <v>0</v>
      </c>
      <c r="DQ64" s="63">
        <f t="shared" si="63"/>
        <v>0</v>
      </c>
      <c r="DR64" s="63">
        <f t="shared" si="64"/>
        <v>0</v>
      </c>
      <c r="DS64" s="63">
        <f t="shared" si="65"/>
        <v>1</v>
      </c>
      <c r="DT64" s="63">
        <f t="shared" si="66"/>
        <v>0</v>
      </c>
      <c r="DU64" s="63">
        <f t="shared" si="67"/>
        <v>1</v>
      </c>
      <c r="DV64" s="63">
        <f t="shared" si="68"/>
        <v>5</v>
      </c>
      <c r="DW64" s="63">
        <f t="shared" si="69"/>
        <v>4</v>
      </c>
      <c r="DX64" s="63">
        <f t="shared" si="70"/>
        <v>3.3333333333333335</v>
      </c>
      <c r="DY64" s="63">
        <f t="shared" si="71"/>
        <v>1.699673171197595</v>
      </c>
      <c r="DZ64" s="137">
        <f t="shared" si="101"/>
        <v>1</v>
      </c>
      <c r="EA64" s="63">
        <f t="shared" si="101"/>
        <v>0</v>
      </c>
      <c r="EB64" s="63">
        <f t="shared" si="101"/>
        <v>0</v>
      </c>
      <c r="EC64" s="63">
        <f t="shared" si="101"/>
        <v>0</v>
      </c>
      <c r="ED64" s="63">
        <f t="shared" si="101"/>
        <v>0</v>
      </c>
      <c r="EE64" s="63">
        <f t="shared" si="101"/>
        <v>0</v>
      </c>
      <c r="EF64" s="63">
        <f t="shared" si="101"/>
        <v>0</v>
      </c>
      <c r="EG64" s="63">
        <f t="shared" si="102"/>
        <v>0</v>
      </c>
      <c r="EH64" s="63">
        <f t="shared" si="102"/>
        <v>0</v>
      </c>
      <c r="EI64" s="63">
        <f t="shared" si="102"/>
        <v>0</v>
      </c>
      <c r="EJ64" s="63">
        <f t="shared" si="102"/>
        <v>0</v>
      </c>
      <c r="EK64" s="63">
        <f t="shared" si="102"/>
        <v>1</v>
      </c>
      <c r="EL64" s="63">
        <f t="shared" si="102"/>
        <v>0</v>
      </c>
      <c r="EM64" s="63">
        <f t="shared" si="102"/>
        <v>0</v>
      </c>
      <c r="EN64" s="63">
        <f t="shared" si="103"/>
        <v>0</v>
      </c>
      <c r="EO64" s="63">
        <f t="shared" si="103"/>
        <v>0</v>
      </c>
      <c r="EP64" s="63">
        <f t="shared" si="103"/>
        <v>0</v>
      </c>
      <c r="EQ64" s="63">
        <f t="shared" si="103"/>
        <v>1</v>
      </c>
      <c r="ER64" s="63">
        <f t="shared" si="103"/>
        <v>0</v>
      </c>
      <c r="ES64" s="63">
        <f t="shared" si="103"/>
        <v>0</v>
      </c>
      <c r="ET64" s="156">
        <f t="shared" si="103"/>
        <v>0</v>
      </c>
    </row>
    <row r="65" spans="1:205" s="63" customFormat="1">
      <c r="A65" s="63" t="s">
        <v>125</v>
      </c>
      <c r="B65" s="63">
        <v>110</v>
      </c>
      <c r="C65" s="63" t="s">
        <v>38</v>
      </c>
      <c r="D65" s="63" t="s">
        <v>35</v>
      </c>
      <c r="E65" s="63">
        <v>144</v>
      </c>
      <c r="F65" s="63">
        <v>136</v>
      </c>
      <c r="G65" s="63">
        <v>221</v>
      </c>
      <c r="H65" s="63">
        <v>0</v>
      </c>
      <c r="I65" s="63">
        <v>0</v>
      </c>
      <c r="J65" s="63">
        <v>0</v>
      </c>
      <c r="K65" s="63">
        <v>49</v>
      </c>
      <c r="L65" s="63">
        <v>49</v>
      </c>
      <c r="M65" s="63">
        <v>54</v>
      </c>
      <c r="N65" s="63">
        <v>22</v>
      </c>
      <c r="O65" s="63">
        <v>23</v>
      </c>
      <c r="P65" s="63">
        <v>25</v>
      </c>
      <c r="Q65" s="156">
        <v>0</v>
      </c>
      <c r="R65" s="156">
        <v>0</v>
      </c>
      <c r="S65" s="156">
        <v>0</v>
      </c>
      <c r="T65" s="156">
        <v>8</v>
      </c>
      <c r="U65" s="156">
        <v>9</v>
      </c>
      <c r="V65" s="156">
        <v>7</v>
      </c>
      <c r="W65" s="156">
        <v>14</v>
      </c>
      <c r="X65" s="156">
        <v>14</v>
      </c>
      <c r="Y65" s="156">
        <v>25</v>
      </c>
      <c r="Z65" s="63">
        <v>73</v>
      </c>
      <c r="AA65" s="63">
        <v>64</v>
      </c>
      <c r="AB65" s="63">
        <v>142</v>
      </c>
      <c r="AC65" s="63">
        <v>-96</v>
      </c>
      <c r="AD65" s="63">
        <v>-118</v>
      </c>
      <c r="AE65" s="63">
        <v>-64</v>
      </c>
      <c r="AF65" s="63">
        <v>-96</v>
      </c>
      <c r="AG65" s="63">
        <v>-118</v>
      </c>
      <c r="AH65" s="63">
        <v>-64</v>
      </c>
      <c r="AI65" s="155">
        <v>168</v>
      </c>
      <c r="AJ65" s="156">
        <v>188</v>
      </c>
      <c r="AK65" s="157">
        <v>187</v>
      </c>
      <c r="AL65" s="63">
        <v>126</v>
      </c>
      <c r="AM65" s="63">
        <v>136</v>
      </c>
      <c r="AN65" s="63">
        <v>147</v>
      </c>
      <c r="AO65" s="63">
        <v>126</v>
      </c>
      <c r="AP65" s="63">
        <v>136</v>
      </c>
      <c r="AQ65" s="63">
        <v>147</v>
      </c>
      <c r="AR65" s="63">
        <v>282</v>
      </c>
      <c r="AS65" s="63">
        <v>406</v>
      </c>
      <c r="AT65" s="63">
        <v>325</v>
      </c>
      <c r="AU65" s="63">
        <v>312</v>
      </c>
      <c r="AV65" s="63">
        <v>324</v>
      </c>
      <c r="AW65" s="63">
        <v>408</v>
      </c>
      <c r="AX65" s="63">
        <v>30</v>
      </c>
      <c r="AY65" s="63">
        <v>-82</v>
      </c>
      <c r="AZ65" s="63">
        <v>83</v>
      </c>
      <c r="BA65" s="63">
        <v>30</v>
      </c>
      <c r="BB65" s="63">
        <v>18</v>
      </c>
      <c r="BC65" s="63">
        <v>83</v>
      </c>
      <c r="BE65" s="63">
        <f t="shared" si="80"/>
        <v>0.23397435897435898</v>
      </c>
      <c r="BF65" s="63">
        <f t="shared" si="81"/>
        <v>0.19753086419753085</v>
      </c>
      <c r="BG65" s="63">
        <f t="shared" si="82"/>
        <v>0.34803921568627449</v>
      </c>
      <c r="BI65" s="63">
        <f t="shared" si="83"/>
        <v>7.0512820512820512E-2</v>
      </c>
      <c r="BJ65" s="63">
        <f t="shared" si="84"/>
        <v>7.098765432098765E-2</v>
      </c>
      <c r="BK65" s="63">
        <f t="shared" si="85"/>
        <v>6.1274509803921566E-2</v>
      </c>
      <c r="BM65" s="63">
        <f t="shared" si="86"/>
        <v>0</v>
      </c>
      <c r="BN65" s="63">
        <f t="shared" si="87"/>
        <v>0</v>
      </c>
      <c r="BO65" s="63">
        <f t="shared" si="88"/>
        <v>0</v>
      </c>
      <c r="BQ65" s="156">
        <f t="shared" si="89"/>
        <v>2.564102564102564E-2</v>
      </c>
      <c r="BR65" s="156">
        <f t="shared" si="90"/>
        <v>2.7777777777777776E-2</v>
      </c>
      <c r="BS65" s="156">
        <f t="shared" si="91"/>
        <v>1.7156862745098041E-2</v>
      </c>
      <c r="BU65" s="156">
        <f t="shared" si="92"/>
        <v>4.4871794871794872E-2</v>
      </c>
      <c r="BV65" s="156">
        <f t="shared" si="93"/>
        <v>4.3209876543209874E-2</v>
      </c>
      <c r="BW65" s="156">
        <f t="shared" si="94"/>
        <v>6.1274509803921566E-2</v>
      </c>
      <c r="BY65" s="156">
        <f t="shared" si="95"/>
        <v>0</v>
      </c>
      <c r="BZ65" s="156">
        <f t="shared" si="96"/>
        <v>0</v>
      </c>
      <c r="CA65" s="156">
        <f t="shared" si="97"/>
        <v>0</v>
      </c>
      <c r="CC65" s="156">
        <f t="shared" si="98"/>
        <v>0.53846153846153844</v>
      </c>
      <c r="CD65" s="156">
        <f t="shared" si="99"/>
        <v>0.58024691358024694</v>
      </c>
      <c r="CE65" s="156">
        <f t="shared" si="100"/>
        <v>0.45833333333333331</v>
      </c>
      <c r="CG65" s="63">
        <f t="shared" si="35"/>
        <v>0.84294871794871795</v>
      </c>
      <c r="CH65" s="63">
        <f t="shared" si="36"/>
        <v>0.84876543209876543</v>
      </c>
      <c r="CI65" s="63">
        <f t="shared" si="37"/>
        <v>0.86764705882352944</v>
      </c>
      <c r="CK65" s="63">
        <f t="shared" si="38"/>
        <v>0.15705128205128205</v>
      </c>
      <c r="CL65" s="63">
        <f t="shared" si="39"/>
        <v>0.15123456790123457</v>
      </c>
      <c r="CM65" s="63">
        <f t="shared" si="40"/>
        <v>0.13235294117647056</v>
      </c>
      <c r="CO65" s="156">
        <f t="shared" si="41"/>
        <v>49</v>
      </c>
      <c r="CP65" s="156">
        <f t="shared" si="42"/>
        <v>49</v>
      </c>
      <c r="CQ65" s="156">
        <f t="shared" si="43"/>
        <v>53.999999999999986</v>
      </c>
      <c r="CT65" s="63">
        <v>8</v>
      </c>
      <c r="CV65" s="156">
        <f t="shared" si="75"/>
        <v>0.66363636363636369</v>
      </c>
      <c r="CW65" s="156">
        <f t="shared" si="44"/>
        <v>0.58181818181818179</v>
      </c>
      <c r="CX65" s="156">
        <f t="shared" si="45"/>
        <v>1.290909090909091</v>
      </c>
      <c r="CZ65" s="63">
        <f t="shared" si="46"/>
        <v>1</v>
      </c>
      <c r="DA65" s="63">
        <f t="shared" si="47"/>
        <v>1</v>
      </c>
      <c r="DB65" s="63">
        <f t="shared" si="48"/>
        <v>1</v>
      </c>
      <c r="DC65" s="63">
        <f t="shared" si="49"/>
        <v>0</v>
      </c>
      <c r="DD65" s="63">
        <f t="shared" si="50"/>
        <v>0</v>
      </c>
      <c r="DE65" s="63">
        <f t="shared" si="51"/>
        <v>0</v>
      </c>
      <c r="DF65" s="63">
        <f t="shared" si="52"/>
        <v>1</v>
      </c>
      <c r="DG65" s="63">
        <f t="shared" si="53"/>
        <v>1</v>
      </c>
      <c r="DH65" s="63">
        <f t="shared" si="54"/>
        <v>1</v>
      </c>
      <c r="DI65" s="63">
        <f t="shared" si="55"/>
        <v>1</v>
      </c>
      <c r="DJ65" s="63">
        <f t="shared" si="56"/>
        <v>1</v>
      </c>
      <c r="DK65" s="63">
        <f t="shared" si="57"/>
        <v>1</v>
      </c>
      <c r="DL65" s="63">
        <f t="shared" si="58"/>
        <v>0</v>
      </c>
      <c r="DM65" s="63">
        <f t="shared" si="59"/>
        <v>0</v>
      </c>
      <c r="DN65" s="63">
        <f t="shared" si="60"/>
        <v>0</v>
      </c>
      <c r="DO65" s="63">
        <f t="shared" si="61"/>
        <v>1</v>
      </c>
      <c r="DP65" s="63">
        <f t="shared" si="62"/>
        <v>1</v>
      </c>
      <c r="DQ65" s="63">
        <f t="shared" si="63"/>
        <v>1</v>
      </c>
      <c r="DR65" s="63">
        <f t="shared" si="64"/>
        <v>1</v>
      </c>
      <c r="DS65" s="63">
        <f t="shared" si="65"/>
        <v>1</v>
      </c>
      <c r="DT65" s="63">
        <f t="shared" si="66"/>
        <v>1</v>
      </c>
      <c r="DU65" s="63">
        <f t="shared" si="67"/>
        <v>5</v>
      </c>
      <c r="DV65" s="63">
        <f t="shared" si="68"/>
        <v>5</v>
      </c>
      <c r="DW65" s="63">
        <f t="shared" si="69"/>
        <v>5</v>
      </c>
      <c r="DX65" s="63">
        <f t="shared" si="70"/>
        <v>5</v>
      </c>
      <c r="DY65" s="63">
        <f t="shared" si="71"/>
        <v>0</v>
      </c>
      <c r="DZ65" s="137">
        <f t="shared" si="101"/>
        <v>0</v>
      </c>
      <c r="EA65" s="63">
        <f t="shared" si="101"/>
        <v>0</v>
      </c>
      <c r="EB65" s="63">
        <f t="shared" si="101"/>
        <v>0</v>
      </c>
      <c r="EC65" s="63">
        <f t="shared" si="101"/>
        <v>0</v>
      </c>
      <c r="ED65" s="63">
        <f t="shared" si="101"/>
        <v>1</v>
      </c>
      <c r="EE65" s="63">
        <f t="shared" si="101"/>
        <v>0</v>
      </c>
      <c r="EF65" s="63">
        <f t="shared" si="101"/>
        <v>0</v>
      </c>
      <c r="EG65" s="63">
        <f t="shared" si="102"/>
        <v>0</v>
      </c>
      <c r="EH65" s="63">
        <f t="shared" si="102"/>
        <v>0</v>
      </c>
      <c r="EI65" s="63">
        <f t="shared" si="102"/>
        <v>0</v>
      </c>
      <c r="EJ65" s="63">
        <f t="shared" si="102"/>
        <v>0</v>
      </c>
      <c r="EK65" s="63">
        <f t="shared" si="102"/>
        <v>1</v>
      </c>
      <c r="EL65" s="63">
        <f t="shared" si="102"/>
        <v>0</v>
      </c>
      <c r="EM65" s="63">
        <f t="shared" si="102"/>
        <v>0</v>
      </c>
      <c r="EN65" s="63">
        <f t="shared" si="103"/>
        <v>0</v>
      </c>
      <c r="EO65" s="63">
        <f t="shared" si="103"/>
        <v>0</v>
      </c>
      <c r="EP65" s="63">
        <f t="shared" si="103"/>
        <v>0</v>
      </c>
      <c r="EQ65" s="63">
        <f t="shared" si="103"/>
        <v>0</v>
      </c>
      <c r="ER65" s="63">
        <f t="shared" si="103"/>
        <v>1</v>
      </c>
      <c r="ES65" s="63">
        <f t="shared" si="103"/>
        <v>0</v>
      </c>
      <c r="ET65" s="156">
        <f t="shared" si="103"/>
        <v>0</v>
      </c>
    </row>
    <row r="66" spans="1:205" s="63" customFormat="1">
      <c r="A66" s="63" t="s">
        <v>126</v>
      </c>
      <c r="B66" s="63">
        <v>76</v>
      </c>
      <c r="C66" s="63" t="s">
        <v>38</v>
      </c>
      <c r="D66" s="63" t="s">
        <v>33</v>
      </c>
      <c r="E66" s="63">
        <v>158</v>
      </c>
      <c r="F66" s="63">
        <v>149</v>
      </c>
      <c r="G66" s="63">
        <v>137</v>
      </c>
      <c r="H66" s="63">
        <v>0</v>
      </c>
      <c r="I66" s="63">
        <v>0</v>
      </c>
      <c r="J66" s="63">
        <v>0</v>
      </c>
      <c r="K66" s="63">
        <v>65</v>
      </c>
      <c r="L66" s="63">
        <v>58</v>
      </c>
      <c r="M66" s="63">
        <v>28</v>
      </c>
      <c r="N66" s="63">
        <v>48</v>
      </c>
      <c r="O66" s="63">
        <v>36</v>
      </c>
      <c r="P66" s="63">
        <v>31</v>
      </c>
      <c r="Q66" s="156">
        <v>0</v>
      </c>
      <c r="R66" s="156">
        <v>0</v>
      </c>
      <c r="S66" s="156">
        <v>0</v>
      </c>
      <c r="T66" s="156">
        <v>17</v>
      </c>
      <c r="U66" s="156">
        <v>0</v>
      </c>
      <c r="V66" s="156">
        <v>0</v>
      </c>
      <c r="W66" s="156">
        <v>31</v>
      </c>
      <c r="X66" s="156">
        <v>36</v>
      </c>
      <c r="Y66" s="156">
        <v>31</v>
      </c>
      <c r="Z66" s="63">
        <v>45</v>
      </c>
      <c r="AA66" s="63">
        <v>55</v>
      </c>
      <c r="AB66" s="63">
        <v>78</v>
      </c>
      <c r="AC66" s="63">
        <v>-34</v>
      </c>
      <c r="AD66" s="63">
        <v>21</v>
      </c>
      <c r="AE66" s="63">
        <v>9</v>
      </c>
      <c r="AF66" s="63">
        <v>-34</v>
      </c>
      <c r="AG66" s="63">
        <v>21</v>
      </c>
      <c r="AH66" s="63">
        <v>9</v>
      </c>
      <c r="AI66" s="155">
        <v>0</v>
      </c>
      <c r="AJ66" s="156">
        <v>0</v>
      </c>
      <c r="AK66" s="157">
        <v>0</v>
      </c>
      <c r="AL66" s="63">
        <v>0</v>
      </c>
      <c r="AM66" s="63">
        <v>0</v>
      </c>
      <c r="AN66" s="63">
        <v>0</v>
      </c>
      <c r="AO66" s="63">
        <v>0</v>
      </c>
      <c r="AP66" s="63">
        <v>0</v>
      </c>
      <c r="AQ66" s="63">
        <v>0</v>
      </c>
      <c r="AR66" s="63">
        <v>192</v>
      </c>
      <c r="AS66" s="63">
        <v>128</v>
      </c>
      <c r="AT66" s="63">
        <v>128</v>
      </c>
      <c r="AU66" s="63">
        <v>158</v>
      </c>
      <c r="AV66" s="63">
        <v>149</v>
      </c>
      <c r="AW66" s="63">
        <v>137</v>
      </c>
      <c r="AX66" s="63">
        <v>-34</v>
      </c>
      <c r="AY66" s="63">
        <v>21</v>
      </c>
      <c r="AZ66" s="63">
        <v>9</v>
      </c>
      <c r="BA66" s="63">
        <v>-34</v>
      </c>
      <c r="BB66" s="63">
        <v>21</v>
      </c>
      <c r="BC66" s="63">
        <v>9</v>
      </c>
      <c r="BE66" s="63">
        <f t="shared" ref="BE66:BE94" si="106">Z66/AU66</f>
        <v>0.2848101265822785</v>
      </c>
      <c r="BF66" s="63">
        <f t="shared" ref="BF66:BF94" si="107">AA66/AV66</f>
        <v>0.36912751677852351</v>
      </c>
      <c r="BG66" s="63">
        <f t="shared" ref="BG66:BG94" si="108">AB66/AW66</f>
        <v>0.56934306569343063</v>
      </c>
      <c r="BI66" s="63">
        <f t="shared" ref="BI66:BI94" si="109">N66/AU66</f>
        <v>0.30379746835443039</v>
      </c>
      <c r="BJ66" s="63">
        <f t="shared" ref="BJ66:BJ94" si="110">O66/AV66</f>
        <v>0.24161073825503357</v>
      </c>
      <c r="BK66" s="63">
        <f t="shared" ref="BK66:BK94" si="111">P66/AW66</f>
        <v>0.22627737226277372</v>
      </c>
      <c r="BM66" s="63">
        <f t="shared" ref="BM66:BM94" si="112">Q66/AU66</f>
        <v>0</v>
      </c>
      <c r="BN66" s="63">
        <f t="shared" ref="BN66:BN94" si="113">R66/AV66</f>
        <v>0</v>
      </c>
      <c r="BO66" s="63">
        <f t="shared" ref="BO66:BO94" si="114">S66/AW66</f>
        <v>0</v>
      </c>
      <c r="BQ66" s="156">
        <f t="shared" ref="BQ66:BQ94" si="115">T66/AU66</f>
        <v>0.10759493670886076</v>
      </c>
      <c r="BR66" s="156">
        <f t="shared" ref="BR66:BR94" si="116">U66/AV66</f>
        <v>0</v>
      </c>
      <c r="BS66" s="156">
        <f t="shared" ref="BS66:BS94" si="117">V66/AW66</f>
        <v>0</v>
      </c>
      <c r="BU66" s="156">
        <f t="shared" ref="BU66:BU94" si="118">W66/AU66</f>
        <v>0.19620253164556961</v>
      </c>
      <c r="BV66" s="156">
        <f t="shared" ref="BV66:BV94" si="119">X66/AV66</f>
        <v>0.24161073825503357</v>
      </c>
      <c r="BW66" s="156">
        <f t="shared" ref="BW66:BW94" si="120">Y66/AW66</f>
        <v>0.22627737226277372</v>
      </c>
      <c r="BY66" s="156">
        <f t="shared" ref="BY66:BY94" si="121">H66/AU66</f>
        <v>0</v>
      </c>
      <c r="BZ66" s="156">
        <f t="shared" ref="BZ66:BZ94" si="122">I66/AV66</f>
        <v>0</v>
      </c>
      <c r="CA66" s="156">
        <f t="shared" ref="CA66:CA94" si="123">J66/AW66</f>
        <v>0</v>
      </c>
      <c r="CC66" s="156">
        <f t="shared" ref="CC66:CC94" si="124">AI66/AU66</f>
        <v>0</v>
      </c>
      <c r="CD66" s="156">
        <f t="shared" ref="CD66:CD94" si="125">AJ66/AV66</f>
        <v>0</v>
      </c>
      <c r="CE66" s="156">
        <f t="shared" ref="CE66:CE94" si="126">AK66/AW66</f>
        <v>0</v>
      </c>
      <c r="CG66" s="63">
        <f t="shared" si="35"/>
        <v>0.58860759493670889</v>
      </c>
      <c r="CH66" s="63">
        <f t="shared" si="36"/>
        <v>0.61073825503355705</v>
      </c>
      <c r="CI66" s="63">
        <f t="shared" si="37"/>
        <v>0.79562043795620441</v>
      </c>
      <c r="CK66" s="63">
        <f t="shared" si="38"/>
        <v>0.41139240506329111</v>
      </c>
      <c r="CL66" s="63">
        <f t="shared" si="39"/>
        <v>0.38926174496644295</v>
      </c>
      <c r="CM66" s="63">
        <f t="shared" si="40"/>
        <v>0.20437956204379559</v>
      </c>
      <c r="CO66" s="156">
        <f t="shared" si="41"/>
        <v>65</v>
      </c>
      <c r="CP66" s="156">
        <f t="shared" si="42"/>
        <v>58</v>
      </c>
      <c r="CQ66" s="156">
        <f t="shared" si="43"/>
        <v>27.999999999999996</v>
      </c>
      <c r="CT66" s="63">
        <v>17</v>
      </c>
      <c r="CV66" s="156">
        <f t="shared" si="75"/>
        <v>0.59210526315789469</v>
      </c>
      <c r="CW66" s="156">
        <f t="shared" si="44"/>
        <v>0.72368421052631582</v>
      </c>
      <c r="CX66" s="156">
        <f t="shared" si="45"/>
        <v>1.0263157894736843</v>
      </c>
      <c r="CZ66" s="63">
        <f t="shared" si="46"/>
        <v>1</v>
      </c>
      <c r="DA66" s="63">
        <f t="shared" si="47"/>
        <v>1</v>
      </c>
      <c r="DB66" s="63">
        <f t="shared" si="48"/>
        <v>1</v>
      </c>
      <c r="DC66" s="63">
        <f t="shared" si="49"/>
        <v>0</v>
      </c>
      <c r="DD66" s="63">
        <f t="shared" si="50"/>
        <v>0</v>
      </c>
      <c r="DE66" s="63">
        <f t="shared" si="51"/>
        <v>0</v>
      </c>
      <c r="DF66" s="63">
        <f t="shared" si="52"/>
        <v>1</v>
      </c>
      <c r="DG66" s="63">
        <f t="shared" si="53"/>
        <v>0</v>
      </c>
      <c r="DH66" s="63">
        <f t="shared" si="54"/>
        <v>0</v>
      </c>
      <c r="DI66" s="63">
        <f t="shared" si="55"/>
        <v>1</v>
      </c>
      <c r="DJ66" s="63">
        <f t="shared" si="56"/>
        <v>1</v>
      </c>
      <c r="DK66" s="63">
        <f t="shared" si="57"/>
        <v>1</v>
      </c>
      <c r="DL66" s="63">
        <f t="shared" si="58"/>
        <v>0</v>
      </c>
      <c r="DM66" s="63">
        <f t="shared" si="59"/>
        <v>0</v>
      </c>
      <c r="DN66" s="63">
        <f t="shared" si="60"/>
        <v>0</v>
      </c>
      <c r="DO66" s="63">
        <f t="shared" si="61"/>
        <v>0</v>
      </c>
      <c r="DP66" s="63">
        <f t="shared" si="62"/>
        <v>0</v>
      </c>
      <c r="DQ66" s="63">
        <f t="shared" si="63"/>
        <v>0</v>
      </c>
      <c r="DR66" s="63">
        <f t="shared" si="64"/>
        <v>1</v>
      </c>
      <c r="DS66" s="63">
        <f t="shared" si="65"/>
        <v>1</v>
      </c>
      <c r="DT66" s="63">
        <f t="shared" si="66"/>
        <v>1</v>
      </c>
      <c r="DU66" s="63">
        <f t="shared" si="67"/>
        <v>4</v>
      </c>
      <c r="DV66" s="63">
        <f t="shared" si="68"/>
        <v>3</v>
      </c>
      <c r="DW66" s="63">
        <f t="shared" si="69"/>
        <v>3</v>
      </c>
      <c r="DX66" s="63">
        <f t="shared" si="70"/>
        <v>3.3333333333333335</v>
      </c>
      <c r="DY66" s="63">
        <f t="shared" si="71"/>
        <v>0.47140452079103168</v>
      </c>
      <c r="DZ66" s="137">
        <f t="shared" si="101"/>
        <v>0</v>
      </c>
      <c r="EA66" s="63">
        <f t="shared" si="101"/>
        <v>0</v>
      </c>
      <c r="EB66" s="63">
        <f t="shared" si="101"/>
        <v>0</v>
      </c>
      <c r="EC66" s="63">
        <f t="shared" si="101"/>
        <v>1</v>
      </c>
      <c r="ED66" s="63">
        <f t="shared" si="101"/>
        <v>0</v>
      </c>
      <c r="EE66" s="63">
        <f t="shared" si="101"/>
        <v>0</v>
      </c>
      <c r="EF66" s="63">
        <f t="shared" si="101"/>
        <v>0</v>
      </c>
      <c r="EG66" s="63">
        <f t="shared" si="102"/>
        <v>0</v>
      </c>
      <c r="EH66" s="63">
        <f t="shared" si="102"/>
        <v>0</v>
      </c>
      <c r="EI66" s="63">
        <f t="shared" si="102"/>
        <v>1</v>
      </c>
      <c r="EJ66" s="63">
        <f t="shared" si="102"/>
        <v>0</v>
      </c>
      <c r="EK66" s="63">
        <f t="shared" si="102"/>
        <v>0</v>
      </c>
      <c r="EL66" s="63">
        <f t="shared" si="102"/>
        <v>0</v>
      </c>
      <c r="EM66" s="63">
        <f t="shared" si="102"/>
        <v>0</v>
      </c>
      <c r="EN66" s="63">
        <f t="shared" si="103"/>
        <v>0</v>
      </c>
      <c r="EO66" s="63">
        <f t="shared" si="103"/>
        <v>0</v>
      </c>
      <c r="EP66" s="63">
        <f t="shared" si="103"/>
        <v>1</v>
      </c>
      <c r="EQ66" s="63">
        <f t="shared" si="103"/>
        <v>0</v>
      </c>
      <c r="ER66" s="63">
        <f t="shared" si="103"/>
        <v>0</v>
      </c>
      <c r="ES66" s="63">
        <f t="shared" si="103"/>
        <v>0</v>
      </c>
      <c r="ET66" s="156">
        <f t="shared" si="103"/>
        <v>0</v>
      </c>
    </row>
    <row r="67" spans="1:205" s="63" customFormat="1">
      <c r="A67" s="63" t="s">
        <v>127</v>
      </c>
      <c r="B67" s="63">
        <v>111</v>
      </c>
      <c r="C67" s="63" t="s">
        <v>38</v>
      </c>
      <c r="D67" s="63" t="s">
        <v>35</v>
      </c>
      <c r="E67" s="63">
        <v>208</v>
      </c>
      <c r="F67" s="63">
        <v>277</v>
      </c>
      <c r="G67" s="63">
        <v>316</v>
      </c>
      <c r="H67" s="63">
        <v>33</v>
      </c>
      <c r="I67" s="63">
        <v>60</v>
      </c>
      <c r="J67" s="63">
        <v>53</v>
      </c>
      <c r="K67" s="63">
        <v>19</v>
      </c>
      <c r="L67" s="63">
        <v>39</v>
      </c>
      <c r="M67" s="63">
        <v>56</v>
      </c>
      <c r="N67" s="63">
        <v>96</v>
      </c>
      <c r="O67" s="63">
        <v>78</v>
      </c>
      <c r="P67" s="63">
        <v>54</v>
      </c>
      <c r="Q67" s="156">
        <v>0</v>
      </c>
      <c r="R67" s="156">
        <v>0</v>
      </c>
      <c r="S67" s="156">
        <v>0</v>
      </c>
      <c r="T67" s="156">
        <v>71</v>
      </c>
      <c r="U67" s="156">
        <v>17</v>
      </c>
      <c r="V67" s="156">
        <v>10</v>
      </c>
      <c r="W67" s="156">
        <v>25</v>
      </c>
      <c r="X67" s="156">
        <v>61</v>
      </c>
      <c r="Y67" s="156">
        <v>44</v>
      </c>
      <c r="Z67" s="63">
        <v>60</v>
      </c>
      <c r="AA67" s="63">
        <v>100</v>
      </c>
      <c r="AB67" s="63">
        <v>153</v>
      </c>
      <c r="AC67" s="63">
        <v>-19</v>
      </c>
      <c r="AD67" s="63">
        <v>62</v>
      </c>
      <c r="AE67" s="63">
        <v>11</v>
      </c>
      <c r="AF67" s="63">
        <v>-19</v>
      </c>
      <c r="AG67" s="63">
        <v>62</v>
      </c>
      <c r="AH67" s="63">
        <v>11</v>
      </c>
      <c r="AI67" s="155">
        <v>0</v>
      </c>
      <c r="AJ67" s="156">
        <v>0</v>
      </c>
      <c r="AK67" s="157">
        <v>0</v>
      </c>
      <c r="AL67" s="63">
        <v>0</v>
      </c>
      <c r="AM67" s="63">
        <v>0</v>
      </c>
      <c r="AN67" s="63">
        <v>0</v>
      </c>
      <c r="AO67" s="63">
        <v>0</v>
      </c>
      <c r="AP67" s="63">
        <v>0</v>
      </c>
      <c r="AQ67" s="63">
        <v>0</v>
      </c>
      <c r="AR67" s="63">
        <v>227</v>
      </c>
      <c r="AS67" s="63">
        <v>215</v>
      </c>
      <c r="AT67" s="63">
        <v>305</v>
      </c>
      <c r="AU67" s="63">
        <v>208</v>
      </c>
      <c r="AV67" s="63">
        <v>277</v>
      </c>
      <c r="AW67" s="63">
        <v>316</v>
      </c>
      <c r="AX67" s="63">
        <v>-19</v>
      </c>
      <c r="AY67" s="63">
        <v>62</v>
      </c>
      <c r="AZ67" s="63">
        <v>11</v>
      </c>
      <c r="BA67" s="63">
        <v>-19</v>
      </c>
      <c r="BB67" s="63">
        <v>62</v>
      </c>
      <c r="BC67" s="63">
        <v>11</v>
      </c>
      <c r="BE67" s="63">
        <f t="shared" si="106"/>
        <v>0.28846153846153844</v>
      </c>
      <c r="BF67" s="63">
        <f t="shared" si="107"/>
        <v>0.36101083032490977</v>
      </c>
      <c r="BG67" s="63">
        <f t="shared" si="108"/>
        <v>0.48417721518987344</v>
      </c>
      <c r="BI67" s="63">
        <f t="shared" si="109"/>
        <v>0.46153846153846156</v>
      </c>
      <c r="BJ67" s="63">
        <f t="shared" si="110"/>
        <v>0.28158844765342961</v>
      </c>
      <c r="BK67" s="63">
        <f t="shared" si="111"/>
        <v>0.17088607594936708</v>
      </c>
      <c r="BM67" s="63">
        <f t="shared" si="112"/>
        <v>0</v>
      </c>
      <c r="BN67" s="63">
        <f t="shared" si="113"/>
        <v>0</v>
      </c>
      <c r="BO67" s="63">
        <f t="shared" si="114"/>
        <v>0</v>
      </c>
      <c r="BQ67" s="156">
        <f t="shared" si="115"/>
        <v>0.34134615384615385</v>
      </c>
      <c r="BR67" s="156">
        <f t="shared" si="116"/>
        <v>6.1371841155234655E-2</v>
      </c>
      <c r="BS67" s="156">
        <f t="shared" si="117"/>
        <v>3.1645569620253167E-2</v>
      </c>
      <c r="BU67" s="156">
        <f t="shared" si="118"/>
        <v>0.1201923076923077</v>
      </c>
      <c r="BV67" s="156">
        <f t="shared" si="119"/>
        <v>0.22021660649819494</v>
      </c>
      <c r="BW67" s="156">
        <f t="shared" si="120"/>
        <v>0.13924050632911392</v>
      </c>
      <c r="BY67" s="156">
        <f t="shared" si="121"/>
        <v>0.15865384615384615</v>
      </c>
      <c r="BZ67" s="156">
        <f t="shared" si="122"/>
        <v>0.21660649819494585</v>
      </c>
      <c r="CA67" s="156">
        <f t="shared" si="123"/>
        <v>0.16772151898734178</v>
      </c>
      <c r="CC67" s="156">
        <f t="shared" si="124"/>
        <v>0</v>
      </c>
      <c r="CD67" s="156">
        <f t="shared" si="125"/>
        <v>0</v>
      </c>
      <c r="CE67" s="156">
        <f t="shared" si="126"/>
        <v>0</v>
      </c>
      <c r="CG67" s="63">
        <f t="shared" ref="CG67:CG94" si="127">BE67+BI67+BY67+CC67</f>
        <v>0.90865384615384615</v>
      </c>
      <c r="CH67" s="63">
        <f t="shared" ref="CH67:CH94" si="128">BF67+BJ67+BZ67+CD67</f>
        <v>0.8592057761732852</v>
      </c>
      <c r="CI67" s="63">
        <f t="shared" ref="CI67:CI94" si="129">BG67+BK67+CA67+CE67</f>
        <v>0.82278481012658233</v>
      </c>
      <c r="CK67" s="63">
        <f t="shared" ref="CK67:CK94" si="130">1-CG67</f>
        <v>9.1346153846153855E-2</v>
      </c>
      <c r="CL67" s="63">
        <f t="shared" ref="CL67:CL94" si="131">1-CH67</f>
        <v>0.1407942238267148</v>
      </c>
      <c r="CM67" s="63">
        <f t="shared" ref="CM67:CM94" si="132">1-CI67</f>
        <v>0.17721518987341767</v>
      </c>
      <c r="CO67" s="156">
        <f t="shared" ref="CO67:CO94" si="133">AU67*CK67</f>
        <v>19</v>
      </c>
      <c r="CP67" s="156">
        <f t="shared" ref="CP67:CP94" si="134">AV67*CL67</f>
        <v>39</v>
      </c>
      <c r="CQ67" s="156">
        <f t="shared" ref="CQ67:CQ94" si="135">AW67*CM67</f>
        <v>55.999999999999986</v>
      </c>
      <c r="CT67" s="63">
        <v>71</v>
      </c>
      <c r="CV67" s="156">
        <f t="shared" si="75"/>
        <v>0.54054054054054057</v>
      </c>
      <c r="CW67" s="156">
        <f t="shared" ref="CW67:CW94" si="136">AA67/B67</f>
        <v>0.90090090090090091</v>
      </c>
      <c r="CX67" s="156">
        <f t="shared" ref="CX67:CX94" si="137">AB67/B67</f>
        <v>1.3783783783783783</v>
      </c>
      <c r="CZ67" s="63">
        <f t="shared" ref="CZ67:CZ94" si="138">IF(0+Z67,1,0)</f>
        <v>1</v>
      </c>
      <c r="DA67" s="63">
        <f t="shared" ref="DA67:DA94" si="139">IF(0+AA67,1,0)</f>
        <v>1</v>
      </c>
      <c r="DB67" s="63">
        <f t="shared" ref="DB67:DB94" si="140">IF(0+AB67,1,0)</f>
        <v>1</v>
      </c>
      <c r="DC67" s="63">
        <f t="shared" ref="DC67:DC94" si="141">IF(0+Q67,1,0)</f>
        <v>0</v>
      </c>
      <c r="DD67" s="63">
        <f t="shared" ref="DD67:DD94" si="142">IF(0+R67,1,0)</f>
        <v>0</v>
      </c>
      <c r="DE67" s="63">
        <f t="shared" ref="DE67:DE94" si="143">IF(0+S67,1,0)</f>
        <v>0</v>
      </c>
      <c r="DF67" s="63">
        <f t="shared" ref="DF67:DF94" si="144">IF(0+T67,1,0)</f>
        <v>1</v>
      </c>
      <c r="DG67" s="63">
        <f t="shared" ref="DG67:DG94" si="145">IF(0+U67,1,0)</f>
        <v>1</v>
      </c>
      <c r="DH67" s="63">
        <f t="shared" ref="DH67:DH94" si="146">IF(0+V67,1,0)</f>
        <v>1</v>
      </c>
      <c r="DI67" s="63">
        <f t="shared" ref="DI67:DI94" si="147">IF(0+W67,1,0)</f>
        <v>1</v>
      </c>
      <c r="DJ67" s="63">
        <f t="shared" ref="DJ67:DJ94" si="148">IF(0+X67,1,0)</f>
        <v>1</v>
      </c>
      <c r="DK67" s="63">
        <f t="shared" ref="DK67:DK94" si="149">IF(0+Y67,1,0)</f>
        <v>1</v>
      </c>
      <c r="DL67" s="63">
        <f t="shared" ref="DL67:DL94" si="150">IF(0+H67,1,0)</f>
        <v>1</v>
      </c>
      <c r="DM67" s="63">
        <f t="shared" ref="DM67:DM94" si="151">IF(0+I67,1,0)</f>
        <v>1</v>
      </c>
      <c r="DN67" s="63">
        <f t="shared" ref="DN67:DN94" si="152">IF(0+J67,1,0)</f>
        <v>1</v>
      </c>
      <c r="DO67" s="63">
        <f t="shared" ref="DO67:DO94" si="153">IF(0+AI67,1,0)</f>
        <v>0</v>
      </c>
      <c r="DP67" s="63">
        <f t="shared" ref="DP67:DP94" si="154">IF(0+AJ67,1,0)</f>
        <v>0</v>
      </c>
      <c r="DQ67" s="63">
        <f t="shared" ref="DQ67:DQ94" si="155">IF(0+AK67,1,0)</f>
        <v>0</v>
      </c>
      <c r="DR67" s="63">
        <f t="shared" ref="DR67:DR94" si="156">IF(0+CO67,1,0)</f>
        <v>1</v>
      </c>
      <c r="DS67" s="63">
        <f t="shared" ref="DS67:DS94" si="157">IF(0+CP67,1,0)</f>
        <v>1</v>
      </c>
      <c r="DT67" s="63">
        <f t="shared" ref="DT67:DT94" si="158">IF(0+CQ67,1,0)</f>
        <v>1</v>
      </c>
      <c r="DU67" s="63">
        <f t="shared" ref="DU67:DU94" si="159">CZ67+DC67+DF67+DI67+DL67+DO67+DR67</f>
        <v>5</v>
      </c>
      <c r="DV67" s="63">
        <f t="shared" ref="DV67:DV94" si="160">DA67+DD67+DG67+DJ67+DM67+DP67+DS67</f>
        <v>5</v>
      </c>
      <c r="DW67" s="63">
        <f t="shared" ref="DW67:DW94" si="161">DB67+DE67+DH67+DK67+DN67+DQ67+DT67</f>
        <v>5</v>
      </c>
      <c r="DX67" s="63">
        <f t="shared" ref="DX67:DX94" si="162">AVERAGEA(DU67:DW67)</f>
        <v>5</v>
      </c>
      <c r="DY67" s="63">
        <f t="shared" ref="DY67:DY94" si="163">STDEVPA(DU67:DW67)</f>
        <v>0</v>
      </c>
      <c r="DZ67" s="137">
        <f t="shared" ref="DZ67:EF94" si="164">IF($DU67=DZ$1,1,0)</f>
        <v>0</v>
      </c>
      <c r="EA67" s="63">
        <f t="shared" si="164"/>
        <v>0</v>
      </c>
      <c r="EB67" s="63">
        <f t="shared" si="164"/>
        <v>0</v>
      </c>
      <c r="EC67" s="63">
        <f t="shared" si="164"/>
        <v>0</v>
      </c>
      <c r="ED67" s="63">
        <f t="shared" si="164"/>
        <v>1</v>
      </c>
      <c r="EE67" s="63">
        <f t="shared" si="164"/>
        <v>0</v>
      </c>
      <c r="EF67" s="63">
        <f t="shared" si="164"/>
        <v>0</v>
      </c>
      <c r="EG67" s="63">
        <f t="shared" ref="EG67:EM94" si="165">IF($DV67=EG$1,1,0)</f>
        <v>0</v>
      </c>
      <c r="EH67" s="63">
        <f t="shared" si="165"/>
        <v>0</v>
      </c>
      <c r="EI67" s="63">
        <f t="shared" si="165"/>
        <v>0</v>
      </c>
      <c r="EJ67" s="63">
        <f t="shared" si="165"/>
        <v>0</v>
      </c>
      <c r="EK67" s="63">
        <f t="shared" si="165"/>
        <v>1</v>
      </c>
      <c r="EL67" s="63">
        <f t="shared" si="165"/>
        <v>0</v>
      </c>
      <c r="EM67" s="63">
        <f t="shared" si="165"/>
        <v>0</v>
      </c>
      <c r="EN67" s="63">
        <f t="shared" ref="EN67:ET94" si="166">IF($DW67=EN$1,1,0)</f>
        <v>0</v>
      </c>
      <c r="EO67" s="63">
        <f t="shared" si="166"/>
        <v>0</v>
      </c>
      <c r="EP67" s="63">
        <f t="shared" si="166"/>
        <v>0</v>
      </c>
      <c r="EQ67" s="63">
        <f t="shared" si="166"/>
        <v>0</v>
      </c>
      <c r="ER67" s="63">
        <f t="shared" si="166"/>
        <v>1</v>
      </c>
      <c r="ES67" s="63">
        <f t="shared" si="166"/>
        <v>0</v>
      </c>
      <c r="ET67" s="156">
        <f t="shared" si="166"/>
        <v>0</v>
      </c>
    </row>
    <row r="68" spans="1:205" s="63" customFormat="1">
      <c r="A68" s="63" t="s">
        <v>128</v>
      </c>
      <c r="B68" s="63">
        <v>105</v>
      </c>
      <c r="C68" s="63" t="s">
        <v>38</v>
      </c>
      <c r="D68" s="63" t="s">
        <v>35</v>
      </c>
      <c r="E68" s="63">
        <v>106</v>
      </c>
      <c r="F68" s="63">
        <v>473</v>
      </c>
      <c r="G68" s="63">
        <v>415</v>
      </c>
      <c r="H68" s="63">
        <v>0</v>
      </c>
      <c r="I68" s="63">
        <v>0</v>
      </c>
      <c r="J68" s="63">
        <v>0</v>
      </c>
      <c r="K68" s="63">
        <v>0</v>
      </c>
      <c r="L68" s="63">
        <v>139</v>
      </c>
      <c r="M68" s="63">
        <v>106</v>
      </c>
      <c r="N68" s="63">
        <v>70</v>
      </c>
      <c r="O68" s="63">
        <v>39</v>
      </c>
      <c r="P68" s="63">
        <v>43</v>
      </c>
      <c r="Q68" s="156">
        <v>0</v>
      </c>
      <c r="R68" s="156">
        <v>0</v>
      </c>
      <c r="S68" s="156">
        <v>0</v>
      </c>
      <c r="T68" s="156">
        <v>57</v>
      </c>
      <c r="U68" s="156">
        <v>14</v>
      </c>
      <c r="V68" s="156">
        <v>20</v>
      </c>
      <c r="W68" s="156">
        <v>13</v>
      </c>
      <c r="X68" s="156">
        <v>25</v>
      </c>
      <c r="Y68" s="156">
        <v>23</v>
      </c>
      <c r="Z68" s="63">
        <v>36</v>
      </c>
      <c r="AA68" s="63">
        <v>295</v>
      </c>
      <c r="AB68" s="63">
        <v>266</v>
      </c>
      <c r="AC68" s="63">
        <v>-66</v>
      </c>
      <c r="AD68" s="63">
        <v>28</v>
      </c>
      <c r="AE68" s="63">
        <v>6</v>
      </c>
      <c r="AF68" s="63">
        <v>-66</v>
      </c>
      <c r="AG68" s="63">
        <v>28</v>
      </c>
      <c r="AH68" s="63">
        <v>6</v>
      </c>
      <c r="AI68" s="155">
        <v>0</v>
      </c>
      <c r="AJ68" s="156">
        <v>0</v>
      </c>
      <c r="AK68" s="157">
        <v>0</v>
      </c>
      <c r="AL68" s="63">
        <v>0</v>
      </c>
      <c r="AM68" s="63">
        <v>0</v>
      </c>
      <c r="AN68" s="63">
        <v>0</v>
      </c>
      <c r="AO68" s="63">
        <v>0</v>
      </c>
      <c r="AP68" s="63">
        <v>0</v>
      </c>
      <c r="AQ68" s="63">
        <v>0</v>
      </c>
      <c r="AR68" s="63">
        <v>172</v>
      </c>
      <c r="AS68" s="63">
        <v>445</v>
      </c>
      <c r="AT68" s="63">
        <v>409</v>
      </c>
      <c r="AU68" s="63">
        <v>106</v>
      </c>
      <c r="AV68" s="63">
        <v>473</v>
      </c>
      <c r="AW68" s="63">
        <v>415</v>
      </c>
      <c r="AX68" s="63">
        <v>-66</v>
      </c>
      <c r="AY68" s="63">
        <v>28</v>
      </c>
      <c r="AZ68" s="63">
        <v>6</v>
      </c>
      <c r="BA68" s="63">
        <v>-66</v>
      </c>
      <c r="BB68" s="63">
        <v>28</v>
      </c>
      <c r="BC68" s="63">
        <v>6</v>
      </c>
      <c r="BE68" s="63">
        <f t="shared" si="106"/>
        <v>0.33962264150943394</v>
      </c>
      <c r="BF68" s="63">
        <f t="shared" si="107"/>
        <v>0.62367864693446085</v>
      </c>
      <c r="BG68" s="63">
        <f t="shared" si="108"/>
        <v>0.64096385542168677</v>
      </c>
      <c r="BI68" s="63">
        <f t="shared" si="109"/>
        <v>0.660377358490566</v>
      </c>
      <c r="BJ68" s="63">
        <f t="shared" si="110"/>
        <v>8.2452431289640596E-2</v>
      </c>
      <c r="BK68" s="63">
        <f t="shared" si="111"/>
        <v>0.10361445783132531</v>
      </c>
      <c r="BM68" s="63">
        <f t="shared" si="112"/>
        <v>0</v>
      </c>
      <c r="BN68" s="63">
        <f t="shared" si="113"/>
        <v>0</v>
      </c>
      <c r="BO68" s="63">
        <f t="shared" si="114"/>
        <v>0</v>
      </c>
      <c r="BQ68" s="156">
        <f t="shared" si="115"/>
        <v>0.53773584905660377</v>
      </c>
      <c r="BR68" s="156">
        <f t="shared" si="116"/>
        <v>2.9598308668076109E-2</v>
      </c>
      <c r="BS68" s="156">
        <f t="shared" si="117"/>
        <v>4.8192771084337352E-2</v>
      </c>
      <c r="BU68" s="156">
        <f t="shared" si="118"/>
        <v>0.12264150943396226</v>
      </c>
      <c r="BV68" s="156">
        <f t="shared" si="119"/>
        <v>5.2854122621564484E-2</v>
      </c>
      <c r="BW68" s="156">
        <f t="shared" si="120"/>
        <v>5.5421686746987948E-2</v>
      </c>
      <c r="BY68" s="156">
        <f t="shared" si="121"/>
        <v>0</v>
      </c>
      <c r="BZ68" s="156">
        <f t="shared" si="122"/>
        <v>0</v>
      </c>
      <c r="CA68" s="156">
        <f t="shared" si="123"/>
        <v>0</v>
      </c>
      <c r="CC68" s="156">
        <f t="shared" si="124"/>
        <v>0</v>
      </c>
      <c r="CD68" s="156">
        <f t="shared" si="125"/>
        <v>0</v>
      </c>
      <c r="CE68" s="156">
        <f t="shared" si="126"/>
        <v>0</v>
      </c>
      <c r="CG68" s="63">
        <f t="shared" si="127"/>
        <v>1</v>
      </c>
      <c r="CH68" s="63">
        <f t="shared" si="128"/>
        <v>0.70613107822410148</v>
      </c>
      <c r="CI68" s="63">
        <f t="shared" si="129"/>
        <v>0.74457831325301205</v>
      </c>
      <c r="CK68" s="63">
        <f t="shared" si="130"/>
        <v>0</v>
      </c>
      <c r="CL68" s="63">
        <f t="shared" si="131"/>
        <v>0.29386892177589852</v>
      </c>
      <c r="CM68" s="63">
        <f t="shared" si="132"/>
        <v>0.25542168674698795</v>
      </c>
      <c r="CO68" s="156">
        <f t="shared" si="133"/>
        <v>0</v>
      </c>
      <c r="CP68" s="156">
        <f t="shared" si="134"/>
        <v>139</v>
      </c>
      <c r="CQ68" s="156">
        <f t="shared" si="135"/>
        <v>106</v>
      </c>
      <c r="CT68" s="63">
        <v>57</v>
      </c>
      <c r="CV68" s="156">
        <f t="shared" ref="CV68:CV94" si="167">Z68/B68</f>
        <v>0.34285714285714286</v>
      </c>
      <c r="CW68" s="156">
        <f t="shared" si="136"/>
        <v>2.8095238095238093</v>
      </c>
      <c r="CX68" s="156">
        <f t="shared" si="137"/>
        <v>2.5333333333333332</v>
      </c>
      <c r="CZ68" s="63">
        <f t="shared" si="138"/>
        <v>1</v>
      </c>
      <c r="DA68" s="63">
        <f t="shared" si="139"/>
        <v>1</v>
      </c>
      <c r="DB68" s="63">
        <f t="shared" si="140"/>
        <v>1</v>
      </c>
      <c r="DC68" s="63">
        <f t="shared" si="141"/>
        <v>0</v>
      </c>
      <c r="DD68" s="63">
        <f t="shared" si="142"/>
        <v>0</v>
      </c>
      <c r="DE68" s="63">
        <f t="shared" si="143"/>
        <v>0</v>
      </c>
      <c r="DF68" s="63">
        <f t="shared" si="144"/>
        <v>1</v>
      </c>
      <c r="DG68" s="63">
        <f t="shared" si="145"/>
        <v>1</v>
      </c>
      <c r="DH68" s="63">
        <f t="shared" si="146"/>
        <v>1</v>
      </c>
      <c r="DI68" s="63">
        <f t="shared" si="147"/>
        <v>1</v>
      </c>
      <c r="DJ68" s="63">
        <f t="shared" si="148"/>
        <v>1</v>
      </c>
      <c r="DK68" s="63">
        <f t="shared" si="149"/>
        <v>1</v>
      </c>
      <c r="DL68" s="63">
        <f t="shared" si="150"/>
        <v>0</v>
      </c>
      <c r="DM68" s="63">
        <f t="shared" si="151"/>
        <v>0</v>
      </c>
      <c r="DN68" s="63">
        <f t="shared" si="152"/>
        <v>0</v>
      </c>
      <c r="DO68" s="63">
        <f t="shared" si="153"/>
        <v>0</v>
      </c>
      <c r="DP68" s="63">
        <f t="shared" si="154"/>
        <v>0</v>
      </c>
      <c r="DQ68" s="63">
        <f t="shared" si="155"/>
        <v>0</v>
      </c>
      <c r="DR68" s="63">
        <f t="shared" si="156"/>
        <v>0</v>
      </c>
      <c r="DS68" s="63">
        <f t="shared" si="157"/>
        <v>1</v>
      </c>
      <c r="DT68" s="63">
        <f t="shared" si="158"/>
        <v>1</v>
      </c>
      <c r="DU68" s="63">
        <f t="shared" si="159"/>
        <v>3</v>
      </c>
      <c r="DV68" s="63">
        <f t="shared" si="160"/>
        <v>4</v>
      </c>
      <c r="DW68" s="63">
        <f t="shared" si="161"/>
        <v>4</v>
      </c>
      <c r="DX68" s="63">
        <f t="shared" si="162"/>
        <v>3.6666666666666665</v>
      </c>
      <c r="DY68" s="63">
        <f t="shared" si="163"/>
        <v>0.47140452079103168</v>
      </c>
      <c r="DZ68" s="137">
        <f t="shared" si="164"/>
        <v>0</v>
      </c>
      <c r="EA68" s="63">
        <f t="shared" si="164"/>
        <v>0</v>
      </c>
      <c r="EB68" s="63">
        <f t="shared" si="164"/>
        <v>1</v>
      </c>
      <c r="EC68" s="63">
        <f t="shared" si="164"/>
        <v>0</v>
      </c>
      <c r="ED68" s="63">
        <f t="shared" si="164"/>
        <v>0</v>
      </c>
      <c r="EE68" s="63">
        <f t="shared" si="164"/>
        <v>0</v>
      </c>
      <c r="EF68" s="63">
        <f t="shared" si="164"/>
        <v>0</v>
      </c>
      <c r="EG68" s="63">
        <f t="shared" si="165"/>
        <v>0</v>
      </c>
      <c r="EH68" s="63">
        <f t="shared" si="165"/>
        <v>0</v>
      </c>
      <c r="EI68" s="63">
        <f t="shared" si="165"/>
        <v>0</v>
      </c>
      <c r="EJ68" s="63">
        <f t="shared" si="165"/>
        <v>1</v>
      </c>
      <c r="EK68" s="63">
        <f t="shared" si="165"/>
        <v>0</v>
      </c>
      <c r="EL68" s="63">
        <f t="shared" si="165"/>
        <v>0</v>
      </c>
      <c r="EM68" s="63">
        <f t="shared" si="165"/>
        <v>0</v>
      </c>
      <c r="EN68" s="63">
        <f t="shared" si="166"/>
        <v>0</v>
      </c>
      <c r="EO68" s="63">
        <f t="shared" si="166"/>
        <v>0</v>
      </c>
      <c r="EP68" s="63">
        <f t="shared" si="166"/>
        <v>0</v>
      </c>
      <c r="EQ68" s="63">
        <f t="shared" si="166"/>
        <v>1</v>
      </c>
      <c r="ER68" s="63">
        <f t="shared" si="166"/>
        <v>0</v>
      </c>
      <c r="ES68" s="63">
        <f t="shared" si="166"/>
        <v>0</v>
      </c>
      <c r="ET68" s="156">
        <f t="shared" si="166"/>
        <v>0</v>
      </c>
    </row>
    <row r="69" spans="1:205" s="63" customFormat="1">
      <c r="A69" s="63" t="s">
        <v>129</v>
      </c>
      <c r="B69" s="63">
        <v>278</v>
      </c>
      <c r="C69" s="63" t="s">
        <v>38</v>
      </c>
      <c r="D69" s="63" t="s">
        <v>33</v>
      </c>
      <c r="E69" s="63">
        <v>771</v>
      </c>
      <c r="F69" s="63">
        <v>359</v>
      </c>
      <c r="G69" s="63">
        <v>515</v>
      </c>
      <c r="H69" s="63">
        <v>95</v>
      </c>
      <c r="I69" s="63">
        <v>0</v>
      </c>
      <c r="J69" s="63">
        <v>10</v>
      </c>
      <c r="K69" s="63">
        <v>0</v>
      </c>
      <c r="L69" s="63">
        <v>17</v>
      </c>
      <c r="M69" s="63">
        <v>22</v>
      </c>
      <c r="N69" s="63">
        <v>416</v>
      </c>
      <c r="O69" s="63">
        <v>87</v>
      </c>
      <c r="P69" s="63">
        <v>483</v>
      </c>
      <c r="Q69" s="156">
        <v>326</v>
      </c>
      <c r="R69" s="156">
        <v>4</v>
      </c>
      <c r="S69" s="156">
        <v>0</v>
      </c>
      <c r="T69" s="156">
        <v>0</v>
      </c>
      <c r="U69" s="156">
        <v>0</v>
      </c>
      <c r="V69" s="156">
        <v>393</v>
      </c>
      <c r="W69" s="156">
        <v>90</v>
      </c>
      <c r="X69" s="156">
        <v>83</v>
      </c>
      <c r="Y69" s="156">
        <v>90</v>
      </c>
      <c r="Z69" s="63">
        <v>260</v>
      </c>
      <c r="AA69" s="63">
        <v>255</v>
      </c>
      <c r="AB69" s="63">
        <v>0</v>
      </c>
      <c r="AC69" s="63">
        <v>-89</v>
      </c>
      <c r="AD69" s="63">
        <v>-279</v>
      </c>
      <c r="AE69" s="63">
        <v>-232</v>
      </c>
      <c r="AF69" s="63">
        <v>-89</v>
      </c>
      <c r="AG69" s="63">
        <v>-279</v>
      </c>
      <c r="AH69" s="63">
        <v>-232</v>
      </c>
      <c r="AI69" s="155">
        <v>119</v>
      </c>
      <c r="AJ69" s="156">
        <v>311</v>
      </c>
      <c r="AK69" s="157">
        <v>164</v>
      </c>
      <c r="AL69" s="63">
        <v>116</v>
      </c>
      <c r="AM69" s="63">
        <v>253</v>
      </c>
      <c r="AN69" s="63">
        <v>141</v>
      </c>
      <c r="AO69" s="63">
        <v>116</v>
      </c>
      <c r="AP69" s="63">
        <v>253</v>
      </c>
      <c r="AQ69" s="63">
        <v>141</v>
      </c>
      <c r="AR69" s="63">
        <v>863</v>
      </c>
      <c r="AS69" s="63">
        <v>696</v>
      </c>
      <c r="AT69" s="63">
        <v>770</v>
      </c>
      <c r="AU69" s="63">
        <v>890</v>
      </c>
      <c r="AV69" s="63">
        <v>670</v>
      </c>
      <c r="AW69" s="63">
        <v>679</v>
      </c>
      <c r="AX69" s="63">
        <v>27</v>
      </c>
      <c r="AY69" s="63">
        <v>-26</v>
      </c>
      <c r="AZ69" s="63">
        <v>-91</v>
      </c>
      <c r="BA69" s="63">
        <v>27</v>
      </c>
      <c r="BB69" s="63">
        <v>-26</v>
      </c>
      <c r="BC69" s="63">
        <v>-91</v>
      </c>
      <c r="BE69" s="63">
        <f t="shared" si="106"/>
        <v>0.29213483146067415</v>
      </c>
      <c r="BF69" s="63">
        <f t="shared" si="107"/>
        <v>0.38059701492537312</v>
      </c>
      <c r="BG69" s="63">
        <f t="shared" si="108"/>
        <v>0</v>
      </c>
      <c r="BI69" s="63">
        <f t="shared" si="109"/>
        <v>0.46741573033707867</v>
      </c>
      <c r="BJ69" s="63">
        <f t="shared" si="110"/>
        <v>0.12985074626865672</v>
      </c>
      <c r="BK69" s="63">
        <f t="shared" si="111"/>
        <v>0.71134020618556704</v>
      </c>
      <c r="BM69" s="63">
        <f t="shared" si="112"/>
        <v>0.36629213483146067</v>
      </c>
      <c r="BN69" s="63">
        <f t="shared" si="113"/>
        <v>5.9701492537313433E-3</v>
      </c>
      <c r="BO69" s="63">
        <f t="shared" si="114"/>
        <v>0</v>
      </c>
      <c r="BQ69" s="156">
        <f t="shared" si="115"/>
        <v>0</v>
      </c>
      <c r="BR69" s="156">
        <f t="shared" si="116"/>
        <v>0</v>
      </c>
      <c r="BS69" s="156">
        <f t="shared" si="117"/>
        <v>0.57879234167893967</v>
      </c>
      <c r="BU69" s="156">
        <f t="shared" si="118"/>
        <v>0.10112359550561797</v>
      </c>
      <c r="BV69" s="156">
        <f t="shared" si="119"/>
        <v>0.12388059701492538</v>
      </c>
      <c r="BW69" s="156">
        <f t="shared" si="120"/>
        <v>0.13254786450662739</v>
      </c>
      <c r="BY69" s="156">
        <f t="shared" si="121"/>
        <v>0.10674157303370786</v>
      </c>
      <c r="BZ69" s="156">
        <f t="shared" si="122"/>
        <v>0</v>
      </c>
      <c r="CA69" s="156">
        <f t="shared" si="123"/>
        <v>1.4727540500736377E-2</v>
      </c>
      <c r="CC69" s="156">
        <f t="shared" si="124"/>
        <v>0.13370786516853933</v>
      </c>
      <c r="CD69" s="156">
        <f t="shared" si="125"/>
        <v>0.46417910447761196</v>
      </c>
      <c r="CE69" s="156">
        <f t="shared" si="126"/>
        <v>0.24153166421207659</v>
      </c>
      <c r="CG69" s="63">
        <f t="shared" si="127"/>
        <v>1</v>
      </c>
      <c r="CH69" s="63">
        <f t="shared" si="128"/>
        <v>0.97462686567164192</v>
      </c>
      <c r="CI69" s="63">
        <f t="shared" si="129"/>
        <v>0.96759941089837997</v>
      </c>
      <c r="CK69" s="63">
        <f t="shared" si="130"/>
        <v>0</v>
      </c>
      <c r="CL69" s="63">
        <f t="shared" si="131"/>
        <v>2.5373134328358082E-2</v>
      </c>
      <c r="CM69" s="63">
        <f t="shared" si="132"/>
        <v>3.2400589101620025E-2</v>
      </c>
      <c r="CO69" s="156">
        <f t="shared" si="133"/>
        <v>0</v>
      </c>
      <c r="CP69" s="156">
        <f t="shared" si="134"/>
        <v>16.999999999999915</v>
      </c>
      <c r="CQ69" s="156">
        <f t="shared" si="135"/>
        <v>21.999999999999996</v>
      </c>
      <c r="CT69" s="63">
        <v>0</v>
      </c>
      <c r="CV69" s="156">
        <f t="shared" si="167"/>
        <v>0.93525179856115104</v>
      </c>
      <c r="CW69" s="156">
        <f t="shared" si="136"/>
        <v>0.91726618705035967</v>
      </c>
      <c r="CX69" s="156">
        <f t="shared" si="137"/>
        <v>0</v>
      </c>
      <c r="CZ69" s="63">
        <f t="shared" si="138"/>
        <v>1</v>
      </c>
      <c r="DA69" s="63">
        <f t="shared" si="139"/>
        <v>1</v>
      </c>
      <c r="DB69" s="63">
        <f t="shared" si="140"/>
        <v>0</v>
      </c>
      <c r="DC69" s="63">
        <f t="shared" si="141"/>
        <v>1</v>
      </c>
      <c r="DD69" s="63">
        <f t="shared" si="142"/>
        <v>1</v>
      </c>
      <c r="DE69" s="63">
        <f t="shared" si="143"/>
        <v>0</v>
      </c>
      <c r="DF69" s="63">
        <f t="shared" si="144"/>
        <v>0</v>
      </c>
      <c r="DG69" s="63">
        <f t="shared" si="145"/>
        <v>0</v>
      </c>
      <c r="DH69" s="63">
        <f t="shared" si="146"/>
        <v>1</v>
      </c>
      <c r="DI69" s="63">
        <f t="shared" si="147"/>
        <v>1</v>
      </c>
      <c r="DJ69" s="63">
        <f t="shared" si="148"/>
        <v>1</v>
      </c>
      <c r="DK69" s="63">
        <f t="shared" si="149"/>
        <v>1</v>
      </c>
      <c r="DL69" s="63">
        <f t="shared" si="150"/>
        <v>1</v>
      </c>
      <c r="DM69" s="63">
        <f t="shared" si="151"/>
        <v>0</v>
      </c>
      <c r="DN69" s="63">
        <f t="shared" si="152"/>
        <v>1</v>
      </c>
      <c r="DO69" s="63">
        <f t="shared" si="153"/>
        <v>1</v>
      </c>
      <c r="DP69" s="63">
        <f t="shared" si="154"/>
        <v>1</v>
      </c>
      <c r="DQ69" s="63">
        <f t="shared" si="155"/>
        <v>1</v>
      </c>
      <c r="DR69" s="63">
        <f t="shared" si="156"/>
        <v>0</v>
      </c>
      <c r="DS69" s="63">
        <f t="shared" si="157"/>
        <v>1</v>
      </c>
      <c r="DT69" s="63">
        <f t="shared" si="158"/>
        <v>1</v>
      </c>
      <c r="DU69" s="63">
        <f t="shared" si="159"/>
        <v>5</v>
      </c>
      <c r="DV69" s="63">
        <f t="shared" si="160"/>
        <v>5</v>
      </c>
      <c r="DW69" s="63">
        <f t="shared" si="161"/>
        <v>5</v>
      </c>
      <c r="DX69" s="63">
        <f t="shared" si="162"/>
        <v>5</v>
      </c>
      <c r="DY69" s="63">
        <f t="shared" si="163"/>
        <v>0</v>
      </c>
      <c r="DZ69" s="137">
        <f t="shared" si="164"/>
        <v>0</v>
      </c>
      <c r="EA69" s="63">
        <f t="shared" si="164"/>
        <v>0</v>
      </c>
      <c r="EB69" s="63">
        <f t="shared" si="164"/>
        <v>0</v>
      </c>
      <c r="EC69" s="63">
        <f t="shared" si="164"/>
        <v>0</v>
      </c>
      <c r="ED69" s="63">
        <f t="shared" si="164"/>
        <v>1</v>
      </c>
      <c r="EE69" s="63">
        <f t="shared" si="164"/>
        <v>0</v>
      </c>
      <c r="EF69" s="63">
        <f t="shared" si="164"/>
        <v>0</v>
      </c>
      <c r="EG69" s="63">
        <f t="shared" si="165"/>
        <v>0</v>
      </c>
      <c r="EH69" s="63">
        <f t="shared" si="165"/>
        <v>0</v>
      </c>
      <c r="EI69" s="63">
        <f t="shared" si="165"/>
        <v>0</v>
      </c>
      <c r="EJ69" s="63">
        <f t="shared" si="165"/>
        <v>0</v>
      </c>
      <c r="EK69" s="63">
        <f t="shared" si="165"/>
        <v>1</v>
      </c>
      <c r="EL69" s="63">
        <f t="shared" si="165"/>
        <v>0</v>
      </c>
      <c r="EM69" s="63">
        <f t="shared" si="165"/>
        <v>0</v>
      </c>
      <c r="EN69" s="63">
        <f t="shared" si="166"/>
        <v>0</v>
      </c>
      <c r="EO69" s="63">
        <f t="shared" si="166"/>
        <v>0</v>
      </c>
      <c r="EP69" s="63">
        <f t="shared" si="166"/>
        <v>0</v>
      </c>
      <c r="EQ69" s="63">
        <f t="shared" si="166"/>
        <v>0</v>
      </c>
      <c r="ER69" s="63">
        <f t="shared" si="166"/>
        <v>1</v>
      </c>
      <c r="ES69" s="63">
        <f t="shared" si="166"/>
        <v>0</v>
      </c>
      <c r="ET69" s="156">
        <f t="shared" si="166"/>
        <v>0</v>
      </c>
    </row>
    <row r="70" spans="1:205" s="63" customFormat="1">
      <c r="A70" s="63" t="s">
        <v>130</v>
      </c>
      <c r="B70" s="63">
        <v>138</v>
      </c>
      <c r="C70" s="63" t="s">
        <v>38</v>
      </c>
      <c r="D70" s="63" t="s">
        <v>32</v>
      </c>
      <c r="E70" s="63">
        <v>706</v>
      </c>
      <c r="F70" s="63">
        <v>864</v>
      </c>
      <c r="G70" s="63">
        <v>1493</v>
      </c>
      <c r="H70" s="63">
        <v>58</v>
      </c>
      <c r="I70" s="63">
        <v>80</v>
      </c>
      <c r="J70" s="63">
        <v>93</v>
      </c>
      <c r="K70" s="63">
        <v>0</v>
      </c>
      <c r="L70" s="63">
        <v>0</v>
      </c>
      <c r="M70" s="63">
        <v>0</v>
      </c>
      <c r="N70" s="63">
        <v>232</v>
      </c>
      <c r="O70" s="63">
        <v>237</v>
      </c>
      <c r="P70" s="63">
        <v>142</v>
      </c>
      <c r="Q70" s="156">
        <v>28</v>
      </c>
      <c r="R70" s="156">
        <v>13</v>
      </c>
      <c r="S70" s="156">
        <v>0</v>
      </c>
      <c r="T70" s="156">
        <v>21</v>
      </c>
      <c r="U70" s="156">
        <v>92</v>
      </c>
      <c r="V70" s="156">
        <v>22</v>
      </c>
      <c r="W70" s="156">
        <v>183</v>
      </c>
      <c r="X70" s="156">
        <v>132</v>
      </c>
      <c r="Y70" s="156">
        <v>120</v>
      </c>
      <c r="Z70" s="63">
        <v>416</v>
      </c>
      <c r="AA70" s="63">
        <v>547</v>
      </c>
      <c r="AB70" s="63">
        <v>1258</v>
      </c>
      <c r="AC70" s="63">
        <v>51</v>
      </c>
      <c r="AD70" s="63">
        <v>-10</v>
      </c>
      <c r="AE70" s="63">
        <v>605</v>
      </c>
      <c r="AF70" s="63">
        <v>51</v>
      </c>
      <c r="AG70" s="63">
        <v>-10</v>
      </c>
      <c r="AH70" s="63">
        <v>605</v>
      </c>
      <c r="AI70" s="155">
        <v>256</v>
      </c>
      <c r="AJ70" s="156">
        <v>192</v>
      </c>
      <c r="AK70" s="157">
        <v>157</v>
      </c>
      <c r="AL70" s="63">
        <v>66</v>
      </c>
      <c r="AM70" s="63">
        <v>26</v>
      </c>
      <c r="AN70" s="63">
        <v>24</v>
      </c>
      <c r="AO70" s="63">
        <v>66</v>
      </c>
      <c r="AP70" s="63">
        <v>26</v>
      </c>
      <c r="AQ70" s="63">
        <v>24</v>
      </c>
      <c r="AR70" s="63">
        <v>845</v>
      </c>
      <c r="AS70" s="63">
        <v>1040</v>
      </c>
      <c r="AT70" s="63">
        <v>1021</v>
      </c>
      <c r="AU70" s="63">
        <v>962</v>
      </c>
      <c r="AV70" s="63">
        <v>1056</v>
      </c>
      <c r="AW70" s="63">
        <v>1650</v>
      </c>
      <c r="AX70" s="63">
        <v>117</v>
      </c>
      <c r="AY70" s="63">
        <v>16</v>
      </c>
      <c r="AZ70" s="63">
        <v>629</v>
      </c>
      <c r="BA70" s="63">
        <v>117</v>
      </c>
      <c r="BB70" s="63">
        <v>16</v>
      </c>
      <c r="BC70" s="63">
        <v>629</v>
      </c>
      <c r="BE70" s="63">
        <f t="shared" si="106"/>
        <v>0.43243243243243246</v>
      </c>
      <c r="BF70" s="63">
        <f t="shared" si="107"/>
        <v>0.5179924242424242</v>
      </c>
      <c r="BG70" s="63">
        <f t="shared" si="108"/>
        <v>0.76242424242424245</v>
      </c>
      <c r="BI70" s="63">
        <f t="shared" si="109"/>
        <v>0.24116424116424118</v>
      </c>
      <c r="BJ70" s="63">
        <f t="shared" si="110"/>
        <v>0.22443181818181818</v>
      </c>
      <c r="BK70" s="63">
        <f t="shared" si="111"/>
        <v>8.606060606060606E-2</v>
      </c>
      <c r="BM70" s="63">
        <f t="shared" si="112"/>
        <v>2.9106029106029108E-2</v>
      </c>
      <c r="BN70" s="63">
        <f t="shared" si="113"/>
        <v>1.231060606060606E-2</v>
      </c>
      <c r="BO70" s="63">
        <f t="shared" si="114"/>
        <v>0</v>
      </c>
      <c r="BQ70" s="156">
        <f t="shared" si="115"/>
        <v>2.1829521829521831E-2</v>
      </c>
      <c r="BR70" s="156">
        <f t="shared" si="116"/>
        <v>8.7121212121212127E-2</v>
      </c>
      <c r="BS70" s="156">
        <f t="shared" si="117"/>
        <v>1.3333333333333334E-2</v>
      </c>
      <c r="BU70" s="156">
        <f t="shared" si="118"/>
        <v>0.19022869022869024</v>
      </c>
      <c r="BV70" s="156">
        <f t="shared" si="119"/>
        <v>0.125</v>
      </c>
      <c r="BW70" s="156">
        <f t="shared" si="120"/>
        <v>7.2727272727272724E-2</v>
      </c>
      <c r="BY70" s="156">
        <f t="shared" si="121"/>
        <v>6.0291060291060294E-2</v>
      </c>
      <c r="BZ70" s="156">
        <f t="shared" si="122"/>
        <v>7.575757575757576E-2</v>
      </c>
      <c r="CA70" s="156">
        <f t="shared" si="123"/>
        <v>5.6363636363636366E-2</v>
      </c>
      <c r="CC70" s="156">
        <f t="shared" si="124"/>
        <v>0.26611226611226613</v>
      </c>
      <c r="CD70" s="156">
        <f t="shared" si="125"/>
        <v>0.18181818181818182</v>
      </c>
      <c r="CE70" s="156">
        <f t="shared" si="126"/>
        <v>9.5151515151515154E-2</v>
      </c>
      <c r="CG70" s="63">
        <f t="shared" si="127"/>
        <v>1</v>
      </c>
      <c r="CH70" s="63">
        <f t="shared" si="128"/>
        <v>1</v>
      </c>
      <c r="CI70" s="63">
        <f t="shared" si="129"/>
        <v>1</v>
      </c>
      <c r="CK70" s="63">
        <f t="shared" si="130"/>
        <v>0</v>
      </c>
      <c r="CL70" s="63">
        <f t="shared" si="131"/>
        <v>0</v>
      </c>
      <c r="CM70" s="63">
        <f t="shared" si="132"/>
        <v>0</v>
      </c>
      <c r="CO70" s="156">
        <f t="shared" si="133"/>
        <v>0</v>
      </c>
      <c r="CP70" s="156">
        <f t="shared" si="134"/>
        <v>0</v>
      </c>
      <c r="CQ70" s="156">
        <f t="shared" si="135"/>
        <v>0</v>
      </c>
      <c r="CT70" s="63">
        <v>21</v>
      </c>
      <c r="CV70" s="156">
        <f t="shared" si="167"/>
        <v>3.0144927536231885</v>
      </c>
      <c r="CW70" s="156">
        <f t="shared" si="136"/>
        <v>3.9637681159420288</v>
      </c>
      <c r="CX70" s="156">
        <f t="shared" si="137"/>
        <v>9.1159420289855078</v>
      </c>
      <c r="CZ70" s="63">
        <f t="shared" si="138"/>
        <v>1</v>
      </c>
      <c r="DA70" s="63">
        <f t="shared" si="139"/>
        <v>1</v>
      </c>
      <c r="DB70" s="63">
        <f t="shared" si="140"/>
        <v>1</v>
      </c>
      <c r="DC70" s="63">
        <f t="shared" si="141"/>
        <v>1</v>
      </c>
      <c r="DD70" s="63">
        <f t="shared" si="142"/>
        <v>1</v>
      </c>
      <c r="DE70" s="63">
        <f t="shared" si="143"/>
        <v>0</v>
      </c>
      <c r="DF70" s="63">
        <f t="shared" si="144"/>
        <v>1</v>
      </c>
      <c r="DG70" s="63">
        <f t="shared" si="145"/>
        <v>1</v>
      </c>
      <c r="DH70" s="63">
        <f t="shared" si="146"/>
        <v>1</v>
      </c>
      <c r="DI70" s="63">
        <f t="shared" si="147"/>
        <v>1</v>
      </c>
      <c r="DJ70" s="63">
        <f t="shared" si="148"/>
        <v>1</v>
      </c>
      <c r="DK70" s="63">
        <f t="shared" si="149"/>
        <v>1</v>
      </c>
      <c r="DL70" s="63">
        <f t="shared" si="150"/>
        <v>1</v>
      </c>
      <c r="DM70" s="63">
        <f t="shared" si="151"/>
        <v>1</v>
      </c>
      <c r="DN70" s="63">
        <f t="shared" si="152"/>
        <v>1</v>
      </c>
      <c r="DO70" s="63">
        <f t="shared" si="153"/>
        <v>1</v>
      </c>
      <c r="DP70" s="63">
        <f t="shared" si="154"/>
        <v>1</v>
      </c>
      <c r="DQ70" s="63">
        <f t="shared" si="155"/>
        <v>1</v>
      </c>
      <c r="DR70" s="63">
        <f t="shared" si="156"/>
        <v>0</v>
      </c>
      <c r="DS70" s="63">
        <f t="shared" si="157"/>
        <v>0</v>
      </c>
      <c r="DT70" s="63">
        <f t="shared" si="158"/>
        <v>0</v>
      </c>
      <c r="DU70" s="63">
        <f t="shared" si="159"/>
        <v>6</v>
      </c>
      <c r="DV70" s="63">
        <f t="shared" si="160"/>
        <v>6</v>
      </c>
      <c r="DW70" s="63">
        <f t="shared" si="161"/>
        <v>5</v>
      </c>
      <c r="DX70" s="63">
        <f t="shared" si="162"/>
        <v>5.666666666666667</v>
      </c>
      <c r="DY70" s="63">
        <f t="shared" si="163"/>
        <v>0.47140452079103168</v>
      </c>
      <c r="DZ70" s="137">
        <f t="shared" si="164"/>
        <v>0</v>
      </c>
      <c r="EA70" s="63">
        <f t="shared" si="164"/>
        <v>0</v>
      </c>
      <c r="EB70" s="63">
        <f t="shared" si="164"/>
        <v>0</v>
      </c>
      <c r="EC70" s="63">
        <f t="shared" si="164"/>
        <v>0</v>
      </c>
      <c r="ED70" s="63">
        <f t="shared" si="164"/>
        <v>0</v>
      </c>
      <c r="EE70" s="63">
        <f t="shared" si="164"/>
        <v>1</v>
      </c>
      <c r="EF70" s="63">
        <f t="shared" si="164"/>
        <v>0</v>
      </c>
      <c r="EG70" s="63">
        <f t="shared" si="165"/>
        <v>0</v>
      </c>
      <c r="EH70" s="63">
        <f t="shared" si="165"/>
        <v>0</v>
      </c>
      <c r="EI70" s="63">
        <f t="shared" si="165"/>
        <v>0</v>
      </c>
      <c r="EJ70" s="63">
        <f t="shared" si="165"/>
        <v>0</v>
      </c>
      <c r="EK70" s="63">
        <f t="shared" si="165"/>
        <v>0</v>
      </c>
      <c r="EL70" s="63">
        <f t="shared" si="165"/>
        <v>1</v>
      </c>
      <c r="EM70" s="63">
        <f t="shared" si="165"/>
        <v>0</v>
      </c>
      <c r="EN70" s="63">
        <f t="shared" si="166"/>
        <v>0</v>
      </c>
      <c r="EO70" s="63">
        <f t="shared" si="166"/>
        <v>0</v>
      </c>
      <c r="EP70" s="63">
        <f t="shared" si="166"/>
        <v>0</v>
      </c>
      <c r="EQ70" s="63">
        <f t="shared" si="166"/>
        <v>0</v>
      </c>
      <c r="ER70" s="63">
        <f t="shared" si="166"/>
        <v>1</v>
      </c>
      <c r="ES70" s="63">
        <f t="shared" si="166"/>
        <v>0</v>
      </c>
      <c r="ET70" s="156">
        <f t="shared" si="166"/>
        <v>0</v>
      </c>
    </row>
    <row r="71" spans="1:205" s="63" customFormat="1">
      <c r="A71" s="63" t="s">
        <v>131</v>
      </c>
      <c r="B71" s="63">
        <v>105</v>
      </c>
      <c r="C71" s="63" t="s">
        <v>38</v>
      </c>
      <c r="D71" s="63" t="s">
        <v>35</v>
      </c>
      <c r="E71" s="63">
        <v>3340</v>
      </c>
      <c r="F71" s="63">
        <v>2658</v>
      </c>
      <c r="G71" s="63">
        <v>632</v>
      </c>
      <c r="H71" s="63">
        <v>58</v>
      </c>
      <c r="I71" s="63">
        <v>66</v>
      </c>
      <c r="J71" s="63">
        <v>104</v>
      </c>
      <c r="K71" s="63">
        <v>2873</v>
      </c>
      <c r="L71" s="63">
        <v>2090</v>
      </c>
      <c r="M71" s="63">
        <v>22</v>
      </c>
      <c r="N71" s="63">
        <v>289</v>
      </c>
      <c r="O71" s="63">
        <v>298</v>
      </c>
      <c r="P71" s="63">
        <v>380</v>
      </c>
      <c r="Q71" s="156">
        <v>0</v>
      </c>
      <c r="R71" s="156">
        <v>8</v>
      </c>
      <c r="S71" s="156">
        <v>26</v>
      </c>
      <c r="T71" s="156">
        <v>209</v>
      </c>
      <c r="U71" s="156">
        <v>183</v>
      </c>
      <c r="V71" s="156">
        <v>265</v>
      </c>
      <c r="W71" s="156">
        <v>80</v>
      </c>
      <c r="X71" s="156">
        <v>107</v>
      </c>
      <c r="Y71" s="156">
        <v>89</v>
      </c>
      <c r="Z71" s="63">
        <v>120</v>
      </c>
      <c r="AA71" s="63">
        <v>204</v>
      </c>
      <c r="AB71" s="63">
        <v>126</v>
      </c>
      <c r="AC71" s="63">
        <v>1789</v>
      </c>
      <c r="AD71" s="63">
        <v>1434</v>
      </c>
      <c r="AE71" s="63">
        <v>-107</v>
      </c>
      <c r="AF71" s="63">
        <v>1789</v>
      </c>
      <c r="AG71" s="63">
        <v>1434</v>
      </c>
      <c r="AH71" s="63">
        <v>-107</v>
      </c>
      <c r="AI71" s="155">
        <v>80</v>
      </c>
      <c r="AJ71" s="156">
        <v>440</v>
      </c>
      <c r="AK71" s="157">
        <v>939</v>
      </c>
      <c r="AL71" s="63">
        <v>80</v>
      </c>
      <c r="AM71" s="63">
        <v>92</v>
      </c>
      <c r="AN71" s="63">
        <v>209</v>
      </c>
      <c r="AO71" s="63">
        <v>80</v>
      </c>
      <c r="AP71" s="63">
        <v>92</v>
      </c>
      <c r="AQ71" s="63">
        <v>209</v>
      </c>
      <c r="AR71" s="63">
        <v>1551</v>
      </c>
      <c r="AS71" s="63">
        <v>1572</v>
      </c>
      <c r="AT71" s="63">
        <v>1469</v>
      </c>
      <c r="AU71" s="63">
        <v>3420</v>
      </c>
      <c r="AV71" s="63">
        <v>3098</v>
      </c>
      <c r="AW71" s="63">
        <v>1571</v>
      </c>
      <c r="AX71" s="63">
        <v>1869</v>
      </c>
      <c r="AY71" s="63">
        <v>1526</v>
      </c>
      <c r="AZ71" s="63">
        <v>102</v>
      </c>
      <c r="BA71" s="63">
        <v>1869</v>
      </c>
      <c r="BB71" s="63">
        <v>1526</v>
      </c>
      <c r="BC71" s="63">
        <v>102</v>
      </c>
      <c r="BE71" s="63">
        <f t="shared" si="106"/>
        <v>3.5087719298245612E-2</v>
      </c>
      <c r="BF71" s="63">
        <f t="shared" si="107"/>
        <v>6.5848934796642999E-2</v>
      </c>
      <c r="BG71" s="63">
        <f t="shared" si="108"/>
        <v>8.0203691915977079E-2</v>
      </c>
      <c r="BI71" s="63">
        <f t="shared" si="109"/>
        <v>8.4502923976608191E-2</v>
      </c>
      <c r="BJ71" s="63">
        <f t="shared" si="110"/>
        <v>9.6191091026468695E-2</v>
      </c>
      <c r="BK71" s="63">
        <f t="shared" si="111"/>
        <v>0.24188415022278803</v>
      </c>
      <c r="BM71" s="63">
        <f t="shared" si="112"/>
        <v>0</v>
      </c>
      <c r="BN71" s="63">
        <f t="shared" si="113"/>
        <v>2.5823111684958036E-3</v>
      </c>
      <c r="BO71" s="63">
        <f t="shared" si="114"/>
        <v>1.6549968173138127E-2</v>
      </c>
      <c r="BQ71" s="156">
        <f t="shared" si="115"/>
        <v>6.1111111111111109E-2</v>
      </c>
      <c r="BR71" s="156">
        <f t="shared" si="116"/>
        <v>5.9070367979341509E-2</v>
      </c>
      <c r="BS71" s="156">
        <f t="shared" si="117"/>
        <v>0.16868236791852323</v>
      </c>
      <c r="BU71" s="156">
        <f t="shared" si="118"/>
        <v>2.3391812865497075E-2</v>
      </c>
      <c r="BV71" s="156">
        <f t="shared" si="119"/>
        <v>3.4538411878631374E-2</v>
      </c>
      <c r="BW71" s="156">
        <f t="shared" si="120"/>
        <v>5.6651814131126674E-2</v>
      </c>
      <c r="BY71" s="156">
        <f t="shared" si="121"/>
        <v>1.6959064327485378E-2</v>
      </c>
      <c r="BZ71" s="156">
        <f t="shared" si="122"/>
        <v>2.130406714009038E-2</v>
      </c>
      <c r="CA71" s="156">
        <f t="shared" si="123"/>
        <v>6.6199872692552508E-2</v>
      </c>
      <c r="CC71" s="156">
        <f t="shared" si="124"/>
        <v>2.3391812865497075E-2</v>
      </c>
      <c r="CD71" s="156">
        <f t="shared" si="125"/>
        <v>0.14202711426726922</v>
      </c>
      <c r="CE71" s="156">
        <f t="shared" si="126"/>
        <v>0.59770846594525784</v>
      </c>
      <c r="CG71" s="63">
        <f t="shared" si="127"/>
        <v>0.15994152046783625</v>
      </c>
      <c r="CH71" s="63">
        <f t="shared" si="128"/>
        <v>0.3253712072304713</v>
      </c>
      <c r="CI71" s="63">
        <f t="shared" si="129"/>
        <v>0.98599618077657547</v>
      </c>
      <c r="CK71" s="63">
        <f t="shared" si="130"/>
        <v>0.84005847953216373</v>
      </c>
      <c r="CL71" s="63">
        <f t="shared" si="131"/>
        <v>0.6746287927695287</v>
      </c>
      <c r="CM71" s="63">
        <f t="shared" si="132"/>
        <v>1.400381922342453E-2</v>
      </c>
      <c r="CO71" s="156">
        <f t="shared" si="133"/>
        <v>2873</v>
      </c>
      <c r="CP71" s="156">
        <f t="shared" si="134"/>
        <v>2090</v>
      </c>
      <c r="CQ71" s="156">
        <f t="shared" si="135"/>
        <v>21.999999999999936</v>
      </c>
      <c r="CT71" s="63">
        <v>209</v>
      </c>
      <c r="CV71" s="156">
        <f t="shared" si="167"/>
        <v>1.1428571428571428</v>
      </c>
      <c r="CW71" s="156">
        <f t="shared" si="136"/>
        <v>1.9428571428571428</v>
      </c>
      <c r="CX71" s="156">
        <f t="shared" si="137"/>
        <v>1.2</v>
      </c>
      <c r="CZ71" s="63">
        <f t="shared" si="138"/>
        <v>1</v>
      </c>
      <c r="DA71" s="63">
        <f t="shared" si="139"/>
        <v>1</v>
      </c>
      <c r="DB71" s="63">
        <f t="shared" si="140"/>
        <v>1</v>
      </c>
      <c r="DC71" s="63">
        <f t="shared" si="141"/>
        <v>0</v>
      </c>
      <c r="DD71" s="63">
        <f t="shared" si="142"/>
        <v>1</v>
      </c>
      <c r="DE71" s="63">
        <f t="shared" si="143"/>
        <v>1</v>
      </c>
      <c r="DF71" s="63">
        <f t="shared" si="144"/>
        <v>1</v>
      </c>
      <c r="DG71" s="63">
        <f t="shared" si="145"/>
        <v>1</v>
      </c>
      <c r="DH71" s="63">
        <f t="shared" si="146"/>
        <v>1</v>
      </c>
      <c r="DI71" s="63">
        <f t="shared" si="147"/>
        <v>1</v>
      </c>
      <c r="DJ71" s="63">
        <f t="shared" si="148"/>
        <v>1</v>
      </c>
      <c r="DK71" s="63">
        <f t="shared" si="149"/>
        <v>1</v>
      </c>
      <c r="DL71" s="63">
        <f t="shared" si="150"/>
        <v>1</v>
      </c>
      <c r="DM71" s="63">
        <f t="shared" si="151"/>
        <v>1</v>
      </c>
      <c r="DN71" s="63">
        <f t="shared" si="152"/>
        <v>1</v>
      </c>
      <c r="DO71" s="63">
        <f t="shared" si="153"/>
        <v>1</v>
      </c>
      <c r="DP71" s="63">
        <f t="shared" si="154"/>
        <v>1</v>
      </c>
      <c r="DQ71" s="63">
        <f t="shared" si="155"/>
        <v>1</v>
      </c>
      <c r="DR71" s="63">
        <f t="shared" si="156"/>
        <v>1</v>
      </c>
      <c r="DS71" s="63">
        <f t="shared" si="157"/>
        <v>1</v>
      </c>
      <c r="DT71" s="63">
        <f t="shared" si="158"/>
        <v>1</v>
      </c>
      <c r="DU71" s="63">
        <f t="shared" si="159"/>
        <v>6</v>
      </c>
      <c r="DV71" s="63">
        <f t="shared" si="160"/>
        <v>7</v>
      </c>
      <c r="DW71" s="63">
        <f t="shared" si="161"/>
        <v>7</v>
      </c>
      <c r="DX71" s="63">
        <f t="shared" si="162"/>
        <v>6.666666666666667</v>
      </c>
      <c r="DY71" s="63">
        <f t="shared" si="163"/>
        <v>0.47140452079103168</v>
      </c>
      <c r="DZ71" s="137">
        <f t="shared" si="164"/>
        <v>0</v>
      </c>
      <c r="EA71" s="63">
        <f t="shared" si="164"/>
        <v>0</v>
      </c>
      <c r="EB71" s="63">
        <f t="shared" si="164"/>
        <v>0</v>
      </c>
      <c r="EC71" s="63">
        <f t="shared" si="164"/>
        <v>0</v>
      </c>
      <c r="ED71" s="63">
        <f t="shared" si="164"/>
        <v>0</v>
      </c>
      <c r="EE71" s="63">
        <f t="shared" si="164"/>
        <v>1</v>
      </c>
      <c r="EF71" s="63">
        <f t="shared" si="164"/>
        <v>0</v>
      </c>
      <c r="EG71" s="63">
        <f t="shared" si="165"/>
        <v>0</v>
      </c>
      <c r="EH71" s="63">
        <f t="shared" si="165"/>
        <v>0</v>
      </c>
      <c r="EI71" s="63">
        <f t="shared" si="165"/>
        <v>0</v>
      </c>
      <c r="EJ71" s="63">
        <f t="shared" si="165"/>
        <v>0</v>
      </c>
      <c r="EK71" s="63">
        <f t="shared" si="165"/>
        <v>0</v>
      </c>
      <c r="EL71" s="63">
        <f t="shared" si="165"/>
        <v>0</v>
      </c>
      <c r="EM71" s="63">
        <f t="shared" si="165"/>
        <v>1</v>
      </c>
      <c r="EN71" s="63">
        <f t="shared" si="166"/>
        <v>0</v>
      </c>
      <c r="EO71" s="63">
        <f t="shared" si="166"/>
        <v>0</v>
      </c>
      <c r="EP71" s="63">
        <f t="shared" si="166"/>
        <v>0</v>
      </c>
      <c r="EQ71" s="63">
        <f t="shared" si="166"/>
        <v>0</v>
      </c>
      <c r="ER71" s="63">
        <f t="shared" si="166"/>
        <v>0</v>
      </c>
      <c r="ES71" s="63">
        <f t="shared" si="166"/>
        <v>0</v>
      </c>
      <c r="ET71" s="156">
        <f t="shared" si="166"/>
        <v>1</v>
      </c>
    </row>
    <row r="72" spans="1:205" s="63" customFormat="1">
      <c r="A72" s="63" t="s">
        <v>132</v>
      </c>
      <c r="B72" s="63">
        <v>124</v>
      </c>
      <c r="C72" s="63" t="s">
        <v>38</v>
      </c>
      <c r="D72" s="63" t="s">
        <v>33</v>
      </c>
      <c r="E72" s="63">
        <v>82</v>
      </c>
      <c r="F72" s="63">
        <v>75</v>
      </c>
      <c r="G72" s="63">
        <v>182</v>
      </c>
      <c r="H72" s="63">
        <v>0</v>
      </c>
      <c r="I72" s="63">
        <v>5</v>
      </c>
      <c r="J72" s="63">
        <v>37</v>
      </c>
      <c r="K72" s="63">
        <v>0</v>
      </c>
      <c r="L72" s="63">
        <v>0</v>
      </c>
      <c r="M72" s="63">
        <v>0</v>
      </c>
      <c r="N72" s="63">
        <v>35</v>
      </c>
      <c r="O72" s="63">
        <v>40</v>
      </c>
      <c r="P72" s="63">
        <v>67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35</v>
      </c>
      <c r="X72" s="156">
        <v>40</v>
      </c>
      <c r="Y72" s="156">
        <v>67</v>
      </c>
      <c r="Z72" s="63">
        <v>47</v>
      </c>
      <c r="AA72" s="63">
        <v>30</v>
      </c>
      <c r="AB72" s="63">
        <v>78</v>
      </c>
      <c r="AC72" s="63">
        <v>6</v>
      </c>
      <c r="AD72" s="63">
        <v>-25</v>
      </c>
      <c r="AE72" s="63">
        <v>15</v>
      </c>
      <c r="AF72" s="63">
        <v>6</v>
      </c>
      <c r="AG72" s="63">
        <v>-25</v>
      </c>
      <c r="AH72" s="63">
        <v>15</v>
      </c>
      <c r="AI72" s="155">
        <v>19</v>
      </c>
      <c r="AJ72" s="156">
        <v>67</v>
      </c>
      <c r="AK72" s="157">
        <v>63</v>
      </c>
      <c r="AL72" s="63">
        <v>7</v>
      </c>
      <c r="AM72" s="63">
        <v>38</v>
      </c>
      <c r="AN72" s="63">
        <v>3</v>
      </c>
      <c r="AO72" s="63">
        <v>7</v>
      </c>
      <c r="AP72" s="63">
        <v>38</v>
      </c>
      <c r="AQ72" s="63">
        <v>3</v>
      </c>
      <c r="AR72" s="63">
        <v>88</v>
      </c>
      <c r="AS72" s="63">
        <v>129</v>
      </c>
      <c r="AT72" s="63">
        <v>227</v>
      </c>
      <c r="AU72" s="63">
        <v>101</v>
      </c>
      <c r="AV72" s="63">
        <v>142</v>
      </c>
      <c r="AW72" s="63">
        <v>245</v>
      </c>
      <c r="AX72" s="63">
        <v>13</v>
      </c>
      <c r="AY72" s="63">
        <v>13</v>
      </c>
      <c r="AZ72" s="63">
        <v>18</v>
      </c>
      <c r="BA72" s="63">
        <v>13</v>
      </c>
      <c r="BB72" s="63">
        <v>13</v>
      </c>
      <c r="BC72" s="63">
        <v>18</v>
      </c>
      <c r="BE72" s="63">
        <f t="shared" si="106"/>
        <v>0.46534653465346537</v>
      </c>
      <c r="BF72" s="63">
        <f t="shared" si="107"/>
        <v>0.21126760563380281</v>
      </c>
      <c r="BG72" s="63">
        <f t="shared" si="108"/>
        <v>0.3183673469387755</v>
      </c>
      <c r="BI72" s="63">
        <f t="shared" si="109"/>
        <v>0.34653465346534651</v>
      </c>
      <c r="BJ72" s="63">
        <f t="shared" si="110"/>
        <v>0.28169014084507044</v>
      </c>
      <c r="BK72" s="63">
        <f t="shared" si="111"/>
        <v>0.27346938775510204</v>
      </c>
      <c r="BM72" s="63">
        <f t="shared" si="112"/>
        <v>0</v>
      </c>
      <c r="BN72" s="63">
        <f t="shared" si="113"/>
        <v>0</v>
      </c>
      <c r="BO72" s="63">
        <f t="shared" si="114"/>
        <v>0</v>
      </c>
      <c r="BQ72" s="156">
        <f t="shared" si="115"/>
        <v>0</v>
      </c>
      <c r="BR72" s="156">
        <f t="shared" si="116"/>
        <v>0</v>
      </c>
      <c r="BS72" s="156">
        <f t="shared" si="117"/>
        <v>0</v>
      </c>
      <c r="BU72" s="156">
        <f t="shared" si="118"/>
        <v>0.34653465346534651</v>
      </c>
      <c r="BV72" s="156">
        <f t="shared" si="119"/>
        <v>0.28169014084507044</v>
      </c>
      <c r="BW72" s="156">
        <f t="shared" si="120"/>
        <v>0.27346938775510204</v>
      </c>
      <c r="BY72" s="156">
        <f t="shared" si="121"/>
        <v>0</v>
      </c>
      <c r="BZ72" s="156">
        <f t="shared" si="122"/>
        <v>3.5211267605633804E-2</v>
      </c>
      <c r="CA72" s="156">
        <f t="shared" si="123"/>
        <v>0.15102040816326531</v>
      </c>
      <c r="CC72" s="156">
        <f t="shared" si="124"/>
        <v>0.18811881188118812</v>
      </c>
      <c r="CD72" s="156">
        <f t="shared" si="125"/>
        <v>0.47183098591549294</v>
      </c>
      <c r="CE72" s="156">
        <f t="shared" si="126"/>
        <v>0.25714285714285712</v>
      </c>
      <c r="CG72" s="63">
        <f t="shared" si="127"/>
        <v>1</v>
      </c>
      <c r="CH72" s="63">
        <f t="shared" si="128"/>
        <v>1</v>
      </c>
      <c r="CI72" s="63">
        <f t="shared" si="129"/>
        <v>1</v>
      </c>
      <c r="CK72" s="63">
        <f t="shared" si="130"/>
        <v>0</v>
      </c>
      <c r="CL72" s="63">
        <f t="shared" si="131"/>
        <v>0</v>
      </c>
      <c r="CM72" s="63">
        <f t="shared" si="132"/>
        <v>0</v>
      </c>
      <c r="CO72" s="156">
        <f t="shared" si="133"/>
        <v>0</v>
      </c>
      <c r="CP72" s="156">
        <f t="shared" si="134"/>
        <v>0</v>
      </c>
      <c r="CQ72" s="156">
        <f t="shared" si="135"/>
        <v>0</v>
      </c>
      <c r="CT72" s="63">
        <v>0</v>
      </c>
      <c r="CV72" s="156">
        <f t="shared" si="167"/>
        <v>0.37903225806451613</v>
      </c>
      <c r="CW72" s="156">
        <f t="shared" si="136"/>
        <v>0.24193548387096775</v>
      </c>
      <c r="CX72" s="156">
        <f t="shared" si="137"/>
        <v>0.62903225806451613</v>
      </c>
      <c r="CZ72" s="63">
        <f t="shared" si="138"/>
        <v>1</v>
      </c>
      <c r="DA72" s="63">
        <f t="shared" si="139"/>
        <v>1</v>
      </c>
      <c r="DB72" s="63">
        <f t="shared" si="140"/>
        <v>1</v>
      </c>
      <c r="DC72" s="63">
        <f t="shared" si="141"/>
        <v>0</v>
      </c>
      <c r="DD72" s="63">
        <f t="shared" si="142"/>
        <v>0</v>
      </c>
      <c r="DE72" s="63">
        <f t="shared" si="143"/>
        <v>0</v>
      </c>
      <c r="DF72" s="63">
        <f t="shared" si="144"/>
        <v>0</v>
      </c>
      <c r="DG72" s="63">
        <f t="shared" si="145"/>
        <v>0</v>
      </c>
      <c r="DH72" s="63">
        <f t="shared" si="146"/>
        <v>0</v>
      </c>
      <c r="DI72" s="63">
        <f t="shared" si="147"/>
        <v>1</v>
      </c>
      <c r="DJ72" s="63">
        <f t="shared" si="148"/>
        <v>1</v>
      </c>
      <c r="DK72" s="63">
        <f t="shared" si="149"/>
        <v>1</v>
      </c>
      <c r="DL72" s="63">
        <f t="shared" si="150"/>
        <v>0</v>
      </c>
      <c r="DM72" s="63">
        <f t="shared" si="151"/>
        <v>1</v>
      </c>
      <c r="DN72" s="63">
        <f t="shared" si="152"/>
        <v>1</v>
      </c>
      <c r="DO72" s="63">
        <f t="shared" si="153"/>
        <v>1</v>
      </c>
      <c r="DP72" s="63">
        <f t="shared" si="154"/>
        <v>1</v>
      </c>
      <c r="DQ72" s="63">
        <f t="shared" si="155"/>
        <v>1</v>
      </c>
      <c r="DR72" s="63">
        <f t="shared" si="156"/>
        <v>0</v>
      </c>
      <c r="DS72" s="63">
        <f t="shared" si="157"/>
        <v>0</v>
      </c>
      <c r="DT72" s="63">
        <f t="shared" si="158"/>
        <v>0</v>
      </c>
      <c r="DU72" s="63">
        <f t="shared" si="159"/>
        <v>3</v>
      </c>
      <c r="DV72" s="63">
        <f t="shared" si="160"/>
        <v>4</v>
      </c>
      <c r="DW72" s="63">
        <f t="shared" si="161"/>
        <v>4</v>
      </c>
      <c r="DX72" s="63">
        <f t="shared" si="162"/>
        <v>3.6666666666666665</v>
      </c>
      <c r="DY72" s="63">
        <f t="shared" si="163"/>
        <v>0.47140452079103168</v>
      </c>
      <c r="DZ72" s="137">
        <f t="shared" si="164"/>
        <v>0</v>
      </c>
      <c r="EA72" s="63">
        <f t="shared" si="164"/>
        <v>0</v>
      </c>
      <c r="EB72" s="63">
        <f t="shared" si="164"/>
        <v>1</v>
      </c>
      <c r="EC72" s="63">
        <f t="shared" si="164"/>
        <v>0</v>
      </c>
      <c r="ED72" s="63">
        <f t="shared" si="164"/>
        <v>0</v>
      </c>
      <c r="EE72" s="63">
        <f t="shared" si="164"/>
        <v>0</v>
      </c>
      <c r="EF72" s="63">
        <f t="shared" si="164"/>
        <v>0</v>
      </c>
      <c r="EG72" s="63">
        <f t="shared" si="165"/>
        <v>0</v>
      </c>
      <c r="EH72" s="63">
        <f t="shared" si="165"/>
        <v>0</v>
      </c>
      <c r="EI72" s="63">
        <f t="shared" si="165"/>
        <v>0</v>
      </c>
      <c r="EJ72" s="63">
        <f t="shared" si="165"/>
        <v>1</v>
      </c>
      <c r="EK72" s="63">
        <f t="shared" si="165"/>
        <v>0</v>
      </c>
      <c r="EL72" s="63">
        <f t="shared" si="165"/>
        <v>0</v>
      </c>
      <c r="EM72" s="63">
        <f t="shared" si="165"/>
        <v>0</v>
      </c>
      <c r="EN72" s="63">
        <f t="shared" si="166"/>
        <v>0</v>
      </c>
      <c r="EO72" s="63">
        <f t="shared" si="166"/>
        <v>0</v>
      </c>
      <c r="EP72" s="63">
        <f t="shared" si="166"/>
        <v>0</v>
      </c>
      <c r="EQ72" s="63">
        <f t="shared" si="166"/>
        <v>1</v>
      </c>
      <c r="ER72" s="63">
        <f t="shared" si="166"/>
        <v>0</v>
      </c>
      <c r="ES72" s="63">
        <f t="shared" si="166"/>
        <v>0</v>
      </c>
      <c r="ET72" s="156">
        <f t="shared" si="166"/>
        <v>0</v>
      </c>
    </row>
    <row r="73" spans="1:205" s="63" customFormat="1">
      <c r="A73" s="63" t="s">
        <v>137</v>
      </c>
      <c r="B73" s="63">
        <v>138</v>
      </c>
      <c r="C73" s="63" t="s">
        <v>38</v>
      </c>
      <c r="D73" s="63" t="s">
        <v>32</v>
      </c>
      <c r="E73" s="63">
        <v>702</v>
      </c>
      <c r="F73" s="63">
        <v>786</v>
      </c>
      <c r="G73" s="63">
        <v>519</v>
      </c>
      <c r="H73" s="63">
        <v>174</v>
      </c>
      <c r="I73" s="63">
        <v>174</v>
      </c>
      <c r="J73" s="63">
        <v>40</v>
      </c>
      <c r="K73" s="63">
        <v>0</v>
      </c>
      <c r="L73" s="63">
        <v>0</v>
      </c>
      <c r="M73" s="63">
        <v>0</v>
      </c>
      <c r="N73" s="63">
        <v>79</v>
      </c>
      <c r="O73" s="63">
        <v>54</v>
      </c>
      <c r="P73" s="63">
        <v>32</v>
      </c>
      <c r="Q73" s="156">
        <v>0</v>
      </c>
      <c r="R73" s="156">
        <v>0</v>
      </c>
      <c r="S73" s="156">
        <v>0</v>
      </c>
      <c r="T73" s="156">
        <v>48</v>
      </c>
      <c r="U73" s="156">
        <v>23</v>
      </c>
      <c r="V73" s="156">
        <v>13</v>
      </c>
      <c r="W73" s="156">
        <v>31</v>
      </c>
      <c r="X73" s="156">
        <v>31</v>
      </c>
      <c r="Y73" s="156">
        <v>19</v>
      </c>
      <c r="Z73" s="63">
        <v>449</v>
      </c>
      <c r="AA73" s="63">
        <v>558</v>
      </c>
      <c r="AB73" s="63">
        <v>447</v>
      </c>
      <c r="AC73" s="63">
        <v>6</v>
      </c>
      <c r="AD73" s="63">
        <v>43</v>
      </c>
      <c r="AE73" s="63">
        <v>-9</v>
      </c>
      <c r="AF73" s="63">
        <v>6</v>
      </c>
      <c r="AG73" s="63">
        <v>43</v>
      </c>
      <c r="AH73" s="63">
        <v>-9</v>
      </c>
      <c r="AI73" s="155">
        <v>0</v>
      </c>
      <c r="AJ73" s="156">
        <v>0</v>
      </c>
      <c r="AK73" s="157">
        <v>126</v>
      </c>
      <c r="AL73" s="63">
        <v>0</v>
      </c>
      <c r="AM73" s="63">
        <v>0</v>
      </c>
      <c r="AN73" s="63">
        <v>22</v>
      </c>
      <c r="AO73" s="63">
        <v>0</v>
      </c>
      <c r="AP73" s="63">
        <v>0</v>
      </c>
      <c r="AQ73" s="63">
        <v>22</v>
      </c>
      <c r="AR73" s="63">
        <v>696</v>
      </c>
      <c r="AS73" s="63">
        <v>743</v>
      </c>
      <c r="AT73" s="63">
        <v>632</v>
      </c>
      <c r="AU73" s="63">
        <v>702</v>
      </c>
      <c r="AV73" s="63">
        <v>786</v>
      </c>
      <c r="AW73" s="63">
        <v>645</v>
      </c>
      <c r="AX73" s="63">
        <v>6</v>
      </c>
      <c r="AY73" s="63">
        <v>43</v>
      </c>
      <c r="AZ73" s="63">
        <v>13</v>
      </c>
      <c r="BA73" s="63">
        <v>6</v>
      </c>
      <c r="BB73" s="63">
        <v>43</v>
      </c>
      <c r="BC73" s="63">
        <v>13</v>
      </c>
      <c r="BE73" s="63">
        <f t="shared" si="106"/>
        <v>0.63960113960113962</v>
      </c>
      <c r="BF73" s="63">
        <f t="shared" si="107"/>
        <v>0.70992366412213737</v>
      </c>
      <c r="BG73" s="63">
        <f t="shared" si="108"/>
        <v>0.69302325581395352</v>
      </c>
      <c r="BI73" s="63">
        <f t="shared" si="109"/>
        <v>0.11253561253561253</v>
      </c>
      <c r="BJ73" s="63">
        <f t="shared" si="110"/>
        <v>6.8702290076335881E-2</v>
      </c>
      <c r="BK73" s="63">
        <f t="shared" si="111"/>
        <v>4.9612403100775193E-2</v>
      </c>
      <c r="BM73" s="63">
        <f t="shared" si="112"/>
        <v>0</v>
      </c>
      <c r="BN73" s="63">
        <f t="shared" si="113"/>
        <v>0</v>
      </c>
      <c r="BO73" s="63">
        <f t="shared" si="114"/>
        <v>0</v>
      </c>
      <c r="BQ73" s="156">
        <f t="shared" si="115"/>
        <v>6.8376068376068383E-2</v>
      </c>
      <c r="BR73" s="156">
        <f t="shared" si="116"/>
        <v>2.9262086513994912E-2</v>
      </c>
      <c r="BS73" s="156">
        <f t="shared" si="117"/>
        <v>2.0155038759689922E-2</v>
      </c>
      <c r="BU73" s="156">
        <f t="shared" si="118"/>
        <v>4.4159544159544158E-2</v>
      </c>
      <c r="BV73" s="156">
        <f t="shared" si="119"/>
        <v>3.9440203562340966E-2</v>
      </c>
      <c r="BW73" s="156">
        <f t="shared" si="120"/>
        <v>2.9457364341085271E-2</v>
      </c>
      <c r="BY73" s="156">
        <f t="shared" si="121"/>
        <v>0.24786324786324787</v>
      </c>
      <c r="BZ73" s="156">
        <f t="shared" si="122"/>
        <v>0.22137404580152673</v>
      </c>
      <c r="CA73" s="156">
        <f t="shared" si="123"/>
        <v>6.2015503875968991E-2</v>
      </c>
      <c r="CC73" s="156">
        <f t="shared" si="124"/>
        <v>0</v>
      </c>
      <c r="CD73" s="156">
        <f t="shared" si="125"/>
        <v>0</v>
      </c>
      <c r="CE73" s="156">
        <f t="shared" si="126"/>
        <v>0.19534883720930232</v>
      </c>
      <c r="CG73" s="63">
        <f t="shared" si="127"/>
        <v>1</v>
      </c>
      <c r="CH73" s="63">
        <f t="shared" si="128"/>
        <v>1</v>
      </c>
      <c r="CI73" s="63">
        <f t="shared" si="129"/>
        <v>1</v>
      </c>
      <c r="CK73" s="63">
        <f t="shared" si="130"/>
        <v>0</v>
      </c>
      <c r="CL73" s="63">
        <f t="shared" si="131"/>
        <v>0</v>
      </c>
      <c r="CM73" s="63">
        <f t="shared" si="132"/>
        <v>0</v>
      </c>
      <c r="CO73" s="156">
        <f t="shared" si="133"/>
        <v>0</v>
      </c>
      <c r="CP73" s="156">
        <f t="shared" si="134"/>
        <v>0</v>
      </c>
      <c r="CQ73" s="156">
        <f t="shared" si="135"/>
        <v>0</v>
      </c>
      <c r="CT73" s="63">
        <v>48</v>
      </c>
      <c r="CV73" s="156">
        <f t="shared" si="167"/>
        <v>3.2536231884057969</v>
      </c>
      <c r="CW73" s="156">
        <f t="shared" si="136"/>
        <v>4.0434782608695654</v>
      </c>
      <c r="CX73" s="156">
        <f t="shared" si="137"/>
        <v>3.2391304347826089</v>
      </c>
      <c r="CZ73" s="63">
        <f t="shared" si="138"/>
        <v>1</v>
      </c>
      <c r="DA73" s="63">
        <f t="shared" si="139"/>
        <v>1</v>
      </c>
      <c r="DB73" s="63">
        <f t="shared" si="140"/>
        <v>1</v>
      </c>
      <c r="DC73" s="63">
        <f t="shared" si="141"/>
        <v>0</v>
      </c>
      <c r="DD73" s="63">
        <f t="shared" si="142"/>
        <v>0</v>
      </c>
      <c r="DE73" s="63">
        <f t="shared" si="143"/>
        <v>0</v>
      </c>
      <c r="DF73" s="63">
        <f t="shared" si="144"/>
        <v>1</v>
      </c>
      <c r="DG73" s="63">
        <f t="shared" si="145"/>
        <v>1</v>
      </c>
      <c r="DH73" s="63">
        <f t="shared" si="146"/>
        <v>1</v>
      </c>
      <c r="DI73" s="63">
        <f t="shared" si="147"/>
        <v>1</v>
      </c>
      <c r="DJ73" s="63">
        <f t="shared" si="148"/>
        <v>1</v>
      </c>
      <c r="DK73" s="63">
        <f t="shared" si="149"/>
        <v>1</v>
      </c>
      <c r="DL73" s="63">
        <f t="shared" si="150"/>
        <v>1</v>
      </c>
      <c r="DM73" s="63">
        <f t="shared" si="151"/>
        <v>1</v>
      </c>
      <c r="DN73" s="63">
        <f t="shared" si="152"/>
        <v>1</v>
      </c>
      <c r="DO73" s="63">
        <f t="shared" si="153"/>
        <v>0</v>
      </c>
      <c r="DP73" s="63">
        <f t="shared" si="154"/>
        <v>0</v>
      </c>
      <c r="DQ73" s="63">
        <f t="shared" si="155"/>
        <v>1</v>
      </c>
      <c r="DR73" s="63">
        <f t="shared" si="156"/>
        <v>0</v>
      </c>
      <c r="DS73" s="63">
        <f t="shared" si="157"/>
        <v>0</v>
      </c>
      <c r="DT73" s="63">
        <f t="shared" si="158"/>
        <v>0</v>
      </c>
      <c r="DU73" s="63">
        <f t="shared" si="159"/>
        <v>4</v>
      </c>
      <c r="DV73" s="63">
        <f t="shared" si="160"/>
        <v>4</v>
      </c>
      <c r="DW73" s="63">
        <f t="shared" si="161"/>
        <v>5</v>
      </c>
      <c r="DX73" s="63">
        <f t="shared" si="162"/>
        <v>4.333333333333333</v>
      </c>
      <c r="DY73" s="63">
        <f t="shared" si="163"/>
        <v>0.47140452079103168</v>
      </c>
      <c r="DZ73" s="137">
        <f t="shared" si="164"/>
        <v>0</v>
      </c>
      <c r="EA73" s="63">
        <f t="shared" si="164"/>
        <v>0</v>
      </c>
      <c r="EB73" s="63">
        <f t="shared" si="164"/>
        <v>0</v>
      </c>
      <c r="EC73" s="63">
        <f t="shared" si="164"/>
        <v>1</v>
      </c>
      <c r="ED73" s="63">
        <f t="shared" si="164"/>
        <v>0</v>
      </c>
      <c r="EE73" s="63">
        <f t="shared" si="164"/>
        <v>0</v>
      </c>
      <c r="EF73" s="63">
        <f t="shared" si="164"/>
        <v>0</v>
      </c>
      <c r="EG73" s="63">
        <f t="shared" si="165"/>
        <v>0</v>
      </c>
      <c r="EH73" s="63">
        <f t="shared" si="165"/>
        <v>0</v>
      </c>
      <c r="EI73" s="63">
        <f t="shared" si="165"/>
        <v>0</v>
      </c>
      <c r="EJ73" s="63">
        <f t="shared" si="165"/>
        <v>1</v>
      </c>
      <c r="EK73" s="63">
        <f t="shared" si="165"/>
        <v>0</v>
      </c>
      <c r="EL73" s="63">
        <f t="shared" si="165"/>
        <v>0</v>
      </c>
      <c r="EM73" s="63">
        <f t="shared" si="165"/>
        <v>0</v>
      </c>
      <c r="EN73" s="63">
        <f t="shared" si="166"/>
        <v>0</v>
      </c>
      <c r="EO73" s="63">
        <f t="shared" si="166"/>
        <v>0</v>
      </c>
      <c r="EP73" s="63">
        <f t="shared" si="166"/>
        <v>0</v>
      </c>
      <c r="EQ73" s="63">
        <f t="shared" si="166"/>
        <v>0</v>
      </c>
      <c r="ER73" s="63">
        <f t="shared" si="166"/>
        <v>1</v>
      </c>
      <c r="ES73" s="63">
        <f t="shared" si="166"/>
        <v>0</v>
      </c>
      <c r="ET73" s="156">
        <f t="shared" si="166"/>
        <v>0</v>
      </c>
    </row>
    <row r="74" spans="1:205" s="63" customFormat="1">
      <c r="A74" s="63" t="s">
        <v>138</v>
      </c>
      <c r="B74" s="63">
        <v>85</v>
      </c>
      <c r="C74" s="63" t="s">
        <v>38</v>
      </c>
      <c r="D74" s="63" t="s">
        <v>32</v>
      </c>
      <c r="E74" s="63">
        <v>428</v>
      </c>
      <c r="F74" s="63">
        <v>431</v>
      </c>
      <c r="G74" s="63">
        <v>457</v>
      </c>
      <c r="H74" s="63">
        <v>117</v>
      </c>
      <c r="I74" s="63">
        <v>88</v>
      </c>
      <c r="J74" s="63">
        <v>86</v>
      </c>
      <c r="K74" s="63">
        <v>4</v>
      </c>
      <c r="L74" s="63">
        <v>19</v>
      </c>
      <c r="M74" s="63">
        <v>3</v>
      </c>
      <c r="N74" s="63">
        <v>111</v>
      </c>
      <c r="O74" s="63">
        <v>147</v>
      </c>
      <c r="P74" s="63">
        <v>129</v>
      </c>
      <c r="Q74" s="156">
        <v>0</v>
      </c>
      <c r="R74" s="156">
        <v>0</v>
      </c>
      <c r="S74" s="156">
        <v>0</v>
      </c>
      <c r="T74" s="156">
        <v>40</v>
      </c>
      <c r="U74" s="156">
        <v>37</v>
      </c>
      <c r="V74" s="156">
        <v>43</v>
      </c>
      <c r="W74" s="156">
        <v>71</v>
      </c>
      <c r="X74" s="156">
        <v>110</v>
      </c>
      <c r="Y74" s="156">
        <v>86</v>
      </c>
      <c r="Z74" s="63">
        <v>196</v>
      </c>
      <c r="AA74" s="63">
        <v>177</v>
      </c>
      <c r="AB74" s="63">
        <v>239</v>
      </c>
      <c r="AC74" s="63">
        <v>62</v>
      </c>
      <c r="AD74" s="63">
        <v>-44</v>
      </c>
      <c r="AE74" s="63">
        <v>-12</v>
      </c>
      <c r="AF74" s="63">
        <v>62</v>
      </c>
      <c r="AG74" s="63">
        <v>-44</v>
      </c>
      <c r="AH74" s="63">
        <v>-12</v>
      </c>
      <c r="AI74" s="155">
        <v>155</v>
      </c>
      <c r="AJ74" s="156">
        <v>173</v>
      </c>
      <c r="AK74" s="157">
        <v>269</v>
      </c>
      <c r="AL74" s="63">
        <v>0</v>
      </c>
      <c r="AM74" s="63">
        <v>45</v>
      </c>
      <c r="AN74" s="63">
        <v>67</v>
      </c>
      <c r="AO74" s="63">
        <v>0</v>
      </c>
      <c r="AP74" s="63">
        <v>45</v>
      </c>
      <c r="AQ74" s="63">
        <v>67</v>
      </c>
      <c r="AR74" s="63">
        <v>489</v>
      </c>
      <c r="AS74" s="63">
        <v>603</v>
      </c>
      <c r="AT74" s="63">
        <v>671</v>
      </c>
      <c r="AU74" s="63">
        <v>583</v>
      </c>
      <c r="AV74" s="63">
        <v>604</v>
      </c>
      <c r="AW74" s="63">
        <v>726</v>
      </c>
      <c r="AX74" s="63">
        <v>94</v>
      </c>
      <c r="AY74" s="63">
        <v>1</v>
      </c>
      <c r="AZ74" s="63">
        <v>55</v>
      </c>
      <c r="BA74" s="63">
        <v>62</v>
      </c>
      <c r="BB74" s="63">
        <v>1</v>
      </c>
      <c r="BC74" s="63">
        <v>55</v>
      </c>
      <c r="BE74" s="63">
        <f t="shared" si="106"/>
        <v>0.33619210977701541</v>
      </c>
      <c r="BF74" s="63">
        <f t="shared" si="107"/>
        <v>0.29304635761589404</v>
      </c>
      <c r="BG74" s="63">
        <f t="shared" si="108"/>
        <v>0.32920110192837465</v>
      </c>
      <c r="BI74" s="63">
        <f t="shared" si="109"/>
        <v>0.19039451114922812</v>
      </c>
      <c r="BJ74" s="63">
        <f t="shared" si="110"/>
        <v>0.2433774834437086</v>
      </c>
      <c r="BK74" s="63">
        <f t="shared" si="111"/>
        <v>0.17768595041322313</v>
      </c>
      <c r="BM74" s="63">
        <f t="shared" si="112"/>
        <v>0</v>
      </c>
      <c r="BN74" s="63">
        <f t="shared" si="113"/>
        <v>0</v>
      </c>
      <c r="BO74" s="63">
        <f t="shared" si="114"/>
        <v>0</v>
      </c>
      <c r="BQ74" s="156">
        <f t="shared" si="115"/>
        <v>6.86106346483705E-2</v>
      </c>
      <c r="BR74" s="156">
        <f t="shared" si="116"/>
        <v>6.1258278145695365E-2</v>
      </c>
      <c r="BS74" s="156">
        <f t="shared" si="117"/>
        <v>5.9228650137741048E-2</v>
      </c>
      <c r="BU74" s="156">
        <f t="shared" si="118"/>
        <v>0.12178387650085763</v>
      </c>
      <c r="BV74" s="156">
        <f t="shared" si="119"/>
        <v>0.18211920529801323</v>
      </c>
      <c r="BW74" s="156">
        <f t="shared" si="120"/>
        <v>0.1184573002754821</v>
      </c>
      <c r="BY74" s="156">
        <f t="shared" si="121"/>
        <v>0.20068610634648371</v>
      </c>
      <c r="BZ74" s="156">
        <f t="shared" si="122"/>
        <v>0.14569536423841059</v>
      </c>
      <c r="CA74" s="156">
        <f t="shared" si="123"/>
        <v>0.1184573002754821</v>
      </c>
      <c r="CC74" s="156">
        <f t="shared" si="124"/>
        <v>0.2658662092624357</v>
      </c>
      <c r="CD74" s="156">
        <f t="shared" si="125"/>
        <v>0.28642384105960267</v>
      </c>
      <c r="CE74" s="156">
        <f t="shared" si="126"/>
        <v>0.37052341597796146</v>
      </c>
      <c r="CG74" s="63">
        <f t="shared" si="127"/>
        <v>0.99313893653516305</v>
      </c>
      <c r="CH74" s="63">
        <f t="shared" si="128"/>
        <v>0.9685430463576159</v>
      </c>
      <c r="CI74" s="63">
        <f t="shared" si="129"/>
        <v>0.99586776859504134</v>
      </c>
      <c r="CK74" s="63">
        <f t="shared" si="130"/>
        <v>6.8610634648369473E-3</v>
      </c>
      <c r="CL74" s="63">
        <f t="shared" si="131"/>
        <v>3.14569536423841E-2</v>
      </c>
      <c r="CM74" s="63">
        <f t="shared" si="132"/>
        <v>4.1322314049586639E-3</v>
      </c>
      <c r="CO74" s="156">
        <f t="shared" si="133"/>
        <v>3.9999999999999405</v>
      </c>
      <c r="CP74" s="156">
        <f t="shared" si="134"/>
        <v>18.999999999999996</v>
      </c>
      <c r="CQ74" s="156">
        <f t="shared" si="135"/>
        <v>2.9999999999999902</v>
      </c>
      <c r="CT74" s="63">
        <v>40</v>
      </c>
      <c r="CV74" s="156">
        <f t="shared" si="167"/>
        <v>2.3058823529411763</v>
      </c>
      <c r="CW74" s="156">
        <f t="shared" si="136"/>
        <v>2.0823529411764707</v>
      </c>
      <c r="CX74" s="156">
        <f t="shared" si="137"/>
        <v>2.8117647058823527</v>
      </c>
      <c r="CZ74" s="63">
        <f t="shared" si="138"/>
        <v>1</v>
      </c>
      <c r="DA74" s="63">
        <f t="shared" si="139"/>
        <v>1</v>
      </c>
      <c r="DB74" s="63">
        <f t="shared" si="140"/>
        <v>1</v>
      </c>
      <c r="DC74" s="63">
        <f t="shared" si="141"/>
        <v>0</v>
      </c>
      <c r="DD74" s="63">
        <f t="shared" si="142"/>
        <v>0</v>
      </c>
      <c r="DE74" s="63">
        <f t="shared" si="143"/>
        <v>0</v>
      </c>
      <c r="DF74" s="63">
        <f t="shared" si="144"/>
        <v>1</v>
      </c>
      <c r="DG74" s="63">
        <f t="shared" si="145"/>
        <v>1</v>
      </c>
      <c r="DH74" s="63">
        <f t="shared" si="146"/>
        <v>1</v>
      </c>
      <c r="DI74" s="63">
        <f t="shared" si="147"/>
        <v>1</v>
      </c>
      <c r="DJ74" s="63">
        <f t="shared" si="148"/>
        <v>1</v>
      </c>
      <c r="DK74" s="63">
        <f t="shared" si="149"/>
        <v>1</v>
      </c>
      <c r="DL74" s="63">
        <f t="shared" si="150"/>
        <v>1</v>
      </c>
      <c r="DM74" s="63">
        <f t="shared" si="151"/>
        <v>1</v>
      </c>
      <c r="DN74" s="63">
        <f t="shared" si="152"/>
        <v>1</v>
      </c>
      <c r="DO74" s="63">
        <f t="shared" si="153"/>
        <v>1</v>
      </c>
      <c r="DP74" s="63">
        <f t="shared" si="154"/>
        <v>1</v>
      </c>
      <c r="DQ74" s="63">
        <f t="shared" si="155"/>
        <v>1</v>
      </c>
      <c r="DR74" s="63">
        <f t="shared" si="156"/>
        <v>1</v>
      </c>
      <c r="DS74" s="63">
        <f t="shared" si="157"/>
        <v>1</v>
      </c>
      <c r="DT74" s="63">
        <f t="shared" si="158"/>
        <v>1</v>
      </c>
      <c r="DU74" s="63">
        <f t="shared" si="159"/>
        <v>6</v>
      </c>
      <c r="DV74" s="63">
        <f t="shared" si="160"/>
        <v>6</v>
      </c>
      <c r="DW74" s="63">
        <f t="shared" si="161"/>
        <v>6</v>
      </c>
      <c r="DX74" s="63">
        <f t="shared" si="162"/>
        <v>6</v>
      </c>
      <c r="DY74" s="63">
        <f t="shared" si="163"/>
        <v>0</v>
      </c>
      <c r="DZ74" s="137">
        <f t="shared" si="164"/>
        <v>0</v>
      </c>
      <c r="EA74" s="63">
        <f t="shared" si="164"/>
        <v>0</v>
      </c>
      <c r="EB74" s="63">
        <f t="shared" si="164"/>
        <v>0</v>
      </c>
      <c r="EC74" s="63">
        <f t="shared" si="164"/>
        <v>0</v>
      </c>
      <c r="ED74" s="63">
        <f t="shared" si="164"/>
        <v>0</v>
      </c>
      <c r="EE74" s="63">
        <f t="shared" si="164"/>
        <v>1</v>
      </c>
      <c r="EF74" s="63">
        <f t="shared" si="164"/>
        <v>0</v>
      </c>
      <c r="EG74" s="63">
        <f t="shared" si="165"/>
        <v>0</v>
      </c>
      <c r="EH74" s="63">
        <f t="shared" si="165"/>
        <v>0</v>
      </c>
      <c r="EI74" s="63">
        <f t="shared" si="165"/>
        <v>0</v>
      </c>
      <c r="EJ74" s="63">
        <f t="shared" si="165"/>
        <v>0</v>
      </c>
      <c r="EK74" s="63">
        <f t="shared" si="165"/>
        <v>0</v>
      </c>
      <c r="EL74" s="63">
        <f t="shared" si="165"/>
        <v>1</v>
      </c>
      <c r="EM74" s="63">
        <f t="shared" si="165"/>
        <v>0</v>
      </c>
      <c r="EN74" s="63">
        <f t="shared" si="166"/>
        <v>0</v>
      </c>
      <c r="EO74" s="63">
        <f t="shared" si="166"/>
        <v>0</v>
      </c>
      <c r="EP74" s="63">
        <f t="shared" si="166"/>
        <v>0</v>
      </c>
      <c r="EQ74" s="63">
        <f t="shared" si="166"/>
        <v>0</v>
      </c>
      <c r="ER74" s="63">
        <f t="shared" si="166"/>
        <v>0</v>
      </c>
      <c r="ES74" s="63">
        <f t="shared" si="166"/>
        <v>1</v>
      </c>
      <c r="ET74" s="156">
        <f t="shared" si="166"/>
        <v>0</v>
      </c>
    </row>
    <row r="75" spans="1:205" s="32" customFormat="1">
      <c r="A75" s="32" t="s">
        <v>133</v>
      </c>
      <c r="B75" s="32">
        <v>95</v>
      </c>
      <c r="C75" s="32" t="s">
        <v>39</v>
      </c>
      <c r="D75" s="32" t="s">
        <v>32</v>
      </c>
      <c r="E75" s="32">
        <v>461</v>
      </c>
      <c r="F75" s="32">
        <v>569</v>
      </c>
      <c r="G75" s="32">
        <v>524</v>
      </c>
      <c r="H75" s="32">
        <v>0</v>
      </c>
      <c r="I75" s="32">
        <v>0</v>
      </c>
      <c r="J75" s="32">
        <v>0</v>
      </c>
      <c r="K75" s="32">
        <v>378</v>
      </c>
      <c r="L75" s="32">
        <v>336</v>
      </c>
      <c r="M75" s="32">
        <v>301</v>
      </c>
      <c r="N75" s="32">
        <v>0</v>
      </c>
      <c r="O75" s="32">
        <v>0</v>
      </c>
      <c r="P75" s="32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32">
        <v>83</v>
      </c>
      <c r="AA75" s="32">
        <v>232</v>
      </c>
      <c r="AB75" s="32">
        <v>223</v>
      </c>
      <c r="AC75" s="32">
        <v>119</v>
      </c>
      <c r="AD75" s="32">
        <v>65</v>
      </c>
      <c r="AE75" s="32">
        <v>126</v>
      </c>
      <c r="AF75" s="32">
        <v>119</v>
      </c>
      <c r="AG75" s="32">
        <v>65</v>
      </c>
      <c r="AH75" s="32">
        <v>126</v>
      </c>
      <c r="AI75" s="158">
        <v>0</v>
      </c>
      <c r="AJ75" s="101">
        <v>0</v>
      </c>
      <c r="AK75" s="159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342</v>
      </c>
      <c r="AS75" s="32">
        <v>503</v>
      </c>
      <c r="AT75" s="32">
        <v>398</v>
      </c>
      <c r="AU75" s="32">
        <v>461</v>
      </c>
      <c r="AV75" s="32">
        <v>569</v>
      </c>
      <c r="AW75" s="32">
        <v>524</v>
      </c>
      <c r="AX75" s="32">
        <v>119</v>
      </c>
      <c r="AY75" s="32">
        <v>66</v>
      </c>
      <c r="AZ75" s="32">
        <v>126</v>
      </c>
      <c r="BA75" s="32">
        <v>119</v>
      </c>
      <c r="BB75" s="32">
        <v>65</v>
      </c>
      <c r="BC75" s="32">
        <v>126</v>
      </c>
      <c r="BE75" s="32">
        <f t="shared" si="106"/>
        <v>0.18004338394793926</v>
      </c>
      <c r="BF75" s="32">
        <f t="shared" si="107"/>
        <v>0.40773286467486819</v>
      </c>
      <c r="BG75" s="32">
        <f t="shared" si="108"/>
        <v>0.42557251908396948</v>
      </c>
      <c r="BI75" s="32">
        <f t="shared" si="109"/>
        <v>0</v>
      </c>
      <c r="BJ75" s="32">
        <f t="shared" si="110"/>
        <v>0</v>
      </c>
      <c r="BK75" s="32">
        <f t="shared" si="111"/>
        <v>0</v>
      </c>
      <c r="BM75" s="32">
        <f t="shared" si="112"/>
        <v>0</v>
      </c>
      <c r="BN75" s="32">
        <f t="shared" si="113"/>
        <v>0</v>
      </c>
      <c r="BO75" s="32">
        <f t="shared" si="114"/>
        <v>0</v>
      </c>
      <c r="BQ75" s="101">
        <f t="shared" si="115"/>
        <v>0</v>
      </c>
      <c r="BR75" s="101">
        <f t="shared" si="116"/>
        <v>0</v>
      </c>
      <c r="BS75" s="101">
        <f t="shared" si="117"/>
        <v>0</v>
      </c>
      <c r="BU75" s="101">
        <f t="shared" si="118"/>
        <v>0</v>
      </c>
      <c r="BV75" s="101">
        <f t="shared" si="119"/>
        <v>0</v>
      </c>
      <c r="BW75" s="101">
        <f t="shared" si="120"/>
        <v>0</v>
      </c>
      <c r="BY75" s="101">
        <f t="shared" si="121"/>
        <v>0</v>
      </c>
      <c r="BZ75" s="101">
        <f t="shared" si="122"/>
        <v>0</v>
      </c>
      <c r="CA75" s="101">
        <f t="shared" si="123"/>
        <v>0</v>
      </c>
      <c r="CC75" s="101">
        <f t="shared" si="124"/>
        <v>0</v>
      </c>
      <c r="CD75" s="101">
        <f t="shared" si="125"/>
        <v>0</v>
      </c>
      <c r="CE75" s="101">
        <f t="shared" si="126"/>
        <v>0</v>
      </c>
      <c r="CG75" s="32">
        <f t="shared" si="127"/>
        <v>0.18004338394793926</v>
      </c>
      <c r="CH75" s="32">
        <f t="shared" si="128"/>
        <v>0.40773286467486819</v>
      </c>
      <c r="CI75" s="32">
        <f t="shared" si="129"/>
        <v>0.42557251908396948</v>
      </c>
      <c r="CK75" s="32">
        <f t="shared" si="130"/>
        <v>0.81995661605206072</v>
      </c>
      <c r="CL75" s="32">
        <f t="shared" si="131"/>
        <v>0.59226713532513187</v>
      </c>
      <c r="CM75" s="32">
        <f t="shared" si="132"/>
        <v>0.57442748091603058</v>
      </c>
      <c r="CO75" s="101">
        <f t="shared" si="133"/>
        <v>378</v>
      </c>
      <c r="CP75" s="101">
        <f t="shared" si="134"/>
        <v>337.00000000000006</v>
      </c>
      <c r="CQ75" s="101">
        <f t="shared" si="135"/>
        <v>301</v>
      </c>
      <c r="CT75" s="32">
        <v>0</v>
      </c>
      <c r="CV75" s="101">
        <f t="shared" si="167"/>
        <v>0.87368421052631584</v>
      </c>
      <c r="CW75" s="101">
        <f t="shared" si="136"/>
        <v>2.4421052631578948</v>
      </c>
      <c r="CX75" s="101">
        <f t="shared" si="137"/>
        <v>2.3473684210526318</v>
      </c>
      <c r="CZ75" s="32">
        <f t="shared" si="138"/>
        <v>1</v>
      </c>
      <c r="DA75" s="32">
        <f t="shared" si="139"/>
        <v>1</v>
      </c>
      <c r="DB75" s="32">
        <f t="shared" si="140"/>
        <v>1</v>
      </c>
      <c r="DC75" s="32">
        <f t="shared" si="141"/>
        <v>0</v>
      </c>
      <c r="DD75" s="32">
        <f t="shared" si="142"/>
        <v>0</v>
      </c>
      <c r="DE75" s="32">
        <f t="shared" si="143"/>
        <v>0</v>
      </c>
      <c r="DF75" s="32">
        <f t="shared" si="144"/>
        <v>0</v>
      </c>
      <c r="DG75" s="32">
        <f t="shared" si="145"/>
        <v>0</v>
      </c>
      <c r="DH75" s="32">
        <f t="shared" si="146"/>
        <v>0</v>
      </c>
      <c r="DI75" s="32">
        <f t="shared" si="147"/>
        <v>0</v>
      </c>
      <c r="DJ75" s="32">
        <f t="shared" si="148"/>
        <v>0</v>
      </c>
      <c r="DK75" s="32">
        <f t="shared" si="149"/>
        <v>0</v>
      </c>
      <c r="DL75" s="32">
        <f t="shared" si="150"/>
        <v>0</v>
      </c>
      <c r="DM75" s="32">
        <f t="shared" si="151"/>
        <v>0</v>
      </c>
      <c r="DN75" s="32">
        <f t="shared" si="152"/>
        <v>0</v>
      </c>
      <c r="DO75" s="32">
        <f t="shared" si="153"/>
        <v>0</v>
      </c>
      <c r="DP75" s="32">
        <f t="shared" si="154"/>
        <v>0</v>
      </c>
      <c r="DQ75" s="32">
        <f t="shared" si="155"/>
        <v>0</v>
      </c>
      <c r="DR75" s="32">
        <f t="shared" si="156"/>
        <v>1</v>
      </c>
      <c r="DS75" s="32">
        <f t="shared" si="157"/>
        <v>1</v>
      </c>
      <c r="DT75" s="32">
        <f t="shared" si="158"/>
        <v>1</v>
      </c>
      <c r="DU75" s="32">
        <f t="shared" si="159"/>
        <v>2</v>
      </c>
      <c r="DV75" s="32">
        <f t="shared" si="160"/>
        <v>2</v>
      </c>
      <c r="DW75" s="32">
        <f t="shared" si="161"/>
        <v>2</v>
      </c>
      <c r="DX75" s="32">
        <f t="shared" si="162"/>
        <v>2</v>
      </c>
      <c r="DY75" s="32">
        <f t="shared" si="163"/>
        <v>0</v>
      </c>
      <c r="DZ75" s="33">
        <f t="shared" si="164"/>
        <v>0</v>
      </c>
      <c r="EA75" s="32">
        <f t="shared" si="164"/>
        <v>1</v>
      </c>
      <c r="EB75" s="32">
        <f t="shared" si="164"/>
        <v>0</v>
      </c>
      <c r="EC75" s="32">
        <f t="shared" si="164"/>
        <v>0</v>
      </c>
      <c r="ED75" s="32">
        <f t="shared" si="164"/>
        <v>0</v>
      </c>
      <c r="EE75" s="32">
        <f t="shared" si="164"/>
        <v>0</v>
      </c>
      <c r="EF75" s="32">
        <f t="shared" si="164"/>
        <v>0</v>
      </c>
      <c r="EG75" s="32">
        <f t="shared" si="165"/>
        <v>0</v>
      </c>
      <c r="EH75" s="32">
        <f t="shared" si="165"/>
        <v>1</v>
      </c>
      <c r="EI75" s="32">
        <f t="shared" si="165"/>
        <v>0</v>
      </c>
      <c r="EJ75" s="32">
        <f t="shared" si="165"/>
        <v>0</v>
      </c>
      <c r="EK75" s="32">
        <f t="shared" si="165"/>
        <v>0</v>
      </c>
      <c r="EL75" s="32">
        <f t="shared" si="165"/>
        <v>0</v>
      </c>
      <c r="EM75" s="32">
        <f t="shared" si="165"/>
        <v>0</v>
      </c>
      <c r="EN75" s="32">
        <f t="shared" si="166"/>
        <v>0</v>
      </c>
      <c r="EO75" s="32">
        <f t="shared" si="166"/>
        <v>1</v>
      </c>
      <c r="EP75" s="32">
        <f t="shared" si="166"/>
        <v>0</v>
      </c>
      <c r="EQ75" s="32">
        <f t="shared" si="166"/>
        <v>0</v>
      </c>
      <c r="ER75" s="32">
        <f t="shared" si="166"/>
        <v>0</v>
      </c>
      <c r="ES75" s="32">
        <f t="shared" si="166"/>
        <v>0</v>
      </c>
      <c r="ET75" s="101">
        <f t="shared" si="166"/>
        <v>0</v>
      </c>
    </row>
    <row r="76" spans="1:205" s="133" customFormat="1">
      <c r="A76" s="133" t="s">
        <v>75</v>
      </c>
      <c r="B76" s="133">
        <v>50</v>
      </c>
      <c r="C76" s="133" t="s">
        <v>40</v>
      </c>
      <c r="D76" s="133" t="s">
        <v>35</v>
      </c>
      <c r="E76" s="133">
        <v>230</v>
      </c>
      <c r="F76" s="133">
        <v>163</v>
      </c>
      <c r="G76" s="133">
        <v>172</v>
      </c>
      <c r="H76" s="133">
        <v>0</v>
      </c>
      <c r="I76" s="133">
        <v>15</v>
      </c>
      <c r="J76" s="133">
        <v>85</v>
      </c>
      <c r="K76" s="133">
        <v>0</v>
      </c>
      <c r="L76" s="133">
        <v>0</v>
      </c>
      <c r="M76" s="133">
        <v>0</v>
      </c>
      <c r="N76" s="133">
        <v>230</v>
      </c>
      <c r="O76" s="133">
        <v>148</v>
      </c>
      <c r="P76" s="133">
        <v>87</v>
      </c>
      <c r="Q76" s="161">
        <v>0</v>
      </c>
      <c r="R76" s="161">
        <v>0</v>
      </c>
      <c r="S76" s="161">
        <v>0</v>
      </c>
      <c r="T76" s="161">
        <v>205</v>
      </c>
      <c r="U76" s="161">
        <v>123</v>
      </c>
      <c r="V76" s="161">
        <v>62</v>
      </c>
      <c r="W76" s="161">
        <v>25</v>
      </c>
      <c r="X76" s="161">
        <v>25</v>
      </c>
      <c r="Y76" s="161">
        <v>25</v>
      </c>
      <c r="Z76" s="133">
        <v>0</v>
      </c>
      <c r="AA76" s="133">
        <v>0</v>
      </c>
      <c r="AB76" s="133">
        <v>0</v>
      </c>
      <c r="AC76" s="133">
        <v>11</v>
      </c>
      <c r="AD76" s="133">
        <v>27</v>
      </c>
      <c r="AE76" s="133">
        <v>11</v>
      </c>
      <c r="AF76" s="133">
        <v>11</v>
      </c>
      <c r="AG76" s="133">
        <v>27</v>
      </c>
      <c r="AH76" s="133">
        <v>11</v>
      </c>
      <c r="AI76" s="160">
        <v>0</v>
      </c>
      <c r="AJ76" s="161">
        <v>0</v>
      </c>
      <c r="AK76" s="162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219</v>
      </c>
      <c r="AS76" s="133">
        <v>136</v>
      </c>
      <c r="AT76" s="133">
        <v>161</v>
      </c>
      <c r="AU76" s="133">
        <v>230</v>
      </c>
      <c r="AV76" s="133">
        <v>163</v>
      </c>
      <c r="AW76" s="133">
        <v>172</v>
      </c>
      <c r="AX76" s="133">
        <v>11</v>
      </c>
      <c r="AY76" s="133">
        <v>27</v>
      </c>
      <c r="AZ76" s="133">
        <v>11</v>
      </c>
      <c r="BA76" s="133">
        <v>11</v>
      </c>
      <c r="BB76" s="133">
        <v>27</v>
      </c>
      <c r="BC76" s="133">
        <v>11</v>
      </c>
      <c r="BE76" s="133">
        <f t="shared" si="106"/>
        <v>0</v>
      </c>
      <c r="BF76" s="133">
        <f t="shared" si="107"/>
        <v>0</v>
      </c>
      <c r="BG76" s="133">
        <f t="shared" si="108"/>
        <v>0</v>
      </c>
      <c r="BI76" s="133">
        <f t="shared" si="109"/>
        <v>1</v>
      </c>
      <c r="BJ76" s="133">
        <f t="shared" si="110"/>
        <v>0.90797546012269936</v>
      </c>
      <c r="BK76" s="133">
        <f t="shared" si="111"/>
        <v>0.5058139534883721</v>
      </c>
      <c r="BM76" s="133">
        <f t="shared" si="112"/>
        <v>0</v>
      </c>
      <c r="BN76" s="133">
        <f t="shared" si="113"/>
        <v>0</v>
      </c>
      <c r="BO76" s="133">
        <f t="shared" si="114"/>
        <v>0</v>
      </c>
      <c r="BQ76" s="161">
        <f t="shared" si="115"/>
        <v>0.89130434782608692</v>
      </c>
      <c r="BR76" s="161">
        <f t="shared" si="116"/>
        <v>0.754601226993865</v>
      </c>
      <c r="BS76" s="161">
        <f t="shared" si="117"/>
        <v>0.36046511627906974</v>
      </c>
      <c r="BU76" s="161">
        <f t="shared" si="118"/>
        <v>0.10869565217391304</v>
      </c>
      <c r="BV76" s="161">
        <f t="shared" si="119"/>
        <v>0.15337423312883436</v>
      </c>
      <c r="BW76" s="161">
        <f t="shared" si="120"/>
        <v>0.14534883720930233</v>
      </c>
      <c r="BY76" s="161">
        <f t="shared" si="121"/>
        <v>0</v>
      </c>
      <c r="BZ76" s="161">
        <f t="shared" si="122"/>
        <v>9.202453987730061E-2</v>
      </c>
      <c r="CA76" s="161">
        <f t="shared" si="123"/>
        <v>0.4941860465116279</v>
      </c>
      <c r="CC76" s="161">
        <f t="shared" si="124"/>
        <v>0</v>
      </c>
      <c r="CD76" s="161">
        <f t="shared" si="125"/>
        <v>0</v>
      </c>
      <c r="CE76" s="161">
        <f t="shared" si="126"/>
        <v>0</v>
      </c>
      <c r="CG76" s="133">
        <f t="shared" si="127"/>
        <v>1</v>
      </c>
      <c r="CH76" s="133">
        <f t="shared" si="128"/>
        <v>1</v>
      </c>
      <c r="CI76" s="133">
        <f t="shared" si="129"/>
        <v>1</v>
      </c>
      <c r="CK76" s="133">
        <f t="shared" si="130"/>
        <v>0</v>
      </c>
      <c r="CL76" s="133">
        <f t="shared" si="131"/>
        <v>0</v>
      </c>
      <c r="CM76" s="133">
        <f t="shared" si="132"/>
        <v>0</v>
      </c>
      <c r="CO76" s="161">
        <f t="shared" si="133"/>
        <v>0</v>
      </c>
      <c r="CP76" s="161">
        <f t="shared" si="134"/>
        <v>0</v>
      </c>
      <c r="CQ76" s="161">
        <f t="shared" si="135"/>
        <v>0</v>
      </c>
      <c r="CT76" s="133">
        <v>205</v>
      </c>
      <c r="CV76" s="161">
        <f t="shared" si="167"/>
        <v>0</v>
      </c>
      <c r="CW76" s="161">
        <f t="shared" si="136"/>
        <v>0</v>
      </c>
      <c r="CX76" s="161">
        <f t="shared" si="137"/>
        <v>0</v>
      </c>
      <c r="CZ76" s="133">
        <f t="shared" si="138"/>
        <v>0</v>
      </c>
      <c r="DA76" s="133">
        <f t="shared" si="139"/>
        <v>0</v>
      </c>
      <c r="DB76" s="133">
        <f t="shared" si="140"/>
        <v>0</v>
      </c>
      <c r="DC76" s="133">
        <f t="shared" si="141"/>
        <v>0</v>
      </c>
      <c r="DD76" s="133">
        <f t="shared" si="142"/>
        <v>0</v>
      </c>
      <c r="DE76" s="133">
        <f t="shared" si="143"/>
        <v>0</v>
      </c>
      <c r="DF76" s="133">
        <f t="shared" si="144"/>
        <v>1</v>
      </c>
      <c r="DG76" s="133">
        <f t="shared" si="145"/>
        <v>1</v>
      </c>
      <c r="DH76" s="133">
        <f t="shared" si="146"/>
        <v>1</v>
      </c>
      <c r="DI76" s="133">
        <f t="shared" si="147"/>
        <v>1</v>
      </c>
      <c r="DJ76" s="133">
        <f t="shared" si="148"/>
        <v>1</v>
      </c>
      <c r="DK76" s="133">
        <f t="shared" si="149"/>
        <v>1</v>
      </c>
      <c r="DL76" s="133">
        <f t="shared" si="150"/>
        <v>0</v>
      </c>
      <c r="DM76" s="133">
        <f t="shared" si="151"/>
        <v>1</v>
      </c>
      <c r="DN76" s="133">
        <f t="shared" si="152"/>
        <v>1</v>
      </c>
      <c r="DO76" s="133">
        <f t="shared" si="153"/>
        <v>0</v>
      </c>
      <c r="DP76" s="133">
        <f t="shared" si="154"/>
        <v>0</v>
      </c>
      <c r="DQ76" s="133">
        <f t="shared" si="155"/>
        <v>0</v>
      </c>
      <c r="DR76" s="133">
        <f t="shared" si="156"/>
        <v>0</v>
      </c>
      <c r="DS76" s="133">
        <f t="shared" si="157"/>
        <v>0</v>
      </c>
      <c r="DT76" s="133">
        <f t="shared" si="158"/>
        <v>0</v>
      </c>
      <c r="DU76" s="133">
        <f t="shared" si="159"/>
        <v>2</v>
      </c>
      <c r="DV76" s="133">
        <f t="shared" si="160"/>
        <v>3</v>
      </c>
      <c r="DW76" s="133">
        <f t="shared" si="161"/>
        <v>3</v>
      </c>
      <c r="DX76" s="133">
        <f t="shared" si="162"/>
        <v>2.6666666666666665</v>
      </c>
      <c r="DY76" s="133">
        <f t="shared" si="163"/>
        <v>0.47140452079103168</v>
      </c>
      <c r="DZ76" s="219">
        <f t="shared" si="164"/>
        <v>0</v>
      </c>
      <c r="EA76" s="133">
        <f t="shared" si="164"/>
        <v>1</v>
      </c>
      <c r="EB76" s="133">
        <f t="shared" si="164"/>
        <v>0</v>
      </c>
      <c r="EC76" s="133">
        <f t="shared" si="164"/>
        <v>0</v>
      </c>
      <c r="ED76" s="133">
        <f t="shared" si="164"/>
        <v>0</v>
      </c>
      <c r="EE76" s="133">
        <f t="shared" si="164"/>
        <v>0</v>
      </c>
      <c r="EF76" s="133">
        <f t="shared" si="164"/>
        <v>0</v>
      </c>
      <c r="EG76" s="133">
        <f t="shared" si="165"/>
        <v>0</v>
      </c>
      <c r="EH76" s="133">
        <f t="shared" si="165"/>
        <v>0</v>
      </c>
      <c r="EI76" s="133">
        <f t="shared" si="165"/>
        <v>1</v>
      </c>
      <c r="EJ76" s="133">
        <f t="shared" si="165"/>
        <v>0</v>
      </c>
      <c r="EK76" s="133">
        <f t="shared" si="165"/>
        <v>0</v>
      </c>
      <c r="EL76" s="133">
        <f t="shared" si="165"/>
        <v>0</v>
      </c>
      <c r="EM76" s="133">
        <f t="shared" si="165"/>
        <v>0</v>
      </c>
      <c r="EN76" s="133">
        <f t="shared" si="166"/>
        <v>0</v>
      </c>
      <c r="EO76" s="133">
        <f t="shared" si="166"/>
        <v>0</v>
      </c>
      <c r="EP76" s="133">
        <f t="shared" si="166"/>
        <v>1</v>
      </c>
      <c r="EQ76" s="133">
        <f t="shared" si="166"/>
        <v>0</v>
      </c>
      <c r="ER76" s="133">
        <f t="shared" si="166"/>
        <v>0</v>
      </c>
      <c r="ES76" s="133">
        <f t="shared" si="166"/>
        <v>0</v>
      </c>
      <c r="ET76" s="161">
        <f t="shared" si="166"/>
        <v>0</v>
      </c>
    </row>
    <row r="77" spans="1:205" s="66" customFormat="1">
      <c r="A77" s="66" t="s">
        <v>76</v>
      </c>
      <c r="B77" s="66">
        <v>40</v>
      </c>
      <c r="C77" s="66" t="s">
        <v>41</v>
      </c>
      <c r="D77" s="66" t="s">
        <v>33</v>
      </c>
      <c r="E77" s="66">
        <f>(EY77/1969)*40</f>
        <v>338.56780091416965</v>
      </c>
      <c r="F77" s="66">
        <f t="shared" ref="F77:BC77" si="168">(EZ77/1969)*40</f>
        <v>424.92635855764348</v>
      </c>
      <c r="G77" s="66">
        <f t="shared" si="168"/>
        <v>427.46571863890301</v>
      </c>
      <c r="H77" s="66">
        <f t="shared" si="168"/>
        <v>101.02590147282883</v>
      </c>
      <c r="I77" s="66">
        <f t="shared" si="168"/>
        <v>94.97206703910615</v>
      </c>
      <c r="J77" s="66">
        <f t="shared" si="168"/>
        <v>95.39867953275774</v>
      </c>
      <c r="K77" s="66">
        <f t="shared" si="168"/>
        <v>18.953783646521075</v>
      </c>
      <c r="L77" s="66">
        <f t="shared" si="168"/>
        <v>42.640934484509899</v>
      </c>
      <c r="M77" s="66">
        <f t="shared" si="168"/>
        <v>31.406805485017774</v>
      </c>
      <c r="N77" s="66">
        <f t="shared" si="168"/>
        <v>106.49060436769935</v>
      </c>
      <c r="O77" s="66">
        <f t="shared" si="168"/>
        <v>75.774504824784145</v>
      </c>
      <c r="P77" s="66">
        <f t="shared" si="168"/>
        <v>70.391061452513966</v>
      </c>
      <c r="Q77" s="107">
        <f t="shared" si="168"/>
        <v>100.33519553072625</v>
      </c>
      <c r="R77" s="107">
        <f t="shared" si="168"/>
        <v>0</v>
      </c>
      <c r="S77" s="107">
        <f t="shared" si="168"/>
        <v>0</v>
      </c>
      <c r="T77" s="107">
        <f t="shared" si="168"/>
        <v>9.3448450990350427</v>
      </c>
      <c r="U77" s="107">
        <f t="shared" si="168"/>
        <v>19.156932453021838</v>
      </c>
      <c r="V77" s="107">
        <f t="shared" si="168"/>
        <v>4.3270695784662268</v>
      </c>
      <c r="W77" s="107">
        <f t="shared" si="168"/>
        <v>59.66480446927374</v>
      </c>
      <c r="X77" s="107">
        <f t="shared" si="168"/>
        <v>56.637887252412391</v>
      </c>
      <c r="Y77" s="107">
        <f t="shared" si="168"/>
        <v>66.063991874047744</v>
      </c>
      <c r="Z77" s="66">
        <f t="shared" si="168"/>
        <v>110.47232097511427</v>
      </c>
      <c r="AA77" s="66">
        <f t="shared" si="168"/>
        <v>203.10817673946164</v>
      </c>
      <c r="AB77" s="66">
        <f t="shared" si="168"/>
        <v>230.26917216861349</v>
      </c>
      <c r="AC77" s="66">
        <f t="shared" si="168"/>
        <v>-53.164042661249368</v>
      </c>
      <c r="AD77" s="66">
        <f t="shared" si="168"/>
        <v>-129.79177247333672</v>
      </c>
      <c r="AE77" s="66">
        <f t="shared" si="168"/>
        <v>-39.796851193499236</v>
      </c>
      <c r="AF77" s="66">
        <f t="shared" si="168"/>
        <v>-59.908583037074656</v>
      </c>
      <c r="AG77" s="66">
        <f t="shared" si="168"/>
        <v>-131.11223971559167</v>
      </c>
      <c r="AH77" s="66">
        <f t="shared" si="168"/>
        <v>-39.796851193499236</v>
      </c>
      <c r="AI77" s="163">
        <f t="shared" si="168"/>
        <v>53.164042661249368</v>
      </c>
      <c r="AJ77" s="107">
        <f t="shared" si="168"/>
        <v>64.80446927374301</v>
      </c>
      <c r="AK77" s="164">
        <f t="shared" si="168"/>
        <v>315.97765363128491</v>
      </c>
      <c r="AL77" s="66">
        <f t="shared" si="168"/>
        <v>50.705942102590143</v>
      </c>
      <c r="AM77" s="66">
        <f t="shared" si="168"/>
        <v>53.732859319451492</v>
      </c>
      <c r="AN77" s="66">
        <f t="shared" si="168"/>
        <v>294.68765871000505</v>
      </c>
      <c r="AO77" s="66">
        <f t="shared" si="168"/>
        <v>50.705942102590143</v>
      </c>
      <c r="AP77" s="66">
        <f t="shared" si="168"/>
        <v>46.582021330624677</v>
      </c>
      <c r="AQ77" s="66">
        <f t="shared" si="168"/>
        <v>241.99085830370748</v>
      </c>
      <c r="AR77" s="66">
        <f t="shared" si="168"/>
        <v>394.18994413407825</v>
      </c>
      <c r="AS77" s="66">
        <f t="shared" si="168"/>
        <v>574.26104621635341</v>
      </c>
      <c r="AT77" s="66">
        <f t="shared" si="168"/>
        <v>541.24936515997967</v>
      </c>
      <c r="AU77" s="66">
        <f t="shared" si="168"/>
        <v>391.73184357541902</v>
      </c>
      <c r="AV77" s="66">
        <f t="shared" si="168"/>
        <v>489.73082783138648</v>
      </c>
      <c r="AW77" s="66">
        <f t="shared" si="168"/>
        <v>743.44337227018798</v>
      </c>
      <c r="AX77" s="66">
        <f t="shared" si="168"/>
        <v>-2.4581005586592179</v>
      </c>
      <c r="AY77" s="66">
        <f t="shared" si="168"/>
        <v>-84.530218384966986</v>
      </c>
      <c r="AZ77" s="66">
        <f t="shared" si="168"/>
        <v>202.19400711020822</v>
      </c>
      <c r="BA77" s="66">
        <f t="shared" si="168"/>
        <v>-9.2026409344845099</v>
      </c>
      <c r="BB77" s="66">
        <f t="shared" si="168"/>
        <v>-84.530218384966986</v>
      </c>
      <c r="BC77" s="66">
        <f t="shared" si="168"/>
        <v>202.19400711020822</v>
      </c>
      <c r="BE77" s="66">
        <f t="shared" si="106"/>
        <v>0.28201006067520612</v>
      </c>
      <c r="BF77" s="66">
        <f t="shared" si="107"/>
        <v>0.41473430953664908</v>
      </c>
      <c r="BG77" s="66">
        <f t="shared" si="108"/>
        <v>0.30973330418624984</v>
      </c>
      <c r="BI77" s="66">
        <f t="shared" si="109"/>
        <v>0.27184566716797182</v>
      </c>
      <c r="BJ77" s="66">
        <f t="shared" si="110"/>
        <v>0.15472684282573526</v>
      </c>
      <c r="BK77" s="66">
        <f t="shared" si="111"/>
        <v>9.4682478959449118E-2</v>
      </c>
      <c r="BM77" s="66">
        <f t="shared" si="112"/>
        <v>0.25613234455219619</v>
      </c>
      <c r="BN77" s="66">
        <f t="shared" si="113"/>
        <v>0</v>
      </c>
      <c r="BO77" s="66">
        <f t="shared" si="114"/>
        <v>0</v>
      </c>
      <c r="BQ77" s="107">
        <f t="shared" si="115"/>
        <v>2.3855209251672456E-2</v>
      </c>
      <c r="BR77" s="107">
        <f t="shared" si="116"/>
        <v>3.9117268843074628E-2</v>
      </c>
      <c r="BS77" s="107">
        <f t="shared" si="117"/>
        <v>5.8203082304076944E-3</v>
      </c>
      <c r="BU77" s="107">
        <f t="shared" si="118"/>
        <v>0.1523103251568739</v>
      </c>
      <c r="BV77" s="107">
        <f t="shared" si="119"/>
        <v>0.11565105570995976</v>
      </c>
      <c r="BW77" s="107">
        <f t="shared" si="120"/>
        <v>8.8862170729041429E-2</v>
      </c>
      <c r="BY77" s="107">
        <f t="shared" si="121"/>
        <v>0.25789555567079808</v>
      </c>
      <c r="BZ77" s="107">
        <f t="shared" si="122"/>
        <v>0.19392707512340815</v>
      </c>
      <c r="CA77" s="107">
        <f t="shared" si="123"/>
        <v>0.12832003497650016</v>
      </c>
      <c r="CC77" s="107">
        <f t="shared" si="124"/>
        <v>0.13571539698179744</v>
      </c>
      <c r="CD77" s="107">
        <f t="shared" si="125"/>
        <v>0.1323267100842079</v>
      </c>
      <c r="CE77" s="107">
        <f t="shared" si="126"/>
        <v>0.42501912777352713</v>
      </c>
      <c r="CG77" s="66">
        <f t="shared" si="127"/>
        <v>0.94746668049577343</v>
      </c>
      <c r="CH77" s="66">
        <f t="shared" si="128"/>
        <v>0.89571493757000042</v>
      </c>
      <c r="CI77" s="66">
        <f t="shared" si="129"/>
        <v>0.95775494589572618</v>
      </c>
      <c r="CK77" s="66">
        <f t="shared" si="130"/>
        <v>5.2533319504226572E-2</v>
      </c>
      <c r="CL77" s="66">
        <f t="shared" si="131"/>
        <v>0.10428506242999958</v>
      </c>
      <c r="CM77" s="66">
        <f t="shared" si="132"/>
        <v>4.2245054104273816E-2</v>
      </c>
      <c r="CO77" s="107">
        <f t="shared" si="133"/>
        <v>20.578974098527194</v>
      </c>
      <c r="CP77" s="107">
        <f t="shared" si="134"/>
        <v>51.07160995429151</v>
      </c>
      <c r="CQ77" s="107">
        <f t="shared" si="135"/>
        <v>31.40680548501787</v>
      </c>
      <c r="CT77" s="66">
        <v>9.3448450990350427</v>
      </c>
      <c r="CV77" s="107">
        <f t="shared" si="167"/>
        <v>2.7618080243778569</v>
      </c>
      <c r="CW77" s="107">
        <f t="shared" si="136"/>
        <v>5.0777044184865412</v>
      </c>
      <c r="CX77" s="107">
        <f t="shared" si="137"/>
        <v>5.7567293042153374</v>
      </c>
      <c r="CZ77" s="66">
        <f t="shared" si="138"/>
        <v>1</v>
      </c>
      <c r="DA77" s="66">
        <f t="shared" si="139"/>
        <v>1</v>
      </c>
      <c r="DB77" s="66">
        <f t="shared" si="140"/>
        <v>1</v>
      </c>
      <c r="DC77" s="66">
        <f t="shared" si="141"/>
        <v>1</v>
      </c>
      <c r="DD77" s="66">
        <f t="shared" si="142"/>
        <v>0</v>
      </c>
      <c r="DE77" s="66">
        <f t="shared" si="143"/>
        <v>0</v>
      </c>
      <c r="DF77" s="66">
        <f t="shared" si="144"/>
        <v>1</v>
      </c>
      <c r="DG77" s="66">
        <f t="shared" si="145"/>
        <v>1</v>
      </c>
      <c r="DH77" s="66">
        <f t="shared" si="146"/>
        <v>1</v>
      </c>
      <c r="DI77" s="66">
        <f t="shared" si="147"/>
        <v>1</v>
      </c>
      <c r="DJ77" s="66">
        <f t="shared" si="148"/>
        <v>1</v>
      </c>
      <c r="DK77" s="66">
        <f t="shared" si="149"/>
        <v>1</v>
      </c>
      <c r="DL77" s="66">
        <f t="shared" si="150"/>
        <v>1</v>
      </c>
      <c r="DM77" s="66">
        <f t="shared" si="151"/>
        <v>1</v>
      </c>
      <c r="DN77" s="66">
        <f t="shared" si="152"/>
        <v>1</v>
      </c>
      <c r="DO77" s="66">
        <f t="shared" si="153"/>
        <v>1</v>
      </c>
      <c r="DP77" s="66">
        <f t="shared" si="154"/>
        <v>1</v>
      </c>
      <c r="DQ77" s="66">
        <f t="shared" si="155"/>
        <v>1</v>
      </c>
      <c r="DR77" s="66">
        <f t="shared" si="156"/>
        <v>1</v>
      </c>
      <c r="DS77" s="66">
        <f t="shared" si="157"/>
        <v>1</v>
      </c>
      <c r="DT77" s="66">
        <f t="shared" si="158"/>
        <v>1</v>
      </c>
      <c r="DU77" s="66">
        <f t="shared" si="159"/>
        <v>7</v>
      </c>
      <c r="DV77" s="66">
        <f t="shared" si="160"/>
        <v>6</v>
      </c>
      <c r="DW77" s="66">
        <f t="shared" si="161"/>
        <v>6</v>
      </c>
      <c r="DX77" s="66">
        <f t="shared" si="162"/>
        <v>6.333333333333333</v>
      </c>
      <c r="DY77" s="66">
        <f t="shared" si="163"/>
        <v>0.47140452079103168</v>
      </c>
      <c r="DZ77" s="204">
        <f t="shared" si="164"/>
        <v>0</v>
      </c>
      <c r="EA77" s="66">
        <f t="shared" si="164"/>
        <v>0</v>
      </c>
      <c r="EB77" s="66">
        <f t="shared" si="164"/>
        <v>0</v>
      </c>
      <c r="EC77" s="66">
        <f t="shared" si="164"/>
        <v>0</v>
      </c>
      <c r="ED77" s="66">
        <f t="shared" si="164"/>
        <v>0</v>
      </c>
      <c r="EE77" s="66">
        <f t="shared" si="164"/>
        <v>0</v>
      </c>
      <c r="EF77" s="66">
        <f t="shared" si="164"/>
        <v>1</v>
      </c>
      <c r="EG77" s="66">
        <f t="shared" si="165"/>
        <v>0</v>
      </c>
      <c r="EH77" s="66">
        <f t="shared" si="165"/>
        <v>0</v>
      </c>
      <c r="EI77" s="66">
        <f t="shared" si="165"/>
        <v>0</v>
      </c>
      <c r="EJ77" s="66">
        <f t="shared" si="165"/>
        <v>0</v>
      </c>
      <c r="EK77" s="66">
        <f t="shared" si="165"/>
        <v>0</v>
      </c>
      <c r="EL77" s="66">
        <f t="shared" si="165"/>
        <v>1</v>
      </c>
      <c r="EM77" s="66">
        <f t="shared" si="165"/>
        <v>0</v>
      </c>
      <c r="EN77" s="66">
        <f t="shared" si="166"/>
        <v>0</v>
      </c>
      <c r="EO77" s="66">
        <f t="shared" si="166"/>
        <v>0</v>
      </c>
      <c r="EP77" s="66">
        <f t="shared" si="166"/>
        <v>0</v>
      </c>
      <c r="EQ77" s="66">
        <f t="shared" si="166"/>
        <v>0</v>
      </c>
      <c r="ER77" s="66">
        <f t="shared" si="166"/>
        <v>0</v>
      </c>
      <c r="ES77" s="66">
        <f t="shared" si="166"/>
        <v>1</v>
      </c>
      <c r="ET77" s="107">
        <f t="shared" si="166"/>
        <v>0</v>
      </c>
      <c r="EY77" s="66">
        <v>16666</v>
      </c>
      <c r="EZ77" s="66">
        <v>20917</v>
      </c>
      <c r="FA77" s="66">
        <v>21042</v>
      </c>
      <c r="FB77" s="66">
        <v>4973</v>
      </c>
      <c r="FC77" s="66">
        <v>4675</v>
      </c>
      <c r="FD77" s="66">
        <v>4696</v>
      </c>
      <c r="FE77" s="66">
        <v>933</v>
      </c>
      <c r="FF77" s="66">
        <v>2099</v>
      </c>
      <c r="FG77" s="66">
        <v>1546</v>
      </c>
      <c r="FH77" s="66">
        <v>5242</v>
      </c>
      <c r="FI77" s="66">
        <v>3730</v>
      </c>
      <c r="FJ77" s="66">
        <v>3465</v>
      </c>
      <c r="FK77" s="66">
        <v>4939</v>
      </c>
      <c r="FL77" s="66">
        <v>0</v>
      </c>
      <c r="FM77" s="66">
        <v>0</v>
      </c>
      <c r="FN77" s="66">
        <v>460</v>
      </c>
      <c r="FO77" s="66">
        <v>943</v>
      </c>
      <c r="FP77" s="66">
        <v>213</v>
      </c>
      <c r="FQ77" s="66">
        <v>2937</v>
      </c>
      <c r="FR77" s="66">
        <v>2788</v>
      </c>
      <c r="FS77" s="66">
        <v>3252</v>
      </c>
      <c r="FT77" s="66">
        <v>5438</v>
      </c>
      <c r="FU77" s="66">
        <v>9998</v>
      </c>
      <c r="FV77" s="66">
        <v>11335</v>
      </c>
      <c r="FW77" s="66">
        <v>-2617</v>
      </c>
      <c r="FX77" s="66">
        <v>-6389</v>
      </c>
      <c r="FY77" s="66">
        <v>-1959</v>
      </c>
      <c r="FZ77" s="66">
        <v>-2949</v>
      </c>
      <c r="GA77" s="66">
        <v>-6454</v>
      </c>
      <c r="GB77" s="66">
        <v>-1959</v>
      </c>
      <c r="GC77" s="66">
        <v>2617</v>
      </c>
      <c r="GD77" s="66">
        <v>3190</v>
      </c>
      <c r="GE77" s="66">
        <v>15554</v>
      </c>
      <c r="GF77" s="66">
        <v>2496</v>
      </c>
      <c r="GG77" s="66">
        <v>2645</v>
      </c>
      <c r="GH77" s="66">
        <v>14506</v>
      </c>
      <c r="GI77" s="66">
        <v>2496</v>
      </c>
      <c r="GJ77" s="66">
        <v>2293</v>
      </c>
      <c r="GK77" s="66">
        <v>11912</v>
      </c>
      <c r="GL77" s="66">
        <v>19404</v>
      </c>
      <c r="GM77" s="66">
        <v>28268</v>
      </c>
      <c r="GN77" s="66">
        <v>26643</v>
      </c>
      <c r="GO77" s="66">
        <v>19283</v>
      </c>
      <c r="GP77" s="66">
        <v>24107</v>
      </c>
      <c r="GQ77" s="66">
        <v>36596</v>
      </c>
      <c r="GR77" s="66">
        <v>-121</v>
      </c>
      <c r="GS77" s="66">
        <v>-4161</v>
      </c>
      <c r="GT77" s="66">
        <v>9953</v>
      </c>
      <c r="GU77" s="66">
        <v>-453</v>
      </c>
      <c r="GV77" s="66">
        <v>-4161</v>
      </c>
      <c r="GW77" s="66">
        <v>9953</v>
      </c>
    </row>
    <row r="78" spans="1:205" s="66" customFormat="1">
      <c r="A78" s="66" t="s">
        <v>79</v>
      </c>
      <c r="B78" s="66">
        <v>30</v>
      </c>
      <c r="C78" s="66" t="s">
        <v>41</v>
      </c>
      <c r="D78" s="66" t="s">
        <v>33</v>
      </c>
      <c r="E78" s="66">
        <v>209</v>
      </c>
      <c r="F78" s="66">
        <v>205</v>
      </c>
      <c r="G78" s="66">
        <v>290</v>
      </c>
      <c r="H78" s="66">
        <v>40</v>
      </c>
      <c r="I78" s="66">
        <v>49</v>
      </c>
      <c r="J78" s="66">
        <v>58</v>
      </c>
      <c r="K78" s="66">
        <v>0</v>
      </c>
      <c r="L78" s="66">
        <v>0</v>
      </c>
      <c r="M78" s="66">
        <v>0</v>
      </c>
      <c r="N78" s="66">
        <v>21</v>
      </c>
      <c r="O78" s="66">
        <v>27</v>
      </c>
      <c r="P78" s="66">
        <v>22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21</v>
      </c>
      <c r="X78" s="107">
        <v>27</v>
      </c>
      <c r="Y78" s="107">
        <v>22</v>
      </c>
      <c r="Z78" s="66">
        <v>148</v>
      </c>
      <c r="AA78" s="66">
        <v>129</v>
      </c>
      <c r="AB78" s="66">
        <v>210</v>
      </c>
      <c r="AC78" s="66">
        <v>-38</v>
      </c>
      <c r="AD78" s="66">
        <v>26</v>
      </c>
      <c r="AE78" s="66">
        <v>-6</v>
      </c>
      <c r="AF78" s="66">
        <v>-38</v>
      </c>
      <c r="AG78" s="66">
        <v>26</v>
      </c>
      <c r="AH78" s="66">
        <v>-6</v>
      </c>
      <c r="AI78" s="163">
        <v>15</v>
      </c>
      <c r="AJ78" s="107">
        <v>5</v>
      </c>
      <c r="AK78" s="164">
        <v>3</v>
      </c>
      <c r="AL78" s="66">
        <v>15</v>
      </c>
      <c r="AM78" s="66">
        <v>5</v>
      </c>
      <c r="AN78" s="66">
        <v>3</v>
      </c>
      <c r="AO78" s="66">
        <v>15</v>
      </c>
      <c r="AP78" s="66">
        <v>5</v>
      </c>
      <c r="AQ78" s="66">
        <v>3</v>
      </c>
      <c r="AR78" s="66">
        <v>247</v>
      </c>
      <c r="AS78" s="66">
        <v>179</v>
      </c>
      <c r="AT78" s="66">
        <v>296</v>
      </c>
      <c r="AU78" s="66">
        <v>224</v>
      </c>
      <c r="AV78" s="66">
        <v>210</v>
      </c>
      <c r="AW78" s="66">
        <v>293</v>
      </c>
      <c r="AX78" s="66">
        <v>-23</v>
      </c>
      <c r="AY78" s="66">
        <v>31</v>
      </c>
      <c r="AZ78" s="66">
        <v>-3</v>
      </c>
      <c r="BA78" s="66">
        <v>-23</v>
      </c>
      <c r="BB78" s="66">
        <v>31</v>
      </c>
      <c r="BC78" s="66">
        <v>-3</v>
      </c>
      <c r="BE78" s="66">
        <f t="shared" si="106"/>
        <v>0.6607142857142857</v>
      </c>
      <c r="BF78" s="66">
        <f t="shared" si="107"/>
        <v>0.61428571428571432</v>
      </c>
      <c r="BG78" s="66">
        <f t="shared" si="108"/>
        <v>0.71672354948805461</v>
      </c>
      <c r="BI78" s="66">
        <f t="shared" si="109"/>
        <v>9.375E-2</v>
      </c>
      <c r="BJ78" s="66">
        <f t="shared" si="110"/>
        <v>0.12857142857142856</v>
      </c>
      <c r="BK78" s="66">
        <f t="shared" si="111"/>
        <v>7.5085324232081918E-2</v>
      </c>
      <c r="BM78" s="66">
        <f t="shared" si="112"/>
        <v>0</v>
      </c>
      <c r="BN78" s="66">
        <f t="shared" si="113"/>
        <v>0</v>
      </c>
      <c r="BO78" s="66">
        <f t="shared" si="114"/>
        <v>0</v>
      </c>
      <c r="BQ78" s="107">
        <f t="shared" si="115"/>
        <v>0</v>
      </c>
      <c r="BR78" s="107">
        <f t="shared" si="116"/>
        <v>0</v>
      </c>
      <c r="BS78" s="107">
        <f t="shared" si="117"/>
        <v>0</v>
      </c>
      <c r="BU78" s="107">
        <f t="shared" si="118"/>
        <v>9.375E-2</v>
      </c>
      <c r="BV78" s="107">
        <f t="shared" si="119"/>
        <v>0.12857142857142856</v>
      </c>
      <c r="BW78" s="107">
        <f t="shared" si="120"/>
        <v>7.5085324232081918E-2</v>
      </c>
      <c r="BY78" s="107">
        <f t="shared" si="121"/>
        <v>0.17857142857142858</v>
      </c>
      <c r="BZ78" s="107">
        <f t="shared" si="122"/>
        <v>0.23333333333333334</v>
      </c>
      <c r="CA78" s="107">
        <f t="shared" si="123"/>
        <v>0.19795221843003413</v>
      </c>
      <c r="CC78" s="107">
        <f t="shared" si="124"/>
        <v>6.6964285714285712E-2</v>
      </c>
      <c r="CD78" s="107">
        <f t="shared" si="125"/>
        <v>2.3809523809523808E-2</v>
      </c>
      <c r="CE78" s="107">
        <f t="shared" si="126"/>
        <v>1.0238907849829351E-2</v>
      </c>
      <c r="CG78" s="66">
        <f t="shared" si="127"/>
        <v>1</v>
      </c>
      <c r="CH78" s="66">
        <f t="shared" si="128"/>
        <v>1</v>
      </c>
      <c r="CI78" s="66">
        <f t="shared" si="129"/>
        <v>1</v>
      </c>
      <c r="CK78" s="66">
        <f t="shared" si="130"/>
        <v>0</v>
      </c>
      <c r="CL78" s="66">
        <f t="shared" si="131"/>
        <v>0</v>
      </c>
      <c r="CM78" s="66">
        <f t="shared" si="132"/>
        <v>0</v>
      </c>
      <c r="CO78" s="107">
        <f t="shared" si="133"/>
        <v>0</v>
      </c>
      <c r="CP78" s="107">
        <f t="shared" si="134"/>
        <v>0</v>
      </c>
      <c r="CQ78" s="107">
        <f t="shared" si="135"/>
        <v>0</v>
      </c>
      <c r="CT78" s="66">
        <v>0</v>
      </c>
      <c r="CV78" s="107">
        <f t="shared" si="167"/>
        <v>4.9333333333333336</v>
      </c>
      <c r="CW78" s="107">
        <f t="shared" si="136"/>
        <v>4.3</v>
      </c>
      <c r="CX78" s="107">
        <f t="shared" si="137"/>
        <v>7</v>
      </c>
      <c r="CZ78" s="66">
        <f t="shared" si="138"/>
        <v>1</v>
      </c>
      <c r="DA78" s="66">
        <f t="shared" si="139"/>
        <v>1</v>
      </c>
      <c r="DB78" s="66">
        <f t="shared" si="140"/>
        <v>1</v>
      </c>
      <c r="DC78" s="66">
        <f t="shared" si="141"/>
        <v>0</v>
      </c>
      <c r="DD78" s="66">
        <f t="shared" si="142"/>
        <v>0</v>
      </c>
      <c r="DE78" s="66">
        <f t="shared" si="143"/>
        <v>0</v>
      </c>
      <c r="DF78" s="66">
        <f t="shared" si="144"/>
        <v>0</v>
      </c>
      <c r="DG78" s="66">
        <f t="shared" si="145"/>
        <v>0</v>
      </c>
      <c r="DH78" s="66">
        <f t="shared" si="146"/>
        <v>0</v>
      </c>
      <c r="DI78" s="66">
        <f t="shared" si="147"/>
        <v>1</v>
      </c>
      <c r="DJ78" s="66">
        <f t="shared" si="148"/>
        <v>1</v>
      </c>
      <c r="DK78" s="66">
        <f t="shared" si="149"/>
        <v>1</v>
      </c>
      <c r="DL78" s="66">
        <f t="shared" si="150"/>
        <v>1</v>
      </c>
      <c r="DM78" s="66">
        <f t="shared" si="151"/>
        <v>1</v>
      </c>
      <c r="DN78" s="66">
        <f t="shared" si="152"/>
        <v>1</v>
      </c>
      <c r="DO78" s="66">
        <f t="shared" si="153"/>
        <v>1</v>
      </c>
      <c r="DP78" s="66">
        <f t="shared" si="154"/>
        <v>1</v>
      </c>
      <c r="DQ78" s="66">
        <f t="shared" si="155"/>
        <v>1</v>
      </c>
      <c r="DR78" s="66">
        <f t="shared" si="156"/>
        <v>0</v>
      </c>
      <c r="DS78" s="66">
        <f t="shared" si="157"/>
        <v>0</v>
      </c>
      <c r="DT78" s="66">
        <f t="shared" si="158"/>
        <v>0</v>
      </c>
      <c r="DU78" s="66">
        <f t="shared" si="159"/>
        <v>4</v>
      </c>
      <c r="DV78" s="66">
        <f t="shared" si="160"/>
        <v>4</v>
      </c>
      <c r="DW78" s="66">
        <f t="shared" si="161"/>
        <v>4</v>
      </c>
      <c r="DX78" s="66">
        <f t="shared" si="162"/>
        <v>4</v>
      </c>
      <c r="DY78" s="66">
        <f t="shared" si="163"/>
        <v>0</v>
      </c>
      <c r="DZ78" s="204">
        <f t="shared" si="164"/>
        <v>0</v>
      </c>
      <c r="EA78" s="66">
        <f t="shared" si="164"/>
        <v>0</v>
      </c>
      <c r="EB78" s="66">
        <f t="shared" si="164"/>
        <v>0</v>
      </c>
      <c r="EC78" s="66">
        <f t="shared" si="164"/>
        <v>1</v>
      </c>
      <c r="ED78" s="66">
        <f t="shared" si="164"/>
        <v>0</v>
      </c>
      <c r="EE78" s="66">
        <f t="shared" si="164"/>
        <v>0</v>
      </c>
      <c r="EF78" s="66">
        <f t="shared" si="164"/>
        <v>0</v>
      </c>
      <c r="EG78" s="66">
        <f t="shared" si="165"/>
        <v>0</v>
      </c>
      <c r="EH78" s="66">
        <f t="shared" si="165"/>
        <v>0</v>
      </c>
      <c r="EI78" s="66">
        <f t="shared" si="165"/>
        <v>0</v>
      </c>
      <c r="EJ78" s="66">
        <f t="shared" si="165"/>
        <v>1</v>
      </c>
      <c r="EK78" s="66">
        <f t="shared" si="165"/>
        <v>0</v>
      </c>
      <c r="EL78" s="66">
        <f t="shared" si="165"/>
        <v>0</v>
      </c>
      <c r="EM78" s="66">
        <f t="shared" si="165"/>
        <v>0</v>
      </c>
      <c r="EN78" s="66">
        <f t="shared" si="166"/>
        <v>0</v>
      </c>
      <c r="EO78" s="66">
        <f t="shared" si="166"/>
        <v>0</v>
      </c>
      <c r="EP78" s="66">
        <f t="shared" si="166"/>
        <v>0</v>
      </c>
      <c r="EQ78" s="66">
        <f t="shared" si="166"/>
        <v>1</v>
      </c>
      <c r="ER78" s="66">
        <f t="shared" si="166"/>
        <v>0</v>
      </c>
      <c r="ES78" s="66">
        <f t="shared" si="166"/>
        <v>0</v>
      </c>
      <c r="ET78" s="107">
        <f t="shared" si="166"/>
        <v>0</v>
      </c>
    </row>
    <row r="79" spans="1:205" s="66" customFormat="1">
      <c r="A79" s="66" t="s">
        <v>87</v>
      </c>
      <c r="B79" s="66">
        <v>120</v>
      </c>
      <c r="C79" s="66" t="s">
        <v>41</v>
      </c>
      <c r="D79" s="66" t="s">
        <v>35</v>
      </c>
      <c r="E79" s="66">
        <v>207</v>
      </c>
      <c r="F79" s="66">
        <v>228</v>
      </c>
      <c r="G79" s="66">
        <v>231</v>
      </c>
      <c r="H79" s="66">
        <v>12</v>
      </c>
      <c r="I79" s="66">
        <v>0</v>
      </c>
      <c r="J79" s="66">
        <v>22</v>
      </c>
      <c r="K79" s="66">
        <v>0</v>
      </c>
      <c r="L79" s="66">
        <v>0</v>
      </c>
      <c r="M79" s="66">
        <v>0</v>
      </c>
      <c r="N79" s="66">
        <v>97</v>
      </c>
      <c r="O79" s="66">
        <v>65</v>
      </c>
      <c r="P79" s="66">
        <v>50</v>
      </c>
      <c r="Q79" s="107">
        <v>0</v>
      </c>
      <c r="R79" s="107">
        <v>0</v>
      </c>
      <c r="S79" s="107">
        <v>0</v>
      </c>
      <c r="T79" s="107">
        <v>60</v>
      </c>
      <c r="U79" s="107">
        <v>0</v>
      </c>
      <c r="V79" s="107">
        <v>0</v>
      </c>
      <c r="W79" s="107">
        <v>37</v>
      </c>
      <c r="X79" s="107">
        <v>65</v>
      </c>
      <c r="Y79" s="107">
        <v>50</v>
      </c>
      <c r="Z79" s="66">
        <v>98</v>
      </c>
      <c r="AA79" s="66">
        <v>163</v>
      </c>
      <c r="AB79" s="66">
        <v>159</v>
      </c>
      <c r="AC79" s="66">
        <v>56</v>
      </c>
      <c r="AD79" s="66">
        <v>-24</v>
      </c>
      <c r="AE79" s="66">
        <v>50</v>
      </c>
      <c r="AF79" s="66">
        <v>56</v>
      </c>
      <c r="AG79" s="66">
        <v>-24</v>
      </c>
      <c r="AH79" s="66">
        <v>50</v>
      </c>
      <c r="AI79" s="163">
        <v>3</v>
      </c>
      <c r="AJ79" s="107">
        <v>30</v>
      </c>
      <c r="AK79" s="164">
        <v>0</v>
      </c>
      <c r="AL79" s="66">
        <v>3</v>
      </c>
      <c r="AM79" s="66">
        <v>4</v>
      </c>
      <c r="AN79" s="66">
        <v>0</v>
      </c>
      <c r="AO79" s="66">
        <v>3</v>
      </c>
      <c r="AP79" s="66">
        <v>4</v>
      </c>
      <c r="AQ79" s="66">
        <v>0</v>
      </c>
      <c r="AR79" s="66">
        <v>151</v>
      </c>
      <c r="AS79" s="66">
        <v>278</v>
      </c>
      <c r="AT79" s="66">
        <v>181</v>
      </c>
      <c r="AU79" s="66">
        <v>210</v>
      </c>
      <c r="AV79" s="66">
        <v>258</v>
      </c>
      <c r="AW79" s="66">
        <v>231</v>
      </c>
      <c r="AX79" s="66">
        <v>59</v>
      </c>
      <c r="AY79" s="66">
        <v>-20</v>
      </c>
      <c r="AZ79" s="66">
        <v>50</v>
      </c>
      <c r="BA79" s="66">
        <v>59</v>
      </c>
      <c r="BB79" s="66">
        <v>-20</v>
      </c>
      <c r="BC79" s="66">
        <v>50</v>
      </c>
      <c r="BE79" s="66">
        <f t="shared" si="106"/>
        <v>0.46666666666666667</v>
      </c>
      <c r="BF79" s="66">
        <f t="shared" si="107"/>
        <v>0.63178294573643412</v>
      </c>
      <c r="BG79" s="66">
        <f t="shared" si="108"/>
        <v>0.68831168831168832</v>
      </c>
      <c r="BI79" s="66">
        <f t="shared" si="109"/>
        <v>0.46190476190476193</v>
      </c>
      <c r="BJ79" s="66">
        <f t="shared" si="110"/>
        <v>0.25193798449612403</v>
      </c>
      <c r="BK79" s="66">
        <f t="shared" si="111"/>
        <v>0.21645021645021645</v>
      </c>
      <c r="BM79" s="66">
        <f t="shared" si="112"/>
        <v>0</v>
      </c>
      <c r="BN79" s="66">
        <f t="shared" si="113"/>
        <v>0</v>
      </c>
      <c r="BO79" s="66">
        <f t="shared" si="114"/>
        <v>0</v>
      </c>
      <c r="BQ79" s="107">
        <f t="shared" si="115"/>
        <v>0.2857142857142857</v>
      </c>
      <c r="BR79" s="107">
        <f t="shared" si="116"/>
        <v>0</v>
      </c>
      <c r="BS79" s="107">
        <f t="shared" si="117"/>
        <v>0</v>
      </c>
      <c r="BU79" s="107">
        <f t="shared" si="118"/>
        <v>0.1761904761904762</v>
      </c>
      <c r="BV79" s="107">
        <f t="shared" si="119"/>
        <v>0.25193798449612403</v>
      </c>
      <c r="BW79" s="107">
        <f t="shared" si="120"/>
        <v>0.21645021645021645</v>
      </c>
      <c r="BY79" s="107">
        <f t="shared" si="121"/>
        <v>5.7142857142857141E-2</v>
      </c>
      <c r="BZ79" s="107">
        <f t="shared" si="122"/>
        <v>0</v>
      </c>
      <c r="CA79" s="107">
        <f t="shared" si="123"/>
        <v>9.5238095238095233E-2</v>
      </c>
      <c r="CC79" s="107">
        <f t="shared" si="124"/>
        <v>1.4285714285714285E-2</v>
      </c>
      <c r="CD79" s="107">
        <f t="shared" si="125"/>
        <v>0.11627906976744186</v>
      </c>
      <c r="CE79" s="107">
        <f t="shared" si="126"/>
        <v>0</v>
      </c>
      <c r="CG79" s="66">
        <f t="shared" si="127"/>
        <v>1</v>
      </c>
      <c r="CH79" s="66">
        <f t="shared" si="128"/>
        <v>1</v>
      </c>
      <c r="CI79" s="66">
        <f t="shared" si="129"/>
        <v>1</v>
      </c>
      <c r="CK79" s="66">
        <f t="shared" si="130"/>
        <v>0</v>
      </c>
      <c r="CL79" s="66">
        <f t="shared" si="131"/>
        <v>0</v>
      </c>
      <c r="CM79" s="66">
        <f t="shared" si="132"/>
        <v>0</v>
      </c>
      <c r="CO79" s="107">
        <f t="shared" si="133"/>
        <v>0</v>
      </c>
      <c r="CP79" s="107">
        <f t="shared" si="134"/>
        <v>0</v>
      </c>
      <c r="CQ79" s="107">
        <f t="shared" si="135"/>
        <v>0</v>
      </c>
      <c r="CT79" s="66">
        <v>60</v>
      </c>
      <c r="CV79" s="107">
        <f t="shared" si="167"/>
        <v>0.81666666666666665</v>
      </c>
      <c r="CW79" s="107">
        <f t="shared" si="136"/>
        <v>1.3583333333333334</v>
      </c>
      <c r="CX79" s="107">
        <f t="shared" si="137"/>
        <v>1.325</v>
      </c>
      <c r="CZ79" s="66">
        <f t="shared" si="138"/>
        <v>1</v>
      </c>
      <c r="DA79" s="66">
        <f t="shared" si="139"/>
        <v>1</v>
      </c>
      <c r="DB79" s="66">
        <f t="shared" si="140"/>
        <v>1</v>
      </c>
      <c r="DC79" s="66">
        <f t="shared" si="141"/>
        <v>0</v>
      </c>
      <c r="DD79" s="66">
        <f t="shared" si="142"/>
        <v>0</v>
      </c>
      <c r="DE79" s="66">
        <f t="shared" si="143"/>
        <v>0</v>
      </c>
      <c r="DF79" s="66">
        <f t="shared" si="144"/>
        <v>1</v>
      </c>
      <c r="DG79" s="66">
        <f t="shared" si="145"/>
        <v>0</v>
      </c>
      <c r="DH79" s="66">
        <f t="shared" si="146"/>
        <v>0</v>
      </c>
      <c r="DI79" s="66">
        <f t="shared" si="147"/>
        <v>1</v>
      </c>
      <c r="DJ79" s="66">
        <f t="shared" si="148"/>
        <v>1</v>
      </c>
      <c r="DK79" s="66">
        <f t="shared" si="149"/>
        <v>1</v>
      </c>
      <c r="DL79" s="66">
        <f t="shared" si="150"/>
        <v>1</v>
      </c>
      <c r="DM79" s="66">
        <f t="shared" si="151"/>
        <v>0</v>
      </c>
      <c r="DN79" s="66">
        <f t="shared" si="152"/>
        <v>1</v>
      </c>
      <c r="DO79" s="66">
        <f t="shared" si="153"/>
        <v>1</v>
      </c>
      <c r="DP79" s="66">
        <f t="shared" si="154"/>
        <v>1</v>
      </c>
      <c r="DQ79" s="66">
        <f t="shared" si="155"/>
        <v>0</v>
      </c>
      <c r="DR79" s="66">
        <f t="shared" si="156"/>
        <v>0</v>
      </c>
      <c r="DS79" s="66">
        <f t="shared" si="157"/>
        <v>0</v>
      </c>
      <c r="DT79" s="66">
        <f t="shared" si="158"/>
        <v>0</v>
      </c>
      <c r="DU79" s="66">
        <f t="shared" si="159"/>
        <v>5</v>
      </c>
      <c r="DV79" s="66">
        <f t="shared" si="160"/>
        <v>3</v>
      </c>
      <c r="DW79" s="66">
        <f t="shared" si="161"/>
        <v>3</v>
      </c>
      <c r="DX79" s="66">
        <f t="shared" si="162"/>
        <v>3.6666666666666665</v>
      </c>
      <c r="DY79" s="66">
        <f t="shared" si="163"/>
        <v>0.94280904158206336</v>
      </c>
      <c r="DZ79" s="204">
        <f t="shared" si="164"/>
        <v>0</v>
      </c>
      <c r="EA79" s="66">
        <f t="shared" si="164"/>
        <v>0</v>
      </c>
      <c r="EB79" s="66">
        <f t="shared" si="164"/>
        <v>0</v>
      </c>
      <c r="EC79" s="66">
        <f t="shared" si="164"/>
        <v>0</v>
      </c>
      <c r="ED79" s="66">
        <f t="shared" si="164"/>
        <v>1</v>
      </c>
      <c r="EE79" s="66">
        <f t="shared" si="164"/>
        <v>0</v>
      </c>
      <c r="EF79" s="66">
        <f t="shared" si="164"/>
        <v>0</v>
      </c>
      <c r="EG79" s="66">
        <f t="shared" si="165"/>
        <v>0</v>
      </c>
      <c r="EH79" s="66">
        <f t="shared" si="165"/>
        <v>0</v>
      </c>
      <c r="EI79" s="66">
        <f t="shared" si="165"/>
        <v>1</v>
      </c>
      <c r="EJ79" s="66">
        <f t="shared" si="165"/>
        <v>0</v>
      </c>
      <c r="EK79" s="66">
        <f t="shared" si="165"/>
        <v>0</v>
      </c>
      <c r="EL79" s="66">
        <f t="shared" si="165"/>
        <v>0</v>
      </c>
      <c r="EM79" s="66">
        <f t="shared" si="165"/>
        <v>0</v>
      </c>
      <c r="EN79" s="66">
        <f t="shared" si="166"/>
        <v>0</v>
      </c>
      <c r="EO79" s="66">
        <f t="shared" si="166"/>
        <v>0</v>
      </c>
      <c r="EP79" s="66">
        <f t="shared" si="166"/>
        <v>1</v>
      </c>
      <c r="EQ79" s="66">
        <f t="shared" si="166"/>
        <v>0</v>
      </c>
      <c r="ER79" s="66">
        <f t="shared" si="166"/>
        <v>0</v>
      </c>
      <c r="ES79" s="66">
        <f t="shared" si="166"/>
        <v>0</v>
      </c>
      <c r="ET79" s="107">
        <f t="shared" si="166"/>
        <v>0</v>
      </c>
    </row>
    <row r="80" spans="1:205" s="66" customFormat="1">
      <c r="A80" s="66" t="s">
        <v>98</v>
      </c>
      <c r="B80" s="66">
        <v>31</v>
      </c>
      <c r="C80" s="66" t="s">
        <v>41</v>
      </c>
      <c r="D80" s="66" t="s">
        <v>32</v>
      </c>
      <c r="E80" s="66">
        <v>136</v>
      </c>
      <c r="F80" s="66">
        <v>153</v>
      </c>
      <c r="G80" s="66">
        <v>264</v>
      </c>
      <c r="H80" s="66">
        <v>0</v>
      </c>
      <c r="I80" s="66">
        <v>0</v>
      </c>
      <c r="J80" s="66">
        <v>0</v>
      </c>
      <c r="K80" s="66">
        <v>10</v>
      </c>
      <c r="L80" s="66">
        <v>21</v>
      </c>
      <c r="M80" s="66">
        <v>17</v>
      </c>
      <c r="N80" s="66">
        <v>67</v>
      </c>
      <c r="O80" s="66">
        <v>74</v>
      </c>
      <c r="P80" s="66">
        <v>125</v>
      </c>
      <c r="Q80" s="107">
        <v>29</v>
      </c>
      <c r="R80" s="107">
        <v>32</v>
      </c>
      <c r="S80" s="107">
        <v>74</v>
      </c>
      <c r="T80" s="107">
        <v>16</v>
      </c>
      <c r="U80" s="107">
        <v>17</v>
      </c>
      <c r="V80" s="107">
        <v>9</v>
      </c>
      <c r="W80" s="107">
        <v>22</v>
      </c>
      <c r="X80" s="107">
        <v>25</v>
      </c>
      <c r="Y80" s="107">
        <v>42</v>
      </c>
      <c r="Z80" s="66">
        <v>59</v>
      </c>
      <c r="AA80" s="66">
        <v>58</v>
      </c>
      <c r="AB80" s="66">
        <v>48</v>
      </c>
      <c r="AC80" s="66">
        <v>0</v>
      </c>
      <c r="AD80" s="66">
        <v>15</v>
      </c>
      <c r="AE80" s="66">
        <v>35</v>
      </c>
      <c r="AF80" s="66">
        <v>0</v>
      </c>
      <c r="AG80" s="66">
        <v>15</v>
      </c>
      <c r="AH80" s="66">
        <v>35</v>
      </c>
      <c r="AI80" s="163">
        <v>0</v>
      </c>
      <c r="AJ80" s="107">
        <v>0</v>
      </c>
      <c r="AK80" s="164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6">
        <v>0</v>
      </c>
      <c r="AR80" s="66">
        <v>136</v>
      </c>
      <c r="AS80" s="66">
        <v>138</v>
      </c>
      <c r="AT80" s="66">
        <v>229</v>
      </c>
      <c r="AU80" s="66">
        <v>136</v>
      </c>
      <c r="AV80" s="66">
        <v>153</v>
      </c>
      <c r="AW80" s="66">
        <v>264</v>
      </c>
      <c r="AX80" s="66">
        <v>0</v>
      </c>
      <c r="AY80" s="66">
        <v>15</v>
      </c>
      <c r="AZ80" s="66">
        <v>35</v>
      </c>
      <c r="BA80" s="66">
        <v>0</v>
      </c>
      <c r="BB80" s="66">
        <v>15</v>
      </c>
      <c r="BC80" s="66">
        <v>35</v>
      </c>
      <c r="BE80" s="66">
        <f t="shared" si="106"/>
        <v>0.43382352941176472</v>
      </c>
      <c r="BF80" s="66">
        <f t="shared" si="107"/>
        <v>0.37908496732026142</v>
      </c>
      <c r="BG80" s="66">
        <f t="shared" si="108"/>
        <v>0.18181818181818182</v>
      </c>
      <c r="BI80" s="66">
        <f t="shared" si="109"/>
        <v>0.49264705882352944</v>
      </c>
      <c r="BJ80" s="66">
        <f t="shared" si="110"/>
        <v>0.48366013071895425</v>
      </c>
      <c r="BK80" s="66">
        <f t="shared" si="111"/>
        <v>0.47348484848484851</v>
      </c>
      <c r="BM80" s="66">
        <f t="shared" si="112"/>
        <v>0.21323529411764705</v>
      </c>
      <c r="BN80" s="66">
        <f t="shared" si="113"/>
        <v>0.20915032679738563</v>
      </c>
      <c r="BO80" s="66">
        <f t="shared" si="114"/>
        <v>0.28030303030303028</v>
      </c>
      <c r="BQ80" s="107">
        <f t="shared" si="115"/>
        <v>0.11764705882352941</v>
      </c>
      <c r="BR80" s="107">
        <f t="shared" si="116"/>
        <v>0.1111111111111111</v>
      </c>
      <c r="BS80" s="107">
        <f t="shared" si="117"/>
        <v>3.4090909090909088E-2</v>
      </c>
      <c r="BU80" s="107">
        <f t="shared" si="118"/>
        <v>0.16176470588235295</v>
      </c>
      <c r="BV80" s="107">
        <f t="shared" si="119"/>
        <v>0.16339869281045752</v>
      </c>
      <c r="BW80" s="107">
        <f t="shared" si="120"/>
        <v>0.15909090909090909</v>
      </c>
      <c r="BY80" s="107">
        <f t="shared" si="121"/>
        <v>0</v>
      </c>
      <c r="BZ80" s="107">
        <f t="shared" si="122"/>
        <v>0</v>
      </c>
      <c r="CA80" s="107">
        <f t="shared" si="123"/>
        <v>0</v>
      </c>
      <c r="CC80" s="107">
        <f t="shared" si="124"/>
        <v>0</v>
      </c>
      <c r="CD80" s="107">
        <f t="shared" si="125"/>
        <v>0</v>
      </c>
      <c r="CE80" s="107">
        <f t="shared" si="126"/>
        <v>0</v>
      </c>
      <c r="CG80" s="66">
        <f t="shared" si="127"/>
        <v>0.92647058823529416</v>
      </c>
      <c r="CH80" s="66">
        <f t="shared" si="128"/>
        <v>0.86274509803921573</v>
      </c>
      <c r="CI80" s="66">
        <f t="shared" si="129"/>
        <v>0.65530303030303028</v>
      </c>
      <c r="CK80" s="66">
        <f t="shared" si="130"/>
        <v>7.3529411764705843E-2</v>
      </c>
      <c r="CL80" s="66">
        <f t="shared" si="131"/>
        <v>0.13725490196078427</v>
      </c>
      <c r="CM80" s="66">
        <f t="shared" si="132"/>
        <v>0.34469696969696972</v>
      </c>
      <c r="CO80" s="107">
        <f t="shared" si="133"/>
        <v>9.9999999999999947</v>
      </c>
      <c r="CP80" s="107">
        <f t="shared" si="134"/>
        <v>20.999999999999993</v>
      </c>
      <c r="CQ80" s="107">
        <f t="shared" si="135"/>
        <v>91</v>
      </c>
      <c r="CT80" s="66">
        <v>16</v>
      </c>
      <c r="CV80" s="107">
        <f t="shared" si="167"/>
        <v>1.903225806451613</v>
      </c>
      <c r="CW80" s="107">
        <f t="shared" si="136"/>
        <v>1.8709677419354838</v>
      </c>
      <c r="CX80" s="107">
        <f t="shared" si="137"/>
        <v>1.5483870967741935</v>
      </c>
      <c r="CZ80" s="66">
        <f t="shared" si="138"/>
        <v>1</v>
      </c>
      <c r="DA80" s="66">
        <f t="shared" si="139"/>
        <v>1</v>
      </c>
      <c r="DB80" s="66">
        <f t="shared" si="140"/>
        <v>1</v>
      </c>
      <c r="DC80" s="66">
        <f t="shared" si="141"/>
        <v>1</v>
      </c>
      <c r="DD80" s="66">
        <f t="shared" si="142"/>
        <v>1</v>
      </c>
      <c r="DE80" s="66">
        <f t="shared" si="143"/>
        <v>1</v>
      </c>
      <c r="DF80" s="66">
        <f t="shared" si="144"/>
        <v>1</v>
      </c>
      <c r="DG80" s="66">
        <f t="shared" si="145"/>
        <v>1</v>
      </c>
      <c r="DH80" s="66">
        <f t="shared" si="146"/>
        <v>1</v>
      </c>
      <c r="DI80" s="66">
        <f t="shared" si="147"/>
        <v>1</v>
      </c>
      <c r="DJ80" s="66">
        <f t="shared" si="148"/>
        <v>1</v>
      </c>
      <c r="DK80" s="66">
        <f t="shared" si="149"/>
        <v>1</v>
      </c>
      <c r="DL80" s="66">
        <f t="shared" si="150"/>
        <v>0</v>
      </c>
      <c r="DM80" s="66">
        <f t="shared" si="151"/>
        <v>0</v>
      </c>
      <c r="DN80" s="66">
        <f t="shared" si="152"/>
        <v>0</v>
      </c>
      <c r="DO80" s="66">
        <f t="shared" si="153"/>
        <v>0</v>
      </c>
      <c r="DP80" s="66">
        <f t="shared" si="154"/>
        <v>0</v>
      </c>
      <c r="DQ80" s="66">
        <f t="shared" si="155"/>
        <v>0</v>
      </c>
      <c r="DR80" s="66">
        <f t="shared" si="156"/>
        <v>1</v>
      </c>
      <c r="DS80" s="66">
        <f t="shared" si="157"/>
        <v>1</v>
      </c>
      <c r="DT80" s="66">
        <f t="shared" si="158"/>
        <v>1</v>
      </c>
      <c r="DU80" s="66">
        <f t="shared" si="159"/>
        <v>5</v>
      </c>
      <c r="DV80" s="66">
        <f t="shared" si="160"/>
        <v>5</v>
      </c>
      <c r="DW80" s="66">
        <f t="shared" si="161"/>
        <v>5</v>
      </c>
      <c r="DX80" s="66">
        <f t="shared" si="162"/>
        <v>5</v>
      </c>
      <c r="DY80" s="66">
        <f t="shared" si="163"/>
        <v>0</v>
      </c>
      <c r="DZ80" s="204">
        <f t="shared" si="164"/>
        <v>0</v>
      </c>
      <c r="EA80" s="66">
        <f t="shared" si="164"/>
        <v>0</v>
      </c>
      <c r="EB80" s="66">
        <f t="shared" si="164"/>
        <v>0</v>
      </c>
      <c r="EC80" s="66">
        <f t="shared" si="164"/>
        <v>0</v>
      </c>
      <c r="ED80" s="66">
        <f t="shared" si="164"/>
        <v>1</v>
      </c>
      <c r="EE80" s="66">
        <f t="shared" si="164"/>
        <v>0</v>
      </c>
      <c r="EF80" s="66">
        <f t="shared" si="164"/>
        <v>0</v>
      </c>
      <c r="EG80" s="66">
        <f t="shared" si="165"/>
        <v>0</v>
      </c>
      <c r="EH80" s="66">
        <f t="shared" si="165"/>
        <v>0</v>
      </c>
      <c r="EI80" s="66">
        <f t="shared" si="165"/>
        <v>0</v>
      </c>
      <c r="EJ80" s="66">
        <f t="shared" si="165"/>
        <v>0</v>
      </c>
      <c r="EK80" s="66">
        <f t="shared" si="165"/>
        <v>1</v>
      </c>
      <c r="EL80" s="66">
        <f t="shared" si="165"/>
        <v>0</v>
      </c>
      <c r="EM80" s="66">
        <f t="shared" si="165"/>
        <v>0</v>
      </c>
      <c r="EN80" s="66">
        <f t="shared" si="166"/>
        <v>0</v>
      </c>
      <c r="EO80" s="66">
        <f t="shared" si="166"/>
        <v>0</v>
      </c>
      <c r="EP80" s="66">
        <f t="shared" si="166"/>
        <v>0</v>
      </c>
      <c r="EQ80" s="66">
        <f t="shared" si="166"/>
        <v>0</v>
      </c>
      <c r="ER80" s="66">
        <f t="shared" si="166"/>
        <v>1</v>
      </c>
      <c r="ES80" s="66">
        <f t="shared" si="166"/>
        <v>0</v>
      </c>
      <c r="ET80" s="107">
        <f t="shared" si="166"/>
        <v>0</v>
      </c>
    </row>
    <row r="81" spans="1:205" s="45" customFormat="1">
      <c r="A81" s="45" t="s">
        <v>53</v>
      </c>
      <c r="B81" s="45">
        <v>140</v>
      </c>
      <c r="C81" s="45" t="s">
        <v>34</v>
      </c>
      <c r="D81" s="45" t="s">
        <v>32</v>
      </c>
      <c r="E81" s="45">
        <f>(EY81/2000)*180</f>
        <v>1252.6199999999999</v>
      </c>
      <c r="F81" s="45">
        <f t="shared" ref="F81:BC81" si="169">(EZ81/2000)*180</f>
        <v>1362.33</v>
      </c>
      <c r="G81" s="45">
        <f t="shared" si="169"/>
        <v>1639.62</v>
      </c>
      <c r="H81" s="45">
        <f t="shared" si="169"/>
        <v>350.82</v>
      </c>
      <c r="I81" s="45">
        <f t="shared" si="169"/>
        <v>303.21000000000004</v>
      </c>
      <c r="J81" s="45">
        <f t="shared" si="169"/>
        <v>398.7</v>
      </c>
      <c r="K81" s="45">
        <f t="shared" si="169"/>
        <v>0.72</v>
      </c>
      <c r="L81" s="45">
        <f t="shared" si="169"/>
        <v>0.80999999999999994</v>
      </c>
      <c r="M81" s="45">
        <f t="shared" si="169"/>
        <v>4.5</v>
      </c>
      <c r="N81" s="45">
        <f t="shared" si="169"/>
        <v>702.44999999999993</v>
      </c>
      <c r="O81" s="45">
        <f t="shared" si="169"/>
        <v>576.09</v>
      </c>
      <c r="P81" s="45">
        <f t="shared" si="169"/>
        <v>579.78</v>
      </c>
      <c r="Q81" s="102">
        <f t="shared" si="169"/>
        <v>139.68</v>
      </c>
      <c r="R81" s="102">
        <f t="shared" si="169"/>
        <v>0</v>
      </c>
      <c r="S81" s="102">
        <f t="shared" si="169"/>
        <v>0</v>
      </c>
      <c r="T81" s="102">
        <f t="shared" si="169"/>
        <v>160.10999999999999</v>
      </c>
      <c r="U81" s="102">
        <f t="shared" si="169"/>
        <v>97.38000000000001</v>
      </c>
      <c r="V81" s="102">
        <f t="shared" si="169"/>
        <v>48.06</v>
      </c>
      <c r="W81" s="102">
        <f t="shared" si="169"/>
        <v>402.66</v>
      </c>
      <c r="X81" s="102">
        <f t="shared" si="169"/>
        <v>478.71</v>
      </c>
      <c r="Y81" s="102">
        <f t="shared" si="169"/>
        <v>531.72</v>
      </c>
      <c r="Z81" s="45">
        <f t="shared" si="169"/>
        <v>196.82999999999998</v>
      </c>
      <c r="AA81" s="45">
        <f t="shared" si="169"/>
        <v>482.21999999999997</v>
      </c>
      <c r="AB81" s="45">
        <f t="shared" si="169"/>
        <v>656.37</v>
      </c>
      <c r="AC81" s="45">
        <f t="shared" si="169"/>
        <v>115.10999999999999</v>
      </c>
      <c r="AD81" s="45">
        <f t="shared" si="169"/>
        <v>11.34</v>
      </c>
      <c r="AE81" s="45">
        <f t="shared" si="169"/>
        <v>-21.15</v>
      </c>
      <c r="AF81" s="45">
        <f t="shared" si="169"/>
        <v>-115.28999999999999</v>
      </c>
      <c r="AG81" s="45">
        <f t="shared" si="169"/>
        <v>11.34</v>
      </c>
      <c r="AH81" s="45">
        <f t="shared" si="169"/>
        <v>-21.15</v>
      </c>
      <c r="AI81" s="165">
        <f t="shared" si="169"/>
        <v>76.59</v>
      </c>
      <c r="AJ81" s="102">
        <f t="shared" si="169"/>
        <v>70.83</v>
      </c>
      <c r="AK81" s="166">
        <f t="shared" si="169"/>
        <v>33.119999999999997</v>
      </c>
      <c r="AL81" s="45">
        <f t="shared" si="169"/>
        <v>9.81</v>
      </c>
      <c r="AM81" s="45">
        <f t="shared" si="169"/>
        <v>-18.809999999999999</v>
      </c>
      <c r="AN81" s="45">
        <f t="shared" si="169"/>
        <v>6.03</v>
      </c>
      <c r="AO81" s="45">
        <f t="shared" si="169"/>
        <v>9.81</v>
      </c>
      <c r="AP81" s="45">
        <f t="shared" si="169"/>
        <v>-18.809999999999999</v>
      </c>
      <c r="AQ81" s="45">
        <f t="shared" si="169"/>
        <v>6.03</v>
      </c>
      <c r="AR81" s="45">
        <f t="shared" si="169"/>
        <v>1434.51</v>
      </c>
      <c r="AS81" s="45">
        <f t="shared" si="169"/>
        <v>1440.63</v>
      </c>
      <c r="AT81" s="45">
        <f t="shared" si="169"/>
        <v>1687.8600000000001</v>
      </c>
      <c r="AU81" s="45">
        <f t="shared" si="169"/>
        <v>1329.21</v>
      </c>
      <c r="AV81" s="45">
        <f t="shared" si="169"/>
        <v>1433.1599999999999</v>
      </c>
      <c r="AW81" s="45">
        <f t="shared" si="169"/>
        <v>1672.7399999999998</v>
      </c>
      <c r="AX81" s="45">
        <f t="shared" si="169"/>
        <v>-105.3</v>
      </c>
      <c r="AY81" s="45">
        <f t="shared" si="169"/>
        <v>-7.4700000000000006</v>
      </c>
      <c r="AZ81" s="45">
        <f t="shared" si="169"/>
        <v>-15.120000000000001</v>
      </c>
      <c r="BA81" s="45">
        <f t="shared" si="169"/>
        <v>-105.47999999999999</v>
      </c>
      <c r="BB81" s="45">
        <f t="shared" si="169"/>
        <v>-7.4700000000000006</v>
      </c>
      <c r="BC81" s="45">
        <f t="shared" si="169"/>
        <v>-15.120000000000001</v>
      </c>
      <c r="BE81" s="45">
        <f t="shared" si="106"/>
        <v>0.14808043875685556</v>
      </c>
      <c r="BF81" s="45">
        <f t="shared" si="107"/>
        <v>0.33647324792765637</v>
      </c>
      <c r="BG81" s="45">
        <f t="shared" si="108"/>
        <v>0.39239212310341121</v>
      </c>
      <c r="BI81" s="45">
        <f t="shared" si="109"/>
        <v>0.52847179903852659</v>
      </c>
      <c r="BJ81" s="45">
        <f t="shared" si="110"/>
        <v>0.40197186636523491</v>
      </c>
      <c r="BK81" s="45">
        <f t="shared" si="111"/>
        <v>0.34660497148391267</v>
      </c>
      <c r="BM81" s="45">
        <f t="shared" si="112"/>
        <v>0.10508497528607218</v>
      </c>
      <c r="BN81" s="45">
        <f t="shared" si="113"/>
        <v>0</v>
      </c>
      <c r="BO81" s="45">
        <f t="shared" si="114"/>
        <v>0</v>
      </c>
      <c r="BQ81" s="102">
        <f t="shared" si="115"/>
        <v>0.12045500710948608</v>
      </c>
      <c r="BR81" s="102">
        <f t="shared" si="116"/>
        <v>6.7947751821150482E-2</v>
      </c>
      <c r="BS81" s="102">
        <f t="shared" si="117"/>
        <v>2.8731303131389222E-2</v>
      </c>
      <c r="BU81" s="102">
        <f t="shared" si="118"/>
        <v>0.30293181664296837</v>
      </c>
      <c r="BV81" s="102">
        <f t="shared" si="119"/>
        <v>0.33402411454408443</v>
      </c>
      <c r="BW81" s="102">
        <f t="shared" si="120"/>
        <v>0.31787366835252345</v>
      </c>
      <c r="BY81" s="102">
        <f t="shared" si="121"/>
        <v>0.26393120725844671</v>
      </c>
      <c r="BZ81" s="102">
        <f t="shared" si="122"/>
        <v>0.21156744536548611</v>
      </c>
      <c r="CA81" s="102">
        <f t="shared" si="123"/>
        <v>0.23835144732594429</v>
      </c>
      <c r="CC81" s="102">
        <f t="shared" si="124"/>
        <v>5.762069198997901E-2</v>
      </c>
      <c r="CD81" s="102">
        <f t="shared" si="125"/>
        <v>4.9422255714644564E-2</v>
      </c>
      <c r="CE81" s="102">
        <f t="shared" si="126"/>
        <v>1.9799849348972345E-2</v>
      </c>
      <c r="CG81" s="45">
        <f t="shared" si="127"/>
        <v>0.99810413704380785</v>
      </c>
      <c r="CH81" s="45">
        <f t="shared" si="128"/>
        <v>0.99943481537302192</v>
      </c>
      <c r="CI81" s="45">
        <f t="shared" si="129"/>
        <v>0.99714839126224053</v>
      </c>
      <c r="CK81" s="45">
        <f t="shared" si="130"/>
        <v>1.8958629561921514E-3</v>
      </c>
      <c r="CL81" s="45">
        <f t="shared" si="131"/>
        <v>5.6518462697807692E-4</v>
      </c>
      <c r="CM81" s="45">
        <f t="shared" si="132"/>
        <v>2.8516087377594701E-3</v>
      </c>
      <c r="CO81" s="102">
        <f t="shared" si="133"/>
        <v>2.5200000000001697</v>
      </c>
      <c r="CP81" s="102">
        <f t="shared" si="134"/>
        <v>0.80999999999990069</v>
      </c>
      <c r="CQ81" s="102">
        <f t="shared" si="135"/>
        <v>4.7699999999997758</v>
      </c>
      <c r="CT81" s="45">
        <v>160.10999999999999</v>
      </c>
      <c r="CV81" s="102">
        <f t="shared" si="167"/>
        <v>1.4059285714285714</v>
      </c>
      <c r="CW81" s="102">
        <f t="shared" si="136"/>
        <v>3.4444285714285714</v>
      </c>
      <c r="CX81" s="102">
        <f t="shared" si="137"/>
        <v>4.6883571428571429</v>
      </c>
      <c r="CZ81" s="45">
        <f t="shared" si="138"/>
        <v>1</v>
      </c>
      <c r="DA81" s="45">
        <f t="shared" si="139"/>
        <v>1</v>
      </c>
      <c r="DB81" s="45">
        <f t="shared" si="140"/>
        <v>1</v>
      </c>
      <c r="DC81" s="45">
        <f t="shared" si="141"/>
        <v>1</v>
      </c>
      <c r="DD81" s="45">
        <f t="shared" si="142"/>
        <v>0</v>
      </c>
      <c r="DE81" s="45">
        <f t="shared" si="143"/>
        <v>0</v>
      </c>
      <c r="DF81" s="45">
        <f t="shared" si="144"/>
        <v>1</v>
      </c>
      <c r="DG81" s="45">
        <f t="shared" si="145"/>
        <v>1</v>
      </c>
      <c r="DH81" s="45">
        <f t="shared" si="146"/>
        <v>1</v>
      </c>
      <c r="DI81" s="45">
        <f t="shared" si="147"/>
        <v>1</v>
      </c>
      <c r="DJ81" s="45">
        <f t="shared" si="148"/>
        <v>1</v>
      </c>
      <c r="DK81" s="45">
        <f t="shared" si="149"/>
        <v>1</v>
      </c>
      <c r="DL81" s="45">
        <f t="shared" si="150"/>
        <v>1</v>
      </c>
      <c r="DM81" s="45">
        <f t="shared" si="151"/>
        <v>1</v>
      </c>
      <c r="DN81" s="45">
        <f t="shared" si="152"/>
        <v>1</v>
      </c>
      <c r="DO81" s="45">
        <f t="shared" si="153"/>
        <v>1</v>
      </c>
      <c r="DP81" s="45">
        <f t="shared" si="154"/>
        <v>1</v>
      </c>
      <c r="DQ81" s="45">
        <f t="shared" si="155"/>
        <v>1</v>
      </c>
      <c r="DR81" s="45">
        <f t="shared" si="156"/>
        <v>1</v>
      </c>
      <c r="DS81" s="45">
        <f t="shared" si="157"/>
        <v>1</v>
      </c>
      <c r="DT81" s="45">
        <f t="shared" si="158"/>
        <v>1</v>
      </c>
      <c r="DU81" s="45">
        <f t="shared" si="159"/>
        <v>7</v>
      </c>
      <c r="DV81" s="45">
        <f t="shared" si="160"/>
        <v>6</v>
      </c>
      <c r="DW81" s="45">
        <f t="shared" si="161"/>
        <v>6</v>
      </c>
      <c r="DX81" s="45">
        <f t="shared" si="162"/>
        <v>6.333333333333333</v>
      </c>
      <c r="DY81" s="45">
        <f t="shared" si="163"/>
        <v>0.47140452079103168</v>
      </c>
      <c r="DZ81" s="46">
        <f t="shared" si="164"/>
        <v>0</v>
      </c>
      <c r="EA81" s="45">
        <f t="shared" si="164"/>
        <v>0</v>
      </c>
      <c r="EB81" s="45">
        <f t="shared" si="164"/>
        <v>0</v>
      </c>
      <c r="EC81" s="45">
        <f t="shared" si="164"/>
        <v>0</v>
      </c>
      <c r="ED81" s="45">
        <f t="shared" si="164"/>
        <v>0</v>
      </c>
      <c r="EE81" s="45">
        <f t="shared" si="164"/>
        <v>0</v>
      </c>
      <c r="EF81" s="45">
        <f t="shared" si="164"/>
        <v>1</v>
      </c>
      <c r="EG81" s="45">
        <f t="shared" si="165"/>
        <v>0</v>
      </c>
      <c r="EH81" s="45">
        <f t="shared" si="165"/>
        <v>0</v>
      </c>
      <c r="EI81" s="45">
        <f t="shared" si="165"/>
        <v>0</v>
      </c>
      <c r="EJ81" s="45">
        <f t="shared" si="165"/>
        <v>0</v>
      </c>
      <c r="EK81" s="45">
        <f t="shared" si="165"/>
        <v>0</v>
      </c>
      <c r="EL81" s="45">
        <f t="shared" si="165"/>
        <v>1</v>
      </c>
      <c r="EM81" s="45">
        <f t="shared" si="165"/>
        <v>0</v>
      </c>
      <c r="EN81" s="45">
        <f t="shared" si="166"/>
        <v>0</v>
      </c>
      <c r="EO81" s="45">
        <f t="shared" si="166"/>
        <v>0</v>
      </c>
      <c r="EP81" s="45">
        <f t="shared" si="166"/>
        <v>0</v>
      </c>
      <c r="EQ81" s="45">
        <f t="shared" si="166"/>
        <v>0</v>
      </c>
      <c r="ER81" s="45">
        <f t="shared" si="166"/>
        <v>0</v>
      </c>
      <c r="ES81" s="45">
        <f t="shared" si="166"/>
        <v>1</v>
      </c>
      <c r="ET81" s="102">
        <f t="shared" si="166"/>
        <v>0</v>
      </c>
      <c r="EY81" s="45">
        <v>13918</v>
      </c>
      <c r="EZ81" s="45">
        <v>15137</v>
      </c>
      <c r="FA81" s="45">
        <v>18218</v>
      </c>
      <c r="FB81" s="45">
        <v>3898</v>
      </c>
      <c r="FC81" s="45">
        <v>3369</v>
      </c>
      <c r="FD81" s="45">
        <v>4430</v>
      </c>
      <c r="FE81" s="45">
        <v>8</v>
      </c>
      <c r="FF81" s="45">
        <v>9</v>
      </c>
      <c r="FG81" s="45">
        <v>50</v>
      </c>
      <c r="FH81" s="45">
        <v>7805</v>
      </c>
      <c r="FI81" s="45">
        <v>6401</v>
      </c>
      <c r="FJ81" s="45">
        <v>6442</v>
      </c>
      <c r="FK81" s="45">
        <v>1552</v>
      </c>
      <c r="FL81" s="45">
        <v>0</v>
      </c>
      <c r="FM81" s="45">
        <v>0</v>
      </c>
      <c r="FN81" s="45">
        <v>1779</v>
      </c>
      <c r="FO81" s="45">
        <v>1082</v>
      </c>
      <c r="FP81" s="45">
        <v>534</v>
      </c>
      <c r="FQ81" s="45">
        <v>4474</v>
      </c>
      <c r="FR81" s="45">
        <v>5319</v>
      </c>
      <c r="FS81" s="45">
        <v>5908</v>
      </c>
      <c r="FT81" s="45">
        <v>2187</v>
      </c>
      <c r="FU81" s="45">
        <v>5358</v>
      </c>
      <c r="FV81" s="45">
        <v>7293</v>
      </c>
      <c r="FW81" s="45">
        <v>1279</v>
      </c>
      <c r="FX81" s="45">
        <v>126</v>
      </c>
      <c r="FY81" s="45">
        <v>-235</v>
      </c>
      <c r="FZ81" s="45">
        <v>-1281</v>
      </c>
      <c r="GA81" s="45">
        <v>126</v>
      </c>
      <c r="GB81" s="45">
        <v>-235</v>
      </c>
      <c r="GC81" s="45">
        <v>851</v>
      </c>
      <c r="GD81" s="45">
        <v>787</v>
      </c>
      <c r="GE81" s="45">
        <v>368</v>
      </c>
      <c r="GF81" s="45">
        <v>109</v>
      </c>
      <c r="GG81" s="45">
        <v>-209</v>
      </c>
      <c r="GH81" s="45">
        <v>67</v>
      </c>
      <c r="GI81" s="45">
        <v>109</v>
      </c>
      <c r="GJ81" s="45">
        <v>-209</v>
      </c>
      <c r="GK81" s="45">
        <v>67</v>
      </c>
      <c r="GL81" s="45">
        <v>15939</v>
      </c>
      <c r="GM81" s="45">
        <v>16007</v>
      </c>
      <c r="GN81" s="45">
        <v>18754</v>
      </c>
      <c r="GO81" s="45">
        <v>14769</v>
      </c>
      <c r="GP81" s="45">
        <v>15924</v>
      </c>
      <c r="GQ81" s="45">
        <v>18586</v>
      </c>
      <c r="GR81" s="45">
        <v>-1170</v>
      </c>
      <c r="GS81" s="45">
        <v>-83</v>
      </c>
      <c r="GT81" s="45">
        <v>-168</v>
      </c>
      <c r="GU81" s="45">
        <v>-1172</v>
      </c>
      <c r="GV81" s="45">
        <v>-83</v>
      </c>
      <c r="GW81" s="45">
        <v>-168</v>
      </c>
    </row>
    <row r="82" spans="1:205" s="45" customFormat="1">
      <c r="A82" s="45" t="s">
        <v>88</v>
      </c>
      <c r="B82" s="45">
        <v>180</v>
      </c>
      <c r="C82" s="45" t="s">
        <v>34</v>
      </c>
      <c r="D82" s="45" t="s">
        <v>33</v>
      </c>
      <c r="E82" s="45">
        <v>1487</v>
      </c>
      <c r="F82" s="45">
        <v>1548</v>
      </c>
      <c r="G82" s="45">
        <v>1471</v>
      </c>
      <c r="H82" s="45">
        <v>51</v>
      </c>
      <c r="I82" s="45">
        <v>47</v>
      </c>
      <c r="J82" s="45">
        <v>80</v>
      </c>
      <c r="K82" s="45">
        <v>847</v>
      </c>
      <c r="L82" s="45">
        <v>809</v>
      </c>
      <c r="M82" s="45">
        <v>781</v>
      </c>
      <c r="N82" s="45">
        <v>0</v>
      </c>
      <c r="O82" s="45">
        <v>0</v>
      </c>
      <c r="P82" s="45">
        <v>0</v>
      </c>
      <c r="Q82" s="102">
        <v>0</v>
      </c>
      <c r="R82" s="102">
        <v>0</v>
      </c>
      <c r="S82" s="102">
        <v>0</v>
      </c>
      <c r="T82" s="102">
        <v>0</v>
      </c>
      <c r="U82" s="102">
        <v>0</v>
      </c>
      <c r="V82" s="102">
        <v>0</v>
      </c>
      <c r="W82" s="102">
        <v>0</v>
      </c>
      <c r="X82" s="102">
        <v>0</v>
      </c>
      <c r="Y82" s="102">
        <v>0</v>
      </c>
      <c r="Z82" s="45">
        <v>589</v>
      </c>
      <c r="AA82" s="45">
        <v>692</v>
      </c>
      <c r="AB82" s="45">
        <v>700</v>
      </c>
      <c r="AC82" s="45">
        <v>78</v>
      </c>
      <c r="AD82" s="45">
        <v>100</v>
      </c>
      <c r="AE82" s="45">
        <v>24</v>
      </c>
      <c r="AF82" s="45">
        <v>78</v>
      </c>
      <c r="AG82" s="45">
        <v>100</v>
      </c>
      <c r="AH82" s="45">
        <v>24</v>
      </c>
      <c r="AI82" s="165">
        <v>0</v>
      </c>
      <c r="AJ82" s="102">
        <v>0</v>
      </c>
      <c r="AK82" s="166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1409</v>
      </c>
      <c r="AS82" s="45">
        <v>1448</v>
      </c>
      <c r="AT82" s="45">
        <v>1447</v>
      </c>
      <c r="AU82" s="45">
        <v>1487</v>
      </c>
      <c r="AV82" s="45">
        <v>1548</v>
      </c>
      <c r="AW82" s="45">
        <v>1471</v>
      </c>
      <c r="AX82" s="45">
        <v>78</v>
      </c>
      <c r="AY82" s="45">
        <v>100</v>
      </c>
      <c r="AZ82" s="45">
        <v>24</v>
      </c>
      <c r="BA82" s="45">
        <v>78</v>
      </c>
      <c r="BB82" s="45">
        <v>100</v>
      </c>
      <c r="BC82" s="45">
        <v>24</v>
      </c>
      <c r="BE82" s="45">
        <f t="shared" si="106"/>
        <v>0.39609952925353059</v>
      </c>
      <c r="BF82" s="45">
        <f t="shared" si="107"/>
        <v>0.44702842377260982</v>
      </c>
      <c r="BG82" s="45">
        <f t="shared" si="108"/>
        <v>0.47586675730795375</v>
      </c>
      <c r="BI82" s="45">
        <f t="shared" si="109"/>
        <v>0</v>
      </c>
      <c r="BJ82" s="45">
        <f t="shared" si="110"/>
        <v>0</v>
      </c>
      <c r="BK82" s="45">
        <f t="shared" si="111"/>
        <v>0</v>
      </c>
      <c r="BM82" s="45">
        <f t="shared" si="112"/>
        <v>0</v>
      </c>
      <c r="BN82" s="45">
        <f t="shared" si="113"/>
        <v>0</v>
      </c>
      <c r="BO82" s="45">
        <f t="shared" si="114"/>
        <v>0</v>
      </c>
      <c r="BQ82" s="102">
        <f t="shared" si="115"/>
        <v>0</v>
      </c>
      <c r="BR82" s="102">
        <f t="shared" si="116"/>
        <v>0</v>
      </c>
      <c r="BS82" s="102">
        <f t="shared" si="117"/>
        <v>0</v>
      </c>
      <c r="BU82" s="102">
        <f t="shared" si="118"/>
        <v>0</v>
      </c>
      <c r="BV82" s="102">
        <f t="shared" si="119"/>
        <v>0</v>
      </c>
      <c r="BW82" s="102">
        <f t="shared" si="120"/>
        <v>0</v>
      </c>
      <c r="BY82" s="102">
        <f t="shared" si="121"/>
        <v>3.429724277067922E-2</v>
      </c>
      <c r="BZ82" s="102">
        <f t="shared" si="122"/>
        <v>3.0361757105943153E-2</v>
      </c>
      <c r="CA82" s="102">
        <f t="shared" si="123"/>
        <v>5.4384772263766146E-2</v>
      </c>
      <c r="CC82" s="102">
        <f t="shared" si="124"/>
        <v>0</v>
      </c>
      <c r="CD82" s="102">
        <f t="shared" si="125"/>
        <v>0</v>
      </c>
      <c r="CE82" s="102">
        <f t="shared" si="126"/>
        <v>0</v>
      </c>
      <c r="CG82" s="45">
        <f t="shared" si="127"/>
        <v>0.43039677202420978</v>
      </c>
      <c r="CH82" s="45">
        <f t="shared" si="128"/>
        <v>0.47739018087855295</v>
      </c>
      <c r="CI82" s="45">
        <f t="shared" si="129"/>
        <v>0.53025152957171984</v>
      </c>
      <c r="CK82" s="45">
        <f t="shared" si="130"/>
        <v>0.56960322797579022</v>
      </c>
      <c r="CL82" s="45">
        <f t="shared" si="131"/>
        <v>0.52260981912144699</v>
      </c>
      <c r="CM82" s="45">
        <f t="shared" si="132"/>
        <v>0.46974847042828016</v>
      </c>
      <c r="CO82" s="102">
        <f t="shared" si="133"/>
        <v>847</v>
      </c>
      <c r="CP82" s="102">
        <f t="shared" si="134"/>
        <v>809</v>
      </c>
      <c r="CQ82" s="102">
        <f t="shared" si="135"/>
        <v>691.00000000000011</v>
      </c>
      <c r="CT82" s="45">
        <v>0</v>
      </c>
      <c r="CV82" s="102">
        <f t="shared" si="167"/>
        <v>3.2722222222222221</v>
      </c>
      <c r="CW82" s="102">
        <f t="shared" si="136"/>
        <v>3.8444444444444446</v>
      </c>
      <c r="CX82" s="102">
        <f t="shared" si="137"/>
        <v>3.8888888888888888</v>
      </c>
      <c r="CZ82" s="45">
        <f t="shared" si="138"/>
        <v>1</v>
      </c>
      <c r="DA82" s="45">
        <f t="shared" si="139"/>
        <v>1</v>
      </c>
      <c r="DB82" s="45">
        <f t="shared" si="140"/>
        <v>1</v>
      </c>
      <c r="DC82" s="45">
        <f t="shared" si="141"/>
        <v>0</v>
      </c>
      <c r="DD82" s="45">
        <f t="shared" si="142"/>
        <v>0</v>
      </c>
      <c r="DE82" s="45">
        <f t="shared" si="143"/>
        <v>0</v>
      </c>
      <c r="DF82" s="45">
        <f t="shared" si="144"/>
        <v>0</v>
      </c>
      <c r="DG82" s="45">
        <f t="shared" si="145"/>
        <v>0</v>
      </c>
      <c r="DH82" s="45">
        <f t="shared" si="146"/>
        <v>0</v>
      </c>
      <c r="DI82" s="45">
        <f t="shared" si="147"/>
        <v>0</v>
      </c>
      <c r="DJ82" s="45">
        <f t="shared" si="148"/>
        <v>0</v>
      </c>
      <c r="DK82" s="45">
        <f t="shared" si="149"/>
        <v>0</v>
      </c>
      <c r="DL82" s="45">
        <f t="shared" si="150"/>
        <v>1</v>
      </c>
      <c r="DM82" s="45">
        <f t="shared" si="151"/>
        <v>1</v>
      </c>
      <c r="DN82" s="45">
        <f t="shared" si="152"/>
        <v>1</v>
      </c>
      <c r="DO82" s="45">
        <f t="shared" si="153"/>
        <v>0</v>
      </c>
      <c r="DP82" s="45">
        <f t="shared" si="154"/>
        <v>0</v>
      </c>
      <c r="DQ82" s="45">
        <f t="shared" si="155"/>
        <v>0</v>
      </c>
      <c r="DR82" s="45">
        <f t="shared" si="156"/>
        <v>1</v>
      </c>
      <c r="DS82" s="45">
        <f t="shared" si="157"/>
        <v>1</v>
      </c>
      <c r="DT82" s="45">
        <f t="shared" si="158"/>
        <v>1</v>
      </c>
      <c r="DU82" s="45">
        <f t="shared" si="159"/>
        <v>3</v>
      </c>
      <c r="DV82" s="45">
        <f t="shared" si="160"/>
        <v>3</v>
      </c>
      <c r="DW82" s="45">
        <f t="shared" si="161"/>
        <v>3</v>
      </c>
      <c r="DX82" s="45">
        <f t="shared" si="162"/>
        <v>3</v>
      </c>
      <c r="DY82" s="45">
        <f t="shared" si="163"/>
        <v>0</v>
      </c>
      <c r="DZ82" s="46">
        <f t="shared" si="164"/>
        <v>0</v>
      </c>
      <c r="EA82" s="45">
        <f t="shared" si="164"/>
        <v>0</v>
      </c>
      <c r="EB82" s="45">
        <f t="shared" si="164"/>
        <v>1</v>
      </c>
      <c r="EC82" s="45">
        <f t="shared" si="164"/>
        <v>0</v>
      </c>
      <c r="ED82" s="45">
        <f t="shared" si="164"/>
        <v>0</v>
      </c>
      <c r="EE82" s="45">
        <f t="shared" si="164"/>
        <v>0</v>
      </c>
      <c r="EF82" s="45">
        <f t="shared" si="164"/>
        <v>0</v>
      </c>
      <c r="EG82" s="45">
        <f t="shared" si="165"/>
        <v>0</v>
      </c>
      <c r="EH82" s="45">
        <f t="shared" si="165"/>
        <v>0</v>
      </c>
      <c r="EI82" s="45">
        <f t="shared" si="165"/>
        <v>1</v>
      </c>
      <c r="EJ82" s="45">
        <f t="shared" si="165"/>
        <v>0</v>
      </c>
      <c r="EK82" s="45">
        <f t="shared" si="165"/>
        <v>0</v>
      </c>
      <c r="EL82" s="45">
        <f t="shared" si="165"/>
        <v>0</v>
      </c>
      <c r="EM82" s="45">
        <f t="shared" si="165"/>
        <v>0</v>
      </c>
      <c r="EN82" s="45">
        <f t="shared" si="166"/>
        <v>0</v>
      </c>
      <c r="EO82" s="45">
        <f t="shared" si="166"/>
        <v>0</v>
      </c>
      <c r="EP82" s="45">
        <f t="shared" si="166"/>
        <v>1</v>
      </c>
      <c r="EQ82" s="45">
        <f t="shared" si="166"/>
        <v>0</v>
      </c>
      <c r="ER82" s="45">
        <f t="shared" si="166"/>
        <v>0</v>
      </c>
      <c r="ES82" s="45">
        <f t="shared" si="166"/>
        <v>0</v>
      </c>
      <c r="ET82" s="102">
        <f t="shared" si="166"/>
        <v>0</v>
      </c>
    </row>
    <row r="83" spans="1:205" s="45" customFormat="1">
      <c r="A83" s="45" t="s">
        <v>139</v>
      </c>
      <c r="B83" s="45">
        <v>350</v>
      </c>
      <c r="C83" s="45" t="s">
        <v>34</v>
      </c>
      <c r="D83" s="45" t="s">
        <v>33</v>
      </c>
      <c r="E83" s="45">
        <v>3928</v>
      </c>
      <c r="F83" s="45">
        <v>3940</v>
      </c>
      <c r="G83" s="45">
        <v>5030</v>
      </c>
      <c r="H83" s="45">
        <v>887</v>
      </c>
      <c r="I83" s="45">
        <v>0</v>
      </c>
      <c r="J83" s="45">
        <v>64</v>
      </c>
      <c r="K83" s="45">
        <v>0</v>
      </c>
      <c r="L83" s="45">
        <v>-3</v>
      </c>
      <c r="M83" s="45">
        <v>1</v>
      </c>
      <c r="N83" s="45">
        <v>1265</v>
      </c>
      <c r="O83" s="45">
        <v>2084</v>
      </c>
      <c r="P83" s="45">
        <v>2592</v>
      </c>
      <c r="Q83" s="102">
        <v>0</v>
      </c>
      <c r="R83" s="102">
        <v>0</v>
      </c>
      <c r="S83" s="102">
        <v>0</v>
      </c>
      <c r="T83" s="102">
        <v>97</v>
      </c>
      <c r="U83" s="102">
        <v>431</v>
      </c>
      <c r="V83" s="102">
        <v>619</v>
      </c>
      <c r="W83" s="102">
        <v>1168</v>
      </c>
      <c r="X83" s="102">
        <v>1653</v>
      </c>
      <c r="Y83" s="102">
        <v>1973</v>
      </c>
      <c r="Z83" s="45">
        <v>1776</v>
      </c>
      <c r="AA83" s="45">
        <v>1859</v>
      </c>
      <c r="AB83" s="45">
        <v>2373</v>
      </c>
      <c r="AC83" s="45">
        <v>143</v>
      </c>
      <c r="AD83" s="45">
        <v>-702</v>
      </c>
      <c r="AE83" s="45">
        <v>-276</v>
      </c>
      <c r="AF83" s="45">
        <v>143</v>
      </c>
      <c r="AG83" s="45">
        <v>-702</v>
      </c>
      <c r="AH83" s="45">
        <v>-276</v>
      </c>
      <c r="AI83" s="165">
        <v>0</v>
      </c>
      <c r="AJ83" s="102">
        <v>148</v>
      </c>
      <c r="AK83" s="166">
        <v>96</v>
      </c>
      <c r="AL83" s="45">
        <v>0</v>
      </c>
      <c r="AM83" s="45">
        <v>148</v>
      </c>
      <c r="AN83" s="45">
        <v>96</v>
      </c>
      <c r="AO83" s="45">
        <v>0</v>
      </c>
      <c r="AP83" s="45">
        <v>148</v>
      </c>
      <c r="AQ83" s="45">
        <v>96</v>
      </c>
      <c r="AR83" s="45">
        <v>3785</v>
      </c>
      <c r="AS83" s="45">
        <v>4642</v>
      </c>
      <c r="AT83" s="45">
        <v>5306</v>
      </c>
      <c r="AU83" s="45">
        <v>3928</v>
      </c>
      <c r="AV83" s="45">
        <v>4088</v>
      </c>
      <c r="AW83" s="45">
        <v>5126</v>
      </c>
      <c r="AX83" s="45">
        <v>143</v>
      </c>
      <c r="AY83" s="45">
        <v>-554</v>
      </c>
      <c r="AZ83" s="45">
        <v>-180</v>
      </c>
      <c r="BA83" s="45">
        <v>143</v>
      </c>
      <c r="BB83" s="45">
        <v>-554</v>
      </c>
      <c r="BC83" s="45">
        <v>-180</v>
      </c>
      <c r="BE83" s="45">
        <f t="shared" si="106"/>
        <v>0.45213849287169044</v>
      </c>
      <c r="BF83" s="45">
        <f t="shared" si="107"/>
        <v>0.45474559686888455</v>
      </c>
      <c r="BG83" s="45">
        <f t="shared" si="108"/>
        <v>0.46293406164650802</v>
      </c>
      <c r="BI83" s="45">
        <f t="shared" si="109"/>
        <v>0.3220468431771894</v>
      </c>
      <c r="BJ83" s="45">
        <f t="shared" si="110"/>
        <v>0.50978473581213313</v>
      </c>
      <c r="BK83" s="45">
        <f t="shared" si="111"/>
        <v>0.50565743269605934</v>
      </c>
      <c r="BM83" s="45">
        <f t="shared" si="112"/>
        <v>0</v>
      </c>
      <c r="BN83" s="45">
        <f t="shared" si="113"/>
        <v>0</v>
      </c>
      <c r="BO83" s="45">
        <f t="shared" si="114"/>
        <v>0</v>
      </c>
      <c r="BQ83" s="102">
        <f t="shared" si="115"/>
        <v>2.4694501018329939E-2</v>
      </c>
      <c r="BR83" s="102">
        <f t="shared" si="116"/>
        <v>0.10543052837573386</v>
      </c>
      <c r="BS83" s="102">
        <f t="shared" si="117"/>
        <v>0.12075692547795552</v>
      </c>
      <c r="BU83" s="102">
        <f t="shared" si="118"/>
        <v>0.29735234215885947</v>
      </c>
      <c r="BV83" s="102">
        <f t="shared" si="119"/>
        <v>0.40435420743639922</v>
      </c>
      <c r="BW83" s="102">
        <f t="shared" si="120"/>
        <v>0.38490050721810376</v>
      </c>
      <c r="BY83" s="102">
        <f t="shared" si="121"/>
        <v>0.22581466395112015</v>
      </c>
      <c r="BZ83" s="102">
        <f t="shared" si="122"/>
        <v>0</v>
      </c>
      <c r="CA83" s="102">
        <f t="shared" si="123"/>
        <v>1.2485368708544674E-2</v>
      </c>
      <c r="CC83" s="102">
        <f t="shared" si="124"/>
        <v>0</v>
      </c>
      <c r="CD83" s="102">
        <f t="shared" si="125"/>
        <v>3.6203522504892366E-2</v>
      </c>
      <c r="CE83" s="102">
        <f t="shared" si="126"/>
        <v>1.872805306281701E-2</v>
      </c>
      <c r="CG83" s="45">
        <f t="shared" si="127"/>
        <v>1</v>
      </c>
      <c r="CH83" s="45">
        <f t="shared" si="128"/>
        <v>1.0007338551859102</v>
      </c>
      <c r="CI83" s="45">
        <f t="shared" si="129"/>
        <v>0.99980491611392897</v>
      </c>
      <c r="CK83" s="45">
        <f t="shared" si="130"/>
        <v>0</v>
      </c>
      <c r="CL83" s="45">
        <f t="shared" si="131"/>
        <v>-7.3385518591018162E-4</v>
      </c>
      <c r="CM83" s="45">
        <f t="shared" si="132"/>
        <v>1.9508388607103466E-4</v>
      </c>
      <c r="CO83" s="102">
        <f t="shared" si="133"/>
        <v>0</v>
      </c>
      <c r="CP83" s="102">
        <v>0</v>
      </c>
      <c r="CQ83" s="102">
        <f t="shared" si="135"/>
        <v>1.0000000000001237</v>
      </c>
      <c r="CT83" s="45">
        <v>97</v>
      </c>
      <c r="CV83" s="102">
        <f t="shared" si="167"/>
        <v>5.0742857142857138</v>
      </c>
      <c r="CW83" s="102">
        <f t="shared" si="136"/>
        <v>5.3114285714285714</v>
      </c>
      <c r="CX83" s="102">
        <f t="shared" si="137"/>
        <v>6.78</v>
      </c>
      <c r="CZ83" s="45">
        <f t="shared" si="138"/>
        <v>1</v>
      </c>
      <c r="DA83" s="45">
        <f t="shared" si="139"/>
        <v>1</v>
      </c>
      <c r="DB83" s="45">
        <f t="shared" si="140"/>
        <v>1</v>
      </c>
      <c r="DC83" s="45">
        <f t="shared" si="141"/>
        <v>0</v>
      </c>
      <c r="DD83" s="45">
        <f t="shared" si="142"/>
        <v>0</v>
      </c>
      <c r="DE83" s="45">
        <f t="shared" si="143"/>
        <v>0</v>
      </c>
      <c r="DF83" s="45">
        <f t="shared" si="144"/>
        <v>1</v>
      </c>
      <c r="DG83" s="45">
        <f t="shared" si="145"/>
        <v>1</v>
      </c>
      <c r="DH83" s="45">
        <f t="shared" si="146"/>
        <v>1</v>
      </c>
      <c r="DI83" s="45">
        <f t="shared" si="147"/>
        <v>1</v>
      </c>
      <c r="DJ83" s="45">
        <f t="shared" si="148"/>
        <v>1</v>
      </c>
      <c r="DK83" s="45">
        <f t="shared" si="149"/>
        <v>1</v>
      </c>
      <c r="DL83" s="45">
        <f t="shared" si="150"/>
        <v>1</v>
      </c>
      <c r="DM83" s="45">
        <f t="shared" si="151"/>
        <v>0</v>
      </c>
      <c r="DN83" s="45">
        <f t="shared" si="152"/>
        <v>1</v>
      </c>
      <c r="DO83" s="45">
        <f t="shared" si="153"/>
        <v>0</v>
      </c>
      <c r="DP83" s="45">
        <f t="shared" si="154"/>
        <v>1</v>
      </c>
      <c r="DQ83" s="45">
        <f t="shared" si="155"/>
        <v>1</v>
      </c>
      <c r="DR83" s="45">
        <f t="shared" si="156"/>
        <v>0</v>
      </c>
      <c r="DS83" s="45">
        <f t="shared" si="157"/>
        <v>0</v>
      </c>
      <c r="DT83" s="45">
        <f t="shared" si="158"/>
        <v>1</v>
      </c>
      <c r="DU83" s="45">
        <f t="shared" si="159"/>
        <v>4</v>
      </c>
      <c r="DV83" s="45">
        <f t="shared" si="160"/>
        <v>4</v>
      </c>
      <c r="DW83" s="45">
        <f t="shared" si="161"/>
        <v>6</v>
      </c>
      <c r="DX83" s="45">
        <f t="shared" si="162"/>
        <v>4.666666666666667</v>
      </c>
      <c r="DY83" s="45">
        <f t="shared" si="163"/>
        <v>0.94280904158206336</v>
      </c>
      <c r="DZ83" s="46">
        <f t="shared" si="164"/>
        <v>0</v>
      </c>
      <c r="EA83" s="45">
        <f t="shared" si="164"/>
        <v>0</v>
      </c>
      <c r="EB83" s="45">
        <f t="shared" si="164"/>
        <v>0</v>
      </c>
      <c r="EC83" s="45">
        <f t="shared" si="164"/>
        <v>1</v>
      </c>
      <c r="ED83" s="45">
        <f t="shared" si="164"/>
        <v>0</v>
      </c>
      <c r="EE83" s="45">
        <f t="shared" si="164"/>
        <v>0</v>
      </c>
      <c r="EF83" s="45">
        <f t="shared" si="164"/>
        <v>0</v>
      </c>
      <c r="EG83" s="45">
        <f t="shared" si="165"/>
        <v>0</v>
      </c>
      <c r="EH83" s="45">
        <f t="shared" si="165"/>
        <v>0</v>
      </c>
      <c r="EI83" s="45">
        <f t="shared" si="165"/>
        <v>0</v>
      </c>
      <c r="EJ83" s="45">
        <f t="shared" si="165"/>
        <v>1</v>
      </c>
      <c r="EK83" s="45">
        <f t="shared" si="165"/>
        <v>0</v>
      </c>
      <c r="EL83" s="45">
        <f t="shared" si="165"/>
        <v>0</v>
      </c>
      <c r="EM83" s="45">
        <f t="shared" si="165"/>
        <v>0</v>
      </c>
      <c r="EN83" s="45">
        <f t="shared" si="166"/>
        <v>0</v>
      </c>
      <c r="EO83" s="45">
        <f t="shared" si="166"/>
        <v>0</v>
      </c>
      <c r="EP83" s="45">
        <f t="shared" si="166"/>
        <v>0</v>
      </c>
      <c r="EQ83" s="45">
        <f t="shared" si="166"/>
        <v>0</v>
      </c>
      <c r="ER83" s="45">
        <f t="shared" si="166"/>
        <v>0</v>
      </c>
      <c r="ES83" s="45">
        <f t="shared" si="166"/>
        <v>1</v>
      </c>
      <c r="ET83" s="102">
        <f t="shared" si="166"/>
        <v>0</v>
      </c>
    </row>
    <row r="84" spans="1:205" s="45" customFormat="1">
      <c r="A84" s="45" t="s">
        <v>140</v>
      </c>
      <c r="B84" s="45">
        <v>210</v>
      </c>
      <c r="C84" s="45" t="s">
        <v>34</v>
      </c>
      <c r="D84" s="45" t="s">
        <v>33</v>
      </c>
      <c r="E84" s="45">
        <v>1339</v>
      </c>
      <c r="F84" s="45">
        <v>1930</v>
      </c>
      <c r="G84" s="45">
        <v>2027</v>
      </c>
      <c r="H84" s="45">
        <v>162</v>
      </c>
      <c r="I84" s="45">
        <v>215</v>
      </c>
      <c r="J84" s="45">
        <v>384</v>
      </c>
      <c r="K84" s="45">
        <v>0</v>
      </c>
      <c r="L84" s="45">
        <v>0</v>
      </c>
      <c r="M84" s="45">
        <v>0</v>
      </c>
      <c r="N84" s="45">
        <v>949</v>
      </c>
      <c r="O84" s="45">
        <v>1028</v>
      </c>
      <c r="P84" s="45">
        <v>856</v>
      </c>
      <c r="Q84" s="102">
        <v>42</v>
      </c>
      <c r="R84" s="102">
        <v>121</v>
      </c>
      <c r="S84" s="102">
        <v>853</v>
      </c>
      <c r="T84" s="102">
        <v>25</v>
      </c>
      <c r="U84" s="102">
        <v>25</v>
      </c>
      <c r="V84" s="102">
        <v>0</v>
      </c>
      <c r="W84" s="102">
        <v>882</v>
      </c>
      <c r="X84" s="102">
        <v>882</v>
      </c>
      <c r="Y84" s="102">
        <v>3</v>
      </c>
      <c r="Z84" s="45">
        <v>228</v>
      </c>
      <c r="AA84" s="45">
        <v>687</v>
      </c>
      <c r="AB84" s="45">
        <v>787</v>
      </c>
      <c r="AC84" s="45">
        <v>144</v>
      </c>
      <c r="AD84" s="45">
        <v>434</v>
      </c>
      <c r="AE84" s="45">
        <v>284</v>
      </c>
      <c r="AF84" s="45">
        <v>144</v>
      </c>
      <c r="AG84" s="45">
        <v>434</v>
      </c>
      <c r="AH84" s="45">
        <v>284</v>
      </c>
      <c r="AI84" s="165">
        <v>0</v>
      </c>
      <c r="AJ84" s="102">
        <v>0</v>
      </c>
      <c r="AK84" s="166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1195</v>
      </c>
      <c r="AS84" s="45">
        <v>1496</v>
      </c>
      <c r="AT84" s="45">
        <v>1743</v>
      </c>
      <c r="AU84" s="45">
        <v>1339</v>
      </c>
      <c r="AV84" s="45">
        <v>1930</v>
      </c>
      <c r="AW84" s="45">
        <v>2027</v>
      </c>
      <c r="AX84" s="45">
        <v>144</v>
      </c>
      <c r="AY84" s="45">
        <v>434</v>
      </c>
      <c r="AZ84" s="45">
        <v>284</v>
      </c>
      <c r="BA84" s="45">
        <v>144</v>
      </c>
      <c r="BB84" s="45">
        <v>434</v>
      </c>
      <c r="BC84" s="45">
        <v>284</v>
      </c>
      <c r="BE84" s="45">
        <f t="shared" si="106"/>
        <v>0.17027632561613143</v>
      </c>
      <c r="BF84" s="45">
        <f t="shared" si="107"/>
        <v>0.3559585492227979</v>
      </c>
      <c r="BG84" s="45">
        <f t="shared" si="108"/>
        <v>0.38825851011346818</v>
      </c>
      <c r="BI84" s="45">
        <f t="shared" si="109"/>
        <v>0.70873786407766992</v>
      </c>
      <c r="BJ84" s="45">
        <f t="shared" si="110"/>
        <v>0.53264248704663208</v>
      </c>
      <c r="BK84" s="45">
        <f t="shared" si="111"/>
        <v>0.42229896398618649</v>
      </c>
      <c r="BM84" s="45">
        <f t="shared" si="112"/>
        <v>3.1366691560866321E-2</v>
      </c>
      <c r="BN84" s="45">
        <f t="shared" si="113"/>
        <v>6.269430051813471E-2</v>
      </c>
      <c r="BO84" s="45">
        <f t="shared" si="114"/>
        <v>0.42081894425259003</v>
      </c>
      <c r="BQ84" s="102">
        <f t="shared" si="115"/>
        <v>1.8670649738610903E-2</v>
      </c>
      <c r="BR84" s="102">
        <f t="shared" si="116"/>
        <v>1.2953367875647668E-2</v>
      </c>
      <c r="BS84" s="102">
        <f t="shared" si="117"/>
        <v>0</v>
      </c>
      <c r="BU84" s="102">
        <f t="shared" si="118"/>
        <v>0.65870052277819269</v>
      </c>
      <c r="BV84" s="102">
        <f t="shared" si="119"/>
        <v>0.45699481865284974</v>
      </c>
      <c r="BW84" s="102">
        <f t="shared" si="120"/>
        <v>1.4800197335964479E-3</v>
      </c>
      <c r="BY84" s="102">
        <f t="shared" si="121"/>
        <v>0.12098581030619865</v>
      </c>
      <c r="BZ84" s="102">
        <f t="shared" si="122"/>
        <v>0.11139896373056994</v>
      </c>
      <c r="CA84" s="102">
        <f t="shared" si="123"/>
        <v>0.18944252590034533</v>
      </c>
      <c r="CC84" s="102">
        <f t="shared" si="124"/>
        <v>0</v>
      </c>
      <c r="CD84" s="102">
        <f t="shared" si="125"/>
        <v>0</v>
      </c>
      <c r="CE84" s="102">
        <f t="shared" si="126"/>
        <v>0</v>
      </c>
      <c r="CG84" s="45">
        <f t="shared" si="127"/>
        <v>1</v>
      </c>
      <c r="CH84" s="45">
        <f t="shared" si="128"/>
        <v>0.99999999999999989</v>
      </c>
      <c r="CI84" s="45">
        <f t="shared" si="129"/>
        <v>1</v>
      </c>
      <c r="CK84" s="45">
        <f t="shared" si="130"/>
        <v>0</v>
      </c>
      <c r="CL84" s="45">
        <f t="shared" si="131"/>
        <v>0</v>
      </c>
      <c r="CM84" s="45">
        <f t="shared" si="132"/>
        <v>0</v>
      </c>
      <c r="CO84" s="102">
        <f t="shared" si="133"/>
        <v>0</v>
      </c>
      <c r="CP84" s="102">
        <f t="shared" si="134"/>
        <v>0</v>
      </c>
      <c r="CQ84" s="102">
        <f t="shared" si="135"/>
        <v>0</v>
      </c>
      <c r="CT84" s="45">
        <v>25</v>
      </c>
      <c r="CV84" s="102">
        <f t="shared" si="167"/>
        <v>1.0857142857142856</v>
      </c>
      <c r="CW84" s="102">
        <f t="shared" si="136"/>
        <v>3.2714285714285714</v>
      </c>
      <c r="CX84" s="102">
        <f t="shared" si="137"/>
        <v>3.7476190476190476</v>
      </c>
      <c r="CZ84" s="45">
        <f t="shared" si="138"/>
        <v>1</v>
      </c>
      <c r="DA84" s="45">
        <f t="shared" si="139"/>
        <v>1</v>
      </c>
      <c r="DB84" s="45">
        <f t="shared" si="140"/>
        <v>1</v>
      </c>
      <c r="DC84" s="45">
        <f t="shared" si="141"/>
        <v>1</v>
      </c>
      <c r="DD84" s="45">
        <f t="shared" si="142"/>
        <v>1</v>
      </c>
      <c r="DE84" s="45">
        <f t="shared" si="143"/>
        <v>1</v>
      </c>
      <c r="DF84" s="45">
        <f t="shared" si="144"/>
        <v>1</v>
      </c>
      <c r="DG84" s="45">
        <f t="shared" si="145"/>
        <v>1</v>
      </c>
      <c r="DH84" s="45">
        <f t="shared" si="146"/>
        <v>0</v>
      </c>
      <c r="DI84" s="45">
        <f t="shared" si="147"/>
        <v>1</v>
      </c>
      <c r="DJ84" s="45">
        <f t="shared" si="148"/>
        <v>1</v>
      </c>
      <c r="DK84" s="45">
        <f t="shared" si="149"/>
        <v>1</v>
      </c>
      <c r="DL84" s="45">
        <f t="shared" si="150"/>
        <v>1</v>
      </c>
      <c r="DM84" s="45">
        <f t="shared" si="151"/>
        <v>1</v>
      </c>
      <c r="DN84" s="45">
        <f t="shared" si="152"/>
        <v>1</v>
      </c>
      <c r="DO84" s="45">
        <f t="shared" si="153"/>
        <v>0</v>
      </c>
      <c r="DP84" s="45">
        <f t="shared" si="154"/>
        <v>0</v>
      </c>
      <c r="DQ84" s="45">
        <f t="shared" si="155"/>
        <v>0</v>
      </c>
      <c r="DR84" s="45">
        <f t="shared" si="156"/>
        <v>0</v>
      </c>
      <c r="DS84" s="45">
        <f t="shared" si="157"/>
        <v>0</v>
      </c>
      <c r="DT84" s="45">
        <f t="shared" si="158"/>
        <v>0</v>
      </c>
      <c r="DU84" s="45">
        <f t="shared" si="159"/>
        <v>5</v>
      </c>
      <c r="DV84" s="45">
        <f t="shared" si="160"/>
        <v>5</v>
      </c>
      <c r="DW84" s="45">
        <f t="shared" si="161"/>
        <v>4</v>
      </c>
      <c r="DX84" s="45">
        <f t="shared" si="162"/>
        <v>4.666666666666667</v>
      </c>
      <c r="DY84" s="45">
        <f t="shared" si="163"/>
        <v>0.47140452079103168</v>
      </c>
      <c r="DZ84" s="46">
        <f t="shared" si="164"/>
        <v>0</v>
      </c>
      <c r="EA84" s="45">
        <f t="shared" si="164"/>
        <v>0</v>
      </c>
      <c r="EB84" s="45">
        <f t="shared" si="164"/>
        <v>0</v>
      </c>
      <c r="EC84" s="45">
        <f t="shared" si="164"/>
        <v>0</v>
      </c>
      <c r="ED84" s="45">
        <f t="shared" si="164"/>
        <v>1</v>
      </c>
      <c r="EE84" s="45">
        <f t="shared" si="164"/>
        <v>0</v>
      </c>
      <c r="EF84" s="45">
        <f t="shared" si="164"/>
        <v>0</v>
      </c>
      <c r="EG84" s="45">
        <f t="shared" si="165"/>
        <v>0</v>
      </c>
      <c r="EH84" s="45">
        <f t="shared" si="165"/>
        <v>0</v>
      </c>
      <c r="EI84" s="45">
        <f t="shared" si="165"/>
        <v>0</v>
      </c>
      <c r="EJ84" s="45">
        <f t="shared" si="165"/>
        <v>0</v>
      </c>
      <c r="EK84" s="45">
        <f t="shared" si="165"/>
        <v>1</v>
      </c>
      <c r="EL84" s="45">
        <f t="shared" si="165"/>
        <v>0</v>
      </c>
      <c r="EM84" s="45">
        <f t="shared" si="165"/>
        <v>0</v>
      </c>
      <c r="EN84" s="45">
        <f t="shared" si="166"/>
        <v>0</v>
      </c>
      <c r="EO84" s="45">
        <f t="shared" si="166"/>
        <v>0</v>
      </c>
      <c r="EP84" s="45">
        <f t="shared" si="166"/>
        <v>0</v>
      </c>
      <c r="EQ84" s="45">
        <f t="shared" si="166"/>
        <v>1</v>
      </c>
      <c r="ER84" s="45">
        <f t="shared" si="166"/>
        <v>0</v>
      </c>
      <c r="ES84" s="45">
        <f t="shared" si="166"/>
        <v>0</v>
      </c>
      <c r="ET84" s="102">
        <f t="shared" si="166"/>
        <v>0</v>
      </c>
    </row>
    <row r="85" spans="1:205" s="68" customFormat="1">
      <c r="A85" s="68" t="s">
        <v>96</v>
      </c>
      <c r="B85" s="68">
        <v>92</v>
      </c>
      <c r="C85" s="68" t="s">
        <v>42</v>
      </c>
      <c r="D85" s="68" t="s">
        <v>32</v>
      </c>
      <c r="E85" s="68">
        <v>547</v>
      </c>
      <c r="F85" s="68">
        <v>580</v>
      </c>
      <c r="G85" s="68">
        <v>742</v>
      </c>
      <c r="H85" s="68">
        <v>62</v>
      </c>
      <c r="I85" s="68">
        <v>19</v>
      </c>
      <c r="J85" s="68">
        <v>27</v>
      </c>
      <c r="K85" s="68">
        <v>25</v>
      </c>
      <c r="L85" s="68">
        <v>37</v>
      </c>
      <c r="M85" s="68">
        <v>22</v>
      </c>
      <c r="N85" s="68">
        <v>324</v>
      </c>
      <c r="O85" s="68">
        <v>256</v>
      </c>
      <c r="P85" s="68">
        <v>287</v>
      </c>
      <c r="Q85" s="109">
        <v>0</v>
      </c>
      <c r="R85" s="109">
        <v>0</v>
      </c>
      <c r="S85" s="109">
        <v>0</v>
      </c>
      <c r="T85" s="109">
        <v>94</v>
      </c>
      <c r="U85" s="109">
        <v>9</v>
      </c>
      <c r="V85" s="109">
        <v>14</v>
      </c>
      <c r="W85" s="109">
        <v>230</v>
      </c>
      <c r="X85" s="109">
        <v>247</v>
      </c>
      <c r="Y85" s="109">
        <v>273</v>
      </c>
      <c r="Z85" s="68">
        <v>136</v>
      </c>
      <c r="AA85" s="68">
        <v>268</v>
      </c>
      <c r="AB85" s="68">
        <v>406</v>
      </c>
      <c r="AC85" s="68">
        <v>23</v>
      </c>
      <c r="AD85" s="68">
        <v>-39</v>
      </c>
      <c r="AE85" s="68">
        <v>94</v>
      </c>
      <c r="AF85" s="68">
        <v>23</v>
      </c>
      <c r="AG85" s="68">
        <v>-39</v>
      </c>
      <c r="AH85" s="68">
        <v>94</v>
      </c>
      <c r="AI85" s="167">
        <v>0</v>
      </c>
      <c r="AJ85" s="109">
        <v>0</v>
      </c>
      <c r="AK85" s="168">
        <v>0</v>
      </c>
      <c r="AL85" s="68">
        <v>0</v>
      </c>
      <c r="AM85" s="68">
        <v>0</v>
      </c>
      <c r="AN85" s="68">
        <v>0</v>
      </c>
      <c r="AO85" s="68">
        <v>0</v>
      </c>
      <c r="AP85" s="68">
        <v>0</v>
      </c>
      <c r="AQ85" s="68">
        <v>0</v>
      </c>
      <c r="AR85" s="68">
        <v>524</v>
      </c>
      <c r="AS85" s="68">
        <v>619</v>
      </c>
      <c r="AT85" s="68">
        <v>648</v>
      </c>
      <c r="AU85" s="68">
        <v>547</v>
      </c>
      <c r="AV85" s="68">
        <v>580</v>
      </c>
      <c r="AW85" s="68">
        <v>742</v>
      </c>
      <c r="AX85" s="68">
        <v>23</v>
      </c>
      <c r="AY85" s="68">
        <v>-39</v>
      </c>
      <c r="AZ85" s="68">
        <v>94</v>
      </c>
      <c r="BA85" s="68">
        <v>23</v>
      </c>
      <c r="BB85" s="68">
        <v>-39</v>
      </c>
      <c r="BC85" s="68">
        <v>94</v>
      </c>
      <c r="BE85" s="68">
        <f t="shared" si="106"/>
        <v>0.24862888482632542</v>
      </c>
      <c r="BF85" s="68">
        <f t="shared" si="107"/>
        <v>0.46206896551724136</v>
      </c>
      <c r="BG85" s="68">
        <f t="shared" si="108"/>
        <v>0.54716981132075471</v>
      </c>
      <c r="BI85" s="68">
        <f t="shared" si="109"/>
        <v>0.59232175502742235</v>
      </c>
      <c r="BJ85" s="68">
        <f t="shared" si="110"/>
        <v>0.44137931034482758</v>
      </c>
      <c r="BK85" s="68">
        <f t="shared" si="111"/>
        <v>0.3867924528301887</v>
      </c>
      <c r="BM85" s="68">
        <f t="shared" si="112"/>
        <v>0</v>
      </c>
      <c r="BN85" s="68">
        <f t="shared" si="113"/>
        <v>0</v>
      </c>
      <c r="BO85" s="68">
        <f t="shared" si="114"/>
        <v>0</v>
      </c>
      <c r="BQ85" s="109">
        <f t="shared" si="115"/>
        <v>0.17184643510054845</v>
      </c>
      <c r="BR85" s="109">
        <f t="shared" si="116"/>
        <v>1.5517241379310345E-2</v>
      </c>
      <c r="BS85" s="109">
        <f t="shared" si="117"/>
        <v>1.8867924528301886E-2</v>
      </c>
      <c r="BU85" s="109">
        <f t="shared" si="118"/>
        <v>0.42047531992687387</v>
      </c>
      <c r="BV85" s="109">
        <f t="shared" si="119"/>
        <v>0.42586206896551726</v>
      </c>
      <c r="BW85" s="109">
        <f t="shared" si="120"/>
        <v>0.36792452830188677</v>
      </c>
      <c r="BY85" s="109">
        <f t="shared" si="121"/>
        <v>0.11334552102376599</v>
      </c>
      <c r="BZ85" s="109">
        <f t="shared" si="122"/>
        <v>3.2758620689655175E-2</v>
      </c>
      <c r="CA85" s="109">
        <f t="shared" si="123"/>
        <v>3.638814016172507E-2</v>
      </c>
      <c r="CC85" s="109">
        <f t="shared" si="124"/>
        <v>0</v>
      </c>
      <c r="CD85" s="109">
        <f t="shared" si="125"/>
        <v>0</v>
      </c>
      <c r="CE85" s="109">
        <f t="shared" si="126"/>
        <v>0</v>
      </c>
      <c r="CG85" s="68">
        <f t="shared" si="127"/>
        <v>0.95429616087751379</v>
      </c>
      <c r="CH85" s="68">
        <f t="shared" si="128"/>
        <v>0.93620689655172418</v>
      </c>
      <c r="CI85" s="68">
        <f t="shared" si="129"/>
        <v>0.9703504043126685</v>
      </c>
      <c r="CK85" s="68">
        <f t="shared" si="130"/>
        <v>4.5703839122486212E-2</v>
      </c>
      <c r="CL85" s="68">
        <f t="shared" si="131"/>
        <v>6.3793103448275823E-2</v>
      </c>
      <c r="CM85" s="68">
        <f t="shared" si="132"/>
        <v>2.9649595687331498E-2</v>
      </c>
      <c r="CO85" s="109">
        <f t="shared" si="133"/>
        <v>24.999999999999957</v>
      </c>
      <c r="CP85" s="109">
        <f t="shared" si="134"/>
        <v>36.999999999999979</v>
      </c>
      <c r="CQ85" s="109">
        <f t="shared" si="135"/>
        <v>21.999999999999972</v>
      </c>
      <c r="CT85" s="68">
        <v>94</v>
      </c>
      <c r="CV85" s="109">
        <f t="shared" si="167"/>
        <v>1.4782608695652173</v>
      </c>
      <c r="CW85" s="109">
        <f t="shared" si="136"/>
        <v>2.9130434782608696</v>
      </c>
      <c r="CX85" s="109">
        <f t="shared" si="137"/>
        <v>4.4130434782608692</v>
      </c>
      <c r="CZ85" s="68">
        <f t="shared" si="138"/>
        <v>1</v>
      </c>
      <c r="DA85" s="68">
        <f t="shared" si="139"/>
        <v>1</v>
      </c>
      <c r="DB85" s="68">
        <f t="shared" si="140"/>
        <v>1</v>
      </c>
      <c r="DC85" s="68">
        <f t="shared" si="141"/>
        <v>0</v>
      </c>
      <c r="DD85" s="68">
        <f t="shared" si="142"/>
        <v>0</v>
      </c>
      <c r="DE85" s="68">
        <f t="shared" si="143"/>
        <v>0</v>
      </c>
      <c r="DF85" s="68">
        <f t="shared" si="144"/>
        <v>1</v>
      </c>
      <c r="DG85" s="68">
        <f t="shared" si="145"/>
        <v>1</v>
      </c>
      <c r="DH85" s="68">
        <f t="shared" si="146"/>
        <v>1</v>
      </c>
      <c r="DI85" s="68">
        <f t="shared" si="147"/>
        <v>1</v>
      </c>
      <c r="DJ85" s="68">
        <f t="shared" si="148"/>
        <v>1</v>
      </c>
      <c r="DK85" s="68">
        <f t="shared" si="149"/>
        <v>1</v>
      </c>
      <c r="DL85" s="68">
        <f t="shared" si="150"/>
        <v>1</v>
      </c>
      <c r="DM85" s="68">
        <f t="shared" si="151"/>
        <v>1</v>
      </c>
      <c r="DN85" s="68">
        <f t="shared" si="152"/>
        <v>1</v>
      </c>
      <c r="DO85" s="68">
        <f t="shared" si="153"/>
        <v>0</v>
      </c>
      <c r="DP85" s="68">
        <f t="shared" si="154"/>
        <v>0</v>
      </c>
      <c r="DQ85" s="68">
        <f t="shared" si="155"/>
        <v>0</v>
      </c>
      <c r="DR85" s="68">
        <f t="shared" si="156"/>
        <v>1</v>
      </c>
      <c r="DS85" s="68">
        <f t="shared" si="157"/>
        <v>1</v>
      </c>
      <c r="DT85" s="68">
        <f t="shared" si="158"/>
        <v>1</v>
      </c>
      <c r="DU85" s="68">
        <f t="shared" si="159"/>
        <v>5</v>
      </c>
      <c r="DV85" s="68">
        <f t="shared" si="160"/>
        <v>5</v>
      </c>
      <c r="DW85" s="68">
        <f t="shared" si="161"/>
        <v>5</v>
      </c>
      <c r="DX85" s="68">
        <f t="shared" si="162"/>
        <v>5</v>
      </c>
      <c r="DY85" s="68">
        <f t="shared" si="163"/>
        <v>0</v>
      </c>
      <c r="DZ85" s="220">
        <f t="shared" si="164"/>
        <v>0</v>
      </c>
      <c r="EA85" s="68">
        <f t="shared" si="164"/>
        <v>0</v>
      </c>
      <c r="EB85" s="68">
        <f t="shared" si="164"/>
        <v>0</v>
      </c>
      <c r="EC85" s="68">
        <f t="shared" si="164"/>
        <v>0</v>
      </c>
      <c r="ED85" s="68">
        <f t="shared" si="164"/>
        <v>1</v>
      </c>
      <c r="EE85" s="68">
        <f t="shared" si="164"/>
        <v>0</v>
      </c>
      <c r="EF85" s="68">
        <f t="shared" si="164"/>
        <v>0</v>
      </c>
      <c r="EG85" s="68">
        <f t="shared" si="165"/>
        <v>0</v>
      </c>
      <c r="EH85" s="68">
        <f t="shared" si="165"/>
        <v>0</v>
      </c>
      <c r="EI85" s="68">
        <f t="shared" si="165"/>
        <v>0</v>
      </c>
      <c r="EJ85" s="68">
        <f t="shared" si="165"/>
        <v>0</v>
      </c>
      <c r="EK85" s="68">
        <f t="shared" si="165"/>
        <v>1</v>
      </c>
      <c r="EL85" s="68">
        <f t="shared" si="165"/>
        <v>0</v>
      </c>
      <c r="EM85" s="68">
        <f t="shared" si="165"/>
        <v>0</v>
      </c>
      <c r="EN85" s="68">
        <f t="shared" si="166"/>
        <v>0</v>
      </c>
      <c r="EO85" s="68">
        <f t="shared" si="166"/>
        <v>0</v>
      </c>
      <c r="EP85" s="68">
        <f t="shared" si="166"/>
        <v>0</v>
      </c>
      <c r="EQ85" s="68">
        <f t="shared" si="166"/>
        <v>0</v>
      </c>
      <c r="ER85" s="68">
        <f t="shared" si="166"/>
        <v>1</v>
      </c>
      <c r="ES85" s="68">
        <f t="shared" si="166"/>
        <v>0</v>
      </c>
      <c r="ET85" s="109">
        <f t="shared" si="166"/>
        <v>0</v>
      </c>
    </row>
    <row r="86" spans="1:205" s="47" customFormat="1">
      <c r="A86" s="47" t="s">
        <v>77</v>
      </c>
      <c r="B86" s="47">
        <v>105</v>
      </c>
      <c r="C86" s="47" t="s">
        <v>43</v>
      </c>
      <c r="D86" s="47" t="s">
        <v>33</v>
      </c>
      <c r="E86" s="47">
        <v>804</v>
      </c>
      <c r="F86" s="47">
        <v>873</v>
      </c>
      <c r="G86" s="47">
        <v>1133</v>
      </c>
      <c r="H86" s="47">
        <v>49</v>
      </c>
      <c r="I86" s="47">
        <v>85</v>
      </c>
      <c r="J86" s="47">
        <v>21</v>
      </c>
      <c r="K86" s="47">
        <v>117</v>
      </c>
      <c r="L86" s="47">
        <v>49</v>
      </c>
      <c r="M86" s="47">
        <v>72</v>
      </c>
      <c r="N86" s="47">
        <v>273</v>
      </c>
      <c r="O86" s="47">
        <v>388</v>
      </c>
      <c r="P86" s="47">
        <v>346</v>
      </c>
      <c r="Q86" s="170">
        <v>0</v>
      </c>
      <c r="R86" s="170">
        <v>0</v>
      </c>
      <c r="S86" s="170">
        <v>0</v>
      </c>
      <c r="T86" s="170">
        <v>115</v>
      </c>
      <c r="U86" s="170">
        <v>85</v>
      </c>
      <c r="V86" s="170">
        <v>54</v>
      </c>
      <c r="W86" s="170">
        <v>273</v>
      </c>
      <c r="X86" s="170">
        <v>303</v>
      </c>
      <c r="Y86" s="170">
        <v>292</v>
      </c>
      <c r="Z86" s="47">
        <v>365</v>
      </c>
      <c r="AA86" s="47">
        <v>341</v>
      </c>
      <c r="AB86" s="47">
        <v>654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169">
        <v>0</v>
      </c>
      <c r="AJ86" s="170">
        <v>0</v>
      </c>
      <c r="AK86" s="171">
        <v>0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804</v>
      </c>
      <c r="AS86" s="47">
        <v>873</v>
      </c>
      <c r="AT86" s="47">
        <v>1133</v>
      </c>
      <c r="AU86" s="47">
        <v>804</v>
      </c>
      <c r="AV86" s="47">
        <v>873</v>
      </c>
      <c r="AW86" s="47">
        <v>1133</v>
      </c>
      <c r="AX86" s="47"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0</v>
      </c>
      <c r="BE86" s="47">
        <f t="shared" si="106"/>
        <v>0.45398009950248758</v>
      </c>
      <c r="BF86" s="47">
        <f t="shared" si="107"/>
        <v>0.39060710194730813</v>
      </c>
      <c r="BG86" s="47">
        <f t="shared" si="108"/>
        <v>0.5772285966460724</v>
      </c>
      <c r="BI86" s="47">
        <f t="shared" si="109"/>
        <v>0.33955223880597013</v>
      </c>
      <c r="BJ86" s="47">
        <f t="shared" si="110"/>
        <v>0.44444444444444442</v>
      </c>
      <c r="BK86" s="47">
        <f t="shared" si="111"/>
        <v>0.3053839364518976</v>
      </c>
      <c r="BM86" s="47">
        <f t="shared" si="112"/>
        <v>0</v>
      </c>
      <c r="BN86" s="47">
        <f t="shared" si="113"/>
        <v>0</v>
      </c>
      <c r="BO86" s="47">
        <f t="shared" si="114"/>
        <v>0</v>
      </c>
      <c r="BQ86" s="170">
        <f t="shared" si="115"/>
        <v>0.14303482587064675</v>
      </c>
      <c r="BR86" s="170">
        <f t="shared" si="116"/>
        <v>9.736540664375716E-2</v>
      </c>
      <c r="BS86" s="170">
        <f t="shared" si="117"/>
        <v>4.7661076787290382E-2</v>
      </c>
      <c r="BU86" s="170">
        <f t="shared" si="118"/>
        <v>0.33955223880597013</v>
      </c>
      <c r="BV86" s="170">
        <f t="shared" si="119"/>
        <v>0.34707903780068727</v>
      </c>
      <c r="BW86" s="170">
        <f t="shared" si="120"/>
        <v>0.25772285966460723</v>
      </c>
      <c r="BY86" s="170">
        <f t="shared" si="121"/>
        <v>6.0945273631840796E-2</v>
      </c>
      <c r="BZ86" s="170">
        <f t="shared" si="122"/>
        <v>9.736540664375716E-2</v>
      </c>
      <c r="CA86" s="170">
        <f t="shared" si="123"/>
        <v>1.8534863195057368E-2</v>
      </c>
      <c r="CC86" s="170">
        <f t="shared" si="124"/>
        <v>0</v>
      </c>
      <c r="CD86" s="170">
        <f t="shared" si="125"/>
        <v>0</v>
      </c>
      <c r="CE86" s="170">
        <f t="shared" si="126"/>
        <v>0</v>
      </c>
      <c r="CG86" s="47">
        <f t="shared" si="127"/>
        <v>0.85447761194029848</v>
      </c>
      <c r="CH86" s="47">
        <f t="shared" si="128"/>
        <v>0.93241695303550964</v>
      </c>
      <c r="CI86" s="47">
        <f t="shared" si="129"/>
        <v>0.90114739629302731</v>
      </c>
      <c r="CK86" s="47">
        <f t="shared" si="130"/>
        <v>0.14552238805970152</v>
      </c>
      <c r="CL86" s="47">
        <f t="shared" si="131"/>
        <v>6.7583046964490356E-2</v>
      </c>
      <c r="CM86" s="47">
        <f t="shared" si="132"/>
        <v>9.8852603706972686E-2</v>
      </c>
      <c r="CO86" s="170">
        <f t="shared" si="133"/>
        <v>117.00000000000003</v>
      </c>
      <c r="CP86" s="170">
        <f t="shared" si="134"/>
        <v>59.000000000000078</v>
      </c>
      <c r="CQ86" s="170">
        <f t="shared" si="135"/>
        <v>112.00000000000006</v>
      </c>
      <c r="CT86" s="47">
        <v>115</v>
      </c>
      <c r="CV86" s="170">
        <f t="shared" si="167"/>
        <v>3.4761904761904763</v>
      </c>
      <c r="CW86" s="170">
        <f t="shared" si="136"/>
        <v>3.2476190476190476</v>
      </c>
      <c r="CX86" s="170">
        <f t="shared" si="137"/>
        <v>6.2285714285714286</v>
      </c>
      <c r="CZ86" s="47">
        <f t="shared" si="138"/>
        <v>1</v>
      </c>
      <c r="DA86" s="47">
        <f t="shared" si="139"/>
        <v>1</v>
      </c>
      <c r="DB86" s="47">
        <f t="shared" si="140"/>
        <v>1</v>
      </c>
      <c r="DC86" s="47">
        <f t="shared" si="141"/>
        <v>0</v>
      </c>
      <c r="DD86" s="47">
        <f t="shared" si="142"/>
        <v>0</v>
      </c>
      <c r="DE86" s="47">
        <f t="shared" si="143"/>
        <v>0</v>
      </c>
      <c r="DF86" s="47">
        <f t="shared" si="144"/>
        <v>1</v>
      </c>
      <c r="DG86" s="47">
        <f t="shared" si="145"/>
        <v>1</v>
      </c>
      <c r="DH86" s="47">
        <f t="shared" si="146"/>
        <v>1</v>
      </c>
      <c r="DI86" s="47">
        <f t="shared" si="147"/>
        <v>1</v>
      </c>
      <c r="DJ86" s="47">
        <f t="shared" si="148"/>
        <v>1</v>
      </c>
      <c r="DK86" s="47">
        <f t="shared" si="149"/>
        <v>1</v>
      </c>
      <c r="DL86" s="47">
        <f t="shared" si="150"/>
        <v>1</v>
      </c>
      <c r="DM86" s="47">
        <f t="shared" si="151"/>
        <v>1</v>
      </c>
      <c r="DN86" s="47">
        <f t="shared" si="152"/>
        <v>1</v>
      </c>
      <c r="DO86" s="47">
        <f t="shared" si="153"/>
        <v>0</v>
      </c>
      <c r="DP86" s="47">
        <f t="shared" si="154"/>
        <v>0</v>
      </c>
      <c r="DQ86" s="47">
        <f t="shared" si="155"/>
        <v>0</v>
      </c>
      <c r="DR86" s="47">
        <f t="shared" si="156"/>
        <v>1</v>
      </c>
      <c r="DS86" s="47">
        <f t="shared" si="157"/>
        <v>1</v>
      </c>
      <c r="DT86" s="47">
        <f t="shared" si="158"/>
        <v>1</v>
      </c>
      <c r="DU86" s="47">
        <f t="shared" si="159"/>
        <v>5</v>
      </c>
      <c r="DV86" s="47">
        <f t="shared" si="160"/>
        <v>5</v>
      </c>
      <c r="DW86" s="47">
        <f t="shared" si="161"/>
        <v>5</v>
      </c>
      <c r="DX86" s="47">
        <f t="shared" si="162"/>
        <v>5</v>
      </c>
      <c r="DY86" s="47">
        <f t="shared" si="163"/>
        <v>0</v>
      </c>
      <c r="DZ86" s="48">
        <f t="shared" si="164"/>
        <v>0</v>
      </c>
      <c r="EA86" s="47">
        <f t="shared" si="164"/>
        <v>0</v>
      </c>
      <c r="EB86" s="47">
        <f t="shared" si="164"/>
        <v>0</v>
      </c>
      <c r="EC86" s="47">
        <f t="shared" si="164"/>
        <v>0</v>
      </c>
      <c r="ED86" s="47">
        <f t="shared" si="164"/>
        <v>1</v>
      </c>
      <c r="EE86" s="47">
        <f t="shared" si="164"/>
        <v>0</v>
      </c>
      <c r="EF86" s="47">
        <f t="shared" si="164"/>
        <v>0</v>
      </c>
      <c r="EG86" s="47">
        <f t="shared" si="165"/>
        <v>0</v>
      </c>
      <c r="EH86" s="47">
        <f t="shared" si="165"/>
        <v>0</v>
      </c>
      <c r="EI86" s="47">
        <f t="shared" si="165"/>
        <v>0</v>
      </c>
      <c r="EJ86" s="47">
        <f t="shared" si="165"/>
        <v>0</v>
      </c>
      <c r="EK86" s="47">
        <f t="shared" si="165"/>
        <v>1</v>
      </c>
      <c r="EL86" s="47">
        <f t="shared" si="165"/>
        <v>0</v>
      </c>
      <c r="EM86" s="47">
        <f t="shared" si="165"/>
        <v>0</v>
      </c>
      <c r="EN86" s="47">
        <f t="shared" si="166"/>
        <v>0</v>
      </c>
      <c r="EO86" s="47">
        <f t="shared" si="166"/>
        <v>0</v>
      </c>
      <c r="EP86" s="47">
        <f t="shared" si="166"/>
        <v>0</v>
      </c>
      <c r="EQ86" s="47">
        <f t="shared" si="166"/>
        <v>0</v>
      </c>
      <c r="ER86" s="47">
        <f t="shared" si="166"/>
        <v>1</v>
      </c>
      <c r="ES86" s="47">
        <f t="shared" si="166"/>
        <v>0</v>
      </c>
      <c r="ET86" s="170">
        <f t="shared" si="166"/>
        <v>0</v>
      </c>
    </row>
    <row r="87" spans="1:205" s="64" customFormat="1">
      <c r="A87" s="64" t="s">
        <v>78</v>
      </c>
      <c r="B87" s="64">
        <v>203</v>
      </c>
      <c r="C87" s="64" t="s">
        <v>44</v>
      </c>
      <c r="D87" s="64" t="s">
        <v>35</v>
      </c>
      <c r="E87" s="64">
        <v>2065</v>
      </c>
      <c r="F87" s="64">
        <v>2480</v>
      </c>
      <c r="G87" s="64">
        <v>2190</v>
      </c>
      <c r="H87" s="64">
        <v>197</v>
      </c>
      <c r="I87" s="64">
        <v>356</v>
      </c>
      <c r="J87" s="64">
        <v>198</v>
      </c>
      <c r="K87" s="64">
        <v>0</v>
      </c>
      <c r="L87" s="64">
        <v>0</v>
      </c>
      <c r="M87" s="64">
        <v>55</v>
      </c>
      <c r="N87" s="64">
        <v>1868</v>
      </c>
      <c r="O87" s="64">
        <v>2124</v>
      </c>
      <c r="P87" s="64">
        <v>1651</v>
      </c>
      <c r="Q87" s="104">
        <v>1271</v>
      </c>
      <c r="R87" s="104">
        <v>1518</v>
      </c>
      <c r="S87" s="104">
        <v>1308</v>
      </c>
      <c r="T87" s="104">
        <v>391</v>
      </c>
      <c r="U87" s="104">
        <v>400</v>
      </c>
      <c r="V87" s="104">
        <v>95</v>
      </c>
      <c r="W87" s="104">
        <v>206</v>
      </c>
      <c r="X87" s="104">
        <v>206</v>
      </c>
      <c r="Y87" s="104">
        <v>248</v>
      </c>
      <c r="Z87" s="64">
        <v>0</v>
      </c>
      <c r="AA87" s="64">
        <v>0</v>
      </c>
      <c r="AB87" s="64">
        <v>286</v>
      </c>
      <c r="AC87" s="64">
        <v>475</v>
      </c>
      <c r="AD87" s="64">
        <v>462</v>
      </c>
      <c r="AE87" s="64">
        <v>237</v>
      </c>
      <c r="AF87" s="64">
        <v>475</v>
      </c>
      <c r="AG87" s="64">
        <v>462</v>
      </c>
      <c r="AH87" s="64">
        <v>237</v>
      </c>
      <c r="AI87" s="172">
        <v>0</v>
      </c>
      <c r="AJ87" s="104">
        <v>0</v>
      </c>
      <c r="AK87" s="173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1590</v>
      </c>
      <c r="AS87" s="64">
        <v>2018</v>
      </c>
      <c r="AT87" s="64">
        <v>1953</v>
      </c>
      <c r="AU87" s="64">
        <v>2065</v>
      </c>
      <c r="AV87" s="64">
        <v>2480</v>
      </c>
      <c r="AW87" s="64">
        <v>2190</v>
      </c>
      <c r="AX87" s="64">
        <v>475</v>
      </c>
      <c r="AY87" s="64">
        <v>462</v>
      </c>
      <c r="AZ87" s="64">
        <v>237</v>
      </c>
      <c r="BA87" s="64">
        <v>475</v>
      </c>
      <c r="BB87" s="64">
        <v>462</v>
      </c>
      <c r="BC87" s="64">
        <v>237</v>
      </c>
      <c r="BE87" s="64">
        <f t="shared" si="106"/>
        <v>0</v>
      </c>
      <c r="BF87" s="64">
        <f t="shared" si="107"/>
        <v>0</v>
      </c>
      <c r="BG87" s="64">
        <f t="shared" si="108"/>
        <v>0.13059360730593608</v>
      </c>
      <c r="BI87" s="64">
        <f t="shared" si="109"/>
        <v>0.90460048426150119</v>
      </c>
      <c r="BJ87" s="64">
        <f t="shared" si="110"/>
        <v>0.8564516129032258</v>
      </c>
      <c r="BK87" s="64">
        <f t="shared" si="111"/>
        <v>0.75388127853881282</v>
      </c>
      <c r="BM87" s="64">
        <f t="shared" si="112"/>
        <v>0.61549636803874097</v>
      </c>
      <c r="BN87" s="64">
        <f t="shared" si="113"/>
        <v>0.61209677419354835</v>
      </c>
      <c r="BO87" s="64">
        <f t="shared" si="114"/>
        <v>0.59726027397260273</v>
      </c>
      <c r="BQ87" s="104">
        <f t="shared" si="115"/>
        <v>0.18934624697336561</v>
      </c>
      <c r="BR87" s="104">
        <f t="shared" si="116"/>
        <v>0.16129032258064516</v>
      </c>
      <c r="BS87" s="104">
        <f t="shared" si="117"/>
        <v>4.3378995433789952E-2</v>
      </c>
      <c r="BU87" s="104">
        <f>W87/AU87</f>
        <v>9.9757869249394671E-2</v>
      </c>
      <c r="BV87" s="104">
        <f t="shared" si="119"/>
        <v>8.3064516129032262E-2</v>
      </c>
      <c r="BW87" s="104">
        <f t="shared" si="120"/>
        <v>0.11324200913242009</v>
      </c>
      <c r="BY87" s="104">
        <f t="shared" si="121"/>
        <v>9.5399515738498794E-2</v>
      </c>
      <c r="BZ87" s="104">
        <f t="shared" si="122"/>
        <v>0.1435483870967742</v>
      </c>
      <c r="CA87" s="104">
        <f t="shared" si="123"/>
        <v>9.0410958904109592E-2</v>
      </c>
      <c r="CC87" s="104">
        <f t="shared" si="124"/>
        <v>0</v>
      </c>
      <c r="CD87" s="104">
        <f t="shared" si="125"/>
        <v>0</v>
      </c>
      <c r="CE87" s="104">
        <f t="shared" si="126"/>
        <v>0</v>
      </c>
      <c r="CG87" s="64">
        <f t="shared" si="127"/>
        <v>1</v>
      </c>
      <c r="CH87" s="64">
        <f t="shared" si="128"/>
        <v>1</v>
      </c>
      <c r="CI87" s="64">
        <f t="shared" si="129"/>
        <v>0.97488584474885842</v>
      </c>
      <c r="CK87" s="64">
        <f t="shared" si="130"/>
        <v>0</v>
      </c>
      <c r="CL87" s="64">
        <f t="shared" si="131"/>
        <v>0</v>
      </c>
      <c r="CM87" s="64">
        <f t="shared" si="132"/>
        <v>2.5114155251141579E-2</v>
      </c>
      <c r="CO87" s="104">
        <f t="shared" si="133"/>
        <v>0</v>
      </c>
      <c r="CP87" s="104">
        <f t="shared" si="134"/>
        <v>0</v>
      </c>
      <c r="CQ87" s="104">
        <f t="shared" si="135"/>
        <v>55.000000000000057</v>
      </c>
      <c r="CT87" s="64">
        <v>391</v>
      </c>
      <c r="CV87" s="104">
        <f t="shared" si="167"/>
        <v>0</v>
      </c>
      <c r="CW87" s="104">
        <f t="shared" si="136"/>
        <v>0</v>
      </c>
      <c r="CX87" s="104">
        <f t="shared" si="137"/>
        <v>1.4088669950738917</v>
      </c>
      <c r="CZ87" s="64">
        <f t="shared" si="138"/>
        <v>0</v>
      </c>
      <c r="DA87" s="64">
        <f t="shared" si="139"/>
        <v>0</v>
      </c>
      <c r="DB87" s="64">
        <f t="shared" si="140"/>
        <v>1</v>
      </c>
      <c r="DC87" s="64">
        <f t="shared" si="141"/>
        <v>1</v>
      </c>
      <c r="DD87" s="64">
        <f t="shared" si="142"/>
        <v>1</v>
      </c>
      <c r="DE87" s="64">
        <f t="shared" si="143"/>
        <v>1</v>
      </c>
      <c r="DF87" s="64">
        <f t="shared" si="144"/>
        <v>1</v>
      </c>
      <c r="DG87" s="64">
        <f t="shared" si="145"/>
        <v>1</v>
      </c>
      <c r="DH87" s="64">
        <f t="shared" si="146"/>
        <v>1</v>
      </c>
      <c r="DI87" s="64">
        <f t="shared" si="147"/>
        <v>1</v>
      </c>
      <c r="DJ87" s="64">
        <f t="shared" si="148"/>
        <v>1</v>
      </c>
      <c r="DK87" s="64">
        <f t="shared" si="149"/>
        <v>1</v>
      </c>
      <c r="DL87" s="64">
        <f t="shared" si="150"/>
        <v>1</v>
      </c>
      <c r="DM87" s="64">
        <f t="shared" si="151"/>
        <v>1</v>
      </c>
      <c r="DN87" s="64">
        <f t="shared" si="152"/>
        <v>1</v>
      </c>
      <c r="DO87" s="64">
        <f t="shared" si="153"/>
        <v>0</v>
      </c>
      <c r="DP87" s="64">
        <f t="shared" si="154"/>
        <v>0</v>
      </c>
      <c r="DQ87" s="64">
        <f t="shared" si="155"/>
        <v>0</v>
      </c>
      <c r="DR87" s="64">
        <f t="shared" si="156"/>
        <v>0</v>
      </c>
      <c r="DS87" s="64">
        <f t="shared" si="157"/>
        <v>0</v>
      </c>
      <c r="DT87" s="64">
        <f t="shared" si="158"/>
        <v>1</v>
      </c>
      <c r="DU87" s="64">
        <f t="shared" si="159"/>
        <v>4</v>
      </c>
      <c r="DV87" s="64">
        <f t="shared" si="160"/>
        <v>4</v>
      </c>
      <c r="DW87" s="64">
        <f t="shared" si="161"/>
        <v>6</v>
      </c>
      <c r="DX87" s="64">
        <f t="shared" si="162"/>
        <v>4.666666666666667</v>
      </c>
      <c r="DY87" s="64">
        <f t="shared" si="163"/>
        <v>0.94280904158206336</v>
      </c>
      <c r="DZ87" s="203">
        <f t="shared" si="164"/>
        <v>0</v>
      </c>
      <c r="EA87" s="64">
        <f t="shared" si="164"/>
        <v>0</v>
      </c>
      <c r="EB87" s="64">
        <f t="shared" si="164"/>
        <v>0</v>
      </c>
      <c r="EC87" s="64">
        <f t="shared" si="164"/>
        <v>1</v>
      </c>
      <c r="ED87" s="64">
        <f t="shared" si="164"/>
        <v>0</v>
      </c>
      <c r="EE87" s="64">
        <f t="shared" si="164"/>
        <v>0</v>
      </c>
      <c r="EF87" s="64">
        <f t="shared" si="164"/>
        <v>0</v>
      </c>
      <c r="EG87" s="64">
        <f t="shared" si="165"/>
        <v>0</v>
      </c>
      <c r="EH87" s="64">
        <f t="shared" si="165"/>
        <v>0</v>
      </c>
      <c r="EI87" s="64">
        <f t="shared" si="165"/>
        <v>0</v>
      </c>
      <c r="EJ87" s="64">
        <f t="shared" si="165"/>
        <v>1</v>
      </c>
      <c r="EK87" s="64">
        <f t="shared" si="165"/>
        <v>0</v>
      </c>
      <c r="EL87" s="64">
        <f t="shared" si="165"/>
        <v>0</v>
      </c>
      <c r="EM87" s="64">
        <f t="shared" si="165"/>
        <v>0</v>
      </c>
      <c r="EN87" s="64">
        <f t="shared" si="166"/>
        <v>0</v>
      </c>
      <c r="EO87" s="64">
        <f t="shared" si="166"/>
        <v>0</v>
      </c>
      <c r="EP87" s="64">
        <f t="shared" si="166"/>
        <v>0</v>
      </c>
      <c r="EQ87" s="64">
        <f t="shared" si="166"/>
        <v>0</v>
      </c>
      <c r="ER87" s="64">
        <f t="shared" si="166"/>
        <v>0</v>
      </c>
      <c r="ES87" s="64">
        <f t="shared" si="166"/>
        <v>1</v>
      </c>
      <c r="ET87" s="104">
        <f t="shared" si="166"/>
        <v>0</v>
      </c>
    </row>
    <row r="88" spans="1:205" s="64" customFormat="1">
      <c r="A88" s="64" t="s">
        <v>80</v>
      </c>
      <c r="B88" s="64">
        <v>180</v>
      </c>
      <c r="C88" s="64" t="s">
        <v>44</v>
      </c>
      <c r="D88" s="64" t="s">
        <v>35</v>
      </c>
      <c r="E88" s="64">
        <v>400</v>
      </c>
      <c r="F88" s="64">
        <v>480</v>
      </c>
      <c r="G88" s="64">
        <v>377</v>
      </c>
      <c r="H88" s="64">
        <v>0</v>
      </c>
      <c r="I88" s="64">
        <v>0</v>
      </c>
      <c r="J88" s="64">
        <v>0</v>
      </c>
      <c r="K88" s="64">
        <v>14</v>
      </c>
      <c r="L88" s="64">
        <v>30</v>
      </c>
      <c r="M88" s="64">
        <v>0</v>
      </c>
      <c r="N88" s="64">
        <v>220</v>
      </c>
      <c r="O88" s="64">
        <v>196</v>
      </c>
      <c r="P88" s="64">
        <v>166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220</v>
      </c>
      <c r="X88" s="104">
        <v>196</v>
      </c>
      <c r="Y88" s="104">
        <v>166</v>
      </c>
      <c r="Z88" s="64">
        <v>166</v>
      </c>
      <c r="AA88" s="64">
        <v>254</v>
      </c>
      <c r="AB88" s="64">
        <v>211</v>
      </c>
      <c r="AC88" s="64">
        <v>-469</v>
      </c>
      <c r="AD88" s="64">
        <v>-542</v>
      </c>
      <c r="AE88" s="64">
        <v>-354</v>
      </c>
      <c r="AF88" s="64">
        <v>-469</v>
      </c>
      <c r="AG88" s="64">
        <v>-542</v>
      </c>
      <c r="AH88" s="64">
        <v>-354</v>
      </c>
      <c r="AI88" s="172">
        <v>575</v>
      </c>
      <c r="AJ88" s="104">
        <v>337</v>
      </c>
      <c r="AK88" s="173">
        <v>409</v>
      </c>
      <c r="AL88" s="64">
        <v>237</v>
      </c>
      <c r="AM88" s="64">
        <v>70</v>
      </c>
      <c r="AN88" s="64">
        <v>51</v>
      </c>
      <c r="AO88" s="64">
        <v>237</v>
      </c>
      <c r="AP88" s="64">
        <v>70</v>
      </c>
      <c r="AQ88" s="64">
        <v>51</v>
      </c>
      <c r="AR88" s="64">
        <v>1207</v>
      </c>
      <c r="AS88" s="64">
        <v>1289</v>
      </c>
      <c r="AT88" s="64">
        <v>1089</v>
      </c>
      <c r="AU88" s="64">
        <v>975</v>
      </c>
      <c r="AV88" s="64">
        <v>817</v>
      </c>
      <c r="AW88" s="64">
        <v>786</v>
      </c>
      <c r="AX88" s="64">
        <v>-232</v>
      </c>
      <c r="AY88" s="64">
        <v>-472</v>
      </c>
      <c r="AZ88" s="64">
        <v>-303</v>
      </c>
      <c r="BA88" s="64">
        <v>-232</v>
      </c>
      <c r="BB88" s="64">
        <v>-472</v>
      </c>
      <c r="BC88" s="64">
        <v>-303</v>
      </c>
      <c r="BE88" s="64">
        <f t="shared" si="106"/>
        <v>0.17025641025641025</v>
      </c>
      <c r="BF88" s="64">
        <f t="shared" si="107"/>
        <v>0.3108935128518972</v>
      </c>
      <c r="BG88" s="64">
        <f t="shared" si="108"/>
        <v>0.26844783715012721</v>
      </c>
      <c r="BI88" s="64">
        <f t="shared" si="109"/>
        <v>0.22564102564102564</v>
      </c>
      <c r="BJ88" s="64">
        <f t="shared" si="110"/>
        <v>0.23990208078335373</v>
      </c>
      <c r="BK88" s="64">
        <f t="shared" si="111"/>
        <v>0.21119592875318066</v>
      </c>
      <c r="BM88" s="64">
        <f t="shared" si="112"/>
        <v>0</v>
      </c>
      <c r="BN88" s="64">
        <f t="shared" si="113"/>
        <v>0</v>
      </c>
      <c r="BO88" s="64">
        <f t="shared" si="114"/>
        <v>0</v>
      </c>
      <c r="BQ88" s="104">
        <f t="shared" si="115"/>
        <v>0</v>
      </c>
      <c r="BR88" s="104">
        <f t="shared" si="116"/>
        <v>0</v>
      </c>
      <c r="BS88" s="104">
        <f t="shared" si="117"/>
        <v>0</v>
      </c>
      <c r="BU88" s="104">
        <f t="shared" si="118"/>
        <v>0.22564102564102564</v>
      </c>
      <c r="BV88" s="104">
        <f t="shared" si="119"/>
        <v>0.23990208078335373</v>
      </c>
      <c r="BW88" s="104">
        <f t="shared" si="120"/>
        <v>0.21119592875318066</v>
      </c>
      <c r="BY88" s="104">
        <f t="shared" si="121"/>
        <v>0</v>
      </c>
      <c r="BZ88" s="104">
        <f t="shared" si="122"/>
        <v>0</v>
      </c>
      <c r="CA88" s="104">
        <f t="shared" si="123"/>
        <v>0</v>
      </c>
      <c r="CC88" s="104">
        <f t="shared" si="124"/>
        <v>0.58974358974358976</v>
      </c>
      <c r="CD88" s="104">
        <f t="shared" si="125"/>
        <v>0.41248470012239902</v>
      </c>
      <c r="CE88" s="104">
        <f t="shared" si="126"/>
        <v>0.52035623409669207</v>
      </c>
      <c r="CG88" s="64">
        <f t="shared" si="127"/>
        <v>0.98564102564102563</v>
      </c>
      <c r="CH88" s="64">
        <f t="shared" si="128"/>
        <v>0.9632802937576499</v>
      </c>
      <c r="CI88" s="64">
        <f t="shared" si="129"/>
        <v>1</v>
      </c>
      <c r="CK88" s="64">
        <f t="shared" si="130"/>
        <v>1.4358974358974375E-2</v>
      </c>
      <c r="CL88" s="64">
        <f t="shared" si="131"/>
        <v>3.6719706242350103E-2</v>
      </c>
      <c r="CM88" s="64">
        <f t="shared" si="132"/>
        <v>0</v>
      </c>
      <c r="CO88" s="104">
        <f t="shared" si="133"/>
        <v>14.000000000000016</v>
      </c>
      <c r="CP88" s="104">
        <f t="shared" si="134"/>
        <v>30.000000000000036</v>
      </c>
      <c r="CQ88" s="104">
        <f t="shared" si="135"/>
        <v>0</v>
      </c>
      <c r="CT88" s="64">
        <v>0</v>
      </c>
      <c r="CV88" s="104">
        <f t="shared" si="167"/>
        <v>0.92222222222222228</v>
      </c>
      <c r="CW88" s="104">
        <f t="shared" si="136"/>
        <v>1.4111111111111112</v>
      </c>
      <c r="CX88" s="104">
        <f t="shared" si="137"/>
        <v>1.1722222222222223</v>
      </c>
      <c r="CZ88" s="64">
        <f t="shared" si="138"/>
        <v>1</v>
      </c>
      <c r="DA88" s="64">
        <f t="shared" si="139"/>
        <v>1</v>
      </c>
      <c r="DB88" s="64">
        <f t="shared" si="140"/>
        <v>1</v>
      </c>
      <c r="DC88" s="64">
        <f t="shared" si="141"/>
        <v>0</v>
      </c>
      <c r="DD88" s="64">
        <f t="shared" si="142"/>
        <v>0</v>
      </c>
      <c r="DE88" s="64">
        <f t="shared" si="143"/>
        <v>0</v>
      </c>
      <c r="DF88" s="64">
        <f t="shared" si="144"/>
        <v>0</v>
      </c>
      <c r="DG88" s="64">
        <f t="shared" si="145"/>
        <v>0</v>
      </c>
      <c r="DH88" s="64">
        <f t="shared" si="146"/>
        <v>0</v>
      </c>
      <c r="DI88" s="64">
        <f t="shared" si="147"/>
        <v>1</v>
      </c>
      <c r="DJ88" s="64">
        <f t="shared" si="148"/>
        <v>1</v>
      </c>
      <c r="DK88" s="64">
        <f t="shared" si="149"/>
        <v>1</v>
      </c>
      <c r="DL88" s="64">
        <f t="shared" si="150"/>
        <v>0</v>
      </c>
      <c r="DM88" s="64">
        <f t="shared" si="151"/>
        <v>0</v>
      </c>
      <c r="DN88" s="64">
        <f t="shared" si="152"/>
        <v>0</v>
      </c>
      <c r="DO88" s="64">
        <f t="shared" si="153"/>
        <v>1</v>
      </c>
      <c r="DP88" s="64">
        <f t="shared" si="154"/>
        <v>1</v>
      </c>
      <c r="DQ88" s="64">
        <f t="shared" si="155"/>
        <v>1</v>
      </c>
      <c r="DR88" s="64">
        <f t="shared" si="156"/>
        <v>1</v>
      </c>
      <c r="DS88" s="64">
        <f t="shared" si="157"/>
        <v>1</v>
      </c>
      <c r="DT88" s="64">
        <f t="shared" si="158"/>
        <v>0</v>
      </c>
      <c r="DU88" s="64">
        <f t="shared" si="159"/>
        <v>4</v>
      </c>
      <c r="DV88" s="64">
        <f t="shared" si="160"/>
        <v>4</v>
      </c>
      <c r="DW88" s="64">
        <f t="shared" si="161"/>
        <v>3</v>
      </c>
      <c r="DX88" s="64">
        <f t="shared" si="162"/>
        <v>3.6666666666666665</v>
      </c>
      <c r="DY88" s="64">
        <f t="shared" si="163"/>
        <v>0.47140452079103168</v>
      </c>
      <c r="DZ88" s="203">
        <f t="shared" si="164"/>
        <v>0</v>
      </c>
      <c r="EA88" s="64">
        <f t="shared" si="164"/>
        <v>0</v>
      </c>
      <c r="EB88" s="64">
        <f t="shared" si="164"/>
        <v>0</v>
      </c>
      <c r="EC88" s="64">
        <f t="shared" si="164"/>
        <v>1</v>
      </c>
      <c r="ED88" s="64">
        <f t="shared" si="164"/>
        <v>0</v>
      </c>
      <c r="EE88" s="64">
        <f t="shared" si="164"/>
        <v>0</v>
      </c>
      <c r="EF88" s="64">
        <f t="shared" si="164"/>
        <v>0</v>
      </c>
      <c r="EG88" s="64">
        <f t="shared" si="165"/>
        <v>0</v>
      </c>
      <c r="EH88" s="64">
        <f t="shared" si="165"/>
        <v>0</v>
      </c>
      <c r="EI88" s="64">
        <f t="shared" si="165"/>
        <v>0</v>
      </c>
      <c r="EJ88" s="64">
        <f t="shared" si="165"/>
        <v>1</v>
      </c>
      <c r="EK88" s="64">
        <f t="shared" si="165"/>
        <v>0</v>
      </c>
      <c r="EL88" s="64">
        <f t="shared" si="165"/>
        <v>0</v>
      </c>
      <c r="EM88" s="64">
        <f t="shared" si="165"/>
        <v>0</v>
      </c>
      <c r="EN88" s="64">
        <f t="shared" si="166"/>
        <v>0</v>
      </c>
      <c r="EO88" s="64">
        <f t="shared" si="166"/>
        <v>0</v>
      </c>
      <c r="EP88" s="64">
        <f t="shared" si="166"/>
        <v>1</v>
      </c>
      <c r="EQ88" s="64">
        <f t="shared" si="166"/>
        <v>0</v>
      </c>
      <c r="ER88" s="64">
        <f t="shared" si="166"/>
        <v>0</v>
      </c>
      <c r="ES88" s="64">
        <f t="shared" si="166"/>
        <v>0</v>
      </c>
      <c r="ET88" s="104">
        <f t="shared" si="166"/>
        <v>0</v>
      </c>
    </row>
    <row r="89" spans="1:205" s="64" customFormat="1">
      <c r="A89" s="64" t="s">
        <v>89</v>
      </c>
      <c r="B89" s="64">
        <v>195</v>
      </c>
      <c r="C89" s="64" t="s">
        <v>44</v>
      </c>
      <c r="D89" s="64" t="s">
        <v>32</v>
      </c>
      <c r="E89" s="64">
        <v>5098</v>
      </c>
      <c r="F89" s="64">
        <v>6400</v>
      </c>
      <c r="G89" s="64">
        <v>7131</v>
      </c>
      <c r="H89" s="64">
        <v>4</v>
      </c>
      <c r="I89" s="64">
        <v>3</v>
      </c>
      <c r="J89" s="64">
        <v>2</v>
      </c>
      <c r="K89" s="64">
        <v>615</v>
      </c>
      <c r="L89" s="64">
        <v>196</v>
      </c>
      <c r="M89" s="64">
        <v>248</v>
      </c>
      <c r="N89" s="64">
        <v>325</v>
      </c>
      <c r="O89" s="64">
        <v>369</v>
      </c>
      <c r="P89" s="64">
        <v>539</v>
      </c>
      <c r="Q89" s="104">
        <v>0</v>
      </c>
      <c r="R89" s="104">
        <v>0</v>
      </c>
      <c r="S89" s="104">
        <v>0</v>
      </c>
      <c r="T89" s="104">
        <v>124</v>
      </c>
      <c r="U89" s="104">
        <v>165</v>
      </c>
      <c r="V89" s="104">
        <v>324</v>
      </c>
      <c r="W89" s="104">
        <v>201</v>
      </c>
      <c r="X89" s="104">
        <v>204</v>
      </c>
      <c r="Y89" s="104">
        <v>215</v>
      </c>
      <c r="Z89" s="64">
        <v>4154</v>
      </c>
      <c r="AA89" s="64">
        <v>5832</v>
      </c>
      <c r="AB89" s="64">
        <v>6342</v>
      </c>
      <c r="AC89" s="64">
        <v>-168</v>
      </c>
      <c r="AD89" s="64">
        <v>-48</v>
      </c>
      <c r="AE89" s="64">
        <v>-99</v>
      </c>
      <c r="AF89" s="64">
        <v>-168</v>
      </c>
      <c r="AG89" s="64">
        <v>-48</v>
      </c>
      <c r="AH89" s="64">
        <v>-99</v>
      </c>
      <c r="AI89" s="172">
        <v>500</v>
      </c>
      <c r="AJ89" s="104">
        <v>550</v>
      </c>
      <c r="AK89" s="173">
        <v>481</v>
      </c>
      <c r="AL89" s="64">
        <v>347</v>
      </c>
      <c r="AM89" s="64">
        <v>446</v>
      </c>
      <c r="AN89" s="64">
        <v>395</v>
      </c>
      <c r="AO89" s="64">
        <v>338</v>
      </c>
      <c r="AP89" s="64">
        <v>418</v>
      </c>
      <c r="AQ89" s="64">
        <v>377</v>
      </c>
      <c r="AR89" s="64">
        <v>5572</v>
      </c>
      <c r="AS89" s="64">
        <v>6712</v>
      </c>
      <c r="AT89" s="64">
        <v>7334</v>
      </c>
      <c r="AU89" s="64">
        <v>5598</v>
      </c>
      <c r="AV89" s="64">
        <v>6950</v>
      </c>
      <c r="AW89" s="64">
        <v>7612</v>
      </c>
      <c r="AX89" s="64">
        <v>26</v>
      </c>
      <c r="AY89" s="64">
        <v>238</v>
      </c>
      <c r="AZ89" s="64">
        <v>278</v>
      </c>
      <c r="BA89" s="64">
        <v>170</v>
      </c>
      <c r="BB89" s="64">
        <v>370</v>
      </c>
      <c r="BC89" s="64">
        <v>278</v>
      </c>
      <c r="BE89" s="64">
        <f t="shared" si="106"/>
        <v>0.7420507324044302</v>
      </c>
      <c r="BF89" s="64">
        <f t="shared" si="107"/>
        <v>0.83913669064748198</v>
      </c>
      <c r="BG89" s="64">
        <f t="shared" si="108"/>
        <v>0.83315817130846037</v>
      </c>
      <c r="BI89" s="64">
        <f t="shared" si="109"/>
        <v>5.8056448731689886E-2</v>
      </c>
      <c r="BJ89" s="64">
        <f t="shared" si="110"/>
        <v>5.3093525179856112E-2</v>
      </c>
      <c r="BK89" s="64">
        <f t="shared" si="111"/>
        <v>7.0809248554913301E-2</v>
      </c>
      <c r="BM89" s="64">
        <f t="shared" si="112"/>
        <v>0</v>
      </c>
      <c r="BN89" s="64">
        <f t="shared" si="113"/>
        <v>0</v>
      </c>
      <c r="BO89" s="64">
        <f t="shared" si="114"/>
        <v>0</v>
      </c>
      <c r="BQ89" s="104">
        <f t="shared" si="115"/>
        <v>2.2150768131475526E-2</v>
      </c>
      <c r="BR89" s="104">
        <f t="shared" si="116"/>
        <v>2.3741007194244605E-2</v>
      </c>
      <c r="BS89" s="104">
        <f t="shared" si="117"/>
        <v>4.2564372044140833E-2</v>
      </c>
      <c r="BU89" s="104">
        <f t="shared" si="118"/>
        <v>3.590568060021436E-2</v>
      </c>
      <c r="BV89" s="104">
        <f t="shared" si="119"/>
        <v>2.9352517985611511E-2</v>
      </c>
      <c r="BW89" s="104">
        <f t="shared" si="120"/>
        <v>2.8244876510772465E-2</v>
      </c>
      <c r="BY89" s="104">
        <f t="shared" si="121"/>
        <v>7.1454090746695244E-4</v>
      </c>
      <c r="BZ89" s="104">
        <f t="shared" si="122"/>
        <v>4.3165467625899283E-4</v>
      </c>
      <c r="CA89" s="104">
        <f t="shared" si="123"/>
        <v>2.6274303730951129E-4</v>
      </c>
      <c r="CC89" s="104">
        <f t="shared" si="124"/>
        <v>8.9317613433369067E-2</v>
      </c>
      <c r="CD89" s="104">
        <f t="shared" si="125"/>
        <v>7.9136690647482008E-2</v>
      </c>
      <c r="CE89" s="104">
        <f t="shared" si="126"/>
        <v>6.3189700472937468E-2</v>
      </c>
      <c r="CG89" s="64">
        <f t="shared" si="127"/>
        <v>0.89013933547695612</v>
      </c>
      <c r="CH89" s="64">
        <f t="shared" si="128"/>
        <v>0.97179856115107899</v>
      </c>
      <c r="CI89" s="64">
        <f t="shared" si="129"/>
        <v>0.96741986337362074</v>
      </c>
      <c r="CK89" s="64">
        <f t="shared" si="130"/>
        <v>0.10986066452304388</v>
      </c>
      <c r="CL89" s="64">
        <f t="shared" si="131"/>
        <v>2.8201438848921012E-2</v>
      </c>
      <c r="CM89" s="64">
        <f t="shared" si="132"/>
        <v>3.2580136626379264E-2</v>
      </c>
      <c r="CO89" s="104">
        <f t="shared" si="133"/>
        <v>614.99999999999966</v>
      </c>
      <c r="CP89" s="104">
        <f t="shared" si="134"/>
        <v>196.00000000000102</v>
      </c>
      <c r="CQ89" s="104">
        <f t="shared" si="135"/>
        <v>247.99999999999895</v>
      </c>
      <c r="CT89" s="64">
        <v>124</v>
      </c>
      <c r="CV89" s="104">
        <f t="shared" si="167"/>
        <v>21.302564102564101</v>
      </c>
      <c r="CW89" s="104">
        <f t="shared" si="136"/>
        <v>29.907692307692308</v>
      </c>
      <c r="CX89" s="104">
        <f t="shared" si="137"/>
        <v>32.523076923076921</v>
      </c>
      <c r="CZ89" s="64">
        <f t="shared" si="138"/>
        <v>1</v>
      </c>
      <c r="DA89" s="64">
        <f t="shared" si="139"/>
        <v>1</v>
      </c>
      <c r="DB89" s="64">
        <f t="shared" si="140"/>
        <v>1</v>
      </c>
      <c r="DC89" s="64">
        <f t="shared" si="141"/>
        <v>0</v>
      </c>
      <c r="DD89" s="64">
        <f t="shared" si="142"/>
        <v>0</v>
      </c>
      <c r="DE89" s="64">
        <f t="shared" si="143"/>
        <v>0</v>
      </c>
      <c r="DF89" s="64">
        <f t="shared" si="144"/>
        <v>1</v>
      </c>
      <c r="DG89" s="64">
        <f t="shared" si="145"/>
        <v>1</v>
      </c>
      <c r="DH89" s="64">
        <f t="shared" si="146"/>
        <v>1</v>
      </c>
      <c r="DI89" s="64">
        <f t="shared" si="147"/>
        <v>1</v>
      </c>
      <c r="DJ89" s="64">
        <f t="shared" si="148"/>
        <v>1</v>
      </c>
      <c r="DK89" s="64">
        <f t="shared" si="149"/>
        <v>1</v>
      </c>
      <c r="DL89" s="64">
        <f t="shared" si="150"/>
        <v>1</v>
      </c>
      <c r="DM89" s="64">
        <f t="shared" si="151"/>
        <v>1</v>
      </c>
      <c r="DN89" s="64">
        <f t="shared" si="152"/>
        <v>1</v>
      </c>
      <c r="DO89" s="64">
        <f t="shared" si="153"/>
        <v>1</v>
      </c>
      <c r="DP89" s="64">
        <f t="shared" si="154"/>
        <v>1</v>
      </c>
      <c r="DQ89" s="64">
        <f t="shared" si="155"/>
        <v>1</v>
      </c>
      <c r="DR89" s="64">
        <f t="shared" si="156"/>
        <v>1</v>
      </c>
      <c r="DS89" s="64">
        <f t="shared" si="157"/>
        <v>1</v>
      </c>
      <c r="DT89" s="64">
        <f t="shared" si="158"/>
        <v>1</v>
      </c>
      <c r="DU89" s="64">
        <f t="shared" si="159"/>
        <v>6</v>
      </c>
      <c r="DV89" s="64">
        <f t="shared" si="160"/>
        <v>6</v>
      </c>
      <c r="DW89" s="64">
        <f t="shared" si="161"/>
        <v>6</v>
      </c>
      <c r="DX89" s="64">
        <f t="shared" si="162"/>
        <v>6</v>
      </c>
      <c r="DY89" s="64">
        <f t="shared" si="163"/>
        <v>0</v>
      </c>
      <c r="DZ89" s="203">
        <f t="shared" si="164"/>
        <v>0</v>
      </c>
      <c r="EA89" s="64">
        <f t="shared" si="164"/>
        <v>0</v>
      </c>
      <c r="EB89" s="64">
        <f t="shared" si="164"/>
        <v>0</v>
      </c>
      <c r="EC89" s="64">
        <f t="shared" si="164"/>
        <v>0</v>
      </c>
      <c r="ED89" s="64">
        <f t="shared" si="164"/>
        <v>0</v>
      </c>
      <c r="EE89" s="64">
        <f t="shared" si="164"/>
        <v>1</v>
      </c>
      <c r="EF89" s="64">
        <f t="shared" si="164"/>
        <v>0</v>
      </c>
      <c r="EG89" s="64">
        <f t="shared" si="165"/>
        <v>0</v>
      </c>
      <c r="EH89" s="64">
        <f t="shared" si="165"/>
        <v>0</v>
      </c>
      <c r="EI89" s="64">
        <f t="shared" si="165"/>
        <v>0</v>
      </c>
      <c r="EJ89" s="64">
        <f t="shared" si="165"/>
        <v>0</v>
      </c>
      <c r="EK89" s="64">
        <f t="shared" si="165"/>
        <v>0</v>
      </c>
      <c r="EL89" s="64">
        <f t="shared" si="165"/>
        <v>1</v>
      </c>
      <c r="EM89" s="64">
        <f t="shared" si="165"/>
        <v>0</v>
      </c>
      <c r="EN89" s="64">
        <f t="shared" si="166"/>
        <v>0</v>
      </c>
      <c r="EO89" s="64">
        <f t="shared" si="166"/>
        <v>0</v>
      </c>
      <c r="EP89" s="64">
        <f t="shared" si="166"/>
        <v>0</v>
      </c>
      <c r="EQ89" s="64">
        <f t="shared" si="166"/>
        <v>0</v>
      </c>
      <c r="ER89" s="64">
        <f t="shared" si="166"/>
        <v>0</v>
      </c>
      <c r="ES89" s="64">
        <f t="shared" si="166"/>
        <v>1</v>
      </c>
      <c r="ET89" s="104">
        <f t="shared" si="166"/>
        <v>0</v>
      </c>
    </row>
    <row r="90" spans="1:205" s="64" customFormat="1">
      <c r="A90" s="64" t="s">
        <v>90</v>
      </c>
      <c r="B90" s="64">
        <v>65</v>
      </c>
      <c r="C90" s="64" t="s">
        <v>44</v>
      </c>
      <c r="D90" s="64" t="s">
        <v>33</v>
      </c>
      <c r="E90" s="64">
        <f>(EY90/500)*65</f>
        <v>123.5</v>
      </c>
      <c r="F90" s="64">
        <f t="shared" ref="F90:BC90" si="170">(EZ90/500)*65</f>
        <v>150.01999999999998</v>
      </c>
      <c r="G90" s="64">
        <f t="shared" si="170"/>
        <v>193.44</v>
      </c>
      <c r="H90" s="64">
        <f t="shared" si="170"/>
        <v>8.32</v>
      </c>
      <c r="I90" s="64">
        <f t="shared" si="170"/>
        <v>1.3</v>
      </c>
      <c r="J90" s="64">
        <f t="shared" si="170"/>
        <v>2.4699999999999998</v>
      </c>
      <c r="K90" s="64">
        <f t="shared" si="170"/>
        <v>0</v>
      </c>
      <c r="L90" s="64">
        <f t="shared" si="170"/>
        <v>0.26</v>
      </c>
      <c r="M90" s="64">
        <f t="shared" si="170"/>
        <v>0.26</v>
      </c>
      <c r="N90" s="64">
        <f t="shared" si="170"/>
        <v>62.66</v>
      </c>
      <c r="O90" s="64">
        <f t="shared" si="170"/>
        <v>55.12</v>
      </c>
      <c r="P90" s="64">
        <f t="shared" si="170"/>
        <v>53.04</v>
      </c>
      <c r="Q90" s="104">
        <f t="shared" si="170"/>
        <v>5.46</v>
      </c>
      <c r="R90" s="104">
        <f t="shared" si="170"/>
        <v>4.16</v>
      </c>
      <c r="S90" s="104">
        <f t="shared" si="170"/>
        <v>6.11</v>
      </c>
      <c r="T90" s="104">
        <f t="shared" si="170"/>
        <v>41.08</v>
      </c>
      <c r="U90" s="104">
        <f t="shared" si="170"/>
        <v>34.840000000000003</v>
      </c>
      <c r="V90" s="104">
        <f t="shared" si="170"/>
        <v>24.57</v>
      </c>
      <c r="W90" s="104">
        <f t="shared" si="170"/>
        <v>16.12</v>
      </c>
      <c r="X90" s="104">
        <f t="shared" si="170"/>
        <v>15.99</v>
      </c>
      <c r="Y90" s="104">
        <f t="shared" si="170"/>
        <v>22.36</v>
      </c>
      <c r="Z90" s="64">
        <f t="shared" si="170"/>
        <v>52.650000000000006</v>
      </c>
      <c r="AA90" s="64">
        <f t="shared" si="170"/>
        <v>93.34</v>
      </c>
      <c r="AB90" s="64">
        <f t="shared" si="170"/>
        <v>137.66999999999999</v>
      </c>
      <c r="AC90" s="64">
        <f t="shared" si="170"/>
        <v>6.11</v>
      </c>
      <c r="AD90" s="64">
        <f t="shared" si="170"/>
        <v>-11.44</v>
      </c>
      <c r="AE90" s="64">
        <f t="shared" si="170"/>
        <v>1.95</v>
      </c>
      <c r="AF90" s="64">
        <f t="shared" si="170"/>
        <v>6.11</v>
      </c>
      <c r="AG90" s="64">
        <f t="shared" si="170"/>
        <v>-11.44</v>
      </c>
      <c r="AH90" s="64">
        <f t="shared" si="170"/>
        <v>1.95</v>
      </c>
      <c r="AI90" s="172">
        <f>(GC90/500)*65</f>
        <v>10.790000000000001</v>
      </c>
      <c r="AJ90" s="104">
        <f t="shared" si="170"/>
        <v>14.17</v>
      </c>
      <c r="AK90" s="173">
        <f t="shared" si="170"/>
        <v>11.44</v>
      </c>
      <c r="AL90" s="64">
        <f t="shared" si="170"/>
        <v>9.879999999999999</v>
      </c>
      <c r="AM90" s="64">
        <f t="shared" si="170"/>
        <v>14.17</v>
      </c>
      <c r="AN90" s="64">
        <f t="shared" si="170"/>
        <v>11.44</v>
      </c>
      <c r="AO90" s="64">
        <f t="shared" si="170"/>
        <v>9.879999999999999</v>
      </c>
      <c r="AP90" s="64">
        <f t="shared" si="170"/>
        <v>14.17</v>
      </c>
      <c r="AQ90" s="64">
        <f t="shared" si="170"/>
        <v>11.44</v>
      </c>
      <c r="AR90" s="64">
        <f t="shared" si="170"/>
        <v>118.56</v>
      </c>
      <c r="AS90" s="64">
        <f t="shared" si="170"/>
        <v>161.33000000000001</v>
      </c>
      <c r="AT90" s="64">
        <f t="shared" si="170"/>
        <v>191.49</v>
      </c>
      <c r="AU90" s="64">
        <f t="shared" si="170"/>
        <v>134.29</v>
      </c>
      <c r="AV90" s="64">
        <f t="shared" si="170"/>
        <v>164.19</v>
      </c>
      <c r="AW90" s="64">
        <f t="shared" si="170"/>
        <v>204.88</v>
      </c>
      <c r="AX90" s="64">
        <f t="shared" si="170"/>
        <v>15.73</v>
      </c>
      <c r="AY90" s="64">
        <f t="shared" si="170"/>
        <v>2.86</v>
      </c>
      <c r="AZ90" s="64">
        <f t="shared" si="170"/>
        <v>13.389999999999999</v>
      </c>
      <c r="BA90" s="64">
        <f t="shared" si="170"/>
        <v>15.99</v>
      </c>
      <c r="BB90" s="64">
        <f t="shared" si="170"/>
        <v>2.73</v>
      </c>
      <c r="BC90" s="64">
        <f t="shared" si="170"/>
        <v>13.389999999999999</v>
      </c>
      <c r="BE90" s="64">
        <f t="shared" si="106"/>
        <v>0.39206195546950634</v>
      </c>
      <c r="BF90" s="64">
        <f t="shared" si="107"/>
        <v>0.56848772763262079</v>
      </c>
      <c r="BG90" s="64">
        <f t="shared" si="108"/>
        <v>0.67195431472081213</v>
      </c>
      <c r="BI90" s="64">
        <f t="shared" si="109"/>
        <v>0.46660212971926429</v>
      </c>
      <c r="BJ90" s="64">
        <f t="shared" si="110"/>
        <v>0.33570863024544734</v>
      </c>
      <c r="BK90" s="64">
        <f t="shared" si="111"/>
        <v>0.25888324873096447</v>
      </c>
      <c r="BM90" s="64">
        <f t="shared" si="112"/>
        <v>4.0658276863504358E-2</v>
      </c>
      <c r="BN90" s="64">
        <f t="shared" si="113"/>
        <v>2.5336500395882821E-2</v>
      </c>
      <c r="BO90" s="64">
        <f t="shared" si="114"/>
        <v>2.9822335025380713E-2</v>
      </c>
      <c r="BQ90" s="104">
        <f t="shared" si="115"/>
        <v>0.3059051306873185</v>
      </c>
      <c r="BR90" s="104">
        <f t="shared" si="116"/>
        <v>0.21219319081551863</v>
      </c>
      <c r="BS90" s="104">
        <f t="shared" si="117"/>
        <v>0.1199238578680203</v>
      </c>
      <c r="BU90" s="104">
        <f t="shared" si="118"/>
        <v>0.12003872216844144</v>
      </c>
      <c r="BV90" s="104">
        <f t="shared" si="119"/>
        <v>9.7387173396674589E-2</v>
      </c>
      <c r="BW90" s="104">
        <f t="shared" si="120"/>
        <v>0.10913705583756345</v>
      </c>
      <c r="BY90" s="104">
        <f t="shared" si="121"/>
        <v>6.1955469506292361E-2</v>
      </c>
      <c r="BZ90" s="104">
        <f t="shared" si="122"/>
        <v>7.9176563737133818E-3</v>
      </c>
      <c r="CA90" s="104">
        <f t="shared" si="123"/>
        <v>1.2055837563451776E-2</v>
      </c>
      <c r="CC90" s="104">
        <f t="shared" si="124"/>
        <v>8.0348499515972907E-2</v>
      </c>
      <c r="CD90" s="104">
        <f t="shared" si="125"/>
        <v>8.6302454473475856E-2</v>
      </c>
      <c r="CE90" s="104">
        <f t="shared" si="126"/>
        <v>5.5837563451776651E-2</v>
      </c>
      <c r="CG90" s="64">
        <f t="shared" si="127"/>
        <v>1.000968054211036</v>
      </c>
      <c r="CH90" s="64">
        <f t="shared" si="128"/>
        <v>0.99841646872525724</v>
      </c>
      <c r="CI90" s="64">
        <f t="shared" si="129"/>
        <v>0.99873096446700504</v>
      </c>
      <c r="CK90" s="64">
        <f t="shared" si="130"/>
        <v>-9.6805421103596245E-4</v>
      </c>
      <c r="CL90" s="64">
        <f t="shared" si="131"/>
        <v>1.5835312747427555E-3</v>
      </c>
      <c r="CM90" s="64">
        <f t="shared" si="132"/>
        <v>1.2690355329949554E-3</v>
      </c>
      <c r="CO90" s="104">
        <v>0</v>
      </c>
      <c r="CP90" s="104">
        <f t="shared" si="134"/>
        <v>0.260000000000013</v>
      </c>
      <c r="CQ90" s="104">
        <f t="shared" si="135"/>
        <v>0.26000000000000645</v>
      </c>
      <c r="CT90" s="64">
        <v>41.08</v>
      </c>
      <c r="CV90" s="104">
        <f t="shared" si="167"/>
        <v>0.81</v>
      </c>
      <c r="CW90" s="104">
        <f t="shared" si="136"/>
        <v>1.4359999999999999</v>
      </c>
      <c r="CX90" s="104">
        <f t="shared" si="137"/>
        <v>2.1179999999999999</v>
      </c>
      <c r="CZ90" s="64">
        <f t="shared" si="138"/>
        <v>1</v>
      </c>
      <c r="DA90" s="64">
        <f t="shared" si="139"/>
        <v>1</v>
      </c>
      <c r="DB90" s="64">
        <f t="shared" si="140"/>
        <v>1</v>
      </c>
      <c r="DC90" s="64">
        <f t="shared" si="141"/>
        <v>1</v>
      </c>
      <c r="DD90" s="64">
        <f t="shared" si="142"/>
        <v>1</v>
      </c>
      <c r="DE90" s="64">
        <f t="shared" si="143"/>
        <v>1</v>
      </c>
      <c r="DF90" s="64">
        <f t="shared" si="144"/>
        <v>1</v>
      </c>
      <c r="DG90" s="64">
        <f t="shared" si="145"/>
        <v>1</v>
      </c>
      <c r="DH90" s="64">
        <f t="shared" si="146"/>
        <v>1</v>
      </c>
      <c r="DI90" s="64">
        <f t="shared" si="147"/>
        <v>1</v>
      </c>
      <c r="DJ90" s="64">
        <f t="shared" si="148"/>
        <v>1</v>
      </c>
      <c r="DK90" s="64">
        <f t="shared" si="149"/>
        <v>1</v>
      </c>
      <c r="DL90" s="64">
        <f t="shared" si="150"/>
        <v>1</v>
      </c>
      <c r="DM90" s="64">
        <f t="shared" si="151"/>
        <v>1</v>
      </c>
      <c r="DN90" s="64">
        <f t="shared" si="152"/>
        <v>1</v>
      </c>
      <c r="DO90" s="64">
        <f t="shared" si="153"/>
        <v>1</v>
      </c>
      <c r="DP90" s="64">
        <f t="shared" si="154"/>
        <v>1</v>
      </c>
      <c r="DQ90" s="64">
        <f t="shared" si="155"/>
        <v>1</v>
      </c>
      <c r="DR90" s="64">
        <f t="shared" si="156"/>
        <v>0</v>
      </c>
      <c r="DS90" s="64">
        <f t="shared" si="157"/>
        <v>1</v>
      </c>
      <c r="DT90" s="64">
        <f t="shared" si="158"/>
        <v>1</v>
      </c>
      <c r="DU90" s="64">
        <f t="shared" si="159"/>
        <v>6</v>
      </c>
      <c r="DV90" s="64">
        <f t="shared" si="160"/>
        <v>7</v>
      </c>
      <c r="DW90" s="64">
        <f t="shared" si="161"/>
        <v>7</v>
      </c>
      <c r="DX90" s="64">
        <f t="shared" si="162"/>
        <v>6.666666666666667</v>
      </c>
      <c r="DY90" s="64">
        <f t="shared" si="163"/>
        <v>0.47140452079103168</v>
      </c>
      <c r="DZ90" s="203">
        <f t="shared" si="164"/>
        <v>0</v>
      </c>
      <c r="EA90" s="64">
        <f t="shared" si="164"/>
        <v>0</v>
      </c>
      <c r="EB90" s="64">
        <f t="shared" si="164"/>
        <v>0</v>
      </c>
      <c r="EC90" s="64">
        <f t="shared" si="164"/>
        <v>0</v>
      </c>
      <c r="ED90" s="64">
        <f t="shared" si="164"/>
        <v>0</v>
      </c>
      <c r="EE90" s="64">
        <f t="shared" si="164"/>
        <v>1</v>
      </c>
      <c r="EF90" s="64">
        <f t="shared" si="164"/>
        <v>0</v>
      </c>
      <c r="EG90" s="64">
        <f t="shared" si="165"/>
        <v>0</v>
      </c>
      <c r="EH90" s="64">
        <f t="shared" si="165"/>
        <v>0</v>
      </c>
      <c r="EI90" s="64">
        <f t="shared" si="165"/>
        <v>0</v>
      </c>
      <c r="EJ90" s="64">
        <f t="shared" si="165"/>
        <v>0</v>
      </c>
      <c r="EK90" s="64">
        <f t="shared" si="165"/>
        <v>0</v>
      </c>
      <c r="EL90" s="64">
        <f t="shared" si="165"/>
        <v>0</v>
      </c>
      <c r="EM90" s="64">
        <f t="shared" si="165"/>
        <v>1</v>
      </c>
      <c r="EN90" s="64">
        <f t="shared" si="166"/>
        <v>0</v>
      </c>
      <c r="EO90" s="64">
        <f t="shared" si="166"/>
        <v>0</v>
      </c>
      <c r="EP90" s="64">
        <f t="shared" si="166"/>
        <v>0</v>
      </c>
      <c r="EQ90" s="64">
        <f t="shared" si="166"/>
        <v>0</v>
      </c>
      <c r="ER90" s="64">
        <f t="shared" si="166"/>
        <v>0</v>
      </c>
      <c r="ES90" s="64">
        <f t="shared" si="166"/>
        <v>0</v>
      </c>
      <c r="ET90" s="104">
        <f t="shared" si="166"/>
        <v>1</v>
      </c>
      <c r="EY90" s="64">
        <v>950</v>
      </c>
      <c r="EZ90" s="64">
        <v>1154</v>
      </c>
      <c r="FA90" s="64">
        <v>1488</v>
      </c>
      <c r="FB90" s="64">
        <v>64</v>
      </c>
      <c r="FC90" s="64">
        <v>10</v>
      </c>
      <c r="FD90" s="64">
        <v>19</v>
      </c>
      <c r="FE90" s="64">
        <v>0</v>
      </c>
      <c r="FF90" s="64">
        <v>2</v>
      </c>
      <c r="FG90" s="64">
        <v>2</v>
      </c>
      <c r="FH90" s="64">
        <v>482</v>
      </c>
      <c r="FI90" s="64">
        <v>424</v>
      </c>
      <c r="FJ90" s="64">
        <v>408</v>
      </c>
      <c r="FK90" s="64">
        <v>42</v>
      </c>
      <c r="FL90" s="64">
        <v>32</v>
      </c>
      <c r="FM90" s="64">
        <v>47</v>
      </c>
      <c r="FN90" s="64">
        <v>316</v>
      </c>
      <c r="FO90" s="64">
        <v>268</v>
      </c>
      <c r="FP90" s="64">
        <v>189</v>
      </c>
      <c r="FQ90" s="64">
        <v>124</v>
      </c>
      <c r="FR90" s="64">
        <v>123</v>
      </c>
      <c r="FS90" s="64">
        <v>172</v>
      </c>
      <c r="FT90" s="64">
        <v>405</v>
      </c>
      <c r="FU90" s="64">
        <v>718</v>
      </c>
      <c r="FV90" s="64">
        <v>1059</v>
      </c>
      <c r="FW90" s="64">
        <v>47</v>
      </c>
      <c r="FX90" s="64">
        <v>-88</v>
      </c>
      <c r="FY90" s="64">
        <v>15</v>
      </c>
      <c r="FZ90" s="64">
        <v>47</v>
      </c>
      <c r="GA90" s="64">
        <v>-88</v>
      </c>
      <c r="GB90" s="64">
        <v>15</v>
      </c>
      <c r="GC90" s="64">
        <v>83</v>
      </c>
      <c r="GD90" s="64">
        <v>109</v>
      </c>
      <c r="GE90" s="64">
        <v>88</v>
      </c>
      <c r="GF90" s="64">
        <v>76</v>
      </c>
      <c r="GG90" s="64">
        <v>109</v>
      </c>
      <c r="GH90" s="64">
        <v>88</v>
      </c>
      <c r="GI90" s="64">
        <v>76</v>
      </c>
      <c r="GJ90" s="64">
        <v>109</v>
      </c>
      <c r="GK90" s="64">
        <v>88</v>
      </c>
      <c r="GL90" s="64">
        <v>912</v>
      </c>
      <c r="GM90" s="64">
        <v>1241</v>
      </c>
      <c r="GN90" s="64">
        <v>1473</v>
      </c>
      <c r="GO90" s="64">
        <v>1033</v>
      </c>
      <c r="GP90" s="64">
        <v>1263</v>
      </c>
      <c r="GQ90" s="64">
        <v>1576</v>
      </c>
      <c r="GR90" s="64">
        <v>121</v>
      </c>
      <c r="GS90" s="64">
        <v>22</v>
      </c>
      <c r="GT90" s="64">
        <v>103</v>
      </c>
      <c r="GU90" s="64">
        <v>123</v>
      </c>
      <c r="GV90" s="64">
        <v>21</v>
      </c>
      <c r="GW90" s="64">
        <v>103</v>
      </c>
    </row>
    <row r="91" spans="1:205" s="64" customFormat="1">
      <c r="A91" s="64" t="s">
        <v>97</v>
      </c>
      <c r="B91" s="64">
        <v>21</v>
      </c>
      <c r="C91" s="64" t="s">
        <v>44</v>
      </c>
      <c r="D91" s="64" t="s">
        <v>33</v>
      </c>
      <c r="E91" s="64">
        <f>(EY91/600)*65</f>
        <v>197.16666666666666</v>
      </c>
      <c r="F91" s="64">
        <f t="shared" ref="F91:BC91" si="171">(EZ91/600)*65</f>
        <v>203.45</v>
      </c>
      <c r="G91" s="64">
        <f t="shared" si="171"/>
        <v>248.625</v>
      </c>
      <c r="H91" s="64">
        <f t="shared" si="171"/>
        <v>137.69166666666666</v>
      </c>
      <c r="I91" s="64">
        <f t="shared" si="171"/>
        <v>4.7666666666666666</v>
      </c>
      <c r="J91" s="64">
        <f t="shared" si="171"/>
        <v>6.3916666666666666</v>
      </c>
      <c r="K91" s="64">
        <f t="shared" si="171"/>
        <v>59.475000000000001</v>
      </c>
      <c r="L91" s="64">
        <f t="shared" si="171"/>
        <v>18.524999999999999</v>
      </c>
      <c r="M91" s="64">
        <f t="shared" si="171"/>
        <v>7.6916666666666664</v>
      </c>
      <c r="N91" s="64">
        <f t="shared" si="171"/>
        <v>0</v>
      </c>
      <c r="O91" s="64">
        <f t="shared" si="171"/>
        <v>134.98333333333332</v>
      </c>
      <c r="P91" s="64">
        <f t="shared" si="171"/>
        <v>120.35833333333332</v>
      </c>
      <c r="Q91" s="104">
        <f t="shared" si="171"/>
        <v>0</v>
      </c>
      <c r="R91" s="104">
        <f t="shared" si="171"/>
        <v>0</v>
      </c>
      <c r="S91" s="104">
        <f t="shared" si="171"/>
        <v>6.3916666666666666</v>
      </c>
      <c r="T91" s="104">
        <f t="shared" si="171"/>
        <v>0</v>
      </c>
      <c r="U91" s="104">
        <f t="shared" si="171"/>
        <v>0</v>
      </c>
      <c r="V91" s="104">
        <f t="shared" si="171"/>
        <v>7.9083333333333341</v>
      </c>
      <c r="W91" s="104">
        <f t="shared" si="171"/>
        <v>0</v>
      </c>
      <c r="X91" s="104">
        <f t="shared" si="171"/>
        <v>134.98333333333332</v>
      </c>
      <c r="Y91" s="104">
        <f t="shared" si="171"/>
        <v>106.05833333333332</v>
      </c>
      <c r="Z91" s="64">
        <f t="shared" si="171"/>
        <v>0</v>
      </c>
      <c r="AA91" s="64">
        <f t="shared" si="171"/>
        <v>45.174999999999997</v>
      </c>
      <c r="AB91" s="64">
        <f t="shared" si="171"/>
        <v>114.18333333333332</v>
      </c>
      <c r="AC91" s="64">
        <f t="shared" si="171"/>
        <v>-15.708333333333334</v>
      </c>
      <c r="AD91" s="64">
        <f t="shared" si="171"/>
        <v>6.9333333333333336</v>
      </c>
      <c r="AE91" s="64">
        <f t="shared" si="171"/>
        <v>-24.158333333333331</v>
      </c>
      <c r="AF91" s="64">
        <f t="shared" si="171"/>
        <v>-15.708333333333334</v>
      </c>
      <c r="AG91" s="64">
        <f t="shared" si="171"/>
        <v>6.9333333333333336</v>
      </c>
      <c r="AH91" s="64">
        <f t="shared" si="171"/>
        <v>-24.158333333333331</v>
      </c>
      <c r="AI91" s="172">
        <f t="shared" si="171"/>
        <v>16.141666666666666</v>
      </c>
      <c r="AJ91" s="104">
        <f t="shared" si="171"/>
        <v>10.291666666666666</v>
      </c>
      <c r="AK91" s="173">
        <f t="shared" si="171"/>
        <v>44.2</v>
      </c>
      <c r="AL91" s="64">
        <f t="shared" si="171"/>
        <v>15.816666666666668</v>
      </c>
      <c r="AM91" s="64">
        <f t="shared" si="171"/>
        <v>10.291666666666666</v>
      </c>
      <c r="AN91" s="64">
        <f t="shared" si="171"/>
        <v>44.2</v>
      </c>
      <c r="AO91" s="64">
        <f t="shared" si="171"/>
        <v>15.924999999999999</v>
      </c>
      <c r="AP91" s="64">
        <f t="shared" si="171"/>
        <v>10.291666666666666</v>
      </c>
      <c r="AQ91" s="64">
        <f t="shared" si="171"/>
        <v>44.2</v>
      </c>
      <c r="AR91" s="64">
        <f t="shared" si="171"/>
        <v>213.2</v>
      </c>
      <c r="AS91" s="64">
        <f t="shared" si="171"/>
        <v>196.51666666666668</v>
      </c>
      <c r="AT91" s="64">
        <f t="shared" si="171"/>
        <v>272.7833333333333</v>
      </c>
      <c r="AU91" s="64">
        <f t="shared" si="171"/>
        <v>213.30833333333334</v>
      </c>
      <c r="AV91" s="64">
        <f t="shared" si="171"/>
        <v>213.74166666666667</v>
      </c>
      <c r="AW91" s="64">
        <f t="shared" si="171"/>
        <v>292.82499999999999</v>
      </c>
      <c r="AX91" s="64">
        <f t="shared" si="171"/>
        <v>0.10833333333333334</v>
      </c>
      <c r="AY91" s="64">
        <f t="shared" si="171"/>
        <v>17.225000000000001</v>
      </c>
      <c r="AZ91" s="64">
        <f t="shared" si="171"/>
        <v>20.041666666666668</v>
      </c>
      <c r="BA91" s="64">
        <f t="shared" si="171"/>
        <v>0.21666666666666667</v>
      </c>
      <c r="BB91" s="64">
        <f t="shared" si="171"/>
        <v>17.225000000000001</v>
      </c>
      <c r="BC91" s="64">
        <f t="shared" si="171"/>
        <v>20.041666666666668</v>
      </c>
      <c r="BE91" s="64">
        <f t="shared" si="106"/>
        <v>0</v>
      </c>
      <c r="BF91" s="64">
        <f t="shared" si="107"/>
        <v>0.21135326913329952</v>
      </c>
      <c r="BG91" s="64">
        <f t="shared" si="108"/>
        <v>0.38993710691823896</v>
      </c>
      <c r="BI91" s="64">
        <f t="shared" si="109"/>
        <v>0</v>
      </c>
      <c r="BJ91" s="64">
        <f t="shared" si="110"/>
        <v>0.63152559553978704</v>
      </c>
      <c r="BK91" s="64">
        <f t="shared" si="111"/>
        <v>0.41102478727339992</v>
      </c>
      <c r="BM91" s="64">
        <f t="shared" si="112"/>
        <v>0</v>
      </c>
      <c r="BN91" s="64">
        <f t="shared" si="113"/>
        <v>0</v>
      </c>
      <c r="BO91" s="64">
        <f t="shared" si="114"/>
        <v>2.1827598964113949E-2</v>
      </c>
      <c r="BQ91" s="104">
        <f t="shared" si="115"/>
        <v>0</v>
      </c>
      <c r="BR91" s="104">
        <f t="shared" si="116"/>
        <v>0</v>
      </c>
      <c r="BS91" s="104">
        <f t="shared" si="117"/>
        <v>2.7007029226785058E-2</v>
      </c>
      <c r="BU91" s="104">
        <f t="shared" si="118"/>
        <v>0</v>
      </c>
      <c r="BV91" s="104">
        <f t="shared" si="119"/>
        <v>0.63152559553978704</v>
      </c>
      <c r="BW91" s="104">
        <f t="shared" si="120"/>
        <v>0.36219015908250091</v>
      </c>
      <c r="BY91" s="104">
        <f t="shared" si="121"/>
        <v>0.64550533265617061</v>
      </c>
      <c r="BZ91" s="104">
        <f t="shared" si="122"/>
        <v>2.2301064368981247E-2</v>
      </c>
      <c r="CA91" s="104">
        <f t="shared" si="123"/>
        <v>2.1827598964113949E-2</v>
      </c>
      <c r="CC91" s="104">
        <f t="shared" si="124"/>
        <v>7.5672930421533766E-2</v>
      </c>
      <c r="CD91" s="104">
        <f t="shared" si="125"/>
        <v>4.8150025342118596E-2</v>
      </c>
      <c r="CE91" s="104">
        <f t="shared" si="126"/>
        <v>0.15094339622641512</v>
      </c>
      <c r="CG91" s="64">
        <f t="shared" si="127"/>
        <v>0.72117826307770438</v>
      </c>
      <c r="CH91" s="64">
        <f t="shared" si="128"/>
        <v>0.9133299543841864</v>
      </c>
      <c r="CI91" s="64">
        <f t="shared" si="129"/>
        <v>0.97373288938216795</v>
      </c>
      <c r="CK91" s="64">
        <f t="shared" si="130"/>
        <v>0.27882173692229562</v>
      </c>
      <c r="CL91" s="64">
        <f t="shared" si="131"/>
        <v>8.6670045615813596E-2</v>
      </c>
      <c r="CM91" s="64">
        <f t="shared" si="132"/>
        <v>2.6267110617832046E-2</v>
      </c>
      <c r="CO91" s="104">
        <f t="shared" si="133"/>
        <v>59.475000000000009</v>
      </c>
      <c r="CP91" s="104">
        <f t="shared" si="134"/>
        <v>18.525000000000023</v>
      </c>
      <c r="CQ91" s="104">
        <f t="shared" si="135"/>
        <v>7.6916666666666682</v>
      </c>
      <c r="CT91" s="64">
        <v>0</v>
      </c>
      <c r="CV91" s="104">
        <f t="shared" si="167"/>
        <v>0</v>
      </c>
      <c r="CW91" s="104">
        <f t="shared" si="136"/>
        <v>2.1511904761904761</v>
      </c>
      <c r="CX91" s="104">
        <f t="shared" si="137"/>
        <v>5.4373015873015866</v>
      </c>
      <c r="CZ91" s="64">
        <f t="shared" si="138"/>
        <v>0</v>
      </c>
      <c r="DA91" s="64">
        <f t="shared" si="139"/>
        <v>1</v>
      </c>
      <c r="DB91" s="64">
        <f t="shared" si="140"/>
        <v>1</v>
      </c>
      <c r="DC91" s="64">
        <f t="shared" si="141"/>
        <v>0</v>
      </c>
      <c r="DD91" s="64">
        <f t="shared" si="142"/>
        <v>0</v>
      </c>
      <c r="DE91" s="64">
        <f t="shared" si="143"/>
        <v>1</v>
      </c>
      <c r="DF91" s="64">
        <f t="shared" si="144"/>
        <v>0</v>
      </c>
      <c r="DG91" s="64">
        <f t="shared" si="145"/>
        <v>0</v>
      </c>
      <c r="DH91" s="64">
        <f t="shared" si="146"/>
        <v>1</v>
      </c>
      <c r="DI91" s="64">
        <f t="shared" si="147"/>
        <v>0</v>
      </c>
      <c r="DJ91" s="64">
        <f t="shared" si="148"/>
        <v>1</v>
      </c>
      <c r="DK91" s="64">
        <f t="shared" si="149"/>
        <v>1</v>
      </c>
      <c r="DL91" s="64">
        <f t="shared" si="150"/>
        <v>1</v>
      </c>
      <c r="DM91" s="64">
        <f t="shared" si="151"/>
        <v>1</v>
      </c>
      <c r="DN91" s="64">
        <f t="shared" si="152"/>
        <v>1</v>
      </c>
      <c r="DO91" s="64">
        <f t="shared" si="153"/>
        <v>1</v>
      </c>
      <c r="DP91" s="64">
        <f t="shared" si="154"/>
        <v>1</v>
      </c>
      <c r="DQ91" s="64">
        <f t="shared" si="155"/>
        <v>1</v>
      </c>
      <c r="DR91" s="64">
        <f t="shared" si="156"/>
        <v>1</v>
      </c>
      <c r="DS91" s="64">
        <f t="shared" si="157"/>
        <v>1</v>
      </c>
      <c r="DT91" s="64">
        <f t="shared" si="158"/>
        <v>1</v>
      </c>
      <c r="DU91" s="64">
        <f t="shared" si="159"/>
        <v>3</v>
      </c>
      <c r="DV91" s="64">
        <f t="shared" si="160"/>
        <v>5</v>
      </c>
      <c r="DW91" s="64">
        <f t="shared" si="161"/>
        <v>7</v>
      </c>
      <c r="DX91" s="64">
        <f t="shared" si="162"/>
        <v>5</v>
      </c>
      <c r="DY91" s="64">
        <f t="shared" si="163"/>
        <v>1.6329931618554521</v>
      </c>
      <c r="DZ91" s="203">
        <f t="shared" si="164"/>
        <v>0</v>
      </c>
      <c r="EA91" s="64">
        <f t="shared" si="164"/>
        <v>0</v>
      </c>
      <c r="EB91" s="64">
        <f t="shared" si="164"/>
        <v>1</v>
      </c>
      <c r="EC91" s="64">
        <f t="shared" si="164"/>
        <v>0</v>
      </c>
      <c r="ED91" s="64">
        <f t="shared" si="164"/>
        <v>0</v>
      </c>
      <c r="EE91" s="64">
        <f t="shared" si="164"/>
        <v>0</v>
      </c>
      <c r="EF91" s="64">
        <f t="shared" si="164"/>
        <v>0</v>
      </c>
      <c r="EG91" s="64">
        <f t="shared" si="165"/>
        <v>0</v>
      </c>
      <c r="EH91" s="64">
        <f t="shared" si="165"/>
        <v>0</v>
      </c>
      <c r="EI91" s="64">
        <f t="shared" si="165"/>
        <v>0</v>
      </c>
      <c r="EJ91" s="64">
        <f t="shared" si="165"/>
        <v>0</v>
      </c>
      <c r="EK91" s="64">
        <f t="shared" si="165"/>
        <v>1</v>
      </c>
      <c r="EL91" s="64">
        <f t="shared" si="165"/>
        <v>0</v>
      </c>
      <c r="EM91" s="64">
        <f t="shared" si="165"/>
        <v>0</v>
      </c>
      <c r="EN91" s="64">
        <f t="shared" si="166"/>
        <v>0</v>
      </c>
      <c r="EO91" s="64">
        <f t="shared" si="166"/>
        <v>0</v>
      </c>
      <c r="EP91" s="64">
        <f t="shared" si="166"/>
        <v>0</v>
      </c>
      <c r="EQ91" s="64">
        <f t="shared" si="166"/>
        <v>0</v>
      </c>
      <c r="ER91" s="64">
        <f t="shared" si="166"/>
        <v>0</v>
      </c>
      <c r="ES91" s="64">
        <f t="shared" si="166"/>
        <v>0</v>
      </c>
      <c r="ET91" s="104">
        <f t="shared" si="166"/>
        <v>1</v>
      </c>
      <c r="EY91" s="64">
        <v>1820</v>
      </c>
      <c r="EZ91" s="64">
        <v>1878</v>
      </c>
      <c r="FA91" s="64">
        <v>2295</v>
      </c>
      <c r="FB91" s="64">
        <v>1271</v>
      </c>
      <c r="FC91" s="64">
        <v>44</v>
      </c>
      <c r="FD91" s="64">
        <v>59</v>
      </c>
      <c r="FE91" s="64">
        <v>549</v>
      </c>
      <c r="FF91" s="64">
        <v>171</v>
      </c>
      <c r="FG91" s="64">
        <v>71</v>
      </c>
      <c r="FH91" s="64">
        <v>0</v>
      </c>
      <c r="FI91" s="64">
        <v>1246</v>
      </c>
      <c r="FJ91" s="64">
        <v>1111</v>
      </c>
      <c r="FK91" s="64">
        <v>0</v>
      </c>
      <c r="FL91" s="64">
        <v>0</v>
      </c>
      <c r="FM91" s="64">
        <v>59</v>
      </c>
      <c r="FN91" s="64">
        <v>0</v>
      </c>
      <c r="FO91" s="64">
        <v>0</v>
      </c>
      <c r="FP91" s="64">
        <v>73</v>
      </c>
      <c r="FQ91" s="64">
        <v>0</v>
      </c>
      <c r="FR91" s="64">
        <v>1246</v>
      </c>
      <c r="FS91" s="64">
        <v>979</v>
      </c>
      <c r="FT91" s="64">
        <v>0</v>
      </c>
      <c r="FU91" s="64">
        <v>417</v>
      </c>
      <c r="FV91" s="64">
        <v>1054</v>
      </c>
      <c r="FW91" s="64">
        <v>-145</v>
      </c>
      <c r="FX91" s="64">
        <v>64</v>
      </c>
      <c r="FY91" s="64">
        <v>-223</v>
      </c>
      <c r="FZ91" s="64">
        <v>-145</v>
      </c>
      <c r="GA91" s="64">
        <v>64</v>
      </c>
      <c r="GB91" s="64">
        <v>-223</v>
      </c>
      <c r="GC91" s="64">
        <v>149</v>
      </c>
      <c r="GD91" s="64">
        <v>95</v>
      </c>
      <c r="GE91" s="64">
        <v>408</v>
      </c>
      <c r="GF91" s="64">
        <v>146</v>
      </c>
      <c r="GG91" s="64">
        <v>95</v>
      </c>
      <c r="GH91" s="64">
        <v>408</v>
      </c>
      <c r="GI91" s="64">
        <v>147</v>
      </c>
      <c r="GJ91" s="64">
        <v>95</v>
      </c>
      <c r="GK91" s="64">
        <v>408</v>
      </c>
      <c r="GL91" s="64">
        <v>1968</v>
      </c>
      <c r="GM91" s="64">
        <v>1814</v>
      </c>
      <c r="GN91" s="64">
        <v>2518</v>
      </c>
      <c r="GO91" s="64">
        <v>1969</v>
      </c>
      <c r="GP91" s="64">
        <v>1973</v>
      </c>
      <c r="GQ91" s="64">
        <v>2703</v>
      </c>
      <c r="GR91" s="64">
        <v>1</v>
      </c>
      <c r="GS91" s="64">
        <v>159</v>
      </c>
      <c r="GT91" s="64">
        <v>185</v>
      </c>
      <c r="GU91" s="64">
        <v>2</v>
      </c>
      <c r="GV91" s="64">
        <v>159</v>
      </c>
      <c r="GW91" s="64">
        <v>185</v>
      </c>
    </row>
    <row r="92" spans="1:205" s="64" customFormat="1">
      <c r="A92" s="64" t="s">
        <v>99</v>
      </c>
      <c r="B92" s="64">
        <v>217</v>
      </c>
      <c r="C92" s="64" t="s">
        <v>44</v>
      </c>
      <c r="D92" s="64" t="s">
        <v>32</v>
      </c>
      <c r="E92" s="64">
        <v>93</v>
      </c>
      <c r="F92" s="64">
        <v>186</v>
      </c>
      <c r="G92" s="64">
        <v>100</v>
      </c>
      <c r="H92" s="64">
        <v>0</v>
      </c>
      <c r="I92" s="64">
        <v>0</v>
      </c>
      <c r="J92" s="64">
        <v>0</v>
      </c>
      <c r="K92" s="64">
        <v>13</v>
      </c>
      <c r="L92" s="64">
        <v>0</v>
      </c>
      <c r="M92" s="64">
        <v>0</v>
      </c>
      <c r="N92" s="64">
        <v>80</v>
      </c>
      <c r="O92" s="64">
        <v>48</v>
      </c>
      <c r="P92" s="64">
        <v>100</v>
      </c>
      <c r="Q92" s="104">
        <v>0</v>
      </c>
      <c r="R92" s="104">
        <v>0</v>
      </c>
      <c r="S92" s="104">
        <v>0</v>
      </c>
      <c r="T92" s="104">
        <v>54</v>
      </c>
      <c r="U92" s="104">
        <v>15</v>
      </c>
      <c r="V92" s="104">
        <v>67</v>
      </c>
      <c r="W92" s="104">
        <v>26</v>
      </c>
      <c r="X92" s="104">
        <v>33</v>
      </c>
      <c r="Y92" s="104">
        <v>33</v>
      </c>
      <c r="Z92" s="64">
        <v>0</v>
      </c>
      <c r="AA92" s="64">
        <v>138</v>
      </c>
      <c r="AB92" s="64">
        <v>0</v>
      </c>
      <c r="AC92" s="64">
        <v>9</v>
      </c>
      <c r="AD92" s="64">
        <v>40</v>
      </c>
      <c r="AE92" s="64">
        <v>-27</v>
      </c>
      <c r="AF92" s="64">
        <v>9</v>
      </c>
      <c r="AG92" s="64">
        <v>40</v>
      </c>
      <c r="AH92" s="64">
        <v>-27</v>
      </c>
      <c r="AI92" s="172">
        <v>0</v>
      </c>
      <c r="AJ92" s="104">
        <v>0</v>
      </c>
      <c r="AK92" s="173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84</v>
      </c>
      <c r="AS92" s="64">
        <v>146</v>
      </c>
      <c r="AT92" s="64">
        <v>127</v>
      </c>
      <c r="AU92" s="64">
        <v>93</v>
      </c>
      <c r="AV92" s="64">
        <v>186</v>
      </c>
      <c r="AW92" s="64">
        <v>100</v>
      </c>
      <c r="AX92" s="64">
        <v>9</v>
      </c>
      <c r="AY92" s="64">
        <v>40</v>
      </c>
      <c r="AZ92" s="64">
        <v>-27</v>
      </c>
      <c r="BA92" s="64">
        <v>9</v>
      </c>
      <c r="BB92" s="64">
        <v>40</v>
      </c>
      <c r="BC92" s="64">
        <v>-27</v>
      </c>
      <c r="BE92" s="64">
        <f t="shared" si="106"/>
        <v>0</v>
      </c>
      <c r="BF92" s="64">
        <f t="shared" si="107"/>
        <v>0.74193548387096775</v>
      </c>
      <c r="BG92" s="64">
        <f t="shared" si="108"/>
        <v>0</v>
      </c>
      <c r="BI92" s="64">
        <f t="shared" si="109"/>
        <v>0.86021505376344087</v>
      </c>
      <c r="BJ92" s="64">
        <f t="shared" si="110"/>
        <v>0.25806451612903225</v>
      </c>
      <c r="BK92" s="64">
        <f t="shared" si="111"/>
        <v>1</v>
      </c>
      <c r="BM92" s="64">
        <f t="shared" si="112"/>
        <v>0</v>
      </c>
      <c r="BN92" s="64">
        <f t="shared" si="113"/>
        <v>0</v>
      </c>
      <c r="BO92" s="64">
        <f t="shared" si="114"/>
        <v>0</v>
      </c>
      <c r="BQ92" s="104">
        <f t="shared" si="115"/>
        <v>0.58064516129032262</v>
      </c>
      <c r="BR92" s="104">
        <f t="shared" si="116"/>
        <v>8.0645161290322578E-2</v>
      </c>
      <c r="BS92" s="104">
        <f t="shared" si="117"/>
        <v>0.67</v>
      </c>
      <c r="BU92" s="104">
        <f t="shared" si="118"/>
        <v>0.27956989247311825</v>
      </c>
      <c r="BV92" s="104">
        <f t="shared" si="119"/>
        <v>0.17741935483870969</v>
      </c>
      <c r="BW92" s="104">
        <f t="shared" si="120"/>
        <v>0.33</v>
      </c>
      <c r="BY92" s="104">
        <f t="shared" si="121"/>
        <v>0</v>
      </c>
      <c r="BZ92" s="104">
        <f t="shared" si="122"/>
        <v>0</v>
      </c>
      <c r="CA92" s="104">
        <f t="shared" si="123"/>
        <v>0</v>
      </c>
      <c r="CC92" s="104">
        <f t="shared" si="124"/>
        <v>0</v>
      </c>
      <c r="CD92" s="104">
        <f t="shared" si="125"/>
        <v>0</v>
      </c>
      <c r="CE92" s="104">
        <f t="shared" si="126"/>
        <v>0</v>
      </c>
      <c r="CG92" s="64">
        <f t="shared" si="127"/>
        <v>0.86021505376344087</v>
      </c>
      <c r="CH92" s="64">
        <f t="shared" si="128"/>
        <v>1</v>
      </c>
      <c r="CI92" s="64">
        <f t="shared" si="129"/>
        <v>1</v>
      </c>
      <c r="CK92" s="64">
        <f t="shared" si="130"/>
        <v>0.13978494623655913</v>
      </c>
      <c r="CL92" s="64">
        <f t="shared" si="131"/>
        <v>0</v>
      </c>
      <c r="CM92" s="64">
        <f t="shared" si="132"/>
        <v>0</v>
      </c>
      <c r="CO92" s="104">
        <f t="shared" si="133"/>
        <v>12.999999999999998</v>
      </c>
      <c r="CP92" s="104">
        <f t="shared" si="134"/>
        <v>0</v>
      </c>
      <c r="CQ92" s="104">
        <f t="shared" si="135"/>
        <v>0</v>
      </c>
      <c r="CT92" s="64">
        <v>54</v>
      </c>
      <c r="CV92" s="104">
        <f t="shared" si="167"/>
        <v>0</v>
      </c>
      <c r="CW92" s="104">
        <f t="shared" si="136"/>
        <v>0.63594470046082952</v>
      </c>
      <c r="CX92" s="104">
        <f t="shared" si="137"/>
        <v>0</v>
      </c>
      <c r="CZ92" s="64">
        <f t="shared" si="138"/>
        <v>0</v>
      </c>
      <c r="DA92" s="64">
        <f t="shared" si="139"/>
        <v>1</v>
      </c>
      <c r="DB92" s="64">
        <f t="shared" si="140"/>
        <v>0</v>
      </c>
      <c r="DC92" s="64">
        <f t="shared" si="141"/>
        <v>0</v>
      </c>
      <c r="DD92" s="64">
        <f t="shared" si="142"/>
        <v>0</v>
      </c>
      <c r="DE92" s="64">
        <f t="shared" si="143"/>
        <v>0</v>
      </c>
      <c r="DF92" s="64">
        <f t="shared" si="144"/>
        <v>1</v>
      </c>
      <c r="DG92" s="64">
        <f t="shared" si="145"/>
        <v>1</v>
      </c>
      <c r="DH92" s="64">
        <f t="shared" si="146"/>
        <v>1</v>
      </c>
      <c r="DI92" s="64">
        <f t="shared" si="147"/>
        <v>1</v>
      </c>
      <c r="DJ92" s="64">
        <f t="shared" si="148"/>
        <v>1</v>
      </c>
      <c r="DK92" s="64">
        <f t="shared" si="149"/>
        <v>1</v>
      </c>
      <c r="DL92" s="64">
        <f t="shared" si="150"/>
        <v>0</v>
      </c>
      <c r="DM92" s="64">
        <f t="shared" si="151"/>
        <v>0</v>
      </c>
      <c r="DN92" s="64">
        <f t="shared" si="152"/>
        <v>0</v>
      </c>
      <c r="DO92" s="64">
        <f t="shared" si="153"/>
        <v>0</v>
      </c>
      <c r="DP92" s="64">
        <f t="shared" si="154"/>
        <v>0</v>
      </c>
      <c r="DQ92" s="64">
        <f t="shared" si="155"/>
        <v>0</v>
      </c>
      <c r="DR92" s="64">
        <f t="shared" si="156"/>
        <v>1</v>
      </c>
      <c r="DS92" s="64">
        <f t="shared" si="157"/>
        <v>0</v>
      </c>
      <c r="DT92" s="64">
        <f t="shared" si="158"/>
        <v>0</v>
      </c>
      <c r="DU92" s="64">
        <f t="shared" si="159"/>
        <v>3</v>
      </c>
      <c r="DV92" s="64">
        <f t="shared" si="160"/>
        <v>3</v>
      </c>
      <c r="DW92" s="64">
        <f t="shared" si="161"/>
        <v>2</v>
      </c>
      <c r="DX92" s="64">
        <f t="shared" si="162"/>
        <v>2.6666666666666665</v>
      </c>
      <c r="DY92" s="64">
        <f t="shared" si="163"/>
        <v>0.47140452079103168</v>
      </c>
      <c r="DZ92" s="203">
        <f t="shared" si="164"/>
        <v>0</v>
      </c>
      <c r="EA92" s="64">
        <f t="shared" si="164"/>
        <v>0</v>
      </c>
      <c r="EB92" s="64">
        <f t="shared" si="164"/>
        <v>1</v>
      </c>
      <c r="EC92" s="64">
        <f t="shared" si="164"/>
        <v>0</v>
      </c>
      <c r="ED92" s="64">
        <f t="shared" si="164"/>
        <v>0</v>
      </c>
      <c r="EE92" s="64">
        <f t="shared" si="164"/>
        <v>0</v>
      </c>
      <c r="EF92" s="64">
        <f t="shared" si="164"/>
        <v>0</v>
      </c>
      <c r="EG92" s="64">
        <f t="shared" si="165"/>
        <v>0</v>
      </c>
      <c r="EH92" s="64">
        <f t="shared" si="165"/>
        <v>0</v>
      </c>
      <c r="EI92" s="64">
        <f t="shared" si="165"/>
        <v>1</v>
      </c>
      <c r="EJ92" s="64">
        <f t="shared" si="165"/>
        <v>0</v>
      </c>
      <c r="EK92" s="64">
        <f t="shared" si="165"/>
        <v>0</v>
      </c>
      <c r="EL92" s="64">
        <f t="shared" si="165"/>
        <v>0</v>
      </c>
      <c r="EM92" s="64">
        <f t="shared" si="165"/>
        <v>0</v>
      </c>
      <c r="EN92" s="64">
        <f t="shared" si="166"/>
        <v>0</v>
      </c>
      <c r="EO92" s="64">
        <f t="shared" si="166"/>
        <v>1</v>
      </c>
      <c r="EP92" s="64">
        <f t="shared" si="166"/>
        <v>0</v>
      </c>
      <c r="EQ92" s="64">
        <f t="shared" si="166"/>
        <v>0</v>
      </c>
      <c r="ER92" s="64">
        <f t="shared" si="166"/>
        <v>0</v>
      </c>
      <c r="ES92" s="64">
        <f t="shared" si="166"/>
        <v>0</v>
      </c>
      <c r="ET92" s="104">
        <f t="shared" si="166"/>
        <v>0</v>
      </c>
    </row>
    <row r="93" spans="1:205" s="64" customFormat="1">
      <c r="A93" s="64" t="s">
        <v>135</v>
      </c>
      <c r="B93" s="64">
        <v>269</v>
      </c>
      <c r="C93" s="64" t="s">
        <v>44</v>
      </c>
      <c r="D93" s="64" t="s">
        <v>32</v>
      </c>
      <c r="E93" s="64">
        <v>988</v>
      </c>
      <c r="F93" s="64">
        <v>1109</v>
      </c>
      <c r="G93" s="64">
        <v>1109</v>
      </c>
      <c r="H93" s="64">
        <v>29</v>
      </c>
      <c r="I93" s="64">
        <v>35</v>
      </c>
      <c r="J93" s="64">
        <v>54</v>
      </c>
      <c r="K93" s="64">
        <v>0</v>
      </c>
      <c r="L93" s="64">
        <v>0</v>
      </c>
      <c r="M93" s="64">
        <v>13</v>
      </c>
      <c r="N93" s="64">
        <v>335</v>
      </c>
      <c r="O93" s="64">
        <v>363</v>
      </c>
      <c r="P93" s="64">
        <v>525</v>
      </c>
      <c r="Q93" s="104">
        <v>87</v>
      </c>
      <c r="R93" s="104">
        <v>32</v>
      </c>
      <c r="S93" s="104">
        <v>283</v>
      </c>
      <c r="T93" s="104">
        <v>30</v>
      </c>
      <c r="U93" s="104">
        <v>55</v>
      </c>
      <c r="V93" s="104">
        <v>25</v>
      </c>
      <c r="W93" s="104">
        <v>218</v>
      </c>
      <c r="X93" s="104">
        <v>276</v>
      </c>
      <c r="Y93" s="104">
        <v>217</v>
      </c>
      <c r="Z93" s="64">
        <v>624</v>
      </c>
      <c r="AA93" s="64">
        <v>711</v>
      </c>
      <c r="AB93" s="64">
        <v>517</v>
      </c>
      <c r="AC93" s="64">
        <v>-61</v>
      </c>
      <c r="AD93" s="64">
        <v>91</v>
      </c>
      <c r="AE93" s="64">
        <v>-260</v>
      </c>
      <c r="AF93" s="64">
        <v>-61</v>
      </c>
      <c r="AG93" s="64">
        <v>91</v>
      </c>
      <c r="AH93" s="64">
        <v>-260</v>
      </c>
      <c r="AI93" s="172">
        <v>518</v>
      </c>
      <c r="AJ93" s="104">
        <v>413</v>
      </c>
      <c r="AK93" s="173">
        <v>676</v>
      </c>
      <c r="AL93" s="64">
        <v>12</v>
      </c>
      <c r="AM93" s="64">
        <v>55</v>
      </c>
      <c r="AN93" s="64">
        <v>318</v>
      </c>
      <c r="AO93" s="64">
        <v>73</v>
      </c>
      <c r="AP93" s="64">
        <v>55</v>
      </c>
      <c r="AQ93" s="64">
        <v>318</v>
      </c>
      <c r="AR93" s="64">
        <v>1494</v>
      </c>
      <c r="AS93" s="64">
        <v>1376</v>
      </c>
      <c r="AT93" s="64">
        <v>1727</v>
      </c>
      <c r="AU93" s="64">
        <v>1506</v>
      </c>
      <c r="AV93" s="64">
        <v>1522</v>
      </c>
      <c r="AW93" s="64">
        <v>1785</v>
      </c>
      <c r="AX93" s="64">
        <v>12</v>
      </c>
      <c r="AY93" s="64">
        <v>146</v>
      </c>
      <c r="AZ93" s="64">
        <v>58</v>
      </c>
      <c r="BA93" s="64">
        <v>12</v>
      </c>
      <c r="BB93" s="64">
        <v>146</v>
      </c>
      <c r="BC93" s="64">
        <v>58</v>
      </c>
      <c r="BE93" s="64">
        <f t="shared" si="106"/>
        <v>0.41434262948207173</v>
      </c>
      <c r="BF93" s="64">
        <f t="shared" si="107"/>
        <v>0.46714848883048621</v>
      </c>
      <c r="BG93" s="64">
        <f t="shared" si="108"/>
        <v>0.28963585434173672</v>
      </c>
      <c r="BI93" s="64">
        <f t="shared" si="109"/>
        <v>0.22244355909694555</v>
      </c>
      <c r="BJ93" s="64">
        <f t="shared" si="110"/>
        <v>0.23850197109067017</v>
      </c>
      <c r="BK93" s="64">
        <f t="shared" si="111"/>
        <v>0.29411764705882354</v>
      </c>
      <c r="BM93" s="64">
        <f t="shared" si="112"/>
        <v>5.7768924302788842E-2</v>
      </c>
      <c r="BN93" s="64">
        <f t="shared" si="113"/>
        <v>2.1024967148488831E-2</v>
      </c>
      <c r="BO93" s="64">
        <f t="shared" si="114"/>
        <v>0.15854341736694677</v>
      </c>
      <c r="BQ93" s="104">
        <f t="shared" si="115"/>
        <v>1.9920318725099601E-2</v>
      </c>
      <c r="BR93" s="104">
        <f t="shared" si="116"/>
        <v>3.6136662286465178E-2</v>
      </c>
      <c r="BS93" s="104">
        <f t="shared" si="117"/>
        <v>1.4005602240896359E-2</v>
      </c>
      <c r="BU93" s="104">
        <f t="shared" si="118"/>
        <v>0.14475431606905712</v>
      </c>
      <c r="BV93" s="104">
        <f t="shared" si="119"/>
        <v>0.18134034165571616</v>
      </c>
      <c r="BW93" s="104">
        <f t="shared" si="120"/>
        <v>0.12156862745098039</v>
      </c>
      <c r="BY93" s="104">
        <f t="shared" si="121"/>
        <v>1.9256308100929615E-2</v>
      </c>
      <c r="BZ93" s="104">
        <f t="shared" si="122"/>
        <v>2.2996057818659658E-2</v>
      </c>
      <c r="CA93" s="104">
        <f t="shared" si="123"/>
        <v>3.0252100840336135E-2</v>
      </c>
      <c r="CC93" s="104">
        <f t="shared" si="124"/>
        <v>0.34395750332005315</v>
      </c>
      <c r="CD93" s="104">
        <f t="shared" si="125"/>
        <v>0.27135348226018396</v>
      </c>
      <c r="CE93" s="104">
        <f t="shared" si="126"/>
        <v>0.37871148459383752</v>
      </c>
      <c r="CG93" s="64">
        <f>BE93+BI93+BY93+CC93</f>
        <v>1</v>
      </c>
      <c r="CH93" s="64">
        <f t="shared" si="128"/>
        <v>1</v>
      </c>
      <c r="CI93" s="64">
        <f t="shared" si="129"/>
        <v>0.99271708683473392</v>
      </c>
      <c r="CK93" s="64">
        <f t="shared" si="130"/>
        <v>0</v>
      </c>
      <c r="CL93" s="64">
        <f t="shared" si="131"/>
        <v>0</v>
      </c>
      <c r="CM93" s="64">
        <f t="shared" si="132"/>
        <v>7.2829131652660806E-3</v>
      </c>
      <c r="CO93" s="104">
        <f t="shared" si="133"/>
        <v>0</v>
      </c>
      <c r="CP93" s="104">
        <f t="shared" si="134"/>
        <v>0</v>
      </c>
      <c r="CQ93" s="104">
        <f t="shared" si="135"/>
        <v>12.999999999999954</v>
      </c>
      <c r="CT93" s="64">
        <v>30</v>
      </c>
      <c r="CV93" s="104">
        <f t="shared" si="167"/>
        <v>2.3197026022304832</v>
      </c>
      <c r="CW93" s="104">
        <f t="shared" si="136"/>
        <v>2.6431226765799258</v>
      </c>
      <c r="CX93" s="104">
        <f t="shared" si="137"/>
        <v>1.9219330855018588</v>
      </c>
      <c r="CZ93" s="64">
        <f t="shared" si="138"/>
        <v>1</v>
      </c>
      <c r="DA93" s="64">
        <f t="shared" si="139"/>
        <v>1</v>
      </c>
      <c r="DB93" s="64">
        <f t="shared" si="140"/>
        <v>1</v>
      </c>
      <c r="DC93" s="64">
        <f t="shared" si="141"/>
        <v>1</v>
      </c>
      <c r="DD93" s="64">
        <f t="shared" si="142"/>
        <v>1</v>
      </c>
      <c r="DE93" s="64">
        <f t="shared" si="143"/>
        <v>1</v>
      </c>
      <c r="DF93" s="64">
        <f t="shared" si="144"/>
        <v>1</v>
      </c>
      <c r="DG93" s="64">
        <f t="shared" si="145"/>
        <v>1</v>
      </c>
      <c r="DH93" s="64">
        <f t="shared" si="146"/>
        <v>1</v>
      </c>
      <c r="DI93" s="64">
        <f t="shared" si="147"/>
        <v>1</v>
      </c>
      <c r="DJ93" s="64">
        <f t="shared" si="148"/>
        <v>1</v>
      </c>
      <c r="DK93" s="64">
        <f t="shared" si="149"/>
        <v>1</v>
      </c>
      <c r="DL93" s="64">
        <f t="shared" si="150"/>
        <v>1</v>
      </c>
      <c r="DM93" s="64">
        <f t="shared" si="151"/>
        <v>1</v>
      </c>
      <c r="DN93" s="64">
        <f t="shared" si="152"/>
        <v>1</v>
      </c>
      <c r="DO93" s="64">
        <f t="shared" si="153"/>
        <v>1</v>
      </c>
      <c r="DP93" s="64">
        <f t="shared" si="154"/>
        <v>1</v>
      </c>
      <c r="DQ93" s="64">
        <f t="shared" si="155"/>
        <v>1</v>
      </c>
      <c r="DR93" s="64">
        <f t="shared" si="156"/>
        <v>0</v>
      </c>
      <c r="DS93" s="64">
        <f t="shared" si="157"/>
        <v>0</v>
      </c>
      <c r="DT93" s="64">
        <f t="shared" si="158"/>
        <v>1</v>
      </c>
      <c r="DU93" s="64">
        <f t="shared" si="159"/>
        <v>6</v>
      </c>
      <c r="DV93" s="64">
        <f t="shared" si="160"/>
        <v>6</v>
      </c>
      <c r="DW93" s="64">
        <f t="shared" si="161"/>
        <v>7</v>
      </c>
      <c r="DX93" s="64">
        <f t="shared" si="162"/>
        <v>6.333333333333333</v>
      </c>
      <c r="DY93" s="64">
        <f t="shared" si="163"/>
        <v>0.47140452079103168</v>
      </c>
      <c r="DZ93" s="203">
        <f t="shared" si="164"/>
        <v>0</v>
      </c>
      <c r="EA93" s="64">
        <f t="shared" si="164"/>
        <v>0</v>
      </c>
      <c r="EB93" s="64">
        <f t="shared" si="164"/>
        <v>0</v>
      </c>
      <c r="EC93" s="64">
        <f t="shared" si="164"/>
        <v>0</v>
      </c>
      <c r="ED93" s="64">
        <f t="shared" si="164"/>
        <v>0</v>
      </c>
      <c r="EE93" s="64">
        <f t="shared" si="164"/>
        <v>1</v>
      </c>
      <c r="EF93" s="64">
        <f t="shared" si="164"/>
        <v>0</v>
      </c>
      <c r="EG93" s="64">
        <f t="shared" si="165"/>
        <v>0</v>
      </c>
      <c r="EH93" s="64">
        <f t="shared" si="165"/>
        <v>0</v>
      </c>
      <c r="EI93" s="64">
        <f t="shared" si="165"/>
        <v>0</v>
      </c>
      <c r="EJ93" s="64">
        <f t="shared" si="165"/>
        <v>0</v>
      </c>
      <c r="EK93" s="64">
        <f t="shared" si="165"/>
        <v>0</v>
      </c>
      <c r="EL93" s="64">
        <f t="shared" si="165"/>
        <v>1</v>
      </c>
      <c r="EM93" s="64">
        <f t="shared" si="165"/>
        <v>0</v>
      </c>
      <c r="EN93" s="64">
        <f t="shared" si="166"/>
        <v>0</v>
      </c>
      <c r="EO93" s="64">
        <f t="shared" si="166"/>
        <v>0</v>
      </c>
      <c r="EP93" s="64">
        <f t="shared" si="166"/>
        <v>0</v>
      </c>
      <c r="EQ93" s="64">
        <f t="shared" si="166"/>
        <v>0</v>
      </c>
      <c r="ER93" s="64">
        <f t="shared" si="166"/>
        <v>0</v>
      </c>
      <c r="ES93" s="64">
        <f t="shared" si="166"/>
        <v>0</v>
      </c>
      <c r="ET93" s="104">
        <f t="shared" si="166"/>
        <v>1</v>
      </c>
    </row>
    <row r="94" spans="1:205" s="134" customFormat="1" ht="17" thickBot="1">
      <c r="A94" s="134" t="s">
        <v>81</v>
      </c>
      <c r="B94" s="134">
        <v>70</v>
      </c>
      <c r="C94" s="134" t="s">
        <v>45</v>
      </c>
      <c r="D94" s="134" t="s">
        <v>33</v>
      </c>
      <c r="E94" s="134">
        <f>(EY94/370)*70</f>
        <v>634.7297297297298</v>
      </c>
      <c r="F94" s="134">
        <f t="shared" ref="F94:BC94" si="172">(EZ94/370)*70</f>
        <v>545.24324324324323</v>
      </c>
      <c r="G94" s="134">
        <f t="shared" si="172"/>
        <v>625.2702702702702</v>
      </c>
      <c r="H94" s="134">
        <f t="shared" si="172"/>
        <v>0</v>
      </c>
      <c r="I94" s="134">
        <f t="shared" si="172"/>
        <v>0</v>
      </c>
      <c r="J94" s="134">
        <f t="shared" si="172"/>
        <v>0</v>
      </c>
      <c r="K94" s="134">
        <f t="shared" si="172"/>
        <v>2.6486486486486487</v>
      </c>
      <c r="L94" s="134">
        <f t="shared" si="172"/>
        <v>0</v>
      </c>
      <c r="M94" s="134">
        <f t="shared" si="172"/>
        <v>89.108108108108112</v>
      </c>
      <c r="N94" s="134">
        <f t="shared" si="172"/>
        <v>383.29729729729729</v>
      </c>
      <c r="O94" s="134">
        <f t="shared" si="172"/>
        <v>238.56756756756758</v>
      </c>
      <c r="P94" s="134">
        <f t="shared" si="172"/>
        <v>216.62162162162164</v>
      </c>
      <c r="Q94" s="179">
        <f t="shared" si="172"/>
        <v>0</v>
      </c>
      <c r="R94" s="179">
        <f t="shared" si="172"/>
        <v>0</v>
      </c>
      <c r="S94" s="179">
        <f t="shared" si="172"/>
        <v>0</v>
      </c>
      <c r="T94" s="179">
        <f t="shared" si="172"/>
        <v>87.594594594594597</v>
      </c>
      <c r="U94" s="179">
        <f t="shared" si="172"/>
        <v>87.594594594594597</v>
      </c>
      <c r="V94" s="179">
        <f t="shared" si="172"/>
        <v>90.621621621621628</v>
      </c>
      <c r="W94" s="179">
        <f t="shared" si="172"/>
        <v>295.70270270270271</v>
      </c>
      <c r="X94" s="179">
        <f t="shared" si="172"/>
        <v>150.972972972973</v>
      </c>
      <c r="Y94" s="179">
        <f t="shared" si="172"/>
        <v>126.18918918918919</v>
      </c>
      <c r="Z94" s="134">
        <f t="shared" si="172"/>
        <v>248.78378378378378</v>
      </c>
      <c r="AA94" s="134">
        <f t="shared" si="172"/>
        <v>306.67567567567568</v>
      </c>
      <c r="AB94" s="134">
        <f t="shared" si="172"/>
        <v>319.3513513513513</v>
      </c>
      <c r="AC94" s="134">
        <f t="shared" si="172"/>
        <v>-182.75675675675674</v>
      </c>
      <c r="AD94" s="134">
        <f t="shared" si="172"/>
        <v>-129.78378378378378</v>
      </c>
      <c r="AE94" s="134">
        <f t="shared" si="172"/>
        <v>-59.78378378378379</v>
      </c>
      <c r="AF94" s="134">
        <f t="shared" si="172"/>
        <v>-182.75675675675674</v>
      </c>
      <c r="AG94" s="134">
        <f t="shared" si="172"/>
        <v>-129.78378378378378</v>
      </c>
      <c r="AH94" s="134">
        <f t="shared" si="172"/>
        <v>-59.78378378378379</v>
      </c>
      <c r="AI94" s="181">
        <f t="shared" si="172"/>
        <v>103.29729729729731</v>
      </c>
      <c r="AJ94" s="179">
        <f t="shared" si="172"/>
        <v>105.94594594594595</v>
      </c>
      <c r="AK94" s="182">
        <f t="shared" si="172"/>
        <v>97.432432432432435</v>
      </c>
      <c r="AL94" s="134">
        <f t="shared" si="172"/>
        <v>52.594594594594597</v>
      </c>
      <c r="AM94" s="134">
        <f t="shared" si="172"/>
        <v>55.432432432432435</v>
      </c>
      <c r="AN94" s="134">
        <f t="shared" si="172"/>
        <v>46.729729729729726</v>
      </c>
      <c r="AO94" s="134">
        <f t="shared" si="172"/>
        <v>52.594594594594597</v>
      </c>
      <c r="AP94" s="134">
        <f t="shared" si="172"/>
        <v>55.432432432432435</v>
      </c>
      <c r="AQ94" s="134">
        <f t="shared" si="172"/>
        <v>46.729729729729726</v>
      </c>
      <c r="AR94" s="134">
        <f t="shared" si="172"/>
        <v>868.18918918918916</v>
      </c>
      <c r="AS94" s="134">
        <f t="shared" si="172"/>
        <v>725.54054054054052</v>
      </c>
      <c r="AT94" s="134">
        <f t="shared" si="172"/>
        <v>735.75675675675677</v>
      </c>
      <c r="AU94" s="134">
        <f t="shared" si="172"/>
        <v>738.02702702702697</v>
      </c>
      <c r="AV94" s="134">
        <f t="shared" si="172"/>
        <v>651.18918918918916</v>
      </c>
      <c r="AW94" s="134">
        <f t="shared" si="172"/>
        <v>722.70270270270271</v>
      </c>
      <c r="AX94" s="134">
        <f t="shared" si="172"/>
        <v>-130.16216216216216</v>
      </c>
      <c r="AY94" s="134">
        <f t="shared" si="172"/>
        <v>-74.351351351351354</v>
      </c>
      <c r="AZ94" s="134">
        <f t="shared" si="172"/>
        <v>-13.054054054054054</v>
      </c>
      <c r="BA94" s="134">
        <f t="shared" si="172"/>
        <v>-130.16216216216216</v>
      </c>
      <c r="BB94" s="134">
        <f t="shared" si="172"/>
        <v>-74.351351351351354</v>
      </c>
      <c r="BC94" s="134">
        <f t="shared" si="172"/>
        <v>-13.054054054054054</v>
      </c>
      <c r="BE94" s="134">
        <f t="shared" si="106"/>
        <v>0.33709305306331711</v>
      </c>
      <c r="BF94" s="134">
        <f t="shared" si="107"/>
        <v>0.47094712376525277</v>
      </c>
      <c r="BG94" s="134">
        <f t="shared" si="108"/>
        <v>0.4418848167539266</v>
      </c>
      <c r="BI94" s="134">
        <f t="shared" si="109"/>
        <v>0.51935401179184826</v>
      </c>
      <c r="BJ94" s="134">
        <f t="shared" si="110"/>
        <v>0.3663567693201627</v>
      </c>
      <c r="BK94" s="134">
        <f t="shared" si="111"/>
        <v>0.29973821989528798</v>
      </c>
      <c r="BM94" s="134">
        <f t="shared" si="112"/>
        <v>0</v>
      </c>
      <c r="BN94" s="134">
        <f t="shared" si="113"/>
        <v>0</v>
      </c>
      <c r="BO94" s="134">
        <f t="shared" si="114"/>
        <v>0</v>
      </c>
      <c r="BQ94" s="179">
        <f t="shared" si="115"/>
        <v>0.11868751602153295</v>
      </c>
      <c r="BR94" s="179">
        <f t="shared" si="116"/>
        <v>0.13451481696687972</v>
      </c>
      <c r="BS94" s="179">
        <f t="shared" si="117"/>
        <v>0.12539267015706806</v>
      </c>
      <c r="BU94" s="179">
        <f t="shared" si="118"/>
        <v>0.40066649577031532</v>
      </c>
      <c r="BV94" s="179">
        <f t="shared" si="119"/>
        <v>0.23184195235328303</v>
      </c>
      <c r="BW94" s="179">
        <f t="shared" si="120"/>
        <v>0.17460732984293195</v>
      </c>
      <c r="BY94" s="179">
        <f t="shared" si="121"/>
        <v>0</v>
      </c>
      <c r="BZ94" s="179">
        <f t="shared" si="122"/>
        <v>0</v>
      </c>
      <c r="CA94" s="179">
        <f t="shared" si="123"/>
        <v>0</v>
      </c>
      <c r="CC94" s="179">
        <f t="shared" si="124"/>
        <v>0.13996411176621382</v>
      </c>
      <c r="CD94" s="179">
        <f t="shared" si="125"/>
        <v>0.16269610691458455</v>
      </c>
      <c r="CE94" s="179">
        <f t="shared" si="126"/>
        <v>0.13481675392670156</v>
      </c>
      <c r="CG94" s="134">
        <f t="shared" si="127"/>
        <v>0.99641117662137924</v>
      </c>
      <c r="CH94" s="134">
        <f t="shared" si="128"/>
        <v>1</v>
      </c>
      <c r="CI94" s="134">
        <f t="shared" si="129"/>
        <v>0.87643979057591614</v>
      </c>
      <c r="CK94" s="134">
        <f t="shared" si="130"/>
        <v>3.5888233786207646E-3</v>
      </c>
      <c r="CL94" s="134">
        <f t="shared" si="131"/>
        <v>0</v>
      </c>
      <c r="CM94" s="134">
        <f t="shared" si="132"/>
        <v>0.12356020942408386</v>
      </c>
      <c r="CO94" s="179">
        <f t="shared" si="133"/>
        <v>2.6486486486485732</v>
      </c>
      <c r="CP94" s="179">
        <f t="shared" si="134"/>
        <v>0</v>
      </c>
      <c r="CQ94" s="179">
        <f t="shared" si="135"/>
        <v>89.297297297297362</v>
      </c>
      <c r="CT94" s="134">
        <v>87.594594594594597</v>
      </c>
      <c r="CV94" s="179">
        <f t="shared" si="167"/>
        <v>3.5540540540540539</v>
      </c>
      <c r="CW94" s="179">
        <f t="shared" si="136"/>
        <v>4.3810810810810814</v>
      </c>
      <c r="CX94" s="179">
        <f t="shared" si="137"/>
        <v>4.5621621621621617</v>
      </c>
      <c r="CZ94" s="134">
        <f t="shared" si="138"/>
        <v>1</v>
      </c>
      <c r="DA94" s="134">
        <f t="shared" si="139"/>
        <v>1</v>
      </c>
      <c r="DB94" s="134">
        <f t="shared" si="140"/>
        <v>1</v>
      </c>
      <c r="DC94" s="134">
        <f t="shared" si="141"/>
        <v>0</v>
      </c>
      <c r="DD94" s="134">
        <f t="shared" si="142"/>
        <v>0</v>
      </c>
      <c r="DE94" s="134">
        <f t="shared" si="143"/>
        <v>0</v>
      </c>
      <c r="DF94" s="134">
        <f t="shared" si="144"/>
        <v>1</v>
      </c>
      <c r="DG94" s="134">
        <f t="shared" si="145"/>
        <v>1</v>
      </c>
      <c r="DH94" s="134">
        <f t="shared" si="146"/>
        <v>1</v>
      </c>
      <c r="DI94" s="134">
        <f t="shared" si="147"/>
        <v>1</v>
      </c>
      <c r="DJ94" s="134">
        <f t="shared" si="148"/>
        <v>1</v>
      </c>
      <c r="DK94" s="134">
        <f t="shared" si="149"/>
        <v>1</v>
      </c>
      <c r="DL94" s="134">
        <f t="shared" si="150"/>
        <v>0</v>
      </c>
      <c r="DM94" s="134">
        <f t="shared" si="151"/>
        <v>0</v>
      </c>
      <c r="DN94" s="134">
        <f t="shared" si="152"/>
        <v>0</v>
      </c>
      <c r="DO94" s="134">
        <f t="shared" si="153"/>
        <v>1</v>
      </c>
      <c r="DP94" s="134">
        <f t="shared" si="154"/>
        <v>1</v>
      </c>
      <c r="DQ94" s="134">
        <f t="shared" si="155"/>
        <v>1</v>
      </c>
      <c r="DR94" s="134">
        <f t="shared" si="156"/>
        <v>1</v>
      </c>
      <c r="DS94" s="134">
        <f t="shared" si="157"/>
        <v>0</v>
      </c>
      <c r="DT94" s="134">
        <f t="shared" si="158"/>
        <v>1</v>
      </c>
      <c r="DU94" s="134">
        <f t="shared" si="159"/>
        <v>5</v>
      </c>
      <c r="DV94" s="134">
        <f t="shared" si="160"/>
        <v>4</v>
      </c>
      <c r="DW94" s="134">
        <f t="shared" si="161"/>
        <v>5</v>
      </c>
      <c r="DX94" s="134">
        <f t="shared" si="162"/>
        <v>4.666666666666667</v>
      </c>
      <c r="DY94" s="134">
        <f t="shared" si="163"/>
        <v>0.47140452079103168</v>
      </c>
      <c r="DZ94" s="208">
        <f t="shared" si="164"/>
        <v>0</v>
      </c>
      <c r="EA94" s="134">
        <f t="shared" si="164"/>
        <v>0</v>
      </c>
      <c r="EB94" s="134">
        <f t="shared" si="164"/>
        <v>0</v>
      </c>
      <c r="EC94" s="134">
        <f t="shared" si="164"/>
        <v>0</v>
      </c>
      <c r="ED94" s="134">
        <f t="shared" si="164"/>
        <v>1</v>
      </c>
      <c r="EE94" s="134">
        <f t="shared" si="164"/>
        <v>0</v>
      </c>
      <c r="EF94" s="134">
        <f t="shared" si="164"/>
        <v>0</v>
      </c>
      <c r="EG94" s="134">
        <f t="shared" si="165"/>
        <v>0</v>
      </c>
      <c r="EH94" s="134">
        <f t="shared" si="165"/>
        <v>0</v>
      </c>
      <c r="EI94" s="134">
        <f t="shared" si="165"/>
        <v>0</v>
      </c>
      <c r="EJ94" s="134">
        <f t="shared" si="165"/>
        <v>1</v>
      </c>
      <c r="EK94" s="134">
        <f t="shared" si="165"/>
        <v>0</v>
      </c>
      <c r="EL94" s="134">
        <f t="shared" si="165"/>
        <v>0</v>
      </c>
      <c r="EM94" s="134">
        <f t="shared" si="165"/>
        <v>0</v>
      </c>
      <c r="EN94" s="134">
        <f t="shared" si="166"/>
        <v>0</v>
      </c>
      <c r="EO94" s="134">
        <f t="shared" si="166"/>
        <v>0</v>
      </c>
      <c r="EP94" s="134">
        <f t="shared" si="166"/>
        <v>0</v>
      </c>
      <c r="EQ94" s="134">
        <f t="shared" si="166"/>
        <v>0</v>
      </c>
      <c r="ER94" s="134">
        <f t="shared" si="166"/>
        <v>1</v>
      </c>
      <c r="ES94" s="134">
        <f t="shared" si="166"/>
        <v>0</v>
      </c>
      <c r="ET94" s="179">
        <f t="shared" si="166"/>
        <v>0</v>
      </c>
      <c r="EY94" s="134">
        <v>3355</v>
      </c>
      <c r="EZ94" s="134">
        <v>2882</v>
      </c>
      <c r="FA94" s="134">
        <v>3305</v>
      </c>
      <c r="FB94" s="134">
        <v>0</v>
      </c>
      <c r="FC94" s="134">
        <v>0</v>
      </c>
      <c r="FD94" s="134">
        <v>0</v>
      </c>
      <c r="FE94" s="134">
        <v>14</v>
      </c>
      <c r="FF94" s="134">
        <v>0</v>
      </c>
      <c r="FG94" s="134">
        <v>471</v>
      </c>
      <c r="FH94" s="134">
        <v>2026</v>
      </c>
      <c r="FI94" s="134">
        <v>1261</v>
      </c>
      <c r="FJ94" s="134">
        <v>1145</v>
      </c>
      <c r="FK94" s="134">
        <v>0</v>
      </c>
      <c r="FL94" s="134">
        <v>0</v>
      </c>
      <c r="FM94" s="134">
        <v>0</v>
      </c>
      <c r="FN94" s="134">
        <v>463</v>
      </c>
      <c r="FO94" s="134">
        <v>463</v>
      </c>
      <c r="FP94" s="134">
        <v>479</v>
      </c>
      <c r="FQ94" s="134">
        <v>1563</v>
      </c>
      <c r="FR94" s="134">
        <v>798</v>
      </c>
      <c r="FS94" s="134">
        <v>667</v>
      </c>
      <c r="FT94" s="134">
        <v>1315</v>
      </c>
      <c r="FU94" s="134">
        <v>1621</v>
      </c>
      <c r="FV94" s="134">
        <v>1688</v>
      </c>
      <c r="FW94" s="134">
        <v>-966</v>
      </c>
      <c r="FX94" s="134">
        <v>-686</v>
      </c>
      <c r="FY94" s="134">
        <v>-316</v>
      </c>
      <c r="FZ94" s="134">
        <v>-966</v>
      </c>
      <c r="GA94" s="134">
        <v>-686</v>
      </c>
      <c r="GB94" s="134">
        <v>-316</v>
      </c>
      <c r="GC94" s="134">
        <v>546</v>
      </c>
      <c r="GD94" s="134">
        <v>560</v>
      </c>
      <c r="GE94" s="134">
        <v>515</v>
      </c>
      <c r="GF94" s="134">
        <v>278</v>
      </c>
      <c r="GG94" s="134">
        <v>293</v>
      </c>
      <c r="GH94" s="134">
        <v>247</v>
      </c>
      <c r="GI94" s="134">
        <v>278</v>
      </c>
      <c r="GJ94" s="134">
        <v>293</v>
      </c>
      <c r="GK94" s="134">
        <v>247</v>
      </c>
      <c r="GL94" s="134">
        <v>4589</v>
      </c>
      <c r="GM94" s="134">
        <v>3835</v>
      </c>
      <c r="GN94" s="134">
        <v>3889</v>
      </c>
      <c r="GO94" s="134">
        <v>3901</v>
      </c>
      <c r="GP94" s="134">
        <v>3442</v>
      </c>
      <c r="GQ94" s="134">
        <v>3820</v>
      </c>
      <c r="GR94" s="134">
        <v>-688</v>
      </c>
      <c r="GS94" s="134">
        <v>-393</v>
      </c>
      <c r="GT94" s="134">
        <v>-69</v>
      </c>
      <c r="GU94" s="134">
        <v>-688</v>
      </c>
      <c r="GV94" s="134">
        <v>-393</v>
      </c>
      <c r="GW94" s="134">
        <v>-69</v>
      </c>
    </row>
    <row r="95" spans="1:205" ht="17" thickBot="1">
      <c r="CT95">
        <v>14</v>
      </c>
      <c r="CV95" s="110"/>
      <c r="DA95" s="110"/>
      <c r="DX95" s="64">
        <v>4.72</v>
      </c>
      <c r="DY95" s="64">
        <v>1.34</v>
      </c>
      <c r="DZ95" s="225">
        <v>3</v>
      </c>
      <c r="EA95" s="226">
        <v>5</v>
      </c>
      <c r="EB95" s="226">
        <v>11</v>
      </c>
      <c r="EC95" s="226">
        <v>18</v>
      </c>
      <c r="ED95" s="226">
        <v>32</v>
      </c>
      <c r="EE95" s="226">
        <v>17</v>
      </c>
      <c r="EF95" s="226">
        <v>7</v>
      </c>
      <c r="EG95" s="221">
        <f>SUM(EG2:EG94)</f>
        <v>1</v>
      </c>
      <c r="EH95" s="222">
        <f t="shared" ref="EH95:EM95" si="173">SUM(EH2:EH94)</f>
        <v>3</v>
      </c>
      <c r="EI95" s="222">
        <f t="shared" si="173"/>
        <v>12</v>
      </c>
      <c r="EJ95" s="222">
        <f t="shared" si="173"/>
        <v>20</v>
      </c>
      <c r="EK95" s="222">
        <f t="shared" si="173"/>
        <v>30</v>
      </c>
      <c r="EL95" s="222">
        <f t="shared" si="173"/>
        <v>21</v>
      </c>
      <c r="EM95" s="222">
        <f t="shared" si="173"/>
        <v>6</v>
      </c>
      <c r="EN95" s="221">
        <f t="shared" ref="EN95" si="174">SUM(EN2:EN94)</f>
        <v>1</v>
      </c>
      <c r="EO95" s="222">
        <f t="shared" ref="EO95" si="175">SUM(EO2:EO94)</f>
        <v>4</v>
      </c>
      <c r="EP95" s="222">
        <f t="shared" ref="EP95" si="176">SUM(EP2:EP94)</f>
        <v>13</v>
      </c>
      <c r="EQ95" s="222">
        <f t="shared" ref="EQ95" si="177">SUM(EQ2:EQ94)</f>
        <v>17</v>
      </c>
      <c r="ER95" s="222">
        <f t="shared" ref="ER95" si="178">SUM(ER2:ER94)</f>
        <v>30</v>
      </c>
      <c r="ES95" s="222">
        <f t="shared" ref="ES95" si="179">SUM(ES2:ES94)</f>
        <v>20</v>
      </c>
      <c r="ET95" s="104">
        <f t="shared" ref="ET95" si="180">SUM(ET2:ET94)</f>
        <v>8</v>
      </c>
    </row>
    <row r="96" spans="1:205" ht="17" thickBot="1">
      <c r="AP96" s="60"/>
      <c r="AQ96" s="60"/>
      <c r="AR96" s="60"/>
      <c r="AS96" s="60"/>
      <c r="AT96" s="60"/>
      <c r="AU96" s="60"/>
      <c r="AW96" s="180"/>
      <c r="AX96" s="180"/>
      <c r="BA96" s="83">
        <f>AX100*1.96</f>
        <v>89.6933537474264</v>
      </c>
      <c r="BB96" s="83"/>
      <c r="BC96" s="176">
        <f>BA96+AX99</f>
        <v>530.06228439584629</v>
      </c>
      <c r="BD96" s="83"/>
      <c r="BE96" s="83"/>
      <c r="BF96" s="83"/>
      <c r="BG96" s="83"/>
      <c r="BH96" s="83"/>
      <c r="CT96">
        <v>10</v>
      </c>
      <c r="CV96" s="110"/>
      <c r="DA96" s="110"/>
      <c r="DT96">
        <v>2015</v>
      </c>
      <c r="DZ96">
        <f>SUM(DZ2:DZ94)</f>
        <v>3</v>
      </c>
      <c r="EC96">
        <f>SUM(DZ95:EF95)</f>
        <v>93</v>
      </c>
      <c r="EJ96" s="104">
        <f>SUM(EG95:EM95)</f>
        <v>93</v>
      </c>
      <c r="EQ96" s="104">
        <f>SUM(EN95:ET95)</f>
        <v>93</v>
      </c>
    </row>
    <row r="97" spans="1:144" ht="17" thickBot="1">
      <c r="AD97" s="83"/>
      <c r="AE97" s="83"/>
      <c r="AF97" s="83"/>
      <c r="AG97" s="83"/>
      <c r="AH97" s="83"/>
      <c r="AP97" s="58"/>
      <c r="AQ97" s="58"/>
      <c r="AR97" s="58"/>
      <c r="AS97" s="58"/>
      <c r="AT97" s="58"/>
      <c r="AU97" s="58"/>
      <c r="AW97" s="61"/>
      <c r="AX97" s="61"/>
      <c r="BA97" s="83"/>
      <c r="BB97" s="83"/>
      <c r="BC97" s="176">
        <f>AX99-BA96</f>
        <v>350.67557690099346</v>
      </c>
      <c r="BD97" s="83"/>
      <c r="BE97" s="83"/>
      <c r="BF97" s="83"/>
      <c r="BG97" s="83"/>
      <c r="BH97" s="83"/>
      <c r="CT97">
        <v>0</v>
      </c>
      <c r="CV97" s="110"/>
      <c r="DA97" s="110"/>
      <c r="DT97">
        <v>1</v>
      </c>
      <c r="DU97">
        <v>2</v>
      </c>
      <c r="DV97">
        <v>3</v>
      </c>
      <c r="DW97">
        <v>4</v>
      </c>
      <c r="DX97">
        <v>5</v>
      </c>
      <c r="DY97">
        <v>6</v>
      </c>
      <c r="DZ97" s="11">
        <v>7</v>
      </c>
      <c r="EA97">
        <v>1</v>
      </c>
      <c r="EB97">
        <v>2</v>
      </c>
      <c r="EC97">
        <v>3</v>
      </c>
      <c r="ED97">
        <v>4</v>
      </c>
      <c r="EE97">
        <v>5</v>
      </c>
      <c r="EF97">
        <v>6</v>
      </c>
      <c r="EG97">
        <v>7</v>
      </c>
      <c r="EH97">
        <v>1</v>
      </c>
      <c r="EI97">
        <v>2</v>
      </c>
      <c r="EJ97">
        <v>3</v>
      </c>
      <c r="EK97">
        <v>4</v>
      </c>
      <c r="EL97">
        <v>5</v>
      </c>
      <c r="EM97">
        <v>6</v>
      </c>
      <c r="EN97">
        <v>7</v>
      </c>
    </row>
    <row r="98" spans="1:144">
      <c r="A98" t="s">
        <v>487</v>
      </c>
      <c r="AD98" s="83"/>
      <c r="AE98" s="83"/>
      <c r="AF98" s="83"/>
      <c r="AG98" s="83"/>
      <c r="AH98" s="83"/>
      <c r="AN98" t="s">
        <v>487</v>
      </c>
      <c r="AP98" s="412" t="s">
        <v>499</v>
      </c>
      <c r="AQ98" s="412"/>
      <c r="AR98" s="412" t="s">
        <v>500</v>
      </c>
      <c r="AS98" s="412"/>
      <c r="AT98" s="412" t="s">
        <v>501</v>
      </c>
      <c r="AU98" s="412"/>
      <c r="AW98" s="402" t="s">
        <v>376</v>
      </c>
      <c r="AX98" s="402"/>
      <c r="BA98" s="138"/>
      <c r="BB98" s="138"/>
      <c r="BC98" s="138"/>
      <c r="BD98" s="138"/>
      <c r="BE98" s="138"/>
      <c r="BF98" s="138"/>
      <c r="BG98" s="83"/>
      <c r="BH98" s="83"/>
      <c r="BU98" s="83">
        <f>AVERAGEA(BU87:BU93)</f>
        <v>0.1293810723144645</v>
      </c>
      <c r="CT98">
        <v>47</v>
      </c>
      <c r="CV98" s="110"/>
      <c r="DA98" s="110"/>
      <c r="DS98" t="s">
        <v>31</v>
      </c>
    </row>
    <row r="99" spans="1:144">
      <c r="B99" t="s">
        <v>546</v>
      </c>
      <c r="C99" t="s">
        <v>442</v>
      </c>
      <c r="D99" t="s">
        <v>376</v>
      </c>
      <c r="E99" t="s">
        <v>376</v>
      </c>
      <c r="F99" t="s">
        <v>376</v>
      </c>
      <c r="G99" t="s">
        <v>430</v>
      </c>
      <c r="H99" s="83" t="s">
        <v>430</v>
      </c>
      <c r="I99" s="83" t="s">
        <v>430</v>
      </c>
      <c r="J99" s="83" t="s">
        <v>413</v>
      </c>
      <c r="K99" t="s">
        <v>413</v>
      </c>
      <c r="L99" t="s">
        <v>413</v>
      </c>
      <c r="M99" t="s">
        <v>448</v>
      </c>
      <c r="N99" s="83" t="s">
        <v>448</v>
      </c>
      <c r="O99" s="83" t="s">
        <v>448</v>
      </c>
      <c r="P99" s="83" t="s">
        <v>431</v>
      </c>
      <c r="Q99" s="83" t="s">
        <v>431</v>
      </c>
      <c r="R99" s="83" t="s">
        <v>431</v>
      </c>
      <c r="S99" s="83" t="s">
        <v>410</v>
      </c>
      <c r="T99" s="83" t="s">
        <v>410</v>
      </c>
      <c r="U99" s="83" t="s">
        <v>410</v>
      </c>
      <c r="V99" s="83" t="s">
        <v>449</v>
      </c>
      <c r="W99" s="83" t="s">
        <v>449</v>
      </c>
      <c r="X99" s="83" t="s">
        <v>449</v>
      </c>
      <c r="Y99" s="83" t="s">
        <v>441</v>
      </c>
      <c r="Z99" s="83" t="s">
        <v>441</v>
      </c>
      <c r="AA99" s="83" t="s">
        <v>441</v>
      </c>
      <c r="AC99" t="s">
        <v>376</v>
      </c>
      <c r="AD99" t="s">
        <v>430</v>
      </c>
      <c r="AE99" t="s">
        <v>413</v>
      </c>
      <c r="AF99" t="s">
        <v>448</v>
      </c>
      <c r="AG99" t="s">
        <v>431</v>
      </c>
      <c r="AH99" t="s">
        <v>410</v>
      </c>
      <c r="AI99" s="183" t="s">
        <v>449</v>
      </c>
      <c r="AJ99" s="83" t="s">
        <v>441</v>
      </c>
      <c r="AP99" s="58" t="s">
        <v>455</v>
      </c>
      <c r="AQ99" s="177">
        <v>281.7912162717281</v>
      </c>
      <c r="AR99" s="177" t="s">
        <v>455</v>
      </c>
      <c r="AS99" s="177">
        <v>466.52592312649739</v>
      </c>
      <c r="AT99" s="177" t="s">
        <v>455</v>
      </c>
      <c r="AU99" s="177">
        <v>572.78965254703405</v>
      </c>
      <c r="AV99" s="6"/>
      <c r="AW99" s="177" t="s">
        <v>455</v>
      </c>
      <c r="AX99" s="177">
        <v>440.36893064841985</v>
      </c>
      <c r="BA99" s="58" t="s">
        <v>535</v>
      </c>
      <c r="BB99" s="58" t="s">
        <v>536</v>
      </c>
      <c r="BC99" s="58" t="s">
        <v>537</v>
      </c>
      <c r="BD99" s="58" t="s">
        <v>532</v>
      </c>
      <c r="BE99" s="58" t="s">
        <v>533</v>
      </c>
      <c r="BF99" s="58" t="s">
        <v>534</v>
      </c>
      <c r="BG99" s="58" t="s">
        <v>538</v>
      </c>
      <c r="BH99" s="58" t="s">
        <v>539</v>
      </c>
      <c r="CT99">
        <v>592</v>
      </c>
      <c r="CV99" s="110"/>
      <c r="DA99" s="110"/>
      <c r="DS99" t="s">
        <v>36</v>
      </c>
      <c r="ED99" t="s">
        <v>567</v>
      </c>
    </row>
    <row r="100" spans="1:144">
      <c r="A100" t="s">
        <v>31</v>
      </c>
      <c r="B100" s="11">
        <v>3621</v>
      </c>
      <c r="C100" s="11">
        <v>278.53846153846155</v>
      </c>
      <c r="D100" s="11">
        <f>SUM(Z2:Z14)</f>
        <v>4423.340909090909</v>
      </c>
      <c r="E100" s="11">
        <f t="shared" ref="E100:F100" si="181">SUM(AA2:AA14)</f>
        <v>11549.726136363635</v>
      </c>
      <c r="F100" s="11">
        <f t="shared" si="181"/>
        <v>15073.745454545455</v>
      </c>
      <c r="G100" s="11">
        <f>MIN(Z2:Z14)</f>
        <v>0</v>
      </c>
      <c r="H100" s="190">
        <f t="shared" ref="H100:I100" si="182">MIN(AA2:AA14)</f>
        <v>0</v>
      </c>
      <c r="I100" s="190">
        <f t="shared" si="182"/>
        <v>2.4500000000000002</v>
      </c>
      <c r="J100" s="190">
        <f>MAX(Z2:Z14)</f>
        <v>1397</v>
      </c>
      <c r="K100" s="11">
        <f t="shared" ref="K100:L100" si="183">MAX(AA2:AA14)</f>
        <v>3107</v>
      </c>
      <c r="L100" s="11">
        <f t="shared" si="183"/>
        <v>3288</v>
      </c>
      <c r="M100" s="11">
        <f>J100-G100</f>
        <v>1397</v>
      </c>
      <c r="N100" s="190">
        <f t="shared" ref="N100:O100" si="184">K100-H100</f>
        <v>3107</v>
      </c>
      <c r="O100" s="190">
        <f t="shared" si="184"/>
        <v>3285.55</v>
      </c>
      <c r="P100" s="190">
        <f>MEDIAN(Z2:Z14)</f>
        <v>57.340909090909086</v>
      </c>
      <c r="Q100" s="190">
        <f t="shared" ref="Q100:R100" si="185">MEDIAN(AA2:AA14)</f>
        <v>505</v>
      </c>
      <c r="R100" s="190">
        <f t="shared" si="185"/>
        <v>862</v>
      </c>
      <c r="S100" s="190">
        <f>MODE(Z2:Z14)</f>
        <v>0</v>
      </c>
      <c r="T100" s="190">
        <f t="shared" ref="T100:U100" si="186">MODE(AA2:AA14)</f>
        <v>1341</v>
      </c>
      <c r="U100" s="190">
        <f t="shared" si="186"/>
        <v>1551</v>
      </c>
      <c r="V100" s="176">
        <f>AVERAGEA(Z2:Z14)</f>
        <v>340.25699300699301</v>
      </c>
      <c r="W100" s="176">
        <f t="shared" ref="W100:X100" si="187">AVERAGEA(AA2:AA14)</f>
        <v>888.44047202797196</v>
      </c>
      <c r="X100" s="176">
        <f t="shared" si="187"/>
        <v>1159.5188811188812</v>
      </c>
      <c r="Y100" s="176">
        <f>STDEVPA(Z2:Z14)</f>
        <v>487.20421425827334</v>
      </c>
      <c r="Z100" s="176">
        <f t="shared" ref="Z100:AA100" si="188">STDEVPA(AA2:AA14)</f>
        <v>917.23624350291084</v>
      </c>
      <c r="AA100" s="176">
        <f t="shared" si="188"/>
        <v>1001.4173587874124</v>
      </c>
      <c r="AC100" s="11">
        <f>SUM(Z2:AB14)</f>
        <v>31046.8125</v>
      </c>
      <c r="AD100" s="209">
        <f>MIN(Z2:AB14)</f>
        <v>0</v>
      </c>
      <c r="AE100" s="209">
        <f>MAX(Z2:AB14)</f>
        <v>3288</v>
      </c>
      <c r="AF100" s="209">
        <f>AE100-AD100</f>
        <v>3288</v>
      </c>
      <c r="AG100" s="209">
        <f>MEDIAN(Z2:AB14)</f>
        <v>474</v>
      </c>
      <c r="AH100" s="209">
        <f>MODE(Z2:AB14)</f>
        <v>0</v>
      </c>
      <c r="AI100" s="212">
        <f>AVERAGEA(Z2:AB14)</f>
        <v>796.07211538461536</v>
      </c>
      <c r="AJ100" s="176">
        <f>STDEVA(Z2:AB14)</f>
        <v>911.75017597057274</v>
      </c>
      <c r="AP100" s="58" t="s">
        <v>456</v>
      </c>
      <c r="AQ100" s="177">
        <v>56.769232142482458</v>
      </c>
      <c r="AR100" s="177" t="s">
        <v>456</v>
      </c>
      <c r="AS100" s="177">
        <v>82.157460681953395</v>
      </c>
      <c r="AT100" s="177" t="s">
        <v>456</v>
      </c>
      <c r="AU100" s="177">
        <v>92.412033453795644</v>
      </c>
      <c r="AV100" s="6"/>
      <c r="AW100" s="177" t="s">
        <v>456</v>
      </c>
      <c r="AX100" s="177">
        <v>45.761915177258366</v>
      </c>
      <c r="AZ100" s="6"/>
      <c r="BA100" s="191">
        <f>SUM(AU2:AU14)</f>
        <v>30436.919318181819</v>
      </c>
      <c r="BB100" s="191">
        <f t="shared" ref="BB100:BC100" si="189">SUM(AV2:AV14)</f>
        <v>36162.614772727276</v>
      </c>
      <c r="BC100" s="191">
        <f t="shared" si="189"/>
        <v>43778.219318181815</v>
      </c>
      <c r="BD100" s="189">
        <f>D100/BA100</f>
        <v>0.14532814122382548</v>
      </c>
      <c r="BE100" s="189">
        <f t="shared" ref="BE100:BF100" si="190">E100/BB100</f>
        <v>0.31938304818251362</v>
      </c>
      <c r="BF100" s="189">
        <f t="shared" si="190"/>
        <v>0.34432066194809985</v>
      </c>
      <c r="BG100" s="190">
        <f>AVERAGEA(BA100:BC100)</f>
        <v>36792.584469696965</v>
      </c>
      <c r="BH100" s="123">
        <f>AVERAGEA(BE2:BG14)</f>
        <v>0.33154199182373895</v>
      </c>
      <c r="BI100" s="6">
        <f>STDEVA(BE2:BG14)</f>
        <v>0.21964988656067055</v>
      </c>
      <c r="BK100" t="s">
        <v>31</v>
      </c>
      <c r="BL100">
        <v>0.33154199182373895</v>
      </c>
      <c r="BM100" s="19"/>
      <c r="CT100">
        <v>126</v>
      </c>
      <c r="CV100" s="110"/>
      <c r="DA100" s="110"/>
      <c r="DS100" t="s">
        <v>46</v>
      </c>
      <c r="ED100">
        <v>1</v>
      </c>
      <c r="EE100">
        <v>2</v>
      </c>
      <c r="EF100">
        <v>3</v>
      </c>
      <c r="EG100">
        <v>4</v>
      </c>
      <c r="EH100">
        <v>5</v>
      </c>
      <c r="EI100">
        <v>6</v>
      </c>
      <c r="EJ100">
        <v>7</v>
      </c>
    </row>
    <row r="101" spans="1:144">
      <c r="A101" t="s">
        <v>36</v>
      </c>
      <c r="B101" s="11">
        <v>61</v>
      </c>
      <c r="C101" s="11">
        <v>30.5</v>
      </c>
      <c r="D101" s="11">
        <f>SUM(Z15:Z16)</f>
        <v>13</v>
      </c>
      <c r="E101" s="11">
        <f t="shared" ref="E101:F101" si="191">SUM(AA15:AA16)</f>
        <v>898</v>
      </c>
      <c r="F101" s="11">
        <f t="shared" si="191"/>
        <v>1090</v>
      </c>
      <c r="G101" s="11">
        <f>MIN(Z15:Z16)</f>
        <v>0</v>
      </c>
      <c r="H101" s="190">
        <f t="shared" ref="H101:I101" si="192">MIN(AA15:AA16)</f>
        <v>13</v>
      </c>
      <c r="I101" s="190">
        <f t="shared" si="192"/>
        <v>10</v>
      </c>
      <c r="J101" s="190">
        <f>MAX(Z15:Z16)</f>
        <v>13</v>
      </c>
      <c r="K101" s="11">
        <f t="shared" ref="K101:L101" si="193">MAX(AA15:AA16)</f>
        <v>885</v>
      </c>
      <c r="L101" s="11">
        <f t="shared" si="193"/>
        <v>1080</v>
      </c>
      <c r="M101" s="11">
        <f t="shared" ref="M101:M112" si="194">J101-G101</f>
        <v>13</v>
      </c>
      <c r="N101" s="190">
        <f t="shared" ref="N101:N112" si="195">K101-H101</f>
        <v>872</v>
      </c>
      <c r="O101" s="190">
        <f t="shared" ref="O101:O112" si="196">L101-I101</f>
        <v>1070</v>
      </c>
      <c r="P101" s="190">
        <f>MEDIAN(Z15:Z16)</f>
        <v>6.5</v>
      </c>
      <c r="Q101" s="190">
        <f t="shared" ref="Q101:R101" si="197">MEDIAN(AA15:AA16)</f>
        <v>449</v>
      </c>
      <c r="R101" s="190">
        <f t="shared" si="197"/>
        <v>545</v>
      </c>
      <c r="S101" s="190" t="s">
        <v>437</v>
      </c>
      <c r="T101" s="190" t="s">
        <v>437</v>
      </c>
      <c r="U101" s="190" t="s">
        <v>437</v>
      </c>
      <c r="V101" s="176">
        <f>AVERAGEA(Z15:Z16)</f>
        <v>6.5</v>
      </c>
      <c r="W101" s="176">
        <f t="shared" ref="W101:X101" si="198">AVERAGEA(AA15:AA16)</f>
        <v>449</v>
      </c>
      <c r="X101" s="176">
        <f t="shared" si="198"/>
        <v>545</v>
      </c>
      <c r="Y101" s="176">
        <f>STDEVPA(Z15:Z16)</f>
        <v>6.5</v>
      </c>
      <c r="Z101" s="176">
        <f t="shared" ref="Z101:AA101" si="199">STDEVPA(AA15:AA16)</f>
        <v>436</v>
      </c>
      <c r="AA101" s="176">
        <f t="shared" si="199"/>
        <v>535</v>
      </c>
      <c r="AC101" s="11">
        <f>SUM(Z15:AB16)</f>
        <v>2001</v>
      </c>
      <c r="AD101" s="191">
        <f>MIN(Z15:AB16)</f>
        <v>0</v>
      </c>
      <c r="AE101" s="191">
        <f>MAX(Z15:AB16)</f>
        <v>1080</v>
      </c>
      <c r="AF101" s="209">
        <f t="shared" ref="AF101:AF112" si="200">AE101-AD101</f>
        <v>1080</v>
      </c>
      <c r="AG101" s="191">
        <f>MEDIAN(Z15:AB16)</f>
        <v>13</v>
      </c>
      <c r="AH101" s="191">
        <f>MODE(Z15:AB16)</f>
        <v>13</v>
      </c>
      <c r="AI101" s="217">
        <f>AVERAGEA(Z15:AB16)</f>
        <v>333.5</v>
      </c>
      <c r="AJ101" s="176">
        <f>STDEVA(Z15:AB16)</f>
        <v>506.50360314611783</v>
      </c>
      <c r="AP101" s="58" t="s">
        <v>431</v>
      </c>
      <c r="AQ101" s="177">
        <v>120</v>
      </c>
      <c r="AR101" s="177" t="s">
        <v>431</v>
      </c>
      <c r="AS101" s="177">
        <v>216</v>
      </c>
      <c r="AT101" s="177" t="s">
        <v>431</v>
      </c>
      <c r="AU101" s="177">
        <v>257</v>
      </c>
      <c r="AV101" s="6"/>
      <c r="AW101" s="177" t="s">
        <v>431</v>
      </c>
      <c r="AX101" s="177">
        <v>190</v>
      </c>
      <c r="BA101" s="191">
        <f>SUM(AU15:AU16)</f>
        <v>269</v>
      </c>
      <c r="BB101" s="191">
        <f t="shared" ref="BB101:BC101" si="201">SUM(AV15:AV16)</f>
        <v>1427</v>
      </c>
      <c r="BC101" s="191">
        <f t="shared" si="201"/>
        <v>1842</v>
      </c>
      <c r="BD101" s="189">
        <f t="shared" ref="BD101:BD112" si="202">D101/BA101</f>
        <v>4.8327137546468404E-2</v>
      </c>
      <c r="BE101" s="189">
        <f t="shared" ref="BE101:BE113" si="203">E101/BB101</f>
        <v>0.62929222144358798</v>
      </c>
      <c r="BF101" s="189">
        <f t="shared" ref="BF101:BF113" si="204">F101/BC101</f>
        <v>0.59174809989142241</v>
      </c>
      <c r="BG101" s="190">
        <f t="shared" ref="BG101:BG163" si="205">AVERAGEA(BA101:BC101)</f>
        <v>1179.3333333333333</v>
      </c>
      <c r="BH101" s="123">
        <f>AVERAGEA(BE15:BG16)</f>
        <v>0.59733233868714908</v>
      </c>
      <c r="BI101" s="6">
        <f>STDEVA(BE15:BG16)</f>
        <v>0.3152111474625881</v>
      </c>
      <c r="BK101" t="s">
        <v>36</v>
      </c>
      <c r="BL101">
        <v>0.59733233868714908</v>
      </c>
      <c r="CT101">
        <v>683</v>
      </c>
      <c r="CV101" s="110"/>
      <c r="DA101" s="110"/>
      <c r="DS101" t="s">
        <v>37</v>
      </c>
      <c r="EC101">
        <v>2015</v>
      </c>
      <c r="ED101">
        <v>3</v>
      </c>
      <c r="EE101">
        <v>5</v>
      </c>
      <c r="EF101">
        <v>11</v>
      </c>
      <c r="EG101">
        <v>18</v>
      </c>
      <c r="EH101">
        <v>32</v>
      </c>
      <c r="EI101">
        <v>17</v>
      </c>
      <c r="EJ101">
        <v>7</v>
      </c>
    </row>
    <row r="102" spans="1:144">
      <c r="A102" t="s">
        <v>46</v>
      </c>
      <c r="B102" s="11">
        <v>21</v>
      </c>
      <c r="C102" s="11">
        <v>21</v>
      </c>
      <c r="D102" s="11">
        <f>SUM(Z17)</f>
        <v>0</v>
      </c>
      <c r="E102" s="11">
        <f t="shared" ref="E102:F102" si="206">SUM(AA17)</f>
        <v>0</v>
      </c>
      <c r="F102" s="11">
        <f t="shared" si="206"/>
        <v>0</v>
      </c>
      <c r="G102" s="11">
        <f>MIN(Z17)</f>
        <v>0</v>
      </c>
      <c r="H102" s="190">
        <f t="shared" ref="H102:I102" si="207">MIN(AA17)</f>
        <v>0</v>
      </c>
      <c r="I102" s="190">
        <f t="shared" si="207"/>
        <v>0</v>
      </c>
      <c r="J102" s="190">
        <f>MAX(Z17)</f>
        <v>0</v>
      </c>
      <c r="K102" s="11">
        <f t="shared" ref="K102:L102" si="208">MAX(AA17)</f>
        <v>0</v>
      </c>
      <c r="L102" s="11">
        <f t="shared" si="208"/>
        <v>0</v>
      </c>
      <c r="M102" s="11">
        <f t="shared" si="194"/>
        <v>0</v>
      </c>
      <c r="N102" s="190">
        <f t="shared" si="195"/>
        <v>0</v>
      </c>
      <c r="O102" s="190">
        <f t="shared" si="196"/>
        <v>0</v>
      </c>
      <c r="P102" s="190">
        <f>MEDIAN(Z17)</f>
        <v>0</v>
      </c>
      <c r="Q102" s="190">
        <f t="shared" ref="Q102:R102" si="209">MEDIAN(AA17)</f>
        <v>0</v>
      </c>
      <c r="R102" s="190">
        <f t="shared" si="209"/>
        <v>0</v>
      </c>
      <c r="S102" s="190" t="s">
        <v>437</v>
      </c>
      <c r="T102" s="190" t="s">
        <v>437</v>
      </c>
      <c r="U102" s="190" t="s">
        <v>437</v>
      </c>
      <c r="V102" s="176">
        <f>AVERAGEA(Z17)</f>
        <v>0</v>
      </c>
      <c r="W102" s="176">
        <f t="shared" ref="W102:X102" si="210">AVERAGEA(AA17)</f>
        <v>0</v>
      </c>
      <c r="X102" s="176">
        <f t="shared" si="210"/>
        <v>0</v>
      </c>
      <c r="Y102" s="176">
        <f>STDEVPA(Z17)</f>
        <v>0</v>
      </c>
      <c r="Z102" s="176">
        <f t="shared" ref="Z102:AA102" si="211">STDEVPA(AA17)</f>
        <v>0</v>
      </c>
      <c r="AA102" s="176">
        <f t="shared" si="211"/>
        <v>0</v>
      </c>
      <c r="AC102" s="11">
        <f>SUM(Z17:AB17)</f>
        <v>0</v>
      </c>
      <c r="AD102" s="191">
        <f>MIN(Z17:AB17)</f>
        <v>0</v>
      </c>
      <c r="AE102" s="191">
        <f>MAX(Z17:AB17)</f>
        <v>0</v>
      </c>
      <c r="AF102" s="209">
        <f t="shared" si="200"/>
        <v>0</v>
      </c>
      <c r="AG102" s="191">
        <f>MEDIAN(Z17:AB17)</f>
        <v>0</v>
      </c>
      <c r="AH102" s="191">
        <f>MODE(Z17:AB17)</f>
        <v>0</v>
      </c>
      <c r="AI102" s="217">
        <f>AVERAGEA(Z17:AB17)</f>
        <v>0</v>
      </c>
      <c r="AJ102" s="176">
        <f>STDEVA(Z17:AB17)</f>
        <v>0</v>
      </c>
      <c r="AP102" s="58" t="s">
        <v>457</v>
      </c>
      <c r="AQ102" s="177">
        <v>0</v>
      </c>
      <c r="AR102" s="177" t="s">
        <v>457</v>
      </c>
      <c r="AS102" s="177">
        <v>0</v>
      </c>
      <c r="AT102" s="177" t="s">
        <v>457</v>
      </c>
      <c r="AU102" s="177">
        <v>0</v>
      </c>
      <c r="AV102" s="6"/>
      <c r="AW102" s="177" t="s">
        <v>457</v>
      </c>
      <c r="AX102" s="177">
        <v>0</v>
      </c>
      <c r="BA102" s="191">
        <f>SUM(AU17)</f>
        <v>115</v>
      </c>
      <c r="BB102" s="191">
        <f t="shared" ref="BB102:BC102" si="212">SUM(AV17)</f>
        <v>57</v>
      </c>
      <c r="BC102" s="191">
        <f t="shared" si="212"/>
        <v>148</v>
      </c>
      <c r="BD102" s="189">
        <f t="shared" si="202"/>
        <v>0</v>
      </c>
      <c r="BE102" s="189">
        <f t="shared" si="203"/>
        <v>0</v>
      </c>
      <c r="BF102" s="189">
        <f t="shared" si="204"/>
        <v>0</v>
      </c>
      <c r="BG102" s="190">
        <f t="shared" si="205"/>
        <v>106.66666666666667</v>
      </c>
      <c r="BH102" s="123">
        <f>AVERAGEA(BE17:BG17)</f>
        <v>0</v>
      </c>
      <c r="BI102" s="6">
        <f>STDEVA(BE17:BG17)</f>
        <v>0</v>
      </c>
      <c r="BK102" t="s">
        <v>46</v>
      </c>
      <c r="BL102">
        <v>0</v>
      </c>
      <c r="CT102">
        <v>17.25</v>
      </c>
      <c r="CV102" s="205"/>
      <c r="DA102" s="110"/>
      <c r="DS102" t="s">
        <v>38</v>
      </c>
      <c r="EC102">
        <v>2016</v>
      </c>
      <c r="ED102">
        <v>1</v>
      </c>
      <c r="EE102">
        <v>3</v>
      </c>
      <c r="EF102">
        <v>11</v>
      </c>
      <c r="EG102">
        <v>20</v>
      </c>
      <c r="EH102">
        <v>31</v>
      </c>
      <c r="EI102">
        <v>21</v>
      </c>
      <c r="EJ102">
        <v>6</v>
      </c>
    </row>
    <row r="103" spans="1:144">
      <c r="A103" t="s">
        <v>37</v>
      </c>
      <c r="B103" s="11">
        <v>1755</v>
      </c>
      <c r="C103" s="11">
        <v>175.5</v>
      </c>
      <c r="D103" s="11">
        <f>SUM(Z18:Z27)</f>
        <v>1911.3260994209049</v>
      </c>
      <c r="E103" s="11">
        <f>SUM(AA18:AA27)</f>
        <v>3007.0447508743764</v>
      </c>
      <c r="F103" s="11">
        <f>SUM(AB18:AB27)</f>
        <v>3851.1650421420791</v>
      </c>
      <c r="G103" s="11">
        <f>MIN(Z18:Z27)</f>
        <v>0</v>
      </c>
      <c r="H103" s="190">
        <f t="shared" ref="H103:I103" si="213">MIN(AA18:AA27)</f>
        <v>0</v>
      </c>
      <c r="I103" s="190">
        <f t="shared" si="213"/>
        <v>0</v>
      </c>
      <c r="J103" s="190">
        <f>MAX(Z18:Z27)</f>
        <v>619</v>
      </c>
      <c r="K103" s="11">
        <f t="shared" ref="K103:L103" si="214">MAX(AA18:AA27)</f>
        <v>936</v>
      </c>
      <c r="L103" s="11">
        <f t="shared" si="214"/>
        <v>1046</v>
      </c>
      <c r="M103" s="11">
        <f t="shared" si="194"/>
        <v>619</v>
      </c>
      <c r="N103" s="190">
        <f t="shared" si="195"/>
        <v>936</v>
      </c>
      <c r="O103" s="190">
        <f t="shared" si="196"/>
        <v>1046</v>
      </c>
      <c r="P103" s="190">
        <f>MEDIAN(Z18:Z27)</f>
        <v>178.63084112149534</v>
      </c>
      <c r="Q103" s="190">
        <f t="shared" ref="Q103:R103" si="215">MEDIAN(AA18:AA27)</f>
        <v>203</v>
      </c>
      <c r="R103" s="190">
        <f t="shared" si="215"/>
        <v>278.78037383177571</v>
      </c>
      <c r="S103" s="190">
        <f>MODE(Z18:Z27)</f>
        <v>0</v>
      </c>
      <c r="T103" s="190">
        <f t="shared" ref="T103" si="216">MODE(AA18:AA27)</f>
        <v>0</v>
      </c>
      <c r="U103" s="190" t="s">
        <v>437</v>
      </c>
      <c r="V103" s="176">
        <f>AVERAGEA(Z18:Z27)</f>
        <v>191.13260994209048</v>
      </c>
      <c r="W103" s="176">
        <f t="shared" ref="W103:X103" si="217">AVERAGEA(AA18:AA27)</f>
        <v>300.70447508743763</v>
      </c>
      <c r="X103" s="176">
        <f t="shared" si="217"/>
        <v>385.11650421420791</v>
      </c>
      <c r="Y103" s="176">
        <f>STDEVPA(Z18:Z27)</f>
        <v>190.61758553759572</v>
      </c>
      <c r="Z103" s="176">
        <f t="shared" ref="Z103:AA103" si="218">STDEVPA(AA18:AA27)</f>
        <v>322.53327373251517</v>
      </c>
      <c r="AA103" s="176">
        <f t="shared" si="218"/>
        <v>330.40849074625521</v>
      </c>
      <c r="AC103" s="11">
        <f>SUM(Z18:AB27)</f>
        <v>8769.5358924373613</v>
      </c>
      <c r="AD103" s="191">
        <f>MIN(Z18:AB27)</f>
        <v>0</v>
      </c>
      <c r="AE103" s="191">
        <f>MAX(Z18:AB27)</f>
        <v>1046</v>
      </c>
      <c r="AF103" s="209">
        <f t="shared" si="200"/>
        <v>1046</v>
      </c>
      <c r="AG103" s="191">
        <f>MEDIAN(Z18:AB27)</f>
        <v>207.13084112149534</v>
      </c>
      <c r="AH103" s="191">
        <f>MODE(Z18:AB27)</f>
        <v>0</v>
      </c>
      <c r="AI103" s="217">
        <f>AVERAGEA(Z18:AB27)</f>
        <v>292.31786308124538</v>
      </c>
      <c r="AJ103" s="176">
        <f>STDEVA(Z18:AB27)</f>
        <v>304.2531420220929</v>
      </c>
      <c r="AP103" s="58" t="s">
        <v>458</v>
      </c>
      <c r="AQ103" s="177">
        <v>547.4626487518367</v>
      </c>
      <c r="AR103" s="177" t="s">
        <v>458</v>
      </c>
      <c r="AS103" s="177">
        <v>792.29785822676865</v>
      </c>
      <c r="AT103" s="177" t="s">
        <v>458</v>
      </c>
      <c r="AU103" s="177">
        <v>891.18937674160281</v>
      </c>
      <c r="AV103" s="6"/>
      <c r="AW103" s="177" t="s">
        <v>458</v>
      </c>
      <c r="AX103" s="177">
        <v>764.37468149636834</v>
      </c>
      <c r="BA103" s="191">
        <f>SUM(AU18:AU27)</f>
        <v>10595.616679089502</v>
      </c>
      <c r="BB103" s="191">
        <f t="shared" ref="BB103:BC103" si="219">SUM(AV18:AV27)</f>
        <v>14464.064990539533</v>
      </c>
      <c r="BC103" s="191">
        <f t="shared" si="219"/>
        <v>15286.240181182273</v>
      </c>
      <c r="BD103" s="189">
        <f t="shared" si="202"/>
        <v>0.18038837731766152</v>
      </c>
      <c r="BE103" s="189">
        <f t="shared" si="203"/>
        <v>0.20789762441202975</v>
      </c>
      <c r="BF103" s="189">
        <f t="shared" si="204"/>
        <v>0.25193670886337083</v>
      </c>
      <c r="BG103" s="190">
        <f t="shared" si="205"/>
        <v>13448.640616937102</v>
      </c>
      <c r="BH103" s="123">
        <f>AVERAGEA(BE18:BG27)</f>
        <v>0.28769554306776313</v>
      </c>
      <c r="BI103" s="6">
        <f>STDEVA(BE18:BG27)</f>
        <v>0.17517927079578632</v>
      </c>
      <c r="BK103" t="s">
        <v>37</v>
      </c>
      <c r="BL103">
        <v>0.28769554306776313</v>
      </c>
      <c r="BQ103" t="s">
        <v>31</v>
      </c>
      <c r="BR103" t="s">
        <v>36</v>
      </c>
      <c r="BS103" t="s">
        <v>46</v>
      </c>
      <c r="BT103" t="s">
        <v>37</v>
      </c>
      <c r="BU103" t="s">
        <v>38</v>
      </c>
      <c r="BV103" t="s">
        <v>39</v>
      </c>
      <c r="BW103" t="s">
        <v>40</v>
      </c>
      <c r="BX103" t="s">
        <v>41</v>
      </c>
      <c r="BY103" t="s">
        <v>34</v>
      </c>
      <c r="BZ103" t="s">
        <v>42</v>
      </c>
      <c r="CA103" t="s">
        <v>43</v>
      </c>
      <c r="CB103" t="s">
        <v>44</v>
      </c>
      <c r="CC103" t="s">
        <v>45</v>
      </c>
      <c r="CT103">
        <v>234</v>
      </c>
      <c r="CV103" s="110"/>
      <c r="DA103" s="110"/>
      <c r="DS103" t="s">
        <v>39</v>
      </c>
      <c r="EC103">
        <v>2017</v>
      </c>
      <c r="ED103">
        <v>1</v>
      </c>
      <c r="EE103">
        <v>4</v>
      </c>
      <c r="EF103">
        <v>12</v>
      </c>
      <c r="EG103">
        <v>17</v>
      </c>
      <c r="EH103">
        <v>31</v>
      </c>
      <c r="EI103">
        <v>20</v>
      </c>
      <c r="EJ103">
        <v>8</v>
      </c>
    </row>
    <row r="104" spans="1:144">
      <c r="A104" t="s">
        <v>38</v>
      </c>
      <c r="B104" s="11">
        <v>7329</v>
      </c>
      <c r="C104" s="11">
        <v>155.93617021276594</v>
      </c>
      <c r="D104" s="11">
        <f>SUM(Z28:Z74)</f>
        <v>10824.18</v>
      </c>
      <c r="E104" s="11">
        <f t="shared" ref="E104:F104" si="220">SUM(AA28:AA74)</f>
        <v>15437.621111111112</v>
      </c>
      <c r="F104" s="11">
        <f t="shared" si="220"/>
        <v>18880.683333333334</v>
      </c>
      <c r="G104" s="11">
        <f>MIN(Z28:Z74)</f>
        <v>0</v>
      </c>
      <c r="H104" s="190">
        <f t="shared" ref="H104:I104" si="221">MIN(AA28:AA74)</f>
        <v>0</v>
      </c>
      <c r="I104" s="190">
        <f t="shared" si="221"/>
        <v>0</v>
      </c>
      <c r="J104" s="190">
        <f>MAX(Z28:Z74)</f>
        <v>1932</v>
      </c>
      <c r="K104" s="11">
        <f t="shared" ref="K104:L104" si="222">MAX(AA28:AA74)</f>
        <v>2176</v>
      </c>
      <c r="L104" s="11">
        <f t="shared" si="222"/>
        <v>2418</v>
      </c>
      <c r="M104" s="11">
        <f t="shared" si="194"/>
        <v>1932</v>
      </c>
      <c r="N104" s="190">
        <f t="shared" si="195"/>
        <v>2176</v>
      </c>
      <c r="O104" s="190">
        <f t="shared" si="196"/>
        <v>2418</v>
      </c>
      <c r="P104" s="190">
        <f>MEDIAN(Z28:Z74)</f>
        <v>120</v>
      </c>
      <c r="Q104" s="190">
        <f t="shared" ref="Q104:R104" si="223">MEDIAN(AA28:AA74)</f>
        <v>190</v>
      </c>
      <c r="R104" s="190">
        <f t="shared" si="223"/>
        <v>231</v>
      </c>
      <c r="S104" s="190">
        <f>MODE(Z28:Z74)</f>
        <v>0</v>
      </c>
      <c r="T104" s="190">
        <f t="shared" ref="T104:U104" si="224">MODE(AA28:AA74)</f>
        <v>0</v>
      </c>
      <c r="U104" s="190">
        <f t="shared" si="224"/>
        <v>0</v>
      </c>
      <c r="V104" s="176">
        <f>AVERAGEA(Z28:Z74)</f>
        <v>230.30170212765958</v>
      </c>
      <c r="W104" s="176">
        <f t="shared" ref="W104:X104" si="225">AVERAGEA(AA28:AA74)</f>
        <v>328.46002364066197</v>
      </c>
      <c r="X104" s="176">
        <f t="shared" si="225"/>
        <v>401.7166666666667</v>
      </c>
      <c r="Y104" s="176">
        <f>STDEVPA(Z28:Z74)</f>
        <v>345.52267759007896</v>
      </c>
      <c r="Z104" s="176">
        <f t="shared" ref="Z104:AA104" si="226">STDEVPA(AA28:AA74)</f>
        <v>445.32388876045593</v>
      </c>
      <c r="AA104" s="176">
        <f t="shared" si="226"/>
        <v>526.97913803746917</v>
      </c>
      <c r="AC104" s="11">
        <f>SUM(Z28:AB74)</f>
        <v>45142.484444444439</v>
      </c>
      <c r="AD104" s="191">
        <f>MIN(Z28:AB74)</f>
        <v>0</v>
      </c>
      <c r="AE104" s="191">
        <f>MAX(Z28:AB74)</f>
        <v>2418</v>
      </c>
      <c r="AF104" s="209">
        <f t="shared" si="200"/>
        <v>2418</v>
      </c>
      <c r="AG104" s="191">
        <f>MEDIAN(Z28:AB74)</f>
        <v>177</v>
      </c>
      <c r="AH104" s="191">
        <f>MODE(Z28:AB74)</f>
        <v>0</v>
      </c>
      <c r="AI104" s="217">
        <f>AVERAGEA(Z28:AB74)</f>
        <v>320.15946414499604</v>
      </c>
      <c r="AJ104" s="176">
        <f>STDEVA(Z28:AB74)</f>
        <v>452.60717790335616</v>
      </c>
      <c r="AP104" s="58" t="s">
        <v>459</v>
      </c>
      <c r="AQ104" s="177">
        <v>299715.35177837691</v>
      </c>
      <c r="AR104" s="177" t="s">
        <v>459</v>
      </c>
      <c r="AS104" s="177">
        <v>627735.89615072473</v>
      </c>
      <c r="AT104" s="177" t="s">
        <v>459</v>
      </c>
      <c r="AU104" s="177">
        <v>794218.50521708641</v>
      </c>
      <c r="AV104" s="6"/>
      <c r="AW104" s="177" t="s">
        <v>459</v>
      </c>
      <c r="AX104" s="177">
        <v>584268.65371267463</v>
      </c>
      <c r="BA104" s="191">
        <f>SUM(AU28:AU74)</f>
        <v>40432.555555555555</v>
      </c>
      <c r="BB104" s="191">
        <f t="shared" ref="BB104:BC104" si="227">SUM(AV28:AV74)</f>
        <v>46784.662222222221</v>
      </c>
      <c r="BC104" s="191">
        <f t="shared" si="227"/>
        <v>46705.878888888888</v>
      </c>
      <c r="BD104" s="189">
        <f t="shared" si="202"/>
        <v>0.26770951900696083</v>
      </c>
      <c r="BE104" s="189">
        <f t="shared" si="203"/>
        <v>0.32997184072386876</v>
      </c>
      <c r="BF104" s="189">
        <f t="shared" si="204"/>
        <v>0.40424639857970773</v>
      </c>
      <c r="BG104" s="190">
        <f t="shared" si="205"/>
        <v>44641.032222222224</v>
      </c>
      <c r="BH104" s="123">
        <f>AVERAGEA(BE28:BG74)</f>
        <v>0.34559574727735975</v>
      </c>
      <c r="BI104" s="6">
        <f>STDEVA(BE28:BG74)</f>
        <v>0.22833922760947242</v>
      </c>
      <c r="BK104" t="s">
        <v>38</v>
      </c>
      <c r="BL104">
        <v>0.34559574727735975</v>
      </c>
      <c r="BP104" t="s">
        <v>701</v>
      </c>
      <c r="BQ104" s="11">
        <v>278.53846153846155</v>
      </c>
      <c r="BR104" s="11">
        <v>30.5</v>
      </c>
      <c r="BS104" s="11">
        <v>21</v>
      </c>
      <c r="BT104" s="11">
        <v>175.5</v>
      </c>
      <c r="BU104" s="11">
        <v>155.93617021276594</v>
      </c>
      <c r="BV104" s="11">
        <v>95</v>
      </c>
      <c r="BW104" s="11">
        <v>50</v>
      </c>
      <c r="BX104" s="11">
        <v>55.25</v>
      </c>
      <c r="BY104" s="11">
        <v>220</v>
      </c>
      <c r="BZ104" s="11">
        <v>92</v>
      </c>
      <c r="CA104" s="11">
        <v>105</v>
      </c>
      <c r="CB104" s="11">
        <v>164.28571428571428</v>
      </c>
      <c r="CC104" s="11">
        <v>70</v>
      </c>
      <c r="CI104" s="20"/>
      <c r="CT104">
        <v>60</v>
      </c>
      <c r="CV104" s="205"/>
      <c r="DA104" s="145"/>
      <c r="DS104" t="s">
        <v>40</v>
      </c>
      <c r="EC104" t="s">
        <v>375</v>
      </c>
      <c r="ED104" s="11">
        <f>AVERAGEA(ED101:ED103)</f>
        <v>1.6666666666666667</v>
      </c>
      <c r="EE104" s="11">
        <f t="shared" ref="EE104:EJ104" si="228">AVERAGEA(EE101:EE103)</f>
        <v>4</v>
      </c>
      <c r="EF104" s="11">
        <f t="shared" si="228"/>
        <v>11.333333333333334</v>
      </c>
      <c r="EG104" s="11">
        <f t="shared" si="228"/>
        <v>18.333333333333332</v>
      </c>
      <c r="EH104" s="11">
        <f t="shared" si="228"/>
        <v>31.333333333333332</v>
      </c>
      <c r="EI104" s="11">
        <f t="shared" si="228"/>
        <v>19.333333333333332</v>
      </c>
      <c r="EJ104" s="11">
        <f t="shared" si="228"/>
        <v>7</v>
      </c>
    </row>
    <row r="105" spans="1:144">
      <c r="A105" t="s">
        <v>39</v>
      </c>
      <c r="B105" s="11">
        <v>95</v>
      </c>
      <c r="C105" s="11">
        <v>95</v>
      </c>
      <c r="D105" s="11">
        <f>SUM(Z75)</f>
        <v>83</v>
      </c>
      <c r="E105" s="11">
        <f t="shared" ref="E105:F105" si="229">SUM(AA75)</f>
        <v>232</v>
      </c>
      <c r="F105" s="11">
        <f t="shared" si="229"/>
        <v>223</v>
      </c>
      <c r="G105" s="11">
        <f>MIN(Z75)</f>
        <v>83</v>
      </c>
      <c r="H105" s="190">
        <f t="shared" ref="H105:I105" si="230">MIN(AA75)</f>
        <v>232</v>
      </c>
      <c r="I105" s="190">
        <f t="shared" si="230"/>
        <v>223</v>
      </c>
      <c r="J105" s="190">
        <f>MAX(Z75)</f>
        <v>83</v>
      </c>
      <c r="K105" s="11">
        <f t="shared" ref="K105:L105" si="231">MAX(AA75)</f>
        <v>232</v>
      </c>
      <c r="L105" s="11">
        <f t="shared" si="231"/>
        <v>223</v>
      </c>
      <c r="M105" s="11">
        <f t="shared" si="194"/>
        <v>0</v>
      </c>
      <c r="N105" s="190">
        <f t="shared" si="195"/>
        <v>0</v>
      </c>
      <c r="O105" s="190">
        <f t="shared" si="196"/>
        <v>0</v>
      </c>
      <c r="P105" s="190">
        <f>MEDIAN(Z75)</f>
        <v>83</v>
      </c>
      <c r="Q105" s="190">
        <f t="shared" ref="Q105:R105" si="232">MEDIAN(AA75)</f>
        <v>232</v>
      </c>
      <c r="R105" s="190">
        <f t="shared" si="232"/>
        <v>223</v>
      </c>
      <c r="S105" s="190" t="s">
        <v>437</v>
      </c>
      <c r="T105" s="190" t="s">
        <v>437</v>
      </c>
      <c r="U105" s="190" t="s">
        <v>437</v>
      </c>
      <c r="V105" s="176">
        <f>AVERAGEA(Z75)</f>
        <v>83</v>
      </c>
      <c r="W105" s="176">
        <f t="shared" ref="W105:X105" si="233">AVERAGEA(AA75)</f>
        <v>232</v>
      </c>
      <c r="X105" s="176">
        <f t="shared" si="233"/>
        <v>223</v>
      </c>
      <c r="Y105" s="176">
        <f>STDEVPA(Z75)</f>
        <v>0</v>
      </c>
      <c r="Z105" s="176">
        <f t="shared" ref="Z105:AA105" si="234">STDEVPA(AA75)</f>
        <v>0</v>
      </c>
      <c r="AA105" s="176">
        <f t="shared" si="234"/>
        <v>0</v>
      </c>
      <c r="AC105" s="11">
        <f>SUM(Z75:AB75)</f>
        <v>538</v>
      </c>
      <c r="AD105" s="191">
        <f>MIN(Z75:AB75)</f>
        <v>83</v>
      </c>
      <c r="AE105" s="191">
        <f>MAX(Z75:AB75)</f>
        <v>232</v>
      </c>
      <c r="AF105" s="209">
        <f t="shared" si="200"/>
        <v>149</v>
      </c>
      <c r="AG105" s="191">
        <f>MEDIAN(Z75:AB75)</f>
        <v>223</v>
      </c>
      <c r="AH105" s="191" t="s">
        <v>437</v>
      </c>
      <c r="AI105" s="217">
        <f>AVERAGEA(Z75:AB75)</f>
        <v>179.33333333333334</v>
      </c>
      <c r="AJ105" s="176">
        <f>STDEVA(Z75:AB75)</f>
        <v>83.548389172582716</v>
      </c>
      <c r="AP105" s="58" t="s">
        <v>460</v>
      </c>
      <c r="AQ105" s="177">
        <v>27.991542841659854</v>
      </c>
      <c r="AR105" s="177" t="s">
        <v>460</v>
      </c>
      <c r="AS105" s="177">
        <v>23.515692076057984</v>
      </c>
      <c r="AT105" s="177" t="s">
        <v>460</v>
      </c>
      <c r="AU105" s="177">
        <v>19.318227842521534</v>
      </c>
      <c r="AV105" s="6"/>
      <c r="AW105" s="177" t="s">
        <v>460</v>
      </c>
      <c r="AX105" s="177">
        <v>23.655838347414992</v>
      </c>
      <c r="BA105" s="191">
        <f>SUM(AU75)</f>
        <v>461</v>
      </c>
      <c r="BB105" s="191">
        <f t="shared" ref="BB105:BC105" si="235">SUM(AV75)</f>
        <v>569</v>
      </c>
      <c r="BC105" s="191">
        <f t="shared" si="235"/>
        <v>524</v>
      </c>
      <c r="BD105" s="189">
        <f t="shared" si="202"/>
        <v>0.18004338394793926</v>
      </c>
      <c r="BE105" s="189">
        <f t="shared" si="203"/>
        <v>0.40773286467486819</v>
      </c>
      <c r="BF105" s="189">
        <f t="shared" si="204"/>
        <v>0.42557251908396948</v>
      </c>
      <c r="BG105" s="190">
        <f t="shared" si="205"/>
        <v>518</v>
      </c>
      <c r="BH105" s="123">
        <f>AVERAGEA(BE75:BG75)</f>
        <v>0.33778292256892567</v>
      </c>
      <c r="BI105" s="6">
        <f>STDEVA(BE75:BG75)</f>
        <v>0.13689735151064941</v>
      </c>
      <c r="BK105" t="s">
        <v>39</v>
      </c>
      <c r="BL105">
        <v>0.33778292256892567</v>
      </c>
      <c r="BP105" t="s">
        <v>702</v>
      </c>
      <c r="BQ105" s="123">
        <v>0.69230769230769229</v>
      </c>
      <c r="BR105" s="123">
        <v>0.16666666666666666</v>
      </c>
      <c r="BS105" s="123">
        <v>0.66666666666666663</v>
      </c>
      <c r="BT105" s="123">
        <v>0.66666666666666663</v>
      </c>
      <c r="BU105" s="123">
        <v>0.68794326241134751</v>
      </c>
      <c r="BV105" s="123">
        <v>1</v>
      </c>
      <c r="BW105" s="123">
        <v>1</v>
      </c>
      <c r="BX105" s="123">
        <v>0.58333333333333337</v>
      </c>
      <c r="BY105" s="123">
        <v>0.58333333333333337</v>
      </c>
      <c r="BZ105" s="123">
        <v>0.66666666666666663</v>
      </c>
      <c r="CA105" s="123">
        <v>1</v>
      </c>
      <c r="CB105" s="123">
        <v>0.80952380952380953</v>
      </c>
      <c r="CC105" s="123">
        <v>0</v>
      </c>
      <c r="CI105" s="20"/>
      <c r="CT105">
        <v>1064</v>
      </c>
      <c r="CV105" s="110"/>
      <c r="DA105" s="110"/>
      <c r="DS105" t="s">
        <v>41</v>
      </c>
      <c r="EC105">
        <v>2015</v>
      </c>
      <c r="ED105" s="19">
        <f>ED101/$EC$96</f>
        <v>3.2258064516129031E-2</v>
      </c>
      <c r="EE105" s="19">
        <f t="shared" ref="EE105:EJ105" si="236">EE101/$EC$96</f>
        <v>5.3763440860215055E-2</v>
      </c>
      <c r="EF105" s="19">
        <f t="shared" si="236"/>
        <v>0.11827956989247312</v>
      </c>
      <c r="EG105" s="19">
        <f t="shared" si="236"/>
        <v>0.19354838709677419</v>
      </c>
      <c r="EH105" s="19">
        <f t="shared" si="236"/>
        <v>0.34408602150537637</v>
      </c>
      <c r="EI105" s="19">
        <f t="shared" si="236"/>
        <v>0.18279569892473119</v>
      </c>
      <c r="EJ105" s="19">
        <f t="shared" si="236"/>
        <v>7.5268817204301078E-2</v>
      </c>
    </row>
    <row r="106" spans="1:144">
      <c r="A106" t="s">
        <v>40</v>
      </c>
      <c r="B106" s="11">
        <v>50</v>
      </c>
      <c r="C106" s="11">
        <v>50</v>
      </c>
      <c r="D106" s="11">
        <f>SUM(Z76)</f>
        <v>0</v>
      </c>
      <c r="E106" s="11">
        <f t="shared" ref="E106:F106" si="237">SUM(AA76)</f>
        <v>0</v>
      </c>
      <c r="F106" s="11">
        <f t="shared" si="237"/>
        <v>0</v>
      </c>
      <c r="G106" s="11">
        <f>MIN(Z76)</f>
        <v>0</v>
      </c>
      <c r="H106" s="190">
        <f t="shared" ref="H106:I106" si="238">MIN(AA76)</f>
        <v>0</v>
      </c>
      <c r="I106" s="190">
        <f t="shared" si="238"/>
        <v>0</v>
      </c>
      <c r="J106" s="190">
        <f>MAX(Z76)</f>
        <v>0</v>
      </c>
      <c r="K106" s="11">
        <f t="shared" ref="K106" si="239">MAX(AA76)</f>
        <v>0</v>
      </c>
      <c r="L106" s="11">
        <f t="shared" ref="L106" si="240">MAX(AB76)</f>
        <v>0</v>
      </c>
      <c r="M106" s="11">
        <f t="shared" si="194"/>
        <v>0</v>
      </c>
      <c r="N106" s="190">
        <f t="shared" si="195"/>
        <v>0</v>
      </c>
      <c r="O106" s="190">
        <f t="shared" si="196"/>
        <v>0</v>
      </c>
      <c r="P106" s="190">
        <f>MEDIAN(Z76)</f>
        <v>0</v>
      </c>
      <c r="Q106" s="190">
        <f t="shared" ref="Q106" si="241">MEDIAN(AA76)</f>
        <v>0</v>
      </c>
      <c r="R106" s="190">
        <f t="shared" ref="R106" si="242">MEDIAN(AB76)</f>
        <v>0</v>
      </c>
      <c r="S106" s="190" t="s">
        <v>437</v>
      </c>
      <c r="T106" s="190" t="s">
        <v>437</v>
      </c>
      <c r="U106" s="190" t="s">
        <v>437</v>
      </c>
      <c r="V106" s="176">
        <f>AVERAGEA(Z76)</f>
        <v>0</v>
      </c>
      <c r="W106" s="176">
        <f t="shared" ref="W106:X106" si="243">AVERAGEA(AA76)</f>
        <v>0</v>
      </c>
      <c r="X106" s="176">
        <f t="shared" si="243"/>
        <v>0</v>
      </c>
      <c r="Y106" s="176">
        <f>STDEVPA(Z76)</f>
        <v>0</v>
      </c>
      <c r="Z106" s="176">
        <f t="shared" ref="Z106:AA106" si="244">STDEVPA(AA76)</f>
        <v>0</v>
      </c>
      <c r="AA106" s="176">
        <f t="shared" si="244"/>
        <v>0</v>
      </c>
      <c r="AC106" s="11">
        <f>SUM(Z76:AB76)</f>
        <v>0</v>
      </c>
      <c r="AD106" s="191">
        <f>MIN(Z76:AB76)</f>
        <v>0</v>
      </c>
      <c r="AE106" s="191">
        <f>MAX(Z76:AB76)</f>
        <v>0</v>
      </c>
      <c r="AF106" s="209">
        <f t="shared" si="200"/>
        <v>0</v>
      </c>
      <c r="AG106" s="191">
        <f>MEDIAN(Z76:AB76)</f>
        <v>0</v>
      </c>
      <c r="AH106" s="191">
        <f>MODE(Z76:AB76)</f>
        <v>0</v>
      </c>
      <c r="AI106" s="217">
        <f>AVERAGEA(Z76:AB76)</f>
        <v>0</v>
      </c>
      <c r="AJ106" s="176">
        <f>STDEVA(Z76:AB76)</f>
        <v>0</v>
      </c>
      <c r="AP106" s="58" t="s">
        <v>461</v>
      </c>
      <c r="AQ106" s="177">
        <v>4.6441113732831472</v>
      </c>
      <c r="AR106" s="177" t="s">
        <v>461</v>
      </c>
      <c r="AS106" s="177">
        <v>4.1961400564895861</v>
      </c>
      <c r="AT106" s="177" t="s">
        <v>461</v>
      </c>
      <c r="AU106" s="177">
        <v>3.7573201512525034</v>
      </c>
      <c r="AV106" s="6"/>
      <c r="AW106" s="177" t="s">
        <v>461</v>
      </c>
      <c r="AX106" s="177">
        <v>4.1874362055820944</v>
      </c>
      <c r="BA106" s="191">
        <f>SUM(AU76)</f>
        <v>230</v>
      </c>
      <c r="BB106" s="191">
        <f t="shared" ref="BB106:BC106" si="245">SUM(AV76)</f>
        <v>163</v>
      </c>
      <c r="BC106" s="191">
        <f t="shared" si="245"/>
        <v>172</v>
      </c>
      <c r="BD106" s="189">
        <f>D106/BA106</f>
        <v>0</v>
      </c>
      <c r="BE106" s="189">
        <f t="shared" si="203"/>
        <v>0</v>
      </c>
      <c r="BF106" s="189">
        <f t="shared" si="204"/>
        <v>0</v>
      </c>
      <c r="BG106" s="190">
        <f t="shared" si="205"/>
        <v>188.33333333333334</v>
      </c>
      <c r="BH106" s="123">
        <f>AVERAGEA(BE76:BG76)</f>
        <v>0</v>
      </c>
      <c r="BI106" s="6">
        <f>STDEVA(BE76:BG76)</f>
        <v>0</v>
      </c>
      <c r="BK106" t="s">
        <v>40</v>
      </c>
      <c r="BL106">
        <v>0</v>
      </c>
      <c r="BP106" t="s">
        <v>703</v>
      </c>
      <c r="BQ106" s="20">
        <v>0.33154199182373895</v>
      </c>
      <c r="BR106" s="20">
        <v>0.59733233868714908</v>
      </c>
      <c r="BS106" s="20">
        <v>0</v>
      </c>
      <c r="BT106" s="20">
        <v>0.28769554306776313</v>
      </c>
      <c r="BU106" s="20">
        <v>0.34559574727735975</v>
      </c>
      <c r="BV106" s="20">
        <v>0.33778292256892567</v>
      </c>
      <c r="BW106" s="20">
        <v>0</v>
      </c>
      <c r="BX106" s="20">
        <v>0.481640766929263</v>
      </c>
      <c r="BY106" s="20">
        <v>0.37335433803845813</v>
      </c>
      <c r="BZ106" s="20">
        <v>0.41928922055477386</v>
      </c>
      <c r="CA106" s="20">
        <v>0.47393859936528937</v>
      </c>
      <c r="CB106" s="20">
        <v>0.35435208534878493</v>
      </c>
      <c r="CC106" s="20">
        <v>0.41664166452749885</v>
      </c>
      <c r="CI106" s="20"/>
      <c r="CT106">
        <v>16.454545454545453</v>
      </c>
      <c r="CV106" s="205"/>
      <c r="DA106" s="110"/>
      <c r="DS106" t="s">
        <v>34</v>
      </c>
      <c r="EC106">
        <v>2016</v>
      </c>
      <c r="ED106" s="19">
        <f t="shared" ref="ED106:EJ106" si="246">ED102/$EC$96</f>
        <v>1.0752688172043012E-2</v>
      </c>
      <c r="EE106" s="19">
        <f t="shared" si="246"/>
        <v>3.2258064516129031E-2</v>
      </c>
      <c r="EF106" s="19">
        <f t="shared" si="246"/>
        <v>0.11827956989247312</v>
      </c>
      <c r="EG106" s="19">
        <f t="shared" si="246"/>
        <v>0.21505376344086022</v>
      </c>
      <c r="EH106" s="19">
        <f t="shared" si="246"/>
        <v>0.33333333333333331</v>
      </c>
      <c r="EI106" s="19">
        <f t="shared" si="246"/>
        <v>0.22580645161290322</v>
      </c>
      <c r="EJ106" s="19">
        <f t="shared" si="246"/>
        <v>6.4516129032258063E-2</v>
      </c>
    </row>
    <row r="107" spans="1:144">
      <c r="A107" t="s">
        <v>41</v>
      </c>
      <c r="B107" s="11">
        <v>221</v>
      </c>
      <c r="C107" s="11">
        <v>55.25</v>
      </c>
      <c r="D107" s="11">
        <f>SUM(Z77:Z80)</f>
        <v>415.47232097511426</v>
      </c>
      <c r="E107" s="11">
        <f t="shared" ref="E107:F107" si="247">SUM(AA77:AA80)</f>
        <v>553.10817673946167</v>
      </c>
      <c r="F107" s="11">
        <f t="shared" si="247"/>
        <v>647.26917216861352</v>
      </c>
      <c r="G107" s="11">
        <f>MIN(Z77:Z80)</f>
        <v>59</v>
      </c>
      <c r="H107" s="190">
        <f t="shared" ref="H107:I107" si="248">MIN(AA77:AA80)</f>
        <v>58</v>
      </c>
      <c r="I107" s="190">
        <f t="shared" si="248"/>
        <v>48</v>
      </c>
      <c r="J107" s="190">
        <f>MAX(Z77:Z80)</f>
        <v>148</v>
      </c>
      <c r="K107" s="11">
        <f t="shared" ref="K107:L107" si="249">MAX(AA77:AA80)</f>
        <v>203.10817673946164</v>
      </c>
      <c r="L107" s="11">
        <f t="shared" si="249"/>
        <v>230.26917216861349</v>
      </c>
      <c r="M107" s="11">
        <f t="shared" si="194"/>
        <v>89</v>
      </c>
      <c r="N107" s="190">
        <f t="shared" si="195"/>
        <v>145.10817673946164</v>
      </c>
      <c r="O107" s="190">
        <f t="shared" si="196"/>
        <v>182.26917216861349</v>
      </c>
      <c r="P107" s="190">
        <f>MEDIAN(Z77:Z80)</f>
        <v>104.23616048755713</v>
      </c>
      <c r="Q107" s="190">
        <f t="shared" ref="Q107:R107" si="250">MEDIAN(AA77:AA80)</f>
        <v>146</v>
      </c>
      <c r="R107" s="190">
        <f t="shared" si="250"/>
        <v>184.5</v>
      </c>
      <c r="S107" s="190" t="s">
        <v>437</v>
      </c>
      <c r="T107" s="190" t="s">
        <v>437</v>
      </c>
      <c r="U107" s="190" t="s">
        <v>437</v>
      </c>
      <c r="V107" s="176">
        <f>AVERAGEA(Z77:Z80)</f>
        <v>103.86808024377856</v>
      </c>
      <c r="W107" s="176">
        <f t="shared" ref="W107:X107" si="251">AVERAGEA(AA77:AA80)</f>
        <v>138.27704418486542</v>
      </c>
      <c r="X107" s="176">
        <f t="shared" si="251"/>
        <v>161.81729304215338</v>
      </c>
      <c r="Y107" s="176">
        <f>STDEVPA(Z77:Z80)</f>
        <v>31.77586083616216</v>
      </c>
      <c r="Z107" s="176">
        <f t="shared" ref="Z107:AA107" si="252">STDEVPA(AA77:AA80)</f>
        <v>53.255909682436886</v>
      </c>
      <c r="AA107" s="176">
        <f t="shared" si="252"/>
        <v>70.656822638118228</v>
      </c>
      <c r="AC107" s="11">
        <f>SUM(Z77:AB80)</f>
        <v>1615.8496698831896</v>
      </c>
      <c r="AD107" s="191">
        <f>MIN(Z77:AB80)</f>
        <v>48</v>
      </c>
      <c r="AE107" s="191">
        <f>MAX(Z77:AB80)</f>
        <v>230.26917216861349</v>
      </c>
      <c r="AF107" s="209">
        <f t="shared" si="200"/>
        <v>182.26917216861349</v>
      </c>
      <c r="AG107" s="191">
        <f>MEDIAN(Z77:AB80)</f>
        <v>138.5</v>
      </c>
      <c r="AH107" s="191" t="s">
        <v>437</v>
      </c>
      <c r="AI107" s="217">
        <f>AVERAGEA(Z77:AB80)</f>
        <v>134.65413915693247</v>
      </c>
      <c r="AJ107" s="176">
        <f>STDEVA(Z77:AB80)</f>
        <v>61.900294099860332</v>
      </c>
      <c r="AP107" s="58" t="s">
        <v>462</v>
      </c>
      <c r="AQ107" s="177">
        <v>4154</v>
      </c>
      <c r="AR107" s="177" t="s">
        <v>462</v>
      </c>
      <c r="AS107" s="177">
        <v>5832</v>
      </c>
      <c r="AT107" s="177" t="s">
        <v>462</v>
      </c>
      <c r="AU107" s="177">
        <v>6342</v>
      </c>
      <c r="AV107" s="6"/>
      <c r="AW107" s="177" t="s">
        <v>462</v>
      </c>
      <c r="AX107" s="177">
        <v>6342</v>
      </c>
      <c r="BA107" s="191">
        <f>SUM(AU77:AU80)</f>
        <v>961.73184357541902</v>
      </c>
      <c r="BB107" s="191">
        <f t="shared" ref="BB107:BC107" si="253">SUM(AV77:AV80)</f>
        <v>1110.7308278313865</v>
      </c>
      <c r="BC107" s="191">
        <f t="shared" si="253"/>
        <v>1531.4433722701879</v>
      </c>
      <c r="BD107" s="189">
        <f t="shared" si="202"/>
        <v>0.43200433026166396</v>
      </c>
      <c r="BE107" s="189">
        <f t="shared" si="203"/>
        <v>0.49796779100780103</v>
      </c>
      <c r="BF107" s="189">
        <f t="shared" si="204"/>
        <v>0.42265302386539555</v>
      </c>
      <c r="BG107" s="190">
        <f t="shared" si="205"/>
        <v>1201.3020145589978</v>
      </c>
      <c r="BH107" s="123">
        <f>AVERAGEA(BE77:BG80)</f>
        <v>0.481640766929263</v>
      </c>
      <c r="BI107" s="6">
        <f>STDEVA(BE77:BG80)</f>
        <v>0.1776064394237315</v>
      </c>
      <c r="BK107" t="s">
        <v>41</v>
      </c>
      <c r="BL107">
        <v>0.481640766929263</v>
      </c>
      <c r="BP107" t="s">
        <v>704</v>
      </c>
      <c r="BQ107" s="123">
        <v>3.4402439022840306E-2</v>
      </c>
      <c r="BR107" s="123">
        <v>6.4939738235858982E-2</v>
      </c>
      <c r="BS107" s="123">
        <v>0</v>
      </c>
      <c r="BT107" s="123">
        <v>5.997484340553594E-3</v>
      </c>
      <c r="BU107" s="123">
        <v>1.1597284897481708E-2</v>
      </c>
      <c r="BV107" s="123">
        <v>0</v>
      </c>
      <c r="BW107" s="123">
        <v>0</v>
      </c>
      <c r="BX107" s="123">
        <v>7.99017496475216E-2</v>
      </c>
      <c r="BY107" s="123">
        <v>5.1663742634805269E-2</v>
      </c>
      <c r="BZ107" s="123">
        <v>0</v>
      </c>
      <c r="CA107" s="123">
        <v>0</v>
      </c>
      <c r="CB107" s="123">
        <v>0.10380168744152372</v>
      </c>
      <c r="CC107" s="123">
        <v>0</v>
      </c>
      <c r="CI107" s="20"/>
      <c r="CT107">
        <v>1064</v>
      </c>
      <c r="CV107" s="110"/>
      <c r="DA107" s="110"/>
      <c r="DS107" t="s">
        <v>42</v>
      </c>
      <c r="EC107">
        <v>2017</v>
      </c>
      <c r="ED107" s="19">
        <f t="shared" ref="ED107:EJ108" si="254">ED103/$EC$96</f>
        <v>1.0752688172043012E-2</v>
      </c>
      <c r="EE107" s="19">
        <f t="shared" si="254"/>
        <v>4.3010752688172046E-2</v>
      </c>
      <c r="EF107" s="19">
        <f t="shared" si="254"/>
        <v>0.12903225806451613</v>
      </c>
      <c r="EG107" s="19">
        <f t="shared" si="254"/>
        <v>0.18279569892473119</v>
      </c>
      <c r="EH107" s="19">
        <f t="shared" si="254"/>
        <v>0.33333333333333331</v>
      </c>
      <c r="EI107" s="19">
        <f t="shared" si="254"/>
        <v>0.21505376344086022</v>
      </c>
      <c r="EJ107" s="19">
        <f t="shared" si="254"/>
        <v>8.6021505376344093E-2</v>
      </c>
    </row>
    <row r="108" spans="1:144">
      <c r="A108" t="s">
        <v>34</v>
      </c>
      <c r="B108" s="11">
        <v>880</v>
      </c>
      <c r="C108" s="11">
        <v>220</v>
      </c>
      <c r="D108" s="11">
        <f>SUM(Z81:Z84)</f>
        <v>2789.83</v>
      </c>
      <c r="E108" s="11">
        <f t="shared" ref="E108:F108" si="255">SUM(AA81:AA84)</f>
        <v>3720.2200000000003</v>
      </c>
      <c r="F108" s="11">
        <f t="shared" si="255"/>
        <v>4516.37</v>
      </c>
      <c r="G108" s="11">
        <f>MIN(Z81:Z84)</f>
        <v>196.82999999999998</v>
      </c>
      <c r="H108" s="190">
        <f t="shared" ref="H108:I108" si="256">MIN(AA81:AA84)</f>
        <v>482.21999999999997</v>
      </c>
      <c r="I108" s="190">
        <f t="shared" si="256"/>
        <v>656.37</v>
      </c>
      <c r="J108" s="190">
        <f>MAX(Z81:Z84)</f>
        <v>1776</v>
      </c>
      <c r="K108" s="11">
        <f t="shared" ref="K108:L108" si="257">MAX(AA81:AA84)</f>
        <v>1859</v>
      </c>
      <c r="L108" s="11">
        <f t="shared" si="257"/>
        <v>2373</v>
      </c>
      <c r="M108" s="11">
        <f t="shared" si="194"/>
        <v>1579.17</v>
      </c>
      <c r="N108" s="190">
        <f t="shared" si="195"/>
        <v>1376.78</v>
      </c>
      <c r="O108" s="190">
        <f t="shared" si="196"/>
        <v>1716.63</v>
      </c>
      <c r="P108" s="190">
        <f>MEDIAN(Z81:Z84)</f>
        <v>408.5</v>
      </c>
      <c r="Q108" s="190">
        <f t="shared" ref="Q108:R108" si="258">MEDIAN(AA81:AA84)</f>
        <v>689.5</v>
      </c>
      <c r="R108" s="190">
        <f t="shared" si="258"/>
        <v>743.5</v>
      </c>
      <c r="S108" s="190" t="s">
        <v>437</v>
      </c>
      <c r="T108" s="190" t="s">
        <v>437</v>
      </c>
      <c r="U108" s="190" t="s">
        <v>437</v>
      </c>
      <c r="V108" s="176">
        <f>AVERAGEA(Z81:Z84)</f>
        <v>697.45749999999998</v>
      </c>
      <c r="W108" s="176">
        <f t="shared" ref="W108:X108" si="259">AVERAGEA(AA81:AA84)</f>
        <v>930.05500000000006</v>
      </c>
      <c r="X108" s="176">
        <f t="shared" si="259"/>
        <v>1129.0925</v>
      </c>
      <c r="Y108" s="176">
        <f>STDEVPA(Z81:Z84)</f>
        <v>641.48951504973957</v>
      </c>
      <c r="Z108" s="176">
        <f t="shared" ref="Z108:AA108" si="260">STDEVPA(AA81:AA84)</f>
        <v>542.96429815872773</v>
      </c>
      <c r="AA108" s="176">
        <f t="shared" si="260"/>
        <v>719.70828859250321</v>
      </c>
      <c r="AC108" s="11">
        <f>SUM(Z81:AB84)</f>
        <v>11026.42</v>
      </c>
      <c r="AD108" s="191">
        <f>MIN(Z81:AB84)</f>
        <v>196.82999999999998</v>
      </c>
      <c r="AE108" s="191">
        <f>MAX(Z81:AB84)</f>
        <v>2373</v>
      </c>
      <c r="AF108" s="209">
        <f t="shared" si="200"/>
        <v>2176.17</v>
      </c>
      <c r="AG108" s="191">
        <f>MEDIAN(Z81:AB84)</f>
        <v>689.5</v>
      </c>
      <c r="AH108" s="191" t="s">
        <v>437</v>
      </c>
      <c r="AI108" s="217">
        <f>AVERAGEA(Z81:AB84)</f>
        <v>918.86833333333334</v>
      </c>
      <c r="AJ108" s="176">
        <f>STDEVA(Z81:AB84)</f>
        <v>692.20100773262436</v>
      </c>
      <c r="AP108" s="58" t="s">
        <v>412</v>
      </c>
      <c r="AQ108" s="177">
        <v>0</v>
      </c>
      <c r="AR108" s="177" t="s">
        <v>412</v>
      </c>
      <c r="AS108" s="177">
        <v>0</v>
      </c>
      <c r="AT108" s="177" t="s">
        <v>412</v>
      </c>
      <c r="AU108" s="177">
        <v>0</v>
      </c>
      <c r="AV108" s="6"/>
      <c r="AW108" s="177" t="s">
        <v>412</v>
      </c>
      <c r="AX108" s="177">
        <v>0</v>
      </c>
      <c r="BA108" s="191">
        <f>SUM(AU81:AU84)</f>
        <v>8083.21</v>
      </c>
      <c r="BB108" s="191">
        <f t="shared" ref="BB108:BC108" si="261">SUM(AV81:AV84)</f>
        <v>8999.16</v>
      </c>
      <c r="BC108" s="191">
        <f t="shared" si="261"/>
        <v>10296.74</v>
      </c>
      <c r="BD108" s="189">
        <f t="shared" si="202"/>
        <v>0.34513887428385503</v>
      </c>
      <c r="BE108" s="189">
        <f t="shared" si="203"/>
        <v>0.41339636143817871</v>
      </c>
      <c r="BF108" s="189">
        <f t="shared" si="204"/>
        <v>0.438621350058368</v>
      </c>
      <c r="BG108" s="190">
        <f t="shared" si="205"/>
        <v>9126.3700000000008</v>
      </c>
      <c r="BH108" s="123">
        <f>AVERAGEA(BE81:BG84)</f>
        <v>0.37335433803845813</v>
      </c>
      <c r="BI108" s="6">
        <f>STDEVA(BE81:BG84)</f>
        <v>0.10935614310955917</v>
      </c>
      <c r="BK108" t="s">
        <v>34</v>
      </c>
      <c r="BL108">
        <v>0.37335433803845813</v>
      </c>
      <c r="BP108" t="s">
        <v>705</v>
      </c>
      <c r="BQ108" s="123">
        <v>0.15720436655479766</v>
      </c>
      <c r="BR108" s="123">
        <v>0.14580408545631376</v>
      </c>
      <c r="BS108" s="123">
        <v>0.52442843300966868</v>
      </c>
      <c r="BT108" s="123">
        <v>8.8439328860703423E-2</v>
      </c>
      <c r="BU108" s="123">
        <v>0.13959985146764151</v>
      </c>
      <c r="BV108" s="123">
        <v>0</v>
      </c>
      <c r="BW108" s="123">
        <v>0.66879023036634067</v>
      </c>
      <c r="BX108" s="123">
        <v>5.1446345922082498E-2</v>
      </c>
      <c r="BY108" s="123">
        <v>4.1636669545691972E-2</v>
      </c>
      <c r="BZ108" s="123">
        <v>6.8743867002720227E-2</v>
      </c>
      <c r="CA108" s="123">
        <v>9.6020436433898085E-2</v>
      </c>
      <c r="CB108" s="123">
        <v>0.12137399175182907</v>
      </c>
      <c r="CC108" s="123">
        <v>0.1261983343818269</v>
      </c>
      <c r="CI108" s="20"/>
      <c r="CT108">
        <v>0</v>
      </c>
      <c r="CV108" s="100"/>
      <c r="DA108" s="100"/>
      <c r="DS108" t="s">
        <v>43</v>
      </c>
      <c r="EC108" t="s">
        <v>375</v>
      </c>
      <c r="ED108" s="19">
        <f t="shared" si="254"/>
        <v>1.7921146953405017E-2</v>
      </c>
      <c r="EE108" s="19">
        <f t="shared" si="254"/>
        <v>4.3010752688172046E-2</v>
      </c>
      <c r="EF108" s="19">
        <f t="shared" si="254"/>
        <v>0.12186379928315413</v>
      </c>
      <c r="EG108" s="19">
        <f t="shared" si="254"/>
        <v>0.1971326164874552</v>
      </c>
      <c r="EH108" s="19">
        <f t="shared" si="254"/>
        <v>0.3369175627240143</v>
      </c>
      <c r="EI108" s="19">
        <f t="shared" si="254"/>
        <v>0.2078853046594982</v>
      </c>
      <c r="EJ108" s="19">
        <f t="shared" si="254"/>
        <v>7.5268817204301078E-2</v>
      </c>
    </row>
    <row r="109" spans="1:144">
      <c r="A109" t="s">
        <v>42</v>
      </c>
      <c r="B109" s="11">
        <v>92</v>
      </c>
      <c r="C109" s="11">
        <v>92</v>
      </c>
      <c r="D109" s="11">
        <f>SUM(Z85)</f>
        <v>136</v>
      </c>
      <c r="E109" s="11">
        <f t="shared" ref="E109:F109" si="262">SUM(AA85)</f>
        <v>268</v>
      </c>
      <c r="F109" s="11">
        <f t="shared" si="262"/>
        <v>406</v>
      </c>
      <c r="G109" s="11">
        <f>MIN(Z85)</f>
        <v>136</v>
      </c>
      <c r="H109" s="190">
        <f t="shared" ref="H109:I109" si="263">MIN(AA85)</f>
        <v>268</v>
      </c>
      <c r="I109" s="190">
        <f t="shared" si="263"/>
        <v>406</v>
      </c>
      <c r="J109" s="190">
        <f>MAX(Z85)</f>
        <v>136</v>
      </c>
      <c r="K109" s="11">
        <f t="shared" ref="K109:L109" si="264">MAX(AA85)</f>
        <v>268</v>
      </c>
      <c r="L109" s="11">
        <f t="shared" si="264"/>
        <v>406</v>
      </c>
      <c r="M109" s="11">
        <f t="shared" si="194"/>
        <v>0</v>
      </c>
      <c r="N109" s="190">
        <f t="shared" si="195"/>
        <v>0</v>
      </c>
      <c r="O109" s="190">
        <f t="shared" si="196"/>
        <v>0</v>
      </c>
      <c r="P109" s="190">
        <f>MEDIAN(Z85)</f>
        <v>136</v>
      </c>
      <c r="Q109" s="190">
        <f t="shared" ref="Q109:R109" si="265">MEDIAN(AA85)</f>
        <v>268</v>
      </c>
      <c r="R109" s="190">
        <f t="shared" si="265"/>
        <v>406</v>
      </c>
      <c r="S109" s="190" t="s">
        <v>437</v>
      </c>
      <c r="T109" s="190" t="s">
        <v>437</v>
      </c>
      <c r="U109" s="190" t="s">
        <v>437</v>
      </c>
      <c r="V109" s="176">
        <f>AVERAGEA(Z85)</f>
        <v>136</v>
      </c>
      <c r="W109" s="176">
        <f t="shared" ref="W109:X109" si="266">AVERAGEA(AA85)</f>
        <v>268</v>
      </c>
      <c r="X109" s="176">
        <f t="shared" si="266"/>
        <v>406</v>
      </c>
      <c r="Y109" s="176">
        <f>STDEVPA(Z85)</f>
        <v>0</v>
      </c>
      <c r="Z109" s="176">
        <f t="shared" ref="Z109:AA109" si="267">STDEVPA(AA85)</f>
        <v>0</v>
      </c>
      <c r="AA109" s="176">
        <f t="shared" si="267"/>
        <v>0</v>
      </c>
      <c r="AC109" s="11">
        <f>SUM(Z85:AB85)</f>
        <v>810</v>
      </c>
      <c r="AD109" s="191">
        <f>MIN(Z85:AB85)</f>
        <v>136</v>
      </c>
      <c r="AE109" s="191">
        <f>MAX(Z85:AB85)</f>
        <v>406</v>
      </c>
      <c r="AF109" s="209">
        <f t="shared" si="200"/>
        <v>270</v>
      </c>
      <c r="AG109" s="191">
        <f>MEDIAN(Z85:AB85)</f>
        <v>268</v>
      </c>
      <c r="AH109" s="191" t="s">
        <v>437</v>
      </c>
      <c r="AI109" s="217">
        <f>AVERAGEA(Z85:AB85)</f>
        <v>270</v>
      </c>
      <c r="AJ109" s="176">
        <f>STDEVA(Z85:AB85)</f>
        <v>135.01111065390137</v>
      </c>
      <c r="AP109" s="58" t="s">
        <v>413</v>
      </c>
      <c r="AQ109" s="177">
        <v>4154</v>
      </c>
      <c r="AR109" s="177" t="s">
        <v>413</v>
      </c>
      <c r="AS109" s="177">
        <v>5832</v>
      </c>
      <c r="AT109" s="177" t="s">
        <v>413</v>
      </c>
      <c r="AU109" s="177">
        <v>6342</v>
      </c>
      <c r="AV109" s="6"/>
      <c r="AW109" s="177" t="s">
        <v>413</v>
      </c>
      <c r="AX109" s="177">
        <v>6342</v>
      </c>
      <c r="BA109" s="191">
        <f>SUM(AU85)</f>
        <v>547</v>
      </c>
      <c r="BB109" s="191">
        <f t="shared" ref="BB109:BC109" si="268">SUM(AV85)</f>
        <v>580</v>
      </c>
      <c r="BC109" s="191">
        <f t="shared" si="268"/>
        <v>742</v>
      </c>
      <c r="BD109" s="189">
        <f t="shared" si="202"/>
        <v>0.24862888482632542</v>
      </c>
      <c r="BE109" s="189">
        <f t="shared" si="203"/>
        <v>0.46206896551724136</v>
      </c>
      <c r="BF109" s="189">
        <f t="shared" si="204"/>
        <v>0.54716981132075471</v>
      </c>
      <c r="BG109" s="190">
        <f t="shared" si="205"/>
        <v>623</v>
      </c>
      <c r="BH109" s="123">
        <f>AVERAGEA(BE85:BG85)</f>
        <v>0.41928922055477386</v>
      </c>
      <c r="BI109" s="6">
        <f>STDEVA(BE85:BG85)</f>
        <v>0.15379938599464038</v>
      </c>
      <c r="BK109" t="s">
        <v>42</v>
      </c>
      <c r="BL109">
        <v>0.41928922055477386</v>
      </c>
      <c r="BP109" t="s">
        <v>706</v>
      </c>
      <c r="BQ109" s="123">
        <v>0.2251499507009708</v>
      </c>
      <c r="BR109" s="123">
        <v>2.5728367132453415E-2</v>
      </c>
      <c r="BS109" s="123">
        <v>0.21420104314841157</v>
      </c>
      <c r="BT109" s="123">
        <v>0.41506622421303491</v>
      </c>
      <c r="BU109" s="123">
        <v>0.11364537956168284</v>
      </c>
      <c r="BV109" s="123">
        <v>0</v>
      </c>
      <c r="BW109" s="123">
        <v>0.13580624083734991</v>
      </c>
      <c r="BX109" s="123">
        <v>0.14858860744332683</v>
      </c>
      <c r="BY109" s="123">
        <v>0.2632176681264648</v>
      </c>
      <c r="BZ109" s="123">
        <v>0.40475397239809263</v>
      </c>
      <c r="CA109" s="123">
        <v>0.31478471209042153</v>
      </c>
      <c r="CB109" s="123">
        <v>0.17243989253797878</v>
      </c>
      <c r="CC109" s="123">
        <v>0.26903859265551006</v>
      </c>
      <c r="CI109" s="20"/>
      <c r="CT109">
        <v>102</v>
      </c>
      <c r="CV109" s="100"/>
      <c r="DA109" s="100"/>
      <c r="DS109" t="s">
        <v>44</v>
      </c>
      <c r="ED109" s="406">
        <f>SUM(ED101:EF101)</f>
        <v>19</v>
      </c>
      <c r="EE109" s="406"/>
      <c r="EF109" s="406"/>
      <c r="EG109" s="227">
        <f>SUM(EG101)</f>
        <v>18</v>
      </c>
      <c r="EH109" s="406">
        <f>SUM(EH101:EJ101)</f>
        <v>56</v>
      </c>
      <c r="EI109" s="406"/>
      <c r="EJ109" s="406"/>
    </row>
    <row r="110" spans="1:144">
      <c r="A110" t="s">
        <v>43</v>
      </c>
      <c r="B110" s="11">
        <v>105</v>
      </c>
      <c r="C110" s="11">
        <v>105</v>
      </c>
      <c r="D110" s="11">
        <f>SUM(Z86)</f>
        <v>365</v>
      </c>
      <c r="E110" s="11">
        <f t="shared" ref="E110:F110" si="269">SUM(AA86)</f>
        <v>341</v>
      </c>
      <c r="F110" s="11">
        <f t="shared" si="269"/>
        <v>654</v>
      </c>
      <c r="G110" s="11">
        <f>MIN(Z86)</f>
        <v>365</v>
      </c>
      <c r="H110" s="190">
        <f t="shared" ref="H110:I110" si="270">MIN(AA86)</f>
        <v>341</v>
      </c>
      <c r="I110" s="190">
        <f t="shared" si="270"/>
        <v>654</v>
      </c>
      <c r="J110" s="190">
        <f>MAX(Z86)</f>
        <v>365</v>
      </c>
      <c r="K110" s="11">
        <f t="shared" ref="K110:L110" si="271">MAX(AA86)</f>
        <v>341</v>
      </c>
      <c r="L110" s="11">
        <f t="shared" si="271"/>
        <v>654</v>
      </c>
      <c r="M110" s="11">
        <f t="shared" si="194"/>
        <v>0</v>
      </c>
      <c r="N110" s="190">
        <f t="shared" si="195"/>
        <v>0</v>
      </c>
      <c r="O110" s="190">
        <f t="shared" si="196"/>
        <v>0</v>
      </c>
      <c r="P110" s="190">
        <f>MEDIAN(Z86)</f>
        <v>365</v>
      </c>
      <c r="Q110" s="190">
        <f t="shared" ref="Q110" si="272">MEDIAN(AA86)</f>
        <v>341</v>
      </c>
      <c r="R110" s="190">
        <f t="shared" ref="R110" si="273">MEDIAN(AB86)</f>
        <v>654</v>
      </c>
      <c r="S110" s="190" t="s">
        <v>437</v>
      </c>
      <c r="T110" s="190" t="s">
        <v>437</v>
      </c>
      <c r="U110" s="190" t="s">
        <v>437</v>
      </c>
      <c r="V110" s="176">
        <f>AVERAGEA(Z86)</f>
        <v>365</v>
      </c>
      <c r="W110" s="176">
        <f t="shared" ref="W110:X110" si="274">AVERAGEA(AA86)</f>
        <v>341</v>
      </c>
      <c r="X110" s="176">
        <f t="shared" si="274"/>
        <v>654</v>
      </c>
      <c r="Y110" s="176">
        <f>STDEVPA(Z86)</f>
        <v>0</v>
      </c>
      <c r="Z110" s="176">
        <f t="shared" ref="Z110:AA110" si="275">STDEVPA(AA86)</f>
        <v>0</v>
      </c>
      <c r="AA110" s="176">
        <f t="shared" si="275"/>
        <v>0</v>
      </c>
      <c r="AC110" s="11">
        <f>SUM(Z86:AB86)</f>
        <v>1360</v>
      </c>
      <c r="AD110" s="191">
        <f>MIN(Z86:AB86)</f>
        <v>341</v>
      </c>
      <c r="AE110" s="191">
        <f>MAX(Z86:AB86)</f>
        <v>654</v>
      </c>
      <c r="AF110" s="209">
        <f t="shared" si="200"/>
        <v>313</v>
      </c>
      <c r="AG110" s="191">
        <f>MEDIAN(Z86:AB86)</f>
        <v>365</v>
      </c>
      <c r="AH110" s="191" t="s">
        <v>437</v>
      </c>
      <c r="AI110" s="217">
        <f>AVERAGEA(Z86:AB86)</f>
        <v>453.33333333333331</v>
      </c>
      <c r="AJ110" s="176">
        <f>STDEVA(Z86:AB86)</f>
        <v>174.19624948124834</v>
      </c>
      <c r="AP110" s="58" t="s">
        <v>463</v>
      </c>
      <c r="AQ110" s="177">
        <v>26206.583113270714</v>
      </c>
      <c r="AR110" s="177" t="s">
        <v>463</v>
      </c>
      <c r="AS110" s="177">
        <v>43386.91085076426</v>
      </c>
      <c r="AT110" s="177" t="s">
        <v>463</v>
      </c>
      <c r="AU110" s="177">
        <v>53269.437686874167</v>
      </c>
      <c r="AV110" s="6"/>
      <c r="AW110" s="177" t="s">
        <v>463</v>
      </c>
      <c r="AX110" s="177">
        <v>122862.93165090914</v>
      </c>
      <c r="BA110" s="191">
        <f>SUM(AU86)</f>
        <v>804</v>
      </c>
      <c r="BB110" s="191">
        <f t="shared" ref="BB110:BC110" si="276">SUM(AV86)</f>
        <v>873</v>
      </c>
      <c r="BC110" s="191">
        <f t="shared" si="276"/>
        <v>1133</v>
      </c>
      <c r="BD110" s="189">
        <f t="shared" si="202"/>
        <v>0.45398009950248758</v>
      </c>
      <c r="BE110" s="189">
        <f t="shared" si="203"/>
        <v>0.39060710194730813</v>
      </c>
      <c r="BF110" s="189">
        <f t="shared" si="204"/>
        <v>0.5772285966460724</v>
      </c>
      <c r="BG110" s="190">
        <f t="shared" si="205"/>
        <v>936.66666666666663</v>
      </c>
      <c r="BH110" s="123">
        <f>AVERAGEA(BE86:BG86)</f>
        <v>0.47393859936528937</v>
      </c>
      <c r="BI110" s="6">
        <f>STDEVA(BE86:BG86)</f>
        <v>9.4898113039619217E-2</v>
      </c>
      <c r="BK110" t="s">
        <v>43</v>
      </c>
      <c r="BL110">
        <v>0.47393859936528937</v>
      </c>
      <c r="BP110" t="s">
        <v>707</v>
      </c>
      <c r="BQ110" s="123">
        <v>7.3077150353445905E-2</v>
      </c>
      <c r="BR110" s="123">
        <v>3.7842708199253444E-3</v>
      </c>
      <c r="BS110" s="123">
        <v>0.26137052384191972</v>
      </c>
      <c r="BT110" s="123">
        <v>0.11601215829878456</v>
      </c>
      <c r="BU110" s="123">
        <v>0.11884336472428668</v>
      </c>
      <c r="BV110" s="123">
        <v>0</v>
      </c>
      <c r="BW110" s="123">
        <v>0.19540352879630951</v>
      </c>
      <c r="BX110" s="123">
        <v>0.11186504987387125</v>
      </c>
      <c r="BY110" s="123">
        <v>0.12441843372392</v>
      </c>
      <c r="BZ110" s="123">
        <v>6.0830760625048746E-2</v>
      </c>
      <c r="CA110" s="123">
        <v>5.8948514490218401E-2</v>
      </c>
      <c r="CB110" s="123">
        <v>5.5944534597765078E-2</v>
      </c>
      <c r="CC110" s="123">
        <v>0</v>
      </c>
      <c r="CI110" s="20"/>
      <c r="CT110">
        <v>24</v>
      </c>
      <c r="CV110" s="150"/>
      <c r="DA110" s="150"/>
      <c r="DS110" t="s">
        <v>45</v>
      </c>
      <c r="ED110" s="406">
        <f t="shared" ref="ED110:ED111" si="277">SUM(ED102:EF102)</f>
        <v>15</v>
      </c>
      <c r="EE110" s="406"/>
      <c r="EF110" s="406"/>
      <c r="EG110" s="227">
        <f t="shared" ref="EG110:EG111" si="278">SUM(EG102)</f>
        <v>20</v>
      </c>
      <c r="EH110" s="406">
        <f t="shared" ref="EH110:EH111" si="279">SUM(EH102:EJ102)</f>
        <v>58</v>
      </c>
      <c r="EI110" s="406"/>
      <c r="EJ110" s="406"/>
    </row>
    <row r="111" spans="1:144">
      <c r="A111" t="s">
        <v>44</v>
      </c>
      <c r="B111" s="11">
        <v>1150</v>
      </c>
      <c r="C111" s="11">
        <v>164.28571428571428</v>
      </c>
      <c r="D111" s="11">
        <f>SUM(Z87:Z93)</f>
        <v>4996.6499999999996</v>
      </c>
      <c r="E111" s="11">
        <f t="shared" ref="E111:F111" si="280">SUM(AA87:AA93)</f>
        <v>7073.5150000000003</v>
      </c>
      <c r="F111" s="11">
        <f t="shared" si="280"/>
        <v>7607.8533333333335</v>
      </c>
      <c r="G111" s="11">
        <f>MIN(Z87:Z93)</f>
        <v>0</v>
      </c>
      <c r="H111" s="190">
        <f t="shared" ref="H111:I111" si="281">MIN(AA87:AA93)</f>
        <v>0</v>
      </c>
      <c r="I111" s="190">
        <f t="shared" si="281"/>
        <v>0</v>
      </c>
      <c r="J111" s="190">
        <f>MAX(Z87:Z93)</f>
        <v>4154</v>
      </c>
      <c r="K111" s="11">
        <f t="shared" ref="K111:L111" si="282">MAX(AA87:AA93)</f>
        <v>5832</v>
      </c>
      <c r="L111" s="11">
        <f t="shared" si="282"/>
        <v>6342</v>
      </c>
      <c r="M111" s="11">
        <f t="shared" si="194"/>
        <v>4154</v>
      </c>
      <c r="N111" s="190">
        <f t="shared" si="195"/>
        <v>5832</v>
      </c>
      <c r="O111" s="190">
        <f t="shared" si="196"/>
        <v>6342</v>
      </c>
      <c r="P111" s="190">
        <f>MEDIAN(Z87:Z93)</f>
        <v>52.650000000000006</v>
      </c>
      <c r="Q111" s="190">
        <f t="shared" ref="Q111:R111" si="283">MEDIAN(AA87:AA93)</f>
        <v>138</v>
      </c>
      <c r="R111" s="190">
        <f t="shared" si="283"/>
        <v>211</v>
      </c>
      <c r="S111" s="190">
        <f>MODE(Z87:Z93)</f>
        <v>0</v>
      </c>
      <c r="T111" s="190" t="s">
        <v>437</v>
      </c>
      <c r="U111" s="190" t="s">
        <v>437</v>
      </c>
      <c r="V111" s="176">
        <f>AVERAGEA(Z87:Z93)</f>
        <v>713.80714285714282</v>
      </c>
      <c r="W111" s="176">
        <f t="shared" ref="W111:X111" si="284">AVERAGEA(AA87:AA93)</f>
        <v>1010.5021428571429</v>
      </c>
      <c r="X111" s="176">
        <f t="shared" si="284"/>
        <v>1086.8361904761905</v>
      </c>
      <c r="Y111" s="176">
        <f>STDEVPA(Z87:Z93)</f>
        <v>1419.6969275237614</v>
      </c>
      <c r="Z111" s="176">
        <f t="shared" ref="Z111:AA111" si="285">STDEVPA(AA87:AA93)</f>
        <v>1980.7738773084502</v>
      </c>
      <c r="AA111" s="176">
        <f t="shared" si="285"/>
        <v>2150.6832976657679</v>
      </c>
      <c r="AC111" s="11">
        <f>SUM(Z87:AB93)</f>
        <v>19678.018333333333</v>
      </c>
      <c r="AD111" s="191">
        <f>MIN(Z87:AB93)</f>
        <v>0</v>
      </c>
      <c r="AE111" s="191">
        <f>MAX(Z87:AB93)</f>
        <v>6342</v>
      </c>
      <c r="AF111" s="209">
        <f t="shared" si="200"/>
        <v>6342</v>
      </c>
      <c r="AG111" s="191">
        <f>MEDIAN(Z87:AB93)</f>
        <v>138</v>
      </c>
      <c r="AH111" s="191">
        <f>MODE(Z87:AB93)</f>
        <v>0</v>
      </c>
      <c r="AI111" s="217">
        <f>AVERAGEA(Z87:AB93)</f>
        <v>937.04849206349206</v>
      </c>
      <c r="AJ111" s="176">
        <f>STDEVA(Z87:AB93)</f>
        <v>1929.9583106273094</v>
      </c>
      <c r="AP111" s="58" t="s">
        <v>464</v>
      </c>
      <c r="AQ111" s="177">
        <v>93</v>
      </c>
      <c r="AR111" s="177" t="s">
        <v>464</v>
      </c>
      <c r="AS111" s="177">
        <v>93</v>
      </c>
      <c r="AT111" s="177" t="s">
        <v>464</v>
      </c>
      <c r="AU111" s="177">
        <v>93</v>
      </c>
      <c r="AV111" s="6"/>
      <c r="AW111" s="177" t="s">
        <v>464</v>
      </c>
      <c r="AX111" s="177">
        <v>279</v>
      </c>
      <c r="BA111" s="191">
        <f>SUM(AU87:AU93)</f>
        <v>10584.598333333333</v>
      </c>
      <c r="BB111" s="191">
        <f t="shared" ref="BB111:BC111" si="286">SUM(AV87:AV93)</f>
        <v>12332.931666666667</v>
      </c>
      <c r="BC111" s="191">
        <f t="shared" si="286"/>
        <v>12970.705</v>
      </c>
      <c r="BD111" s="189">
        <f t="shared" si="202"/>
        <v>0.47206798431494562</v>
      </c>
      <c r="BE111" s="189">
        <f t="shared" si="203"/>
        <v>0.57354692227138748</v>
      </c>
      <c r="BF111" s="189">
        <f t="shared" si="204"/>
        <v>0.58654123529394386</v>
      </c>
      <c r="BG111" s="190">
        <f t="shared" si="205"/>
        <v>11962.745000000001</v>
      </c>
      <c r="BH111" s="123">
        <f>AVERAGEA(BE87:BG93)</f>
        <v>0.35435208534878493</v>
      </c>
      <c r="BI111" s="6">
        <f>STDEVA(BE87:BG93)</f>
        <v>0.28950208117801263</v>
      </c>
      <c r="BK111" t="s">
        <v>44</v>
      </c>
      <c r="BL111">
        <v>0.35435208534878493</v>
      </c>
      <c r="BP111" t="s">
        <v>708</v>
      </c>
      <c r="BQ111" s="123">
        <v>6.8624854640300811E-2</v>
      </c>
      <c r="BR111" s="123">
        <v>0</v>
      </c>
      <c r="BS111" s="123">
        <v>0</v>
      </c>
      <c r="BT111" s="123">
        <v>4.3266755087083879E-2</v>
      </c>
      <c r="BU111" s="123">
        <v>0.20623382697817072</v>
      </c>
      <c r="BV111" s="123">
        <v>0</v>
      </c>
      <c r="BW111" s="123">
        <v>0</v>
      </c>
      <c r="BX111" s="123">
        <v>7.7053228022193956E-2</v>
      </c>
      <c r="BY111" s="123">
        <v>1.5147864385108775E-2</v>
      </c>
      <c r="BZ111" s="123">
        <v>0</v>
      </c>
      <c r="CA111" s="123">
        <v>0</v>
      </c>
      <c r="CB111" s="123">
        <v>0.15454789848199221</v>
      </c>
      <c r="CC111" s="123">
        <v>0.14582565753583332</v>
      </c>
      <c r="CI111" s="20"/>
      <c r="CT111">
        <v>224</v>
      </c>
      <c r="CV111" s="153"/>
      <c r="DA111" s="153"/>
      <c r="DS111" t="s">
        <v>376</v>
      </c>
      <c r="ED111" s="406">
        <f t="shared" si="277"/>
        <v>17</v>
      </c>
      <c r="EE111" s="406"/>
      <c r="EF111" s="406"/>
      <c r="EG111" s="227">
        <f t="shared" si="278"/>
        <v>17</v>
      </c>
      <c r="EH111" s="406">
        <f t="shared" si="279"/>
        <v>59</v>
      </c>
      <c r="EI111" s="406"/>
      <c r="EJ111" s="406"/>
    </row>
    <row r="112" spans="1:144">
      <c r="A112" t="s">
        <v>45</v>
      </c>
      <c r="B112" s="11">
        <v>70</v>
      </c>
      <c r="C112" s="11">
        <v>70</v>
      </c>
      <c r="D112" s="11">
        <f>SUM(Z94)</f>
        <v>248.78378378378378</v>
      </c>
      <c r="E112" s="11">
        <f t="shared" ref="E112:F112" si="287">SUM(AA94)</f>
        <v>306.67567567567568</v>
      </c>
      <c r="F112" s="11">
        <f t="shared" si="287"/>
        <v>319.3513513513513</v>
      </c>
      <c r="G112" s="11">
        <f>MIN(Z94)</f>
        <v>248.78378378378378</v>
      </c>
      <c r="H112" s="190">
        <f t="shared" ref="H112:I112" si="288">MIN(AA94)</f>
        <v>306.67567567567568</v>
      </c>
      <c r="I112" s="190">
        <f t="shared" si="288"/>
        <v>319.3513513513513</v>
      </c>
      <c r="J112" s="190">
        <f>MAX(Z94)</f>
        <v>248.78378378378378</v>
      </c>
      <c r="K112" s="11">
        <f t="shared" ref="K112:L112" si="289">MAX(AA94)</f>
        <v>306.67567567567568</v>
      </c>
      <c r="L112" s="11">
        <f t="shared" si="289"/>
        <v>319.3513513513513</v>
      </c>
      <c r="M112" s="11">
        <f t="shared" si="194"/>
        <v>0</v>
      </c>
      <c r="N112" s="190">
        <f t="shared" si="195"/>
        <v>0</v>
      </c>
      <c r="O112" s="190">
        <f t="shared" si="196"/>
        <v>0</v>
      </c>
      <c r="P112" s="190">
        <f>MEDIAN(Z94)</f>
        <v>248.78378378378378</v>
      </c>
      <c r="Q112" s="190">
        <f t="shared" ref="Q112:R112" si="290">MEDIAN(AA94)</f>
        <v>306.67567567567568</v>
      </c>
      <c r="R112" s="190">
        <f t="shared" si="290"/>
        <v>319.3513513513513</v>
      </c>
      <c r="S112" s="190" t="s">
        <v>437</v>
      </c>
      <c r="T112" s="190" t="s">
        <v>437</v>
      </c>
      <c r="U112" s="190" t="s">
        <v>437</v>
      </c>
      <c r="V112" s="176">
        <f>AVERAGEA(Z94)</f>
        <v>248.78378378378378</v>
      </c>
      <c r="W112" s="176">
        <f t="shared" ref="W112:X112" si="291">AVERAGEA(AA94)</f>
        <v>306.67567567567568</v>
      </c>
      <c r="X112" s="176">
        <f t="shared" si="291"/>
        <v>319.3513513513513</v>
      </c>
      <c r="Y112" s="176">
        <f>STDEVPA(Z94)</f>
        <v>0</v>
      </c>
      <c r="Z112" s="176">
        <f t="shared" ref="Z112:AA112" si="292">STDEVPA(AA94)</f>
        <v>0</v>
      </c>
      <c r="AA112" s="176">
        <f t="shared" si="292"/>
        <v>0</v>
      </c>
      <c r="AC112" s="11">
        <f>SUM(Z94:AB94)</f>
        <v>874.81081081081084</v>
      </c>
      <c r="AD112" s="191">
        <f>MIN(Z94:AB94)</f>
        <v>248.78378378378378</v>
      </c>
      <c r="AE112" s="191">
        <f>MAX(Z94:AB94)</f>
        <v>319.3513513513513</v>
      </c>
      <c r="AF112" s="209">
        <f t="shared" si="200"/>
        <v>70.567567567567522</v>
      </c>
      <c r="AG112" s="191">
        <f>MEDIAN(Z94:AB94)</f>
        <v>306.67567567567568</v>
      </c>
      <c r="AH112" s="191" t="s">
        <v>437</v>
      </c>
      <c r="AI112" s="217">
        <f>AVERAGEA(Z94:AB94)</f>
        <v>291.60360360360363</v>
      </c>
      <c r="AJ112" s="176">
        <f>STDEVA(Z94:AB94)</f>
        <v>37.620751128998975</v>
      </c>
      <c r="AP112" s="58" t="s">
        <v>485</v>
      </c>
      <c r="AQ112" s="177">
        <v>4154</v>
      </c>
      <c r="AR112" s="177" t="s">
        <v>485</v>
      </c>
      <c r="AS112" s="177">
        <v>5832</v>
      </c>
      <c r="AT112" s="177" t="s">
        <v>485</v>
      </c>
      <c r="AU112" s="177">
        <v>6342</v>
      </c>
      <c r="AV112" s="6"/>
      <c r="AW112" s="177" t="s">
        <v>485</v>
      </c>
      <c r="AX112" s="177">
        <v>6342</v>
      </c>
      <c r="BA112" s="191">
        <f>SUM(AU94)</f>
        <v>738.02702702702697</v>
      </c>
      <c r="BB112" s="191">
        <f t="shared" ref="BB112:BC112" si="293">SUM(AV94)</f>
        <v>651.18918918918916</v>
      </c>
      <c r="BC112" s="191">
        <f t="shared" si="293"/>
        <v>722.70270270270271</v>
      </c>
      <c r="BD112" s="189">
        <f t="shared" si="202"/>
        <v>0.33709305306331711</v>
      </c>
      <c r="BE112" s="189">
        <f t="shared" si="203"/>
        <v>0.47094712376525277</v>
      </c>
      <c r="BF112" s="189">
        <f t="shared" si="204"/>
        <v>0.4418848167539266</v>
      </c>
      <c r="BG112" s="190">
        <f t="shared" si="205"/>
        <v>703.97297297297303</v>
      </c>
      <c r="BH112" s="123">
        <f>AVERAGEA(BE94:BG94)</f>
        <v>0.41664166452749885</v>
      </c>
      <c r="BI112" s="6">
        <f>STDEVA(BE94:BG94)</f>
        <v>7.040696422666351E-2</v>
      </c>
      <c r="BK112" t="s">
        <v>45</v>
      </c>
      <c r="BL112">
        <v>0.41664166452749885</v>
      </c>
      <c r="BP112" t="s">
        <v>709</v>
      </c>
      <c r="BQ112" s="20">
        <v>0.11818791164748788</v>
      </c>
      <c r="BR112" s="20">
        <v>5.6682268173503615E-2</v>
      </c>
      <c r="BS112" s="20">
        <v>0</v>
      </c>
      <c r="BT112" s="20">
        <v>4.2825503484934448E-2</v>
      </c>
      <c r="BU112" s="20">
        <v>6.6176389040198055E-2</v>
      </c>
      <c r="BV112" s="20">
        <v>0.66221707743107439</v>
      </c>
      <c r="BW112" s="20">
        <v>0</v>
      </c>
      <c r="BX112" s="20">
        <v>6.287872662174665E-2</v>
      </c>
      <c r="BY112" s="20">
        <v>0.13056128354555066</v>
      </c>
      <c r="BZ112" s="20">
        <v>4.6382179419364511E-2</v>
      </c>
      <c r="CA112" s="20">
        <v>0.10398601291038818</v>
      </c>
      <c r="CB112" s="20">
        <v>3.7502206714537065E-2</v>
      </c>
      <c r="CC112" s="20">
        <v>4.2383010934234876E-2</v>
      </c>
      <c r="CI112" s="20"/>
      <c r="CT112">
        <v>46.056074766355138</v>
      </c>
      <c r="CV112" s="153"/>
      <c r="DA112" s="153"/>
      <c r="ED112" s="414">
        <f>ED109/$EC$96</f>
        <v>0.20430107526881722</v>
      </c>
      <c r="EE112" s="414"/>
      <c r="EF112" s="414"/>
      <c r="EG112" s="19">
        <f t="shared" ref="EG112:EH112" si="294">EG109/$EC$96</f>
        <v>0.19354838709677419</v>
      </c>
      <c r="EH112" s="414">
        <f t="shared" si="294"/>
        <v>0.60215053763440862</v>
      </c>
      <c r="EI112" s="414"/>
      <c r="EJ112" s="414"/>
    </row>
    <row r="113" spans="1:140">
      <c r="A113" t="s">
        <v>376</v>
      </c>
      <c r="B113" s="11">
        <f>SUM(B100:B112)</f>
        <v>15450</v>
      </c>
      <c r="C113" s="11"/>
      <c r="D113" s="11">
        <f>SUM(D100:D112)</f>
        <v>26206.583113270714</v>
      </c>
      <c r="E113" s="11">
        <f t="shared" ref="E113:F113" si="295">SUM(E100:E112)</f>
        <v>43386.910850764252</v>
      </c>
      <c r="F113" s="11">
        <f t="shared" si="295"/>
        <v>53269.437686874167</v>
      </c>
      <c r="G113" s="11"/>
      <c r="H113" s="190"/>
      <c r="I113" s="190"/>
      <c r="J113" s="190"/>
      <c r="K113" s="11"/>
      <c r="L113" s="11"/>
      <c r="M113" s="11"/>
      <c r="N113" s="190"/>
      <c r="O113" s="190"/>
      <c r="P113" s="190"/>
      <c r="Q113" s="190"/>
      <c r="R113" s="190"/>
      <c r="S113" s="190"/>
      <c r="T113" s="190"/>
      <c r="U113" s="190"/>
      <c r="V113" s="176"/>
      <c r="W113" s="176"/>
      <c r="X113" s="176"/>
      <c r="Y113" s="176"/>
      <c r="Z113" s="176"/>
      <c r="AA113" s="176"/>
      <c r="AC113" s="11">
        <f>SUM(AC100:AC112)</f>
        <v>122862.93165090914</v>
      </c>
      <c r="AD113" s="191"/>
      <c r="AE113" s="191"/>
      <c r="AF113" s="191"/>
      <c r="AG113" s="191"/>
      <c r="AH113" s="191"/>
      <c r="AI113" s="217"/>
      <c r="AJ113" s="176"/>
      <c r="AP113" s="58" t="s">
        <v>486</v>
      </c>
      <c r="AQ113" s="177">
        <v>0</v>
      </c>
      <c r="AR113" s="177" t="s">
        <v>486</v>
      </c>
      <c r="AS113" s="177">
        <v>0</v>
      </c>
      <c r="AT113" s="177" t="s">
        <v>486</v>
      </c>
      <c r="AU113" s="177">
        <v>0</v>
      </c>
      <c r="AV113" s="6"/>
      <c r="AW113" s="177" t="s">
        <v>486</v>
      </c>
      <c r="AX113" s="177">
        <v>0</v>
      </c>
      <c r="AZ113" t="s">
        <v>376</v>
      </c>
      <c r="BA113" s="191">
        <f>SUM(BA100:BA112)</f>
        <v>104258.65875676264</v>
      </c>
      <c r="BB113" s="191">
        <f t="shared" ref="BB113:BC113" si="296">SUM(BB100:BB112)</f>
        <v>124174.35366917629</v>
      </c>
      <c r="BC113" s="191">
        <f t="shared" si="296"/>
        <v>135852.92946322585</v>
      </c>
      <c r="BD113" s="189">
        <f>D113/BA113</f>
        <v>0.25136121474966555</v>
      </c>
      <c r="BE113" s="189">
        <f t="shared" si="203"/>
        <v>0.34940315426448765</v>
      </c>
      <c r="BF113" s="189">
        <f t="shared" si="204"/>
        <v>0.39211107112190552</v>
      </c>
      <c r="BG113" s="190"/>
      <c r="BH113" s="123">
        <f>AVERAGEA(BE2:BG94)</f>
        <v>0.34594369406586367</v>
      </c>
      <c r="BI113" s="6">
        <f t="shared" ref="BI113:BI146" si="297">STDEVA(BD113:BF113)</f>
        <v>7.2164984739754912E-2</v>
      </c>
      <c r="BP113" t="s">
        <v>710</v>
      </c>
      <c r="BQ113" s="394">
        <v>0.76044695207956237</v>
      </c>
      <c r="BR113" s="395">
        <v>0</v>
      </c>
      <c r="BS113" s="395">
        <v>0</v>
      </c>
      <c r="BT113" s="394">
        <v>19.525209775941445</v>
      </c>
      <c r="BU113" s="394">
        <v>2.5100351156959135</v>
      </c>
      <c r="BV113" s="395">
        <v>0</v>
      </c>
      <c r="BW113" s="395">
        <v>0</v>
      </c>
      <c r="BX113" s="394">
        <v>6.928409915679647</v>
      </c>
      <c r="BY113" s="394">
        <v>5.3217424746101992E-2</v>
      </c>
      <c r="BZ113" s="395">
        <v>0</v>
      </c>
      <c r="CA113" s="395">
        <v>0</v>
      </c>
      <c r="CB113" s="394">
        <v>6.3566603206415584</v>
      </c>
      <c r="CC113" s="394">
        <v>1.0187778336780517</v>
      </c>
      <c r="CI113" s="20"/>
      <c r="CT113">
        <v>259</v>
      </c>
      <c r="CV113" s="153"/>
      <c r="DA113" s="153"/>
      <c r="ED113" s="414">
        <f t="shared" ref="ED113:ED114" si="298">ED110/$EC$96</f>
        <v>0.16129032258064516</v>
      </c>
      <c r="EE113" s="414"/>
      <c r="EF113" s="414"/>
      <c r="EG113" s="19">
        <f t="shared" ref="EG113:EH113" si="299">EG110/$EC$96</f>
        <v>0.21505376344086022</v>
      </c>
      <c r="EH113" s="414">
        <f t="shared" si="299"/>
        <v>0.62365591397849462</v>
      </c>
      <c r="EI113" s="414"/>
      <c r="EJ113" s="414"/>
    </row>
    <row r="114" spans="1:140" ht="17" thickBot="1">
      <c r="B114" s="11"/>
      <c r="C114" s="11"/>
      <c r="D114" s="11"/>
      <c r="E114" s="11"/>
      <c r="F114" s="11"/>
      <c r="G114" s="11"/>
      <c r="H114" s="190"/>
      <c r="I114" s="190"/>
      <c r="J114" s="190"/>
      <c r="K114" s="11"/>
      <c r="L114" s="11"/>
      <c r="M114" s="11"/>
      <c r="N114" s="190"/>
      <c r="O114" s="190"/>
      <c r="P114" s="190"/>
      <c r="Q114" s="190"/>
      <c r="R114" s="190"/>
      <c r="S114" s="190"/>
      <c r="T114" s="190"/>
      <c r="U114" s="190"/>
      <c r="V114" s="176"/>
      <c r="W114" s="176"/>
      <c r="X114" s="176"/>
      <c r="Y114" s="176"/>
      <c r="Z114" s="176"/>
      <c r="AA114" s="176"/>
      <c r="AC114" s="11"/>
      <c r="AD114" s="191"/>
      <c r="AE114" s="191"/>
      <c r="AF114" s="191"/>
      <c r="AG114" s="191"/>
      <c r="AH114" s="191"/>
      <c r="AI114" s="217"/>
      <c r="AJ114" s="176"/>
      <c r="AP114" s="59" t="s">
        <v>467</v>
      </c>
      <c r="AQ114" s="193">
        <v>112.74859518200668</v>
      </c>
      <c r="AR114" s="193" t="s">
        <v>467</v>
      </c>
      <c r="AS114" s="193">
        <v>163.17180849587808</v>
      </c>
      <c r="AT114" s="193" t="s">
        <v>467</v>
      </c>
      <c r="AU114" s="193">
        <v>183.53827516421359</v>
      </c>
      <c r="AV114" s="6"/>
      <c r="AW114" s="193" t="s">
        <v>467</v>
      </c>
      <c r="AX114" s="193">
        <v>90.083884771062529</v>
      </c>
      <c r="BA114" s="58"/>
      <c r="BB114" s="58"/>
      <c r="BC114" s="58"/>
      <c r="BD114" s="58"/>
      <c r="BE114" s="58"/>
      <c r="BF114" s="58"/>
      <c r="BG114" s="190"/>
      <c r="BH114" s="123"/>
      <c r="BI114" s="6"/>
      <c r="BP114" t="s">
        <v>711</v>
      </c>
      <c r="BQ114" s="394">
        <v>-179.93748288848641</v>
      </c>
      <c r="BR114" s="396">
        <v>0</v>
      </c>
      <c r="BS114" s="123">
        <v>0</v>
      </c>
      <c r="BT114" s="394">
        <v>-252.0268940269363</v>
      </c>
      <c r="BU114" s="394">
        <v>-290.60574900224236</v>
      </c>
      <c r="BV114" s="123">
        <v>0</v>
      </c>
      <c r="BW114" s="123">
        <v>0</v>
      </c>
      <c r="BX114" s="394">
        <v>-163.89930878582172</v>
      </c>
      <c r="BY114" s="394">
        <v>-28.125289358715197</v>
      </c>
      <c r="BZ114" s="123">
        <v>0</v>
      </c>
      <c r="CA114" s="123">
        <v>0</v>
      </c>
      <c r="CB114" s="394">
        <v>-205.6410817094449</v>
      </c>
      <c r="CC114" s="394">
        <v>-49.884798377772889</v>
      </c>
      <c r="CI114" s="20"/>
      <c r="CT114">
        <v>45</v>
      </c>
      <c r="CV114" s="153"/>
      <c r="DA114" s="153"/>
      <c r="ED114" s="414">
        <f t="shared" si="298"/>
        <v>0.18279569892473119</v>
      </c>
      <c r="EE114" s="414"/>
      <c r="EF114" s="414"/>
      <c r="EG114" s="19">
        <f t="shared" ref="EG114:EH114" si="300">EG111/$EC$96</f>
        <v>0.18279569892473119</v>
      </c>
      <c r="EH114" s="414">
        <f t="shared" si="300"/>
        <v>0.63440860215053763</v>
      </c>
      <c r="EI114" s="414"/>
      <c r="EJ114" s="414"/>
    </row>
    <row r="115" spans="1:140">
      <c r="A115" t="s">
        <v>488</v>
      </c>
      <c r="B115" s="11"/>
      <c r="C115" s="11"/>
      <c r="D115" s="11"/>
      <c r="E115" s="11"/>
      <c r="F115" s="11"/>
      <c r="G115" s="11"/>
      <c r="H115" s="190"/>
      <c r="I115" s="190"/>
      <c r="J115" s="190"/>
      <c r="K115" s="11"/>
      <c r="L115" s="11"/>
      <c r="M115" s="11"/>
      <c r="N115" s="190"/>
      <c r="O115" s="190"/>
      <c r="P115" s="190"/>
      <c r="Q115" s="190"/>
      <c r="R115" s="190"/>
      <c r="S115" s="190"/>
      <c r="T115" s="190"/>
      <c r="U115" s="190"/>
      <c r="V115" s="176"/>
      <c r="W115" s="176"/>
      <c r="X115" s="176"/>
      <c r="Y115" s="176"/>
      <c r="Z115" s="176"/>
      <c r="AA115" s="176"/>
      <c r="AC115" s="11"/>
      <c r="AD115" s="191"/>
      <c r="AE115" s="191"/>
      <c r="AF115" s="191"/>
      <c r="AG115" s="191"/>
      <c r="AH115" s="191"/>
      <c r="AI115" s="217"/>
      <c r="AJ115" s="176"/>
      <c r="AN115" t="s">
        <v>502</v>
      </c>
      <c r="AP115" s="412" t="s">
        <v>499</v>
      </c>
      <c r="AQ115" s="412"/>
      <c r="AR115" s="412" t="s">
        <v>500</v>
      </c>
      <c r="AS115" s="412"/>
      <c r="AT115" s="412" t="s">
        <v>501</v>
      </c>
      <c r="AU115" s="412"/>
      <c r="AV115" s="6"/>
      <c r="AW115" s="411" t="s">
        <v>376</v>
      </c>
      <c r="AX115" s="411"/>
      <c r="BA115" s="58"/>
      <c r="BB115" s="58"/>
      <c r="BC115" s="58"/>
      <c r="BD115" s="58"/>
      <c r="BE115" s="58"/>
      <c r="BF115" s="58"/>
      <c r="BG115" s="190"/>
      <c r="BH115" s="188"/>
      <c r="BI115" s="6"/>
      <c r="BP115" t="s">
        <v>712</v>
      </c>
      <c r="BQ115" s="317">
        <v>105.83058099185983</v>
      </c>
      <c r="BR115" s="317">
        <v>81.39640251849562</v>
      </c>
      <c r="BS115" s="317">
        <v>121.75376822337535</v>
      </c>
      <c r="BT115" s="317">
        <v>105.19044162536906</v>
      </c>
      <c r="BU115" s="317">
        <v>94.079221542621553</v>
      </c>
      <c r="BV115" s="317">
        <v>126.52496182017281</v>
      </c>
      <c r="BW115" s="317">
        <v>110.56935678778162</v>
      </c>
      <c r="BX115" s="317">
        <v>102.73210300068229</v>
      </c>
      <c r="BY115" s="317">
        <v>103.8382115120051</v>
      </c>
      <c r="BZ115" s="58">
        <v>104.19833372131329</v>
      </c>
      <c r="CA115" s="317">
        <v>104.19833372131329</v>
      </c>
      <c r="CB115" s="317">
        <v>94.610361534457923</v>
      </c>
      <c r="CC115" s="317">
        <v>83.230245148299289</v>
      </c>
      <c r="CI115" s="20"/>
      <c r="CT115">
        <v>10</v>
      </c>
      <c r="CV115" s="153"/>
      <c r="DA115" s="153"/>
      <c r="ED115" s="402">
        <f>AVERAGEA(ED109:ED111)</f>
        <v>17</v>
      </c>
      <c r="EE115" s="402"/>
      <c r="EF115" s="402"/>
      <c r="EG115" s="11">
        <f t="shared" ref="EG115:EH115" si="301">AVERAGEA(EG109:EG111)</f>
        <v>18.333333333333332</v>
      </c>
      <c r="EH115" s="410">
        <f t="shared" si="301"/>
        <v>57.666666666666664</v>
      </c>
      <c r="EI115" s="410"/>
      <c r="EJ115" s="410"/>
    </row>
    <row r="116" spans="1:140">
      <c r="B116" s="11" t="s">
        <v>376</v>
      </c>
      <c r="C116" s="11" t="s">
        <v>442</v>
      </c>
      <c r="D116" s="11" t="s">
        <v>376</v>
      </c>
      <c r="E116" s="11" t="s">
        <v>376</v>
      </c>
      <c r="F116" s="11" t="s">
        <v>376</v>
      </c>
      <c r="G116" s="11" t="s">
        <v>430</v>
      </c>
      <c r="H116" s="190" t="s">
        <v>430</v>
      </c>
      <c r="I116" s="190" t="s">
        <v>430</v>
      </c>
      <c r="J116" s="190" t="s">
        <v>413</v>
      </c>
      <c r="K116" s="11" t="s">
        <v>413</v>
      </c>
      <c r="L116" s="11" t="s">
        <v>413</v>
      </c>
      <c r="M116" s="11" t="s">
        <v>448</v>
      </c>
      <c r="N116" s="190" t="s">
        <v>448</v>
      </c>
      <c r="O116" s="190" t="s">
        <v>448</v>
      </c>
      <c r="P116" s="190" t="s">
        <v>431</v>
      </c>
      <c r="Q116" s="190" t="s">
        <v>431</v>
      </c>
      <c r="R116" s="190" t="s">
        <v>431</v>
      </c>
      <c r="S116" s="190" t="s">
        <v>410</v>
      </c>
      <c r="T116" s="190" t="s">
        <v>410</v>
      </c>
      <c r="U116" s="190" t="s">
        <v>410</v>
      </c>
      <c r="V116" s="176" t="s">
        <v>449</v>
      </c>
      <c r="W116" s="176" t="s">
        <v>449</v>
      </c>
      <c r="X116" s="176" t="s">
        <v>449</v>
      </c>
      <c r="Y116" s="176" t="s">
        <v>441</v>
      </c>
      <c r="Z116" s="176" t="s">
        <v>441</v>
      </c>
      <c r="AA116" s="176" t="s">
        <v>441</v>
      </c>
      <c r="AC116" s="11" t="s">
        <v>376</v>
      </c>
      <c r="AD116" s="11" t="s">
        <v>430</v>
      </c>
      <c r="AE116" s="11" t="s">
        <v>413</v>
      </c>
      <c r="AF116" s="11" t="s">
        <v>448</v>
      </c>
      <c r="AG116" s="11" t="s">
        <v>431</v>
      </c>
      <c r="AH116" s="11" t="s">
        <v>410</v>
      </c>
      <c r="AI116" s="212" t="s">
        <v>449</v>
      </c>
      <c r="AJ116" s="176" t="s">
        <v>441</v>
      </c>
      <c r="AP116" s="177" t="s">
        <v>455</v>
      </c>
      <c r="AQ116" s="177">
        <v>429.03873358232983</v>
      </c>
      <c r="AR116" s="177" t="s">
        <v>455</v>
      </c>
      <c r="AS116" s="177">
        <v>409.46719984407082</v>
      </c>
      <c r="AT116" s="177" t="s">
        <v>455</v>
      </c>
      <c r="AU116" s="177">
        <v>508.71503375730578</v>
      </c>
      <c r="AV116" s="6"/>
      <c r="AW116" s="177" t="s">
        <v>455</v>
      </c>
      <c r="AX116" s="177">
        <v>449.07365572790229</v>
      </c>
      <c r="BA116" s="83" t="s">
        <v>535</v>
      </c>
      <c r="BB116" s="83" t="s">
        <v>536</v>
      </c>
      <c r="BC116" s="83" t="s">
        <v>537</v>
      </c>
      <c r="BD116" s="83" t="s">
        <v>532</v>
      </c>
      <c r="BE116" s="83" t="s">
        <v>533</v>
      </c>
      <c r="BF116" s="83" t="s">
        <v>534</v>
      </c>
      <c r="BG116" s="190"/>
      <c r="BH116" s="188"/>
      <c r="BI116" s="6"/>
      <c r="BP116" t="s">
        <v>585</v>
      </c>
      <c r="BQ116" s="319">
        <v>109.04272997212502</v>
      </c>
      <c r="BR116" s="319">
        <v>81.39640251849562</v>
      </c>
      <c r="BS116" s="319">
        <v>121.75376822337535</v>
      </c>
      <c r="BT116" s="319">
        <v>108.7389846436525</v>
      </c>
      <c r="BU116" s="319">
        <v>107.07496850775316</v>
      </c>
      <c r="BV116" s="319">
        <v>126.52496182017281</v>
      </c>
      <c r="BW116" s="319">
        <v>110.56935678778162</v>
      </c>
      <c r="BX116" s="319">
        <v>109.55524989847606</v>
      </c>
      <c r="BY116" s="319">
        <v>104.26262749271889</v>
      </c>
      <c r="BZ116" s="58">
        <v>104.19833372131329</v>
      </c>
      <c r="CA116" s="319">
        <v>104.19833372131329</v>
      </c>
      <c r="CB116" s="319">
        <v>102.80303344417011</v>
      </c>
      <c r="CC116" s="319">
        <v>90.995224509601485</v>
      </c>
      <c r="CI116" s="20"/>
      <c r="CT116">
        <v>2.3312883435582821</v>
      </c>
      <c r="CV116" s="327"/>
      <c r="DA116" s="153"/>
      <c r="ED116" s="19">
        <f>ED115/93</f>
        <v>0.18279569892473119</v>
      </c>
      <c r="EE116" s="19"/>
      <c r="EF116" s="19"/>
      <c r="EG116" s="19">
        <f t="shared" ref="EG116" si="302">EG115/93</f>
        <v>0.1971326164874552</v>
      </c>
      <c r="EH116" s="19">
        <f t="shared" ref="EH116" si="303">EH115/93</f>
        <v>0.62007168458781359</v>
      </c>
      <c r="EI116">
        <f t="shared" ref="EI116" si="304">EI115/93</f>
        <v>0</v>
      </c>
      <c r="EJ116">
        <f t="shared" ref="EJ116" si="305">EJ115/93</f>
        <v>0</v>
      </c>
    </row>
    <row r="117" spans="1:140">
      <c r="A117" t="s">
        <v>31</v>
      </c>
      <c r="B117" s="11">
        <v>3621</v>
      </c>
      <c r="C117" s="11">
        <v>278.53846153846155</v>
      </c>
      <c r="D117" s="11">
        <f>SUM(N2:N14)</f>
        <v>18125.714772727271</v>
      </c>
      <c r="E117" s="11">
        <f t="shared" ref="E117:F117" si="306">SUM(O2:O14)</f>
        <v>10807.860227272728</v>
      </c>
      <c r="F117" s="11">
        <f t="shared" si="306"/>
        <v>18173.436363636363</v>
      </c>
      <c r="G117" s="11">
        <f>MIN(N2:N14)</f>
        <v>47.237499999999997</v>
      </c>
      <c r="H117" s="190">
        <f t="shared" ref="H117:I117" si="307">MIN(O2:O14)</f>
        <v>0</v>
      </c>
      <c r="I117" s="190">
        <f t="shared" si="307"/>
        <v>27.549999999999997</v>
      </c>
      <c r="J117" s="190">
        <f>MAX(N2:N14)</f>
        <v>3788</v>
      </c>
      <c r="K117" s="11">
        <f t="shared" ref="K117:L117" si="308">MAX(O2:O14)</f>
        <v>2355</v>
      </c>
      <c r="L117" s="11">
        <f t="shared" si="308"/>
        <v>5460</v>
      </c>
      <c r="M117" s="11">
        <f>J117-G117</f>
        <v>3740.7624999999998</v>
      </c>
      <c r="N117" s="190">
        <f t="shared" ref="N117:O117" si="309">K117-H117</f>
        <v>2355</v>
      </c>
      <c r="O117" s="190">
        <f t="shared" si="309"/>
        <v>5432.45</v>
      </c>
      <c r="P117" s="190">
        <f>MEDIAN(N2:N14)</f>
        <v>404</v>
      </c>
      <c r="Q117" s="190">
        <f t="shared" ref="Q117:R117" si="310">MEDIAN(O2:O14)</f>
        <v>370</v>
      </c>
      <c r="R117" s="190">
        <f t="shared" si="310"/>
        <v>538</v>
      </c>
      <c r="S117" s="190">
        <f>MODE(N2:N14)</f>
        <v>2879</v>
      </c>
      <c r="T117" s="190">
        <f t="shared" ref="T117:U117" si="311">MODE(O2:O14)</f>
        <v>2355</v>
      </c>
      <c r="U117" s="190">
        <f t="shared" si="311"/>
        <v>2637</v>
      </c>
      <c r="V117" s="176">
        <f>AVERAGEA(N2:N14)</f>
        <v>1394.2857517482516</v>
      </c>
      <c r="W117" s="176">
        <f t="shared" ref="W117:X117" si="312">AVERAGEA(O2:O14)</f>
        <v>831.37386363636369</v>
      </c>
      <c r="X117" s="176">
        <f t="shared" si="312"/>
        <v>1397.9566433566433</v>
      </c>
      <c r="Y117" s="176">
        <f>STDEVPA(N2:N14)</f>
        <v>1435.8012964054528</v>
      </c>
      <c r="Z117" s="176">
        <f t="shared" ref="Z117:AA117" si="313">STDEVPA(O2:O14)</f>
        <v>927.78907202329424</v>
      </c>
      <c r="AA117" s="176">
        <f t="shared" si="313"/>
        <v>1557.9857807477342</v>
      </c>
      <c r="AC117" s="11">
        <f>SUM(N2:P14)</f>
        <v>47107.01136363636</v>
      </c>
      <c r="AD117" s="191">
        <f>MIN(N2:P14)</f>
        <v>0</v>
      </c>
      <c r="AE117" s="191">
        <f>MAX(N2:P14)</f>
        <v>5460</v>
      </c>
      <c r="AF117" s="191">
        <f>AE117-AD117</f>
        <v>5460</v>
      </c>
      <c r="AG117" s="191">
        <f>MEDIAN(N2:P14)</f>
        <v>428</v>
      </c>
      <c r="AH117" s="191">
        <f>MODE(N2:P14)</f>
        <v>63</v>
      </c>
      <c r="AI117" s="217">
        <f>AVERAGEA(N2:P14)</f>
        <v>1207.8720862470861</v>
      </c>
      <c r="AJ117" s="176">
        <f>STDEVA(N2:P14)</f>
        <v>1379.4499227890969</v>
      </c>
      <c r="AP117" s="177" t="s">
        <v>456</v>
      </c>
      <c r="AQ117" s="177">
        <v>77.540552499599883</v>
      </c>
      <c r="AR117" s="177" t="s">
        <v>456</v>
      </c>
      <c r="AS117" s="177">
        <v>63.268875526093488</v>
      </c>
      <c r="AT117" s="177" t="s">
        <v>456</v>
      </c>
      <c r="AU117" s="177">
        <v>94.96495314776466</v>
      </c>
      <c r="AV117" s="6"/>
      <c r="AW117" s="177" t="s">
        <v>456</v>
      </c>
      <c r="AX117" s="177">
        <v>45.894252650065042</v>
      </c>
      <c r="BA117" s="190">
        <v>30436.919318181819</v>
      </c>
      <c r="BB117" s="190">
        <v>36162.614772727276</v>
      </c>
      <c r="BC117" s="190">
        <v>43778.219318181815</v>
      </c>
      <c r="BD117" s="123">
        <f>D117/BA117</f>
        <v>0.59551739068085252</v>
      </c>
      <c r="BE117" s="123">
        <f t="shared" ref="BE117:BF117" si="314">E117/BB117</f>
        <v>0.29886832838823596</v>
      </c>
      <c r="BF117" s="123">
        <f t="shared" si="314"/>
        <v>0.41512507010737726</v>
      </c>
      <c r="BG117" s="190">
        <f t="shared" si="205"/>
        <v>36792.584469696965</v>
      </c>
      <c r="BH117" s="123">
        <f t="shared" ref="BH117:BH156" si="315">AVERAGEA(BD117:BF117)</f>
        <v>0.43650359639215525</v>
      </c>
      <c r="BI117" s="6">
        <f t="shared" si="297"/>
        <v>0.14947557519325322</v>
      </c>
      <c r="CT117">
        <v>0</v>
      </c>
      <c r="CV117" s="153"/>
      <c r="DA117" s="153"/>
    </row>
    <row r="118" spans="1:140">
      <c r="A118" t="s">
        <v>36</v>
      </c>
      <c r="B118" s="11">
        <v>61</v>
      </c>
      <c r="C118" s="11">
        <v>30.5</v>
      </c>
      <c r="D118" s="11">
        <f>SUM(N15:N16)</f>
        <v>198</v>
      </c>
      <c r="E118" s="11">
        <f t="shared" ref="E118:F118" si="316">SUM(O15:O16)</f>
        <v>383</v>
      </c>
      <c r="F118" s="11">
        <f t="shared" si="316"/>
        <v>694</v>
      </c>
      <c r="G118" s="11">
        <f>MIN(N15:N16)</f>
        <v>1</v>
      </c>
      <c r="H118" s="190">
        <f t="shared" ref="H118:I118" si="317">MIN(O15:O16)</f>
        <v>5</v>
      </c>
      <c r="I118" s="190">
        <f t="shared" si="317"/>
        <v>4</v>
      </c>
      <c r="J118" s="190">
        <f>MAX(N15:N16)</f>
        <v>197</v>
      </c>
      <c r="K118" s="11">
        <f t="shared" ref="K118:L118" si="318">MAX(O15:O16)</f>
        <v>378</v>
      </c>
      <c r="L118" s="11">
        <f t="shared" si="318"/>
        <v>690</v>
      </c>
      <c r="M118" s="11">
        <f t="shared" ref="M118:M129" si="319">J118-G118</f>
        <v>196</v>
      </c>
      <c r="N118" s="190">
        <f t="shared" ref="N118:N129" si="320">K118-H118</f>
        <v>373</v>
      </c>
      <c r="O118" s="190">
        <f t="shared" ref="O118:O128" si="321">L118-I118</f>
        <v>686</v>
      </c>
      <c r="P118" s="190">
        <f>MEDIAN(N15:N16)</f>
        <v>99</v>
      </c>
      <c r="Q118" s="190">
        <f t="shared" ref="Q118:R118" si="322">MEDIAN(O15:O16)</f>
        <v>191.5</v>
      </c>
      <c r="R118" s="190">
        <f t="shared" si="322"/>
        <v>347</v>
      </c>
      <c r="S118" s="190" t="s">
        <v>437</v>
      </c>
      <c r="T118" s="190" t="s">
        <v>437</v>
      </c>
      <c r="U118" s="190" t="s">
        <v>437</v>
      </c>
      <c r="V118" s="176">
        <f>AVERAGEA(N15:N16)</f>
        <v>99</v>
      </c>
      <c r="W118" s="176">
        <f t="shared" ref="W118:X118" si="323">AVERAGEA(O15:O16)</f>
        <v>191.5</v>
      </c>
      <c r="X118" s="176">
        <f t="shared" si="323"/>
        <v>347</v>
      </c>
      <c r="Y118" s="176">
        <f>STDEVPA(N15:N16)</f>
        <v>98</v>
      </c>
      <c r="Z118" s="176">
        <f t="shared" ref="Z118:AA118" si="324">STDEVPA(O15:O16)</f>
        <v>186.5</v>
      </c>
      <c r="AA118" s="176">
        <f t="shared" si="324"/>
        <v>343</v>
      </c>
      <c r="AC118" s="11">
        <f>SUM(N15:P16)</f>
        <v>1275</v>
      </c>
      <c r="AD118" s="190">
        <f>MIN(N15:P16)</f>
        <v>1</v>
      </c>
      <c r="AE118" s="190">
        <f>MAX(N15:P16)</f>
        <v>690</v>
      </c>
      <c r="AF118" s="191">
        <f t="shared" ref="AF118:AF129" si="325">AE118-AD118</f>
        <v>689</v>
      </c>
      <c r="AG118" s="190">
        <f>MEDIAN(N15:P16)</f>
        <v>101</v>
      </c>
      <c r="AH118" s="190" t="s">
        <v>437</v>
      </c>
      <c r="AI118" s="212">
        <f>AVERAGEA(N15:P16)</f>
        <v>212.5</v>
      </c>
      <c r="AJ118" s="176">
        <f>STDEVA(N15:P16)</f>
        <v>278.17170956083942</v>
      </c>
      <c r="AP118" s="177" t="s">
        <v>431</v>
      </c>
      <c r="AQ118" s="177">
        <v>145</v>
      </c>
      <c r="AR118" s="177" t="s">
        <v>431</v>
      </c>
      <c r="AS118" s="177">
        <v>136</v>
      </c>
      <c r="AT118" s="177" t="s">
        <v>431</v>
      </c>
      <c r="AU118" s="177">
        <v>142</v>
      </c>
      <c r="AV118" s="6"/>
      <c r="AW118" s="177" t="s">
        <v>431</v>
      </c>
      <c r="AX118" s="177">
        <v>142</v>
      </c>
      <c r="BA118" s="11">
        <v>269</v>
      </c>
      <c r="BB118" s="11">
        <v>1427</v>
      </c>
      <c r="BC118" s="11">
        <v>1842</v>
      </c>
      <c r="BD118" s="123">
        <f t="shared" ref="BD118:BD130" si="326">D118/BA118</f>
        <v>0.73605947955390338</v>
      </c>
      <c r="BE118" s="123">
        <f t="shared" ref="BE118:BE130" si="327">E118/BB118</f>
        <v>0.26839523475823407</v>
      </c>
      <c r="BF118" s="123">
        <f t="shared" ref="BF118:BF130" si="328">F118/BC118</f>
        <v>0.37676438653637351</v>
      </c>
      <c r="BG118" s="190">
        <f t="shared" si="205"/>
        <v>1179.3333333333333</v>
      </c>
      <c r="BH118" s="123">
        <f t="shared" si="315"/>
        <v>0.4604063669495036</v>
      </c>
      <c r="BI118" s="6">
        <f t="shared" si="297"/>
        <v>0.24479470404943163</v>
      </c>
      <c r="CT118">
        <v>0</v>
      </c>
      <c r="CV118" s="153"/>
      <c r="DA118" s="153"/>
    </row>
    <row r="119" spans="1:140">
      <c r="A119" t="s">
        <v>46</v>
      </c>
      <c r="B119" s="11">
        <v>21</v>
      </c>
      <c r="C119" s="11">
        <v>21</v>
      </c>
      <c r="D119" s="11">
        <f>SUM(N17)</f>
        <v>82</v>
      </c>
      <c r="E119" s="11">
        <f t="shared" ref="E119:F119" si="329">SUM(O17)</f>
        <v>51</v>
      </c>
      <c r="F119" s="11">
        <f t="shared" si="329"/>
        <v>90</v>
      </c>
      <c r="G119" s="11">
        <f>MIN(N17)</f>
        <v>82</v>
      </c>
      <c r="H119" s="190">
        <f t="shared" ref="H119:I119" si="330">MIN(O17)</f>
        <v>51</v>
      </c>
      <c r="I119" s="190">
        <f t="shared" si="330"/>
        <v>90</v>
      </c>
      <c r="J119" s="190">
        <f>MAX(N17)</f>
        <v>82</v>
      </c>
      <c r="K119" s="11">
        <f>MAX(O17)</f>
        <v>51</v>
      </c>
      <c r="L119" s="11">
        <f>MAX(P17)</f>
        <v>90</v>
      </c>
      <c r="M119" s="11">
        <f t="shared" si="319"/>
        <v>0</v>
      </c>
      <c r="N119" s="190">
        <f t="shared" si="320"/>
        <v>0</v>
      </c>
      <c r="O119" s="190">
        <f t="shared" si="321"/>
        <v>0</v>
      </c>
      <c r="P119" s="190">
        <f>MEDIAN(N17)</f>
        <v>82</v>
      </c>
      <c r="Q119" s="190">
        <f t="shared" ref="Q119:R119" si="331">MEDIAN(O17)</f>
        <v>51</v>
      </c>
      <c r="R119" s="190">
        <f t="shared" si="331"/>
        <v>90</v>
      </c>
      <c r="S119" s="190" t="s">
        <v>437</v>
      </c>
      <c r="T119" s="190" t="s">
        <v>437</v>
      </c>
      <c r="U119" s="190" t="s">
        <v>437</v>
      </c>
      <c r="V119" s="176">
        <f>AVERAGEA(N17)</f>
        <v>82</v>
      </c>
      <c r="W119" s="176">
        <f t="shared" ref="W119:X119" si="332">AVERAGEA(O17)</f>
        <v>51</v>
      </c>
      <c r="X119" s="176">
        <f t="shared" si="332"/>
        <v>90</v>
      </c>
      <c r="Y119" s="176">
        <f>STDEVPA(N17)</f>
        <v>0</v>
      </c>
      <c r="Z119" s="176">
        <f t="shared" ref="Z119:AA119" si="333">STDEVPA(O17)</f>
        <v>0</v>
      </c>
      <c r="AA119" s="176">
        <f t="shared" si="333"/>
        <v>0</v>
      </c>
      <c r="AC119" s="11">
        <f>SUM(N17:P17)</f>
        <v>223</v>
      </c>
      <c r="AD119" s="190">
        <f>MIN(N17:P17)</f>
        <v>51</v>
      </c>
      <c r="AE119" s="190">
        <f>MAX(N17:P17)</f>
        <v>90</v>
      </c>
      <c r="AF119" s="191">
        <f t="shared" si="325"/>
        <v>39</v>
      </c>
      <c r="AG119" s="190">
        <f>MEDIAN(N17:P17)</f>
        <v>82</v>
      </c>
      <c r="AH119" s="190" t="s">
        <v>437</v>
      </c>
      <c r="AI119" s="212">
        <f>AVERAGEA(N17:P17)</f>
        <v>74.333333333333329</v>
      </c>
      <c r="AJ119" s="176">
        <f>STDEVA(N17:P17)</f>
        <v>20.599352740640516</v>
      </c>
      <c r="AP119" s="177" t="s">
        <v>457</v>
      </c>
      <c r="AQ119" s="177">
        <v>0</v>
      </c>
      <c r="AR119" s="177" t="s">
        <v>457</v>
      </c>
      <c r="AS119" s="177">
        <v>0</v>
      </c>
      <c r="AT119" s="177" t="s">
        <v>457</v>
      </c>
      <c r="AU119" s="177">
        <v>0</v>
      </c>
      <c r="AV119" s="6"/>
      <c r="AW119" s="177" t="s">
        <v>457</v>
      </c>
      <c r="AX119" s="177">
        <v>0</v>
      </c>
      <c r="BA119" s="11">
        <v>115</v>
      </c>
      <c r="BB119" s="11">
        <v>57</v>
      </c>
      <c r="BC119" s="11">
        <v>148</v>
      </c>
      <c r="BD119" s="123">
        <f t="shared" si="326"/>
        <v>0.71304347826086956</v>
      </c>
      <c r="BE119" s="123">
        <f t="shared" si="327"/>
        <v>0.89473684210526316</v>
      </c>
      <c r="BF119" s="123">
        <f t="shared" si="328"/>
        <v>0.60810810810810811</v>
      </c>
      <c r="BG119" s="190">
        <f t="shared" si="205"/>
        <v>106.66666666666667</v>
      </c>
      <c r="BH119" s="123">
        <f t="shared" si="315"/>
        <v>0.73862947615808017</v>
      </c>
      <c r="BI119" s="6">
        <f t="shared" si="297"/>
        <v>0.14501720675319926</v>
      </c>
      <c r="CT119">
        <v>595</v>
      </c>
      <c r="CV119" s="153"/>
      <c r="DA119" s="153"/>
    </row>
    <row r="120" spans="1:140">
      <c r="A120" t="s">
        <v>37</v>
      </c>
      <c r="B120" s="11">
        <v>1755</v>
      </c>
      <c r="C120" s="11">
        <v>175.5</v>
      </c>
      <c r="D120" s="11">
        <f>SUM(N18:N27)</f>
        <v>4820.0695487644052</v>
      </c>
      <c r="E120" s="11">
        <f t="shared" ref="E120:F120" si="334">SUM(O18:O27)</f>
        <v>6983.3795080557311</v>
      </c>
      <c r="F120" s="11">
        <f t="shared" si="334"/>
        <v>9751.1452038300558</v>
      </c>
      <c r="G120" s="11">
        <f>MIN(N18:N27)</f>
        <v>17.134969325153374</v>
      </c>
      <c r="H120" s="190">
        <f t="shared" ref="H120:I120" si="335">MIN(O18:O27)</f>
        <v>16.435582822085891</v>
      </c>
      <c r="I120" s="190">
        <f t="shared" si="335"/>
        <v>15.677914110429448</v>
      </c>
      <c r="J120" s="190">
        <f>MAX(N18:N27)</f>
        <v>1835</v>
      </c>
      <c r="K120" s="11">
        <f t="shared" ref="K120:L120" si="336">MAX(O18:O27)</f>
        <v>2350</v>
      </c>
      <c r="L120" s="11">
        <f t="shared" si="336"/>
        <v>4696</v>
      </c>
      <c r="M120" s="11">
        <f t="shared" si="319"/>
        <v>1817.8650306748466</v>
      </c>
      <c r="N120" s="190">
        <f t="shared" si="320"/>
        <v>2333.564417177914</v>
      </c>
      <c r="O120" s="190">
        <f t="shared" si="321"/>
        <v>4680.3220858895702</v>
      </c>
      <c r="P120" s="190">
        <f>MEDIAN(N18:N27)</f>
        <v>206.96728971962617</v>
      </c>
      <c r="Q120" s="190">
        <f t="shared" ref="Q120:R120" si="337">MEDIAN(O18:O27)</f>
        <v>568.5</v>
      </c>
      <c r="R120" s="190">
        <f t="shared" si="337"/>
        <v>631.5</v>
      </c>
      <c r="S120" s="190" t="s">
        <v>437</v>
      </c>
      <c r="T120" s="190" t="s">
        <v>437</v>
      </c>
      <c r="U120" s="190" t="s">
        <v>437</v>
      </c>
      <c r="V120" s="176">
        <f>AVERAGEA(N18:N27)</f>
        <v>482.00695487644055</v>
      </c>
      <c r="W120" s="176">
        <f t="shared" ref="W120:X120" si="338">AVERAGEA(O18:O27)</f>
        <v>698.33795080557309</v>
      </c>
      <c r="X120" s="176">
        <f t="shared" si="338"/>
        <v>975.11452038300558</v>
      </c>
      <c r="Y120" s="176">
        <f>STDEVPA(N18:N27)</f>
        <v>539.5576031003485</v>
      </c>
      <c r="Z120" s="176">
        <f t="shared" ref="Z120:AA120" si="339">STDEVPA(O18:O27)</f>
        <v>681.2186009161843</v>
      </c>
      <c r="AA120" s="176">
        <f t="shared" si="339"/>
        <v>1306.0920570632613</v>
      </c>
      <c r="AC120" s="11">
        <f>SUM(N18:P27)</f>
        <v>21554.594260650192</v>
      </c>
      <c r="AD120" s="190">
        <f>MIN(N18:P27)</f>
        <v>15.677914110429448</v>
      </c>
      <c r="AE120" s="190">
        <f>MAX(N18:P27)</f>
        <v>4696</v>
      </c>
      <c r="AF120" s="191">
        <f t="shared" si="325"/>
        <v>4680.3220858895702</v>
      </c>
      <c r="AG120" s="190">
        <f>MEDIAN(N18:P27)</f>
        <v>429</v>
      </c>
      <c r="AH120" s="190" t="s">
        <v>437</v>
      </c>
      <c r="AI120" s="212">
        <f>AVERAGEA(N18:P27)</f>
        <v>718.48647535500641</v>
      </c>
      <c r="AJ120" s="176">
        <f>STDEVA(N18:P27)</f>
        <v>943.80815755283857</v>
      </c>
      <c r="AP120" s="177" t="s">
        <v>458</v>
      </c>
      <c r="AQ120" s="177">
        <v>747.77400812058056</v>
      </c>
      <c r="AR120" s="177" t="s">
        <v>458</v>
      </c>
      <c r="AS120" s="177">
        <v>610.14293961438</v>
      </c>
      <c r="AT120" s="177" t="s">
        <v>458</v>
      </c>
      <c r="AU120" s="177">
        <v>915.80884269110095</v>
      </c>
      <c r="AV120" s="6"/>
      <c r="AW120" s="177" t="s">
        <v>458</v>
      </c>
      <c r="AX120" s="177">
        <v>766.58515309124834</v>
      </c>
      <c r="BA120" s="11">
        <v>10595.616679089502</v>
      </c>
      <c r="BB120" s="11">
        <v>14464.064990539533</v>
      </c>
      <c r="BC120" s="11">
        <v>15286.240181182273</v>
      </c>
      <c r="BD120" s="123">
        <f t="shared" si="326"/>
        <v>0.45491165778739756</v>
      </c>
      <c r="BE120" s="123">
        <f t="shared" si="327"/>
        <v>0.48280891385812558</v>
      </c>
      <c r="BF120" s="123">
        <f t="shared" si="328"/>
        <v>0.63790344049637193</v>
      </c>
      <c r="BG120" s="190">
        <f t="shared" si="205"/>
        <v>13448.640616937102</v>
      </c>
      <c r="BH120" s="123">
        <f t="shared" si="315"/>
        <v>0.52520800404729828</v>
      </c>
      <c r="BI120" s="6">
        <f t="shared" si="297"/>
        <v>9.8588844558623476E-2</v>
      </c>
      <c r="CT120">
        <v>159</v>
      </c>
      <c r="CV120" s="153"/>
      <c r="DA120" s="153"/>
    </row>
    <row r="121" spans="1:140">
      <c r="A121" t="s">
        <v>38</v>
      </c>
      <c r="B121" s="11">
        <v>7329</v>
      </c>
      <c r="C121" s="11">
        <v>155.93617021276594</v>
      </c>
      <c r="D121" s="11">
        <f>SUM(N28:N74)</f>
        <v>9365.92</v>
      </c>
      <c r="E121" s="11">
        <f t="shared" ref="E121:F121" si="340">SUM(O28:O74)</f>
        <v>11752.674444444445</v>
      </c>
      <c r="F121" s="11">
        <f t="shared" si="340"/>
        <v>10302.725555555557</v>
      </c>
      <c r="G121" s="11">
        <f>MIN(N28:N74)</f>
        <v>0</v>
      </c>
      <c r="H121" s="190">
        <f t="shared" ref="H121:I121" si="341">MIN(O28:O74)</f>
        <v>0</v>
      </c>
      <c r="I121" s="190">
        <f t="shared" si="341"/>
        <v>0</v>
      </c>
      <c r="J121" s="190">
        <f>MAX(N28:N74)</f>
        <v>1022.9999999999999</v>
      </c>
      <c r="K121" s="11">
        <f t="shared" ref="K121:L121" si="342">MAX(O28:O74)</f>
        <v>1828</v>
      </c>
      <c r="L121" s="11">
        <f t="shared" si="342"/>
        <v>1522</v>
      </c>
      <c r="M121" s="11">
        <f t="shared" si="319"/>
        <v>1022.9999999999999</v>
      </c>
      <c r="N121" s="190">
        <f t="shared" si="320"/>
        <v>1828</v>
      </c>
      <c r="O121" s="190">
        <f t="shared" si="321"/>
        <v>1522</v>
      </c>
      <c r="P121" s="190">
        <f>MEDIAN(N28:N74)</f>
        <v>111</v>
      </c>
      <c r="Q121" s="190">
        <f t="shared" ref="Q121:R121" si="343">MEDIAN(O28:O74)</f>
        <v>103</v>
      </c>
      <c r="R121" s="190">
        <f t="shared" si="343"/>
        <v>96</v>
      </c>
      <c r="S121" s="190">
        <f>MODE(N28:N74)</f>
        <v>0</v>
      </c>
      <c r="T121" s="190">
        <f t="shared" ref="T121:U121" si="344">MODE(O28:O74)</f>
        <v>52</v>
      </c>
      <c r="U121" s="190">
        <f t="shared" si="344"/>
        <v>25</v>
      </c>
      <c r="V121" s="176">
        <f>AVERAGEA(N28:N74)</f>
        <v>199.27489361702129</v>
      </c>
      <c r="W121" s="176">
        <f t="shared" ref="W121:X121" si="345">AVERAGEA(O28:O74)</f>
        <v>250.05690307328607</v>
      </c>
      <c r="X121" s="176">
        <f t="shared" si="345"/>
        <v>219.20692671394801</v>
      </c>
      <c r="Y121" s="176">
        <f>STDEVPA(N28:N74)</f>
        <v>215.27795465666912</v>
      </c>
      <c r="Z121" s="176">
        <f t="shared" ref="Z121:AA121" si="346">STDEVPA(O28:O74)</f>
        <v>363.27118599281448</v>
      </c>
      <c r="AA121" s="176">
        <f t="shared" si="346"/>
        <v>274.87144962571864</v>
      </c>
      <c r="AC121" s="11">
        <f>SUM(N28:P74)</f>
        <v>31421.32</v>
      </c>
      <c r="AD121" s="190">
        <f>MIN(N28:P74)</f>
        <v>0</v>
      </c>
      <c r="AE121" s="190">
        <f>MAX(N28:P74)</f>
        <v>1828</v>
      </c>
      <c r="AF121" s="191">
        <f t="shared" si="325"/>
        <v>1828</v>
      </c>
      <c r="AG121" s="190">
        <f>MEDIAN(N28:P74)</f>
        <v>104</v>
      </c>
      <c r="AH121" s="190">
        <f>MODE(N28:P74)</f>
        <v>0</v>
      </c>
      <c r="AI121" s="212">
        <f>AVERAGEA(N28:P74)</f>
        <v>222.84624113475178</v>
      </c>
      <c r="AJ121" s="176">
        <f>STDEVA(N28:P74)</f>
        <v>292.68687006945186</v>
      </c>
      <c r="AP121" s="177" t="s">
        <v>459</v>
      </c>
      <c r="AQ121" s="177">
        <v>559165.96722071816</v>
      </c>
      <c r="AR121" s="177" t="s">
        <v>459</v>
      </c>
      <c r="AS121" s="177">
        <v>372274.406761277</v>
      </c>
      <c r="AT121" s="177" t="s">
        <v>459</v>
      </c>
      <c r="AU121" s="177">
        <v>838705.83635121374</v>
      </c>
      <c r="AV121" s="6"/>
      <c r="AW121" s="177" t="s">
        <v>459</v>
      </c>
      <c r="AX121" s="177">
        <v>587652.79693993262</v>
      </c>
      <c r="BA121" s="11">
        <v>40432.555555555555</v>
      </c>
      <c r="BB121" s="11">
        <v>46784.662222222221</v>
      </c>
      <c r="BC121" s="11">
        <v>46705.878888888888</v>
      </c>
      <c r="BD121" s="123">
        <f t="shared" si="326"/>
        <v>0.23164303792598373</v>
      </c>
      <c r="BE121" s="123">
        <f t="shared" si="327"/>
        <v>0.25120785074006685</v>
      </c>
      <c r="BF121" s="123">
        <f t="shared" si="328"/>
        <v>0.22058733933827177</v>
      </c>
      <c r="BG121" s="190">
        <f t="shared" si="205"/>
        <v>44641.032222222224</v>
      </c>
      <c r="BH121" s="123">
        <f t="shared" si="315"/>
        <v>0.2344794093347741</v>
      </c>
      <c r="BI121" s="6">
        <f t="shared" si="297"/>
        <v>1.5506053066571079E-2</v>
      </c>
      <c r="CT121">
        <v>0</v>
      </c>
      <c r="CV121" s="156"/>
      <c r="DA121" s="156"/>
    </row>
    <row r="122" spans="1:140">
      <c r="A122" t="s">
        <v>39</v>
      </c>
      <c r="B122" s="11">
        <v>95</v>
      </c>
      <c r="C122" s="11">
        <v>95</v>
      </c>
      <c r="D122" s="11">
        <f>SUM(N75)</f>
        <v>0</v>
      </c>
      <c r="E122" s="11">
        <f t="shared" ref="E122:F122" si="347">SUM(O75)</f>
        <v>0</v>
      </c>
      <c r="F122" s="11">
        <f t="shared" si="347"/>
        <v>0</v>
      </c>
      <c r="G122" s="11">
        <f>MIN(N75)</f>
        <v>0</v>
      </c>
      <c r="H122" s="190">
        <f t="shared" ref="H122:I122" si="348">MIN(O75)</f>
        <v>0</v>
      </c>
      <c r="I122" s="190">
        <f t="shared" si="348"/>
        <v>0</v>
      </c>
      <c r="J122" s="190">
        <f>MAX(N75)</f>
        <v>0</v>
      </c>
      <c r="K122" s="11">
        <f t="shared" ref="K122:L122" si="349">MAX(O75)</f>
        <v>0</v>
      </c>
      <c r="L122" s="11">
        <f t="shared" si="349"/>
        <v>0</v>
      </c>
      <c r="M122" s="11">
        <f t="shared" si="319"/>
        <v>0</v>
      </c>
      <c r="N122" s="190">
        <f t="shared" si="320"/>
        <v>0</v>
      </c>
      <c r="O122" s="190">
        <f t="shared" si="321"/>
        <v>0</v>
      </c>
      <c r="P122" s="190">
        <f>MEDIAN(N75)</f>
        <v>0</v>
      </c>
      <c r="Q122" s="190">
        <f t="shared" ref="Q122:R122" si="350">MEDIAN(O75)</f>
        <v>0</v>
      </c>
      <c r="R122" s="190">
        <f t="shared" si="350"/>
        <v>0</v>
      </c>
      <c r="S122" s="190" t="s">
        <v>437</v>
      </c>
      <c r="T122" s="190" t="s">
        <v>437</v>
      </c>
      <c r="U122" s="190" t="s">
        <v>437</v>
      </c>
      <c r="V122" s="176">
        <f>AVERAGEA(N75)</f>
        <v>0</v>
      </c>
      <c r="W122" s="176">
        <f t="shared" ref="W122:X122" si="351">AVERAGEA(O75)</f>
        <v>0</v>
      </c>
      <c r="X122" s="176">
        <f t="shared" si="351"/>
        <v>0</v>
      </c>
      <c r="Y122" s="176">
        <f>STDEVPA(N75)</f>
        <v>0</v>
      </c>
      <c r="Z122" s="176">
        <f t="shared" ref="Z122:AA122" si="352">STDEVPA(O75)</f>
        <v>0</v>
      </c>
      <c r="AA122" s="176">
        <f t="shared" si="352"/>
        <v>0</v>
      </c>
      <c r="AC122" s="11">
        <f>SUM(N75:P75)</f>
        <v>0</v>
      </c>
      <c r="AD122" s="11">
        <f>MIN(N75:P75)</f>
        <v>0</v>
      </c>
      <c r="AE122" s="11">
        <f>MAX(N75:P75)</f>
        <v>0</v>
      </c>
      <c r="AF122" s="191">
        <f t="shared" si="325"/>
        <v>0</v>
      </c>
      <c r="AG122" s="11">
        <f>MEDIAN(N75:P75)</f>
        <v>0</v>
      </c>
      <c r="AH122" s="11">
        <f>MODE(N75:P75)</f>
        <v>0</v>
      </c>
      <c r="AI122" s="212">
        <f>AVERAGEA(N75:P75)</f>
        <v>0</v>
      </c>
      <c r="AJ122" s="176">
        <f>STDEVA(N75:P75)</f>
        <v>0</v>
      </c>
      <c r="AP122" s="177" t="s">
        <v>460</v>
      </c>
      <c r="AQ122" s="177">
        <v>9.6224851501302666</v>
      </c>
      <c r="AR122" s="177" t="s">
        <v>460</v>
      </c>
      <c r="AS122" s="177">
        <v>3.5995628890066818</v>
      </c>
      <c r="AT122" s="177" t="s">
        <v>460</v>
      </c>
      <c r="AU122" s="177">
        <v>13.343883868620996</v>
      </c>
      <c r="AV122" s="6"/>
      <c r="AW122" s="177" t="s">
        <v>460</v>
      </c>
      <c r="AX122" s="177">
        <v>12.527363701008266</v>
      </c>
      <c r="BA122" s="11">
        <v>461</v>
      </c>
      <c r="BB122" s="11">
        <v>569</v>
      </c>
      <c r="BC122" s="11">
        <v>524</v>
      </c>
      <c r="BD122" s="123">
        <f t="shared" si="326"/>
        <v>0</v>
      </c>
      <c r="BE122" s="123">
        <f t="shared" si="327"/>
        <v>0</v>
      </c>
      <c r="BF122" s="123">
        <f t="shared" si="328"/>
        <v>0</v>
      </c>
      <c r="BG122" s="190">
        <f t="shared" si="205"/>
        <v>518</v>
      </c>
      <c r="BH122" s="123">
        <f t="shared" si="315"/>
        <v>0</v>
      </c>
      <c r="BI122" s="6">
        <f t="shared" si="297"/>
        <v>0</v>
      </c>
      <c r="CT122">
        <v>161</v>
      </c>
      <c r="CV122" s="156"/>
      <c r="DA122" s="156"/>
    </row>
    <row r="123" spans="1:140">
      <c r="A123" t="s">
        <v>40</v>
      </c>
      <c r="B123" s="11">
        <v>50</v>
      </c>
      <c r="C123" s="11">
        <v>50</v>
      </c>
      <c r="D123" s="11">
        <f>SUM(N76)</f>
        <v>230</v>
      </c>
      <c r="E123" s="11">
        <f t="shared" ref="E123:F123" si="353">SUM(O76)</f>
        <v>148</v>
      </c>
      <c r="F123" s="11">
        <f t="shared" si="353"/>
        <v>87</v>
      </c>
      <c r="G123" s="11">
        <f>MIN(N76)</f>
        <v>230</v>
      </c>
      <c r="H123" s="190">
        <f t="shared" ref="H123:I123" si="354">MIN(O76)</f>
        <v>148</v>
      </c>
      <c r="I123" s="190">
        <f t="shared" si="354"/>
        <v>87</v>
      </c>
      <c r="J123" s="190">
        <f>MAX(N76)</f>
        <v>230</v>
      </c>
      <c r="K123" s="11">
        <f t="shared" ref="K123:L123" si="355">MAX(O76)</f>
        <v>148</v>
      </c>
      <c r="L123" s="11">
        <f t="shared" si="355"/>
        <v>87</v>
      </c>
      <c r="M123" s="11">
        <f t="shared" si="319"/>
        <v>0</v>
      </c>
      <c r="N123" s="190">
        <f t="shared" si="320"/>
        <v>0</v>
      </c>
      <c r="O123" s="190">
        <f t="shared" si="321"/>
        <v>0</v>
      </c>
      <c r="P123" s="190">
        <f>MEDIAN(N76)</f>
        <v>230</v>
      </c>
      <c r="Q123" s="190">
        <f t="shared" ref="Q123:R123" si="356">MEDIAN(O76)</f>
        <v>148</v>
      </c>
      <c r="R123" s="190">
        <f t="shared" si="356"/>
        <v>87</v>
      </c>
      <c r="S123" s="190" t="s">
        <v>437</v>
      </c>
      <c r="T123" s="190" t="s">
        <v>437</v>
      </c>
      <c r="U123" s="190" t="s">
        <v>437</v>
      </c>
      <c r="V123" s="176">
        <f>AVERAGEA(N76)</f>
        <v>230</v>
      </c>
      <c r="W123" s="176">
        <f t="shared" ref="W123:X123" si="357">AVERAGEA(O76)</f>
        <v>148</v>
      </c>
      <c r="X123" s="176">
        <f t="shared" si="357"/>
        <v>87</v>
      </c>
      <c r="Y123" s="176">
        <f>STDEVPA(N76)</f>
        <v>0</v>
      </c>
      <c r="Z123" s="176">
        <f t="shared" ref="Z123:AA123" si="358">STDEVPA(O76)</f>
        <v>0</v>
      </c>
      <c r="AA123" s="176">
        <f t="shared" si="358"/>
        <v>0</v>
      </c>
      <c r="AC123" s="11">
        <f>SUM(N76:P76)</f>
        <v>465</v>
      </c>
      <c r="AD123" s="11">
        <f>MIN(N76:P76)</f>
        <v>87</v>
      </c>
      <c r="AE123" s="11">
        <f>MAX(N76:P76)</f>
        <v>230</v>
      </c>
      <c r="AF123" s="191">
        <f t="shared" si="325"/>
        <v>143</v>
      </c>
      <c r="AG123" s="11">
        <f>MEDIAN(N76:P76)</f>
        <v>148</v>
      </c>
      <c r="AH123" s="11" t="e">
        <f>MODE(N76:P76)</f>
        <v>#N/A</v>
      </c>
      <c r="AI123" s="212">
        <f>AVERAGEA(N76:P76)</f>
        <v>155</v>
      </c>
      <c r="AJ123" s="176">
        <f>STDEVA(N76:P76)</f>
        <v>71.756532803640951</v>
      </c>
      <c r="AP123" s="177" t="s">
        <v>461</v>
      </c>
      <c r="AQ123" s="177">
        <v>3.041551782524043</v>
      </c>
      <c r="AR123" s="177" t="s">
        <v>461</v>
      </c>
      <c r="AS123" s="177">
        <v>2.1199452321051662</v>
      </c>
      <c r="AT123" s="177" t="s">
        <v>461</v>
      </c>
      <c r="AU123" s="177">
        <v>3.3929430124679909</v>
      </c>
      <c r="AV123" s="6"/>
      <c r="AW123" s="177" t="s">
        <v>461</v>
      </c>
      <c r="AX123" s="177">
        <v>3.2097875903080557</v>
      </c>
      <c r="BA123" s="11">
        <v>230</v>
      </c>
      <c r="BB123" s="11">
        <v>163</v>
      </c>
      <c r="BC123" s="11">
        <v>172</v>
      </c>
      <c r="BD123" s="123">
        <f t="shared" si="326"/>
        <v>1</v>
      </c>
      <c r="BE123" s="123">
        <f t="shared" si="327"/>
        <v>0.90797546012269936</v>
      </c>
      <c r="BF123" s="123">
        <f t="shared" si="328"/>
        <v>0.5058139534883721</v>
      </c>
      <c r="BG123" s="190">
        <f t="shared" si="205"/>
        <v>188.33333333333334</v>
      </c>
      <c r="BH123" s="123">
        <f t="shared" si="315"/>
        <v>0.80459647120369049</v>
      </c>
      <c r="BI123" s="6">
        <f t="shared" si="297"/>
        <v>0.26281243055482667</v>
      </c>
      <c r="CT123">
        <v>0</v>
      </c>
      <c r="CV123" s="156"/>
      <c r="DA123" s="156"/>
    </row>
    <row r="124" spans="1:140">
      <c r="A124" t="s">
        <v>41</v>
      </c>
      <c r="B124" s="11">
        <v>221</v>
      </c>
      <c r="C124" s="11">
        <v>55.25</v>
      </c>
      <c r="D124" s="11">
        <f>SUM(N77:N80)</f>
        <v>291.49060436769935</v>
      </c>
      <c r="E124" s="11">
        <f t="shared" ref="E124:F124" si="359">SUM(O77:O80)</f>
        <v>241.77450482478415</v>
      </c>
      <c r="F124" s="11">
        <f t="shared" si="359"/>
        <v>267.39106145251395</v>
      </c>
      <c r="G124" s="11">
        <f>MIN(N77:N80)</f>
        <v>21</v>
      </c>
      <c r="H124" s="190">
        <f t="shared" ref="H124:I124" si="360">MIN(O77:O80)</f>
        <v>27</v>
      </c>
      <c r="I124" s="190">
        <f t="shared" si="360"/>
        <v>22</v>
      </c>
      <c r="J124" s="190">
        <f>MAX(O77:O80)</f>
        <v>75.774504824784145</v>
      </c>
      <c r="K124" s="11">
        <f t="shared" ref="K124:L124" si="361">MAX(P77:P80)</f>
        <v>125</v>
      </c>
      <c r="L124" s="11">
        <f t="shared" si="361"/>
        <v>100.33519553072625</v>
      </c>
      <c r="M124" s="11">
        <f t="shared" si="319"/>
        <v>54.774504824784145</v>
      </c>
      <c r="N124" s="190">
        <f t="shared" si="320"/>
        <v>98</v>
      </c>
      <c r="O124" s="190">
        <f t="shared" si="321"/>
        <v>78.335195530726253</v>
      </c>
      <c r="P124" s="190">
        <f>MEDIAN(N77:N80)</f>
        <v>82</v>
      </c>
      <c r="Q124" s="190">
        <f t="shared" ref="Q124:R124" si="362">MEDIAN(O77:O80)</f>
        <v>69.5</v>
      </c>
      <c r="R124" s="190">
        <f t="shared" si="362"/>
        <v>60.195530726256983</v>
      </c>
      <c r="S124" s="190" t="s">
        <v>437</v>
      </c>
      <c r="T124" s="190" t="s">
        <v>437</v>
      </c>
      <c r="U124" s="190" t="s">
        <v>437</v>
      </c>
      <c r="V124" s="176">
        <f>AVERAGEA(N77:N80)</f>
        <v>72.872651091924837</v>
      </c>
      <c r="W124" s="176">
        <f t="shared" ref="W124:X124" si="363">AVERAGEA(O77:O80)</f>
        <v>60.443626206196036</v>
      </c>
      <c r="X124" s="176">
        <f t="shared" si="363"/>
        <v>66.847765363128488</v>
      </c>
      <c r="Y124" s="176">
        <f>STDEVPA(N77:N80)</f>
        <v>33.307490561194371</v>
      </c>
      <c r="Z124" s="176">
        <f t="shared" ref="Z124:AA124" si="364">STDEVPA(O77:O80)</f>
        <v>19.736057012634536</v>
      </c>
      <c r="AA124" s="176">
        <f t="shared" si="364"/>
        <v>37.714077597881378</v>
      </c>
      <c r="AC124" s="11">
        <f>SUM(N77:P80)</f>
        <v>800.65617064499747</v>
      </c>
      <c r="AD124" s="11">
        <f>MIN(N77:P80)</f>
        <v>21</v>
      </c>
      <c r="AE124" s="11">
        <f>MAX(N77:P80)</f>
        <v>125</v>
      </c>
      <c r="AF124" s="191">
        <f t="shared" si="325"/>
        <v>104</v>
      </c>
      <c r="AG124" s="11">
        <f>MEDIAN(N77:P80)</f>
        <v>68.695530726256976</v>
      </c>
      <c r="AH124" s="11" t="s">
        <v>437</v>
      </c>
      <c r="AI124" s="212">
        <f>AVERAGEA(N77:P80)</f>
        <v>66.721347553749794</v>
      </c>
      <c r="AJ124" s="176">
        <f>STDEVA(N77:P80)</f>
        <v>33.020747334463721</v>
      </c>
      <c r="AP124" s="177" t="s">
        <v>462</v>
      </c>
      <c r="AQ124" s="177">
        <v>3788</v>
      </c>
      <c r="AR124" s="177" t="s">
        <v>462</v>
      </c>
      <c r="AS124" s="177">
        <v>2355</v>
      </c>
      <c r="AT124" s="177" t="s">
        <v>462</v>
      </c>
      <c r="AU124" s="177">
        <v>5460</v>
      </c>
      <c r="AV124" s="6"/>
      <c r="AW124" s="177" t="s">
        <v>462</v>
      </c>
      <c r="AX124" s="177">
        <v>5460</v>
      </c>
      <c r="BA124" s="11">
        <v>961.73184357541902</v>
      </c>
      <c r="BB124" s="11">
        <v>1110.7308278313865</v>
      </c>
      <c r="BC124" s="11">
        <v>1531.4433722701879</v>
      </c>
      <c r="BD124" s="123">
        <f t="shared" si="326"/>
        <v>0.30308927204076785</v>
      </c>
      <c r="BE124" s="123">
        <f t="shared" si="327"/>
        <v>0.21767155350934989</v>
      </c>
      <c r="BF124" s="123">
        <f t="shared" si="328"/>
        <v>0.17460068474888341</v>
      </c>
      <c r="BG124" s="190">
        <f t="shared" si="205"/>
        <v>1201.3020145589978</v>
      </c>
      <c r="BH124" s="123">
        <f t="shared" si="315"/>
        <v>0.23178717009966707</v>
      </c>
      <c r="BI124" s="6">
        <f t="shared" si="297"/>
        <v>6.5396997177696731E-2</v>
      </c>
      <c r="CT124">
        <v>93</v>
      </c>
      <c r="CV124" s="156"/>
      <c r="DA124" s="156"/>
    </row>
    <row r="125" spans="1:140">
      <c r="A125" t="s">
        <v>34</v>
      </c>
      <c r="B125" s="11">
        <v>880</v>
      </c>
      <c r="C125" s="11">
        <v>220</v>
      </c>
      <c r="D125" s="11">
        <f>SUM(N81:N84)</f>
        <v>2916.45</v>
      </c>
      <c r="E125" s="11">
        <f t="shared" ref="E125:F125" si="365">SUM(O81:O84)</f>
        <v>3688.09</v>
      </c>
      <c r="F125" s="11">
        <f t="shared" si="365"/>
        <v>4027.7799999999997</v>
      </c>
      <c r="G125" s="11">
        <f>MIN(N81:N84)</f>
        <v>0</v>
      </c>
      <c r="H125" s="190">
        <f t="shared" ref="H125:I125" si="366">MIN(O81:O84)</f>
        <v>0</v>
      </c>
      <c r="I125" s="190">
        <f t="shared" si="366"/>
        <v>0</v>
      </c>
      <c r="J125" s="190">
        <f>MAX(N81:N84)</f>
        <v>1265</v>
      </c>
      <c r="K125" s="11">
        <f t="shared" ref="K125:L125" si="367">MAX(O81:O84)</f>
        <v>2084</v>
      </c>
      <c r="L125" s="11">
        <f t="shared" si="367"/>
        <v>2592</v>
      </c>
      <c r="M125" s="11">
        <f t="shared" si="319"/>
        <v>1265</v>
      </c>
      <c r="N125" s="190">
        <f t="shared" si="320"/>
        <v>2084</v>
      </c>
      <c r="O125" s="190">
        <f t="shared" si="321"/>
        <v>2592</v>
      </c>
      <c r="P125" s="190">
        <f>MEDIAN(N81:N84)</f>
        <v>825.72499999999991</v>
      </c>
      <c r="Q125" s="190">
        <f t="shared" ref="Q125:R125" si="368">MEDIAN(O81:O84)</f>
        <v>802.04500000000007</v>
      </c>
      <c r="R125" s="190">
        <f t="shared" si="368"/>
        <v>717.89</v>
      </c>
      <c r="S125" s="190" t="s">
        <v>437</v>
      </c>
      <c r="T125" s="190" t="s">
        <v>437</v>
      </c>
      <c r="U125" s="190" t="s">
        <v>437</v>
      </c>
      <c r="V125" s="176">
        <f>AVERAGEA(N81:N84)</f>
        <v>729.11249999999995</v>
      </c>
      <c r="W125" s="176">
        <f t="shared" ref="W125:X125" si="369">AVERAGEA(O81:O84)</f>
        <v>922.02250000000004</v>
      </c>
      <c r="X125" s="176">
        <f t="shared" si="369"/>
        <v>1006.9449999999999</v>
      </c>
      <c r="Y125" s="176">
        <f>STDEVPA(N81:N84)</f>
        <v>465.79014906795749</v>
      </c>
      <c r="Z125" s="176">
        <f t="shared" ref="Z125:AA125" si="370">STDEVPA(O81:O84)</f>
        <v>763.41628979132338</v>
      </c>
      <c r="AA125" s="176">
        <f t="shared" si="370"/>
        <v>965.86643956346268</v>
      </c>
      <c r="AC125" s="11">
        <f>SUM(N81:P84)</f>
        <v>10632.32</v>
      </c>
      <c r="AD125" s="11">
        <f>MIN(N81:P84)</f>
        <v>0</v>
      </c>
      <c r="AE125" s="11">
        <f>MAX(N81:P84)</f>
        <v>2592</v>
      </c>
      <c r="AF125" s="191">
        <f t="shared" si="325"/>
        <v>2592</v>
      </c>
      <c r="AG125" s="11">
        <f>MEDIAN(N81:P84)</f>
        <v>779.22499999999991</v>
      </c>
      <c r="AH125" s="11">
        <f>MODE(N81:P84)</f>
        <v>0</v>
      </c>
      <c r="AI125" s="212">
        <f>AVERAGEA(N81:P84)</f>
        <v>886.02666666666664</v>
      </c>
      <c r="AJ125" s="176">
        <f>STDEVA(N81:P84)</f>
        <v>802.99482000291584</v>
      </c>
      <c r="AP125" s="177" t="s">
        <v>412</v>
      </c>
      <c r="AQ125" s="177">
        <v>0</v>
      </c>
      <c r="AR125" s="177" t="s">
        <v>412</v>
      </c>
      <c r="AS125" s="177">
        <v>0</v>
      </c>
      <c r="AT125" s="177" t="s">
        <v>412</v>
      </c>
      <c r="AU125" s="177">
        <v>0</v>
      </c>
      <c r="AV125" s="6"/>
      <c r="AW125" s="177" t="s">
        <v>412</v>
      </c>
      <c r="AX125" s="177">
        <v>0</v>
      </c>
      <c r="BA125" s="11">
        <v>8083.21</v>
      </c>
      <c r="BB125" s="11">
        <v>8999.16</v>
      </c>
      <c r="BC125" s="11">
        <v>10296.74</v>
      </c>
      <c r="BD125" s="123">
        <f t="shared" si="326"/>
        <v>0.36080344318655583</v>
      </c>
      <c r="BE125" s="123">
        <f t="shared" si="327"/>
        <v>0.40982602820707714</v>
      </c>
      <c r="BF125" s="123">
        <f t="shared" si="328"/>
        <v>0.39117040927516861</v>
      </c>
      <c r="BG125" s="190">
        <f t="shared" si="205"/>
        <v>9126.3700000000008</v>
      </c>
      <c r="BH125" s="123">
        <f t="shared" si="315"/>
        <v>0.38726662688960056</v>
      </c>
      <c r="BI125" s="6">
        <f t="shared" si="297"/>
        <v>2.4743344523506999E-2</v>
      </c>
      <c r="CT125">
        <v>0</v>
      </c>
      <c r="CV125" s="156"/>
      <c r="DA125" s="156"/>
    </row>
    <row r="126" spans="1:140">
      <c r="A126" t="s">
        <v>42</v>
      </c>
      <c r="B126" s="11">
        <v>92</v>
      </c>
      <c r="C126" s="11">
        <v>92</v>
      </c>
      <c r="D126" s="11">
        <f>SUM(N85)</f>
        <v>324</v>
      </c>
      <c r="E126" s="11">
        <f t="shared" ref="E126:F126" si="371">SUM(O85)</f>
        <v>256</v>
      </c>
      <c r="F126" s="11">
        <f t="shared" si="371"/>
        <v>287</v>
      </c>
      <c r="G126" s="11">
        <f>MIN(N85)</f>
        <v>324</v>
      </c>
      <c r="H126" s="190">
        <f t="shared" ref="H126:I126" si="372">MIN(O85)</f>
        <v>256</v>
      </c>
      <c r="I126" s="190">
        <f t="shared" si="372"/>
        <v>287</v>
      </c>
      <c r="J126" s="190">
        <f>MAX(N85)</f>
        <v>324</v>
      </c>
      <c r="K126" s="11">
        <f t="shared" ref="K126:L126" si="373">MAX(O85)</f>
        <v>256</v>
      </c>
      <c r="L126" s="11">
        <f t="shared" si="373"/>
        <v>287</v>
      </c>
      <c r="M126" s="11">
        <f t="shared" si="319"/>
        <v>0</v>
      </c>
      <c r="N126" s="190">
        <f t="shared" si="320"/>
        <v>0</v>
      </c>
      <c r="O126" s="190">
        <f t="shared" si="321"/>
        <v>0</v>
      </c>
      <c r="P126" s="190">
        <f>MEDIAN(N85)</f>
        <v>324</v>
      </c>
      <c r="Q126" s="190">
        <f t="shared" ref="Q126:R126" si="374">MEDIAN(O85)</f>
        <v>256</v>
      </c>
      <c r="R126" s="190">
        <f t="shared" si="374"/>
        <v>287</v>
      </c>
      <c r="S126" s="190" t="s">
        <v>437</v>
      </c>
      <c r="T126" s="190" t="s">
        <v>437</v>
      </c>
      <c r="U126" s="190" t="s">
        <v>437</v>
      </c>
      <c r="V126" s="176">
        <f>AVERAGEA(N85)</f>
        <v>324</v>
      </c>
      <c r="W126" s="176">
        <f t="shared" ref="W126:X126" si="375">AVERAGEA(O85)</f>
        <v>256</v>
      </c>
      <c r="X126" s="176">
        <f t="shared" si="375"/>
        <v>287</v>
      </c>
      <c r="Y126" s="176">
        <f>STDEVPA(N85)</f>
        <v>0</v>
      </c>
      <c r="Z126" s="176">
        <f t="shared" ref="Z126:AA126" si="376">STDEVPA(O85)</f>
        <v>0</v>
      </c>
      <c r="AA126" s="176">
        <f t="shared" si="376"/>
        <v>0</v>
      </c>
      <c r="AC126" s="11">
        <f>SUM(N85:P85)</f>
        <v>867</v>
      </c>
      <c r="AD126" s="11">
        <f>MIN(N85:P85)</f>
        <v>256</v>
      </c>
      <c r="AE126" s="11">
        <f>MAX(N85:P85)</f>
        <v>324</v>
      </c>
      <c r="AF126" s="191">
        <f t="shared" si="325"/>
        <v>68</v>
      </c>
      <c r="AG126" s="11">
        <f>MEDIAN(N85:P85)</f>
        <v>287</v>
      </c>
      <c r="AH126" s="11" t="s">
        <v>437</v>
      </c>
      <c r="AI126" s="212">
        <f>AVERAGEA(N85:P85)</f>
        <v>289</v>
      </c>
      <c r="AJ126" s="176">
        <f>STDEVA(N85:P85)</f>
        <v>34.044089061098404</v>
      </c>
      <c r="AP126" s="177" t="s">
        <v>413</v>
      </c>
      <c r="AQ126" s="177">
        <v>3788</v>
      </c>
      <c r="AR126" s="177" t="s">
        <v>413</v>
      </c>
      <c r="AS126" s="177">
        <v>2355</v>
      </c>
      <c r="AT126" s="177" t="s">
        <v>413</v>
      </c>
      <c r="AU126" s="177">
        <v>5460</v>
      </c>
      <c r="AV126" s="6"/>
      <c r="AW126" s="177" t="s">
        <v>413</v>
      </c>
      <c r="AX126" s="177">
        <v>5460</v>
      </c>
      <c r="BA126" s="11">
        <v>547</v>
      </c>
      <c r="BB126" s="11">
        <v>580</v>
      </c>
      <c r="BC126" s="11">
        <v>742</v>
      </c>
      <c r="BD126" s="123">
        <f t="shared" si="326"/>
        <v>0.59232175502742235</v>
      </c>
      <c r="BE126" s="123">
        <f t="shared" si="327"/>
        <v>0.44137931034482758</v>
      </c>
      <c r="BF126" s="123">
        <f t="shared" si="328"/>
        <v>0.3867924528301887</v>
      </c>
      <c r="BG126" s="190">
        <f t="shared" si="205"/>
        <v>623</v>
      </c>
      <c r="BH126" s="123">
        <f t="shared" si="315"/>
        <v>0.47349783940081291</v>
      </c>
      <c r="BI126" s="6">
        <f t="shared" si="297"/>
        <v>0.10646254480783593</v>
      </c>
      <c r="CT126">
        <v>160</v>
      </c>
      <c r="CV126" s="156"/>
      <c r="DA126" s="156"/>
    </row>
    <row r="127" spans="1:140">
      <c r="A127" t="s">
        <v>43</v>
      </c>
      <c r="B127" s="11">
        <v>105</v>
      </c>
      <c r="C127" s="11">
        <v>105</v>
      </c>
      <c r="D127" s="11">
        <f>SUM(N86)</f>
        <v>273</v>
      </c>
      <c r="E127" s="11">
        <f t="shared" ref="E127:F127" si="377">SUM(O86)</f>
        <v>388</v>
      </c>
      <c r="F127" s="11">
        <f t="shared" si="377"/>
        <v>346</v>
      </c>
      <c r="G127" s="11">
        <f>MIN(N86)</f>
        <v>273</v>
      </c>
      <c r="H127" s="190">
        <f t="shared" ref="H127:I127" si="378">MIN(O86)</f>
        <v>388</v>
      </c>
      <c r="I127" s="190">
        <f t="shared" si="378"/>
        <v>346</v>
      </c>
      <c r="J127" s="190">
        <f>MAX(N86)</f>
        <v>273</v>
      </c>
      <c r="K127" s="11">
        <f t="shared" ref="K127:L127" si="379">MAX(O86)</f>
        <v>388</v>
      </c>
      <c r="L127" s="11">
        <f t="shared" si="379"/>
        <v>346</v>
      </c>
      <c r="M127" s="11">
        <f t="shared" si="319"/>
        <v>0</v>
      </c>
      <c r="N127" s="190">
        <f t="shared" si="320"/>
        <v>0</v>
      </c>
      <c r="O127" s="190">
        <f t="shared" si="321"/>
        <v>0</v>
      </c>
      <c r="P127" s="190">
        <f>MEDIAN(N86)</f>
        <v>273</v>
      </c>
      <c r="Q127" s="190">
        <f t="shared" ref="Q127:R127" si="380">MEDIAN(O86)</f>
        <v>388</v>
      </c>
      <c r="R127" s="190">
        <f t="shared" si="380"/>
        <v>346</v>
      </c>
      <c r="S127" s="190" t="s">
        <v>437</v>
      </c>
      <c r="T127" s="190" t="s">
        <v>437</v>
      </c>
      <c r="U127" s="190" t="s">
        <v>437</v>
      </c>
      <c r="V127" s="176">
        <f>AVERAGEA(N86)</f>
        <v>273</v>
      </c>
      <c r="W127" s="176">
        <f t="shared" ref="W127:X127" si="381">AVERAGEA(O86)</f>
        <v>388</v>
      </c>
      <c r="X127" s="176">
        <f t="shared" si="381"/>
        <v>346</v>
      </c>
      <c r="Y127" s="176">
        <f>STDEVPA(N86)</f>
        <v>0</v>
      </c>
      <c r="Z127" s="176">
        <f t="shared" ref="Z127:AA127" si="382">STDEVPA(O86)</f>
        <v>0</v>
      </c>
      <c r="AA127" s="176">
        <f t="shared" si="382"/>
        <v>0</v>
      </c>
      <c r="AC127" s="11">
        <f>SUM(N86:P86)</f>
        <v>1007</v>
      </c>
      <c r="AD127" s="11">
        <f>MIN(N86:P86)</f>
        <v>273</v>
      </c>
      <c r="AE127" s="11">
        <f>MAX(N86:P86)</f>
        <v>388</v>
      </c>
      <c r="AF127" s="191">
        <f t="shared" si="325"/>
        <v>115</v>
      </c>
      <c r="AG127" s="11">
        <f>MEDIAN(N86:P86)</f>
        <v>346</v>
      </c>
      <c r="AH127" s="11" t="s">
        <v>437</v>
      </c>
      <c r="AI127" s="212">
        <f>AVERAGEA(N86:P86)</f>
        <v>335.66666666666669</v>
      </c>
      <c r="AJ127" s="176">
        <f>STDEVA(N86:P86)</f>
        <v>58.192210246160464</v>
      </c>
      <c r="AP127" s="177" t="s">
        <v>463</v>
      </c>
      <c r="AQ127" s="177">
        <v>39900.602223156675</v>
      </c>
      <c r="AR127" s="177" t="s">
        <v>463</v>
      </c>
      <c r="AS127" s="177">
        <v>38080.449585498587</v>
      </c>
      <c r="AT127" s="177" t="s">
        <v>463</v>
      </c>
      <c r="AU127" s="177">
        <v>47310.498139429437</v>
      </c>
      <c r="AV127" s="6"/>
      <c r="AW127" s="177" t="s">
        <v>463</v>
      </c>
      <c r="AX127" s="177">
        <v>125291.54994808474</v>
      </c>
      <c r="BA127" s="11">
        <v>804</v>
      </c>
      <c r="BB127" s="11">
        <v>873</v>
      </c>
      <c r="BC127" s="11">
        <v>1133</v>
      </c>
      <c r="BD127" s="123">
        <f t="shared" si="326"/>
        <v>0.33955223880597013</v>
      </c>
      <c r="BE127" s="123">
        <f t="shared" si="327"/>
        <v>0.44444444444444442</v>
      </c>
      <c r="BF127" s="123">
        <f t="shared" si="328"/>
        <v>0.3053839364518976</v>
      </c>
      <c r="BG127" s="190">
        <f t="shared" si="205"/>
        <v>936.66666666666663</v>
      </c>
      <c r="BH127" s="123">
        <f t="shared" si="315"/>
        <v>0.36312687323410403</v>
      </c>
      <c r="BI127" s="6">
        <f t="shared" si="297"/>
        <v>7.2465707490518824E-2</v>
      </c>
      <c r="CT127">
        <v>50</v>
      </c>
      <c r="CV127" s="156"/>
      <c r="DA127" s="156"/>
    </row>
    <row r="128" spans="1:140">
      <c r="A128" t="s">
        <v>44</v>
      </c>
      <c r="B128" s="11">
        <v>1150</v>
      </c>
      <c r="C128" s="11">
        <v>164.28571428571428</v>
      </c>
      <c r="D128" s="11">
        <f>SUM(N87:N93)</f>
        <v>2890.66</v>
      </c>
      <c r="E128" s="11">
        <f t="shared" ref="E128:F128" si="383">SUM(O87:O93)</f>
        <v>3290.103333333333</v>
      </c>
      <c r="F128" s="11">
        <f t="shared" si="383"/>
        <v>3154.3983333333331</v>
      </c>
      <c r="G128" s="11">
        <f>MIN(N87:N93)</f>
        <v>0</v>
      </c>
      <c r="H128" s="190">
        <f t="shared" ref="H128:I128" si="384">MIN(O87:O93)</f>
        <v>48</v>
      </c>
      <c r="I128" s="190">
        <f t="shared" si="384"/>
        <v>53.04</v>
      </c>
      <c r="J128" s="190">
        <f>MAX(N87:N93)</f>
        <v>1868</v>
      </c>
      <c r="K128" s="11">
        <f t="shared" ref="K128:L128" si="385">MAX(O87:O93)</f>
        <v>2124</v>
      </c>
      <c r="L128" s="11">
        <f t="shared" si="385"/>
        <v>1651</v>
      </c>
      <c r="M128" s="11">
        <f t="shared" si="319"/>
        <v>1868</v>
      </c>
      <c r="N128" s="190">
        <f t="shared" si="320"/>
        <v>2076</v>
      </c>
      <c r="O128" s="190">
        <f t="shared" si="321"/>
        <v>1597.96</v>
      </c>
      <c r="P128" s="190">
        <f>MEDIAN(N87:N93)</f>
        <v>220</v>
      </c>
      <c r="Q128" s="190">
        <f t="shared" ref="Q128:R128" si="386">MEDIAN(O87:O93)</f>
        <v>196</v>
      </c>
      <c r="R128" s="190">
        <f t="shared" si="386"/>
        <v>166</v>
      </c>
      <c r="S128" s="190" t="s">
        <v>437</v>
      </c>
      <c r="T128" s="190" t="s">
        <v>437</v>
      </c>
      <c r="U128" s="190" t="s">
        <v>437</v>
      </c>
      <c r="V128" s="176">
        <f>AVERAGEA(N87:N93)</f>
        <v>412.95142857142855</v>
      </c>
      <c r="W128" s="176">
        <f t="shared" ref="W128:X128" si="387">AVERAGEA(O87:O93)</f>
        <v>470.01476190476188</v>
      </c>
      <c r="X128" s="176">
        <f t="shared" si="387"/>
        <v>450.62833333333327</v>
      </c>
      <c r="Y128" s="176">
        <f>STDEVPA(N87:N93)</f>
        <v>606.19399288696752</v>
      </c>
      <c r="Z128" s="176">
        <f t="shared" ref="Z128:AA128" si="388">STDEVPA(O87:O93)</f>
        <v>686.07450447341023</v>
      </c>
      <c r="AA128" s="176">
        <f t="shared" si="388"/>
        <v>524.45088376637659</v>
      </c>
      <c r="AC128" s="11">
        <f>SUM(N87:P93)</f>
        <v>9335.1616666666669</v>
      </c>
      <c r="AD128" s="11">
        <f>MIN(N87:P93)</f>
        <v>0</v>
      </c>
      <c r="AE128" s="11">
        <f>MAX(N87:P93)</f>
        <v>2124</v>
      </c>
      <c r="AF128" s="191">
        <f t="shared" si="325"/>
        <v>2124</v>
      </c>
      <c r="AG128" s="11">
        <f>MEDIAN(N87:P93)</f>
        <v>196</v>
      </c>
      <c r="AH128" s="11" t="s">
        <v>437</v>
      </c>
      <c r="AI128" s="212">
        <f>AVERAGEA(N87:P93)</f>
        <v>444.53150793650792</v>
      </c>
      <c r="AJ128" s="176">
        <f>STDEVA(N87:P93)</f>
        <v>624.67246888934267</v>
      </c>
      <c r="AP128" s="177" t="s">
        <v>464</v>
      </c>
      <c r="AQ128" s="177">
        <v>93</v>
      </c>
      <c r="AR128" s="177" t="s">
        <v>464</v>
      </c>
      <c r="AS128" s="177">
        <v>93</v>
      </c>
      <c r="AT128" s="177" t="s">
        <v>464</v>
      </c>
      <c r="AU128" s="177">
        <v>93</v>
      </c>
      <c r="AV128" s="6"/>
      <c r="AW128" s="177" t="s">
        <v>464</v>
      </c>
      <c r="AX128" s="177">
        <v>279</v>
      </c>
      <c r="BA128" s="11">
        <v>10584.598333333333</v>
      </c>
      <c r="BB128" s="11">
        <v>12332.931666666667</v>
      </c>
      <c r="BC128" s="11">
        <v>12970.705</v>
      </c>
      <c r="BD128" s="123">
        <f t="shared" si="326"/>
        <v>0.27310058530011921</v>
      </c>
      <c r="BE128" s="123">
        <f t="shared" si="327"/>
        <v>0.26677382330965099</v>
      </c>
      <c r="BF128" s="123">
        <f t="shared" si="328"/>
        <v>0.24319405408829614</v>
      </c>
      <c r="BG128" s="190">
        <f t="shared" si="205"/>
        <v>11962.745000000001</v>
      </c>
      <c r="BH128" s="123">
        <f t="shared" si="315"/>
        <v>0.26102282089935547</v>
      </c>
      <c r="BI128" s="6">
        <f t="shared" si="297"/>
        <v>1.5760890641818303E-2</v>
      </c>
      <c r="CT128">
        <v>0</v>
      </c>
      <c r="CV128" s="156"/>
      <c r="DA128" s="156"/>
    </row>
    <row r="129" spans="1:105">
      <c r="A129" t="s">
        <v>45</v>
      </c>
      <c r="B129" s="11">
        <v>70</v>
      </c>
      <c r="C129" s="11">
        <v>70</v>
      </c>
      <c r="D129" s="11">
        <f>SUM(N94)</f>
        <v>383.29729729729729</v>
      </c>
      <c r="E129" s="11">
        <f t="shared" ref="E129:F129" si="389">SUM(O94)</f>
        <v>238.56756756756758</v>
      </c>
      <c r="F129" s="11">
        <f t="shared" si="389"/>
        <v>216.62162162162164</v>
      </c>
      <c r="G129" s="11">
        <f>MIN(N94)</f>
        <v>383.29729729729729</v>
      </c>
      <c r="H129" s="190">
        <f t="shared" ref="H129:I129" si="390">MIN(O94)</f>
        <v>238.56756756756758</v>
      </c>
      <c r="I129" s="190">
        <f t="shared" si="390"/>
        <v>216.62162162162164</v>
      </c>
      <c r="J129" s="190">
        <f>MAX(N94)</f>
        <v>383.29729729729729</v>
      </c>
      <c r="K129" s="11">
        <f>MAX(O94)</f>
        <v>238.56756756756758</v>
      </c>
      <c r="L129" s="11">
        <f>MAX(P94)</f>
        <v>216.62162162162164</v>
      </c>
      <c r="M129" s="11">
        <f t="shared" si="319"/>
        <v>0</v>
      </c>
      <c r="N129" s="190">
        <f t="shared" si="320"/>
        <v>0</v>
      </c>
      <c r="O129" s="190">
        <f>L129-I129</f>
        <v>0</v>
      </c>
      <c r="P129" s="190">
        <f>MEDIAN(N94)</f>
        <v>383.29729729729729</v>
      </c>
      <c r="Q129" s="190">
        <f t="shared" ref="Q129:R129" si="391">MEDIAN(O94)</f>
        <v>238.56756756756758</v>
      </c>
      <c r="R129" s="190">
        <f t="shared" si="391"/>
        <v>216.62162162162164</v>
      </c>
      <c r="S129" s="190" t="s">
        <v>437</v>
      </c>
      <c r="T129" s="190" t="s">
        <v>437</v>
      </c>
      <c r="U129" s="190" t="s">
        <v>437</v>
      </c>
      <c r="V129" s="176">
        <f>AVERAGEA(N94)</f>
        <v>383.29729729729729</v>
      </c>
      <c r="W129" s="176">
        <f t="shared" ref="W129:X129" si="392">AVERAGEA(O94)</f>
        <v>238.56756756756758</v>
      </c>
      <c r="X129" s="176">
        <f t="shared" si="392"/>
        <v>216.62162162162164</v>
      </c>
      <c r="Y129" s="176">
        <f>STDEVPA(N94)</f>
        <v>0</v>
      </c>
      <c r="Z129" s="176">
        <f t="shared" ref="Z129:AA129" si="393">STDEVPA(O94)</f>
        <v>0</v>
      </c>
      <c r="AA129" s="176">
        <f t="shared" si="393"/>
        <v>0</v>
      </c>
      <c r="AC129" s="11">
        <f>SUM(N94:P94)</f>
        <v>838.48648648648657</v>
      </c>
      <c r="AD129" s="11">
        <f>MIN(N94:P94)</f>
        <v>216.62162162162164</v>
      </c>
      <c r="AE129" s="11">
        <f>MAX(N94:P94)</f>
        <v>383.29729729729729</v>
      </c>
      <c r="AF129" s="191">
        <f t="shared" si="325"/>
        <v>166.67567567567565</v>
      </c>
      <c r="AG129" s="11">
        <f>MEDIAN(N94:P94)</f>
        <v>238.56756756756758</v>
      </c>
      <c r="AH129" s="11" t="s">
        <v>437</v>
      </c>
      <c r="AI129" s="212">
        <f>AVERAGEA(N94:P94)</f>
        <v>279.4954954954955</v>
      </c>
      <c r="AJ129" s="176">
        <f>STDEVA(N94:P94)</f>
        <v>90.562225452122135</v>
      </c>
      <c r="AP129" s="177" t="s">
        <v>485</v>
      </c>
      <c r="AQ129" s="177">
        <v>3788</v>
      </c>
      <c r="AR129" s="177" t="s">
        <v>485</v>
      </c>
      <c r="AS129" s="177">
        <v>2355</v>
      </c>
      <c r="AT129" s="177" t="s">
        <v>485</v>
      </c>
      <c r="AU129" s="177">
        <v>5460</v>
      </c>
      <c r="AV129" s="6"/>
      <c r="AW129" s="177" t="s">
        <v>485</v>
      </c>
      <c r="AX129" s="177">
        <v>5460</v>
      </c>
      <c r="BA129" s="11">
        <v>738.02702702702697</v>
      </c>
      <c r="BB129" s="11">
        <v>651.18918918918916</v>
      </c>
      <c r="BC129" s="11">
        <v>722.70270270270271</v>
      </c>
      <c r="BD129" s="123">
        <f t="shared" si="326"/>
        <v>0.51935401179184826</v>
      </c>
      <c r="BE129" s="123">
        <f t="shared" si="327"/>
        <v>0.3663567693201627</v>
      </c>
      <c r="BF129" s="123">
        <f t="shared" si="328"/>
        <v>0.29973821989528798</v>
      </c>
      <c r="BG129" s="190">
        <f t="shared" si="205"/>
        <v>703.97297297297303</v>
      </c>
      <c r="BH129" s="123">
        <f t="shared" si="315"/>
        <v>0.39514966700243298</v>
      </c>
      <c r="BI129" s="6">
        <f t="shared" si="297"/>
        <v>0.11260349563976511</v>
      </c>
      <c r="CT129">
        <v>292</v>
      </c>
      <c r="CV129" s="156"/>
      <c r="DA129" s="156"/>
    </row>
    <row r="130" spans="1:105">
      <c r="B130" s="11"/>
      <c r="C130" s="11"/>
      <c r="D130" s="11">
        <f>SUM(D117:D129)</f>
        <v>39900.602223156668</v>
      </c>
      <c r="E130" s="11">
        <f t="shared" ref="E130:F130" si="394">SUM(E117:E129)</f>
        <v>38228.449585498587</v>
      </c>
      <c r="F130" s="11">
        <f t="shared" si="394"/>
        <v>47397.498139429445</v>
      </c>
      <c r="G130" s="11"/>
      <c r="H130" s="190"/>
      <c r="I130" s="190"/>
      <c r="J130" s="190"/>
      <c r="K130" s="11"/>
      <c r="L130" s="11"/>
      <c r="M130" s="11"/>
      <c r="N130" s="190"/>
      <c r="O130" s="190"/>
      <c r="P130" s="190"/>
      <c r="Q130" s="190"/>
      <c r="R130" s="190"/>
      <c r="S130" s="190"/>
      <c r="T130" s="190"/>
      <c r="U130" s="190"/>
      <c r="V130" s="176"/>
      <c r="W130" s="176"/>
      <c r="X130" s="176"/>
      <c r="Y130" s="176"/>
      <c r="Z130" s="176"/>
      <c r="AA130" s="176"/>
      <c r="AB130" s="190"/>
      <c r="AC130" s="11">
        <f>SUM(AC117:AC129)</f>
        <v>125526.54994808471</v>
      </c>
      <c r="AD130" s="11"/>
      <c r="AE130" s="11"/>
      <c r="AF130" s="11"/>
      <c r="AG130" s="11"/>
      <c r="AH130" s="11"/>
      <c r="AI130" s="212"/>
      <c r="AJ130" s="176"/>
      <c r="AP130" s="177" t="s">
        <v>486</v>
      </c>
      <c r="AQ130" s="177">
        <v>0</v>
      </c>
      <c r="AR130" s="177" t="s">
        <v>486</v>
      </c>
      <c r="AS130" s="177">
        <v>0</v>
      </c>
      <c r="AT130" s="177" t="s">
        <v>486</v>
      </c>
      <c r="AU130" s="177">
        <v>0</v>
      </c>
      <c r="AV130" s="6"/>
      <c r="AW130" s="177" t="s">
        <v>486</v>
      </c>
      <c r="AX130" s="177">
        <v>0</v>
      </c>
      <c r="BA130" s="11">
        <v>104258.65875676264</v>
      </c>
      <c r="BB130" s="11">
        <v>124174.35366917629</v>
      </c>
      <c r="BC130" s="11">
        <v>135852.92946322585</v>
      </c>
      <c r="BD130" s="123">
        <f t="shared" si="326"/>
        <v>0.38270780287175477</v>
      </c>
      <c r="BE130" s="123">
        <f t="shared" si="327"/>
        <v>0.30786107159733106</v>
      </c>
      <c r="BF130" s="123">
        <f t="shared" si="328"/>
        <v>0.34888830389380387</v>
      </c>
      <c r="BG130" s="190"/>
      <c r="BH130" s="123">
        <f t="shared" si="315"/>
        <v>0.34648572612096329</v>
      </c>
      <c r="BI130" s="6">
        <f t="shared" si="297"/>
        <v>3.7481163010002233E-2</v>
      </c>
      <c r="CT130">
        <v>448</v>
      </c>
      <c r="CV130" s="156"/>
      <c r="DA130" s="156"/>
    </row>
    <row r="131" spans="1:105" ht="17" thickBot="1">
      <c r="B131" s="11"/>
      <c r="C131" s="11"/>
      <c r="D131" s="11"/>
      <c r="E131" s="11"/>
      <c r="F131" s="11"/>
      <c r="G131" s="11"/>
      <c r="H131" s="190"/>
      <c r="I131" s="190"/>
      <c r="J131" s="190"/>
      <c r="K131" s="11"/>
      <c r="L131" s="11"/>
      <c r="M131" s="11"/>
      <c r="N131" s="190"/>
      <c r="O131" s="190"/>
      <c r="P131" s="190"/>
      <c r="Q131" s="190"/>
      <c r="R131" s="190"/>
      <c r="S131" s="190"/>
      <c r="T131" s="190"/>
      <c r="U131" s="190"/>
      <c r="V131" s="176"/>
      <c r="W131" s="176"/>
      <c r="X131" s="176"/>
      <c r="Y131" s="176"/>
      <c r="Z131" s="176"/>
      <c r="AA131" s="176"/>
      <c r="AC131" s="11"/>
      <c r="AD131" s="11"/>
      <c r="AE131" s="11"/>
      <c r="AF131" s="11"/>
      <c r="AG131" s="11"/>
      <c r="AH131" s="11"/>
      <c r="AI131" s="212"/>
      <c r="AJ131" s="176"/>
      <c r="AP131" s="193" t="s">
        <v>467</v>
      </c>
      <c r="AQ131" s="193">
        <v>154.00223032828606</v>
      </c>
      <c r="AR131" s="193" t="s">
        <v>467</v>
      </c>
      <c r="AS131" s="193">
        <v>125.65744797125849</v>
      </c>
      <c r="AT131" s="193" t="s">
        <v>467</v>
      </c>
      <c r="AU131" s="193">
        <v>188.60859403668053</v>
      </c>
      <c r="AV131" s="6"/>
      <c r="AW131" s="193" t="s">
        <v>467</v>
      </c>
      <c r="AX131" s="193">
        <v>90.344395582400566</v>
      </c>
      <c r="BG131" s="190"/>
      <c r="BH131" s="188"/>
      <c r="BI131" s="6"/>
      <c r="CT131">
        <v>78</v>
      </c>
      <c r="CV131" s="156"/>
      <c r="DA131" s="156"/>
    </row>
    <row r="132" spans="1:105">
      <c r="A132" t="s">
        <v>489</v>
      </c>
      <c r="B132" s="11"/>
      <c r="C132" s="11"/>
      <c r="D132" s="11"/>
      <c r="E132" s="11"/>
      <c r="F132" s="11"/>
      <c r="G132" s="11"/>
      <c r="H132" s="190"/>
      <c r="I132" s="190"/>
      <c r="J132" s="190"/>
      <c r="K132" s="11"/>
      <c r="L132" s="11"/>
      <c r="M132" s="11"/>
      <c r="N132" s="190"/>
      <c r="O132" s="190"/>
      <c r="P132" s="190"/>
      <c r="Q132" s="190"/>
      <c r="R132" s="190"/>
      <c r="S132" s="190"/>
      <c r="T132" s="190"/>
      <c r="U132" s="190"/>
      <c r="V132" s="176"/>
      <c r="W132" s="176"/>
      <c r="X132" s="176"/>
      <c r="Y132" s="176"/>
      <c r="Z132" s="176"/>
      <c r="AA132" s="176"/>
      <c r="AC132" s="11"/>
      <c r="AD132" s="11"/>
      <c r="AE132" s="11"/>
      <c r="AF132" s="11"/>
      <c r="AG132" s="11"/>
      <c r="AH132" s="11"/>
      <c r="AI132" s="212"/>
      <c r="AJ132" s="176"/>
      <c r="AN132" t="s">
        <v>489</v>
      </c>
      <c r="AP132" s="412" t="s">
        <v>499</v>
      </c>
      <c r="AQ132" s="412"/>
      <c r="AR132" s="412" t="s">
        <v>500</v>
      </c>
      <c r="AS132" s="412"/>
      <c r="AT132" s="412" t="s">
        <v>501</v>
      </c>
      <c r="AU132" s="412"/>
      <c r="AV132" s="6"/>
      <c r="AW132" s="411" t="s">
        <v>376</v>
      </c>
      <c r="AX132" s="411"/>
      <c r="BG132" s="190"/>
      <c r="BH132" s="188"/>
      <c r="BI132" s="6"/>
      <c r="CT132">
        <v>60</v>
      </c>
      <c r="CV132" s="156"/>
      <c r="DA132" s="156"/>
    </row>
    <row r="133" spans="1:105">
      <c r="B133" s="11" t="s">
        <v>376</v>
      </c>
      <c r="C133" s="11" t="s">
        <v>442</v>
      </c>
      <c r="D133" s="11" t="s">
        <v>376</v>
      </c>
      <c r="E133" s="11" t="s">
        <v>376</v>
      </c>
      <c r="F133" s="11" t="s">
        <v>376</v>
      </c>
      <c r="G133" s="11" t="s">
        <v>430</v>
      </c>
      <c r="H133" s="190" t="s">
        <v>430</v>
      </c>
      <c r="I133" s="190" t="s">
        <v>430</v>
      </c>
      <c r="J133" s="190" t="s">
        <v>413</v>
      </c>
      <c r="K133" s="11" t="s">
        <v>413</v>
      </c>
      <c r="L133" s="11" t="s">
        <v>413</v>
      </c>
      <c r="M133" s="11" t="s">
        <v>448</v>
      </c>
      <c r="N133" s="190" t="s">
        <v>448</v>
      </c>
      <c r="O133" s="190" t="s">
        <v>448</v>
      </c>
      <c r="P133" s="190" t="s">
        <v>431</v>
      </c>
      <c r="Q133" s="190" t="s">
        <v>431</v>
      </c>
      <c r="R133" s="190" t="s">
        <v>431</v>
      </c>
      <c r="S133" s="190" t="s">
        <v>410</v>
      </c>
      <c r="T133" s="190" t="s">
        <v>410</v>
      </c>
      <c r="U133" s="190" t="s">
        <v>410</v>
      </c>
      <c r="V133" s="176" t="s">
        <v>449</v>
      </c>
      <c r="W133" s="176" t="s">
        <v>449</v>
      </c>
      <c r="X133" s="176" t="s">
        <v>449</v>
      </c>
      <c r="Y133" s="176" t="s">
        <v>441</v>
      </c>
      <c r="Z133" s="176" t="s">
        <v>441</v>
      </c>
      <c r="AA133" s="176" t="s">
        <v>441</v>
      </c>
      <c r="AC133" s="11" t="s">
        <v>376</v>
      </c>
      <c r="AD133" s="11" t="s">
        <v>430</v>
      </c>
      <c r="AE133" s="11" t="s">
        <v>413</v>
      </c>
      <c r="AF133" s="11" t="s">
        <v>448</v>
      </c>
      <c r="AG133" s="11" t="s">
        <v>431</v>
      </c>
      <c r="AH133" s="11" t="s">
        <v>410</v>
      </c>
      <c r="AI133" s="212" t="s">
        <v>449</v>
      </c>
      <c r="AJ133" s="176" t="s">
        <v>441</v>
      </c>
      <c r="AP133" s="58" t="s">
        <v>455</v>
      </c>
      <c r="AQ133" s="177">
        <v>70.010360305528621</v>
      </c>
      <c r="AR133" s="177" t="s">
        <v>455</v>
      </c>
      <c r="AS133" s="177">
        <v>34.099139784946232</v>
      </c>
      <c r="AT133" s="177" t="s">
        <v>455</v>
      </c>
      <c r="AU133" s="177">
        <v>44.196872759856632</v>
      </c>
      <c r="AV133" s="6"/>
      <c r="AW133" s="177" t="s">
        <v>455</v>
      </c>
      <c r="AX133" s="177">
        <v>50.277751523587192</v>
      </c>
      <c r="AY133" s="6">
        <f>AX133+AX148</f>
        <v>79.429221975301431</v>
      </c>
      <c r="BA133" s="83" t="s">
        <v>535</v>
      </c>
      <c r="BB133" s="83" t="s">
        <v>536</v>
      </c>
      <c r="BC133" s="83" t="s">
        <v>537</v>
      </c>
      <c r="BD133" s="83" t="s">
        <v>532</v>
      </c>
      <c r="BE133" s="83" t="s">
        <v>533</v>
      </c>
      <c r="BF133" s="83" t="s">
        <v>534</v>
      </c>
      <c r="BG133" s="190"/>
      <c r="BH133" s="188"/>
      <c r="BI133" s="6"/>
      <c r="CT133">
        <v>792</v>
      </c>
      <c r="CV133" s="156"/>
      <c r="DA133" s="156"/>
    </row>
    <row r="134" spans="1:105">
      <c r="A134" t="s">
        <v>31</v>
      </c>
      <c r="B134" s="11">
        <v>3621</v>
      </c>
      <c r="C134" s="11">
        <v>278.53846153846155</v>
      </c>
      <c r="D134" s="11">
        <f>SUM(Q2:Q14)</f>
        <v>3990.0749999999998</v>
      </c>
      <c r="E134" s="11">
        <f t="shared" ref="E134" si="395">SUM(R2:R14)</f>
        <v>368.45</v>
      </c>
      <c r="F134" s="11">
        <f>SUM(S2:S14)</f>
        <v>354.83749999999998</v>
      </c>
      <c r="G134" s="11">
        <f>MIN(Q2:Q14)</f>
        <v>0</v>
      </c>
      <c r="H134" s="11">
        <f t="shared" ref="H134:I134" si="396">MIN(R2:R14)</f>
        <v>0</v>
      </c>
      <c r="I134" s="11">
        <f t="shared" si="396"/>
        <v>0</v>
      </c>
      <c r="J134" s="190">
        <f>MAX(Q2:Q14)</f>
        <v>3094</v>
      </c>
      <c r="K134" s="11">
        <f t="shared" ref="K134:L134" si="397">MAX(R2:R14)</f>
        <v>338</v>
      </c>
      <c r="L134" s="11">
        <f t="shared" si="397"/>
        <v>193</v>
      </c>
      <c r="M134" s="11">
        <f>J134-G134</f>
        <v>3094</v>
      </c>
      <c r="N134" s="190">
        <f t="shared" ref="N134:O134" si="398">K134-H134</f>
        <v>338</v>
      </c>
      <c r="O134" s="190">
        <f t="shared" si="398"/>
        <v>193</v>
      </c>
      <c r="P134" s="190">
        <f>MEDIAN(Q2:Q14)</f>
        <v>0</v>
      </c>
      <c r="Q134" s="190">
        <f t="shared" ref="Q134" si="399">MEDIAN(R2:R14)</f>
        <v>0</v>
      </c>
      <c r="R134" s="190">
        <f>MEDIAN(S2:S14)</f>
        <v>0</v>
      </c>
      <c r="S134" s="190">
        <f>MODE(Q2:Q14)</f>
        <v>0</v>
      </c>
      <c r="T134" s="190">
        <f t="shared" ref="T134:U134" si="400">MODE(R2:R14)</f>
        <v>0</v>
      </c>
      <c r="U134" s="190">
        <f t="shared" si="400"/>
        <v>0</v>
      </c>
      <c r="V134" s="176">
        <f>AVERAGEA(Q2:Q14)</f>
        <v>306.92884615384617</v>
      </c>
      <c r="W134" s="176">
        <f t="shared" ref="W134:X134" si="401">AVERAGEA(R2:R14)</f>
        <v>28.342307692307692</v>
      </c>
      <c r="X134" s="176">
        <f t="shared" si="401"/>
        <v>27.295192307692307</v>
      </c>
      <c r="Y134" s="176">
        <f>STDEVPA(Q2:Q14)</f>
        <v>821.40624446539573</v>
      </c>
      <c r="Z134" s="176">
        <f t="shared" ref="Z134:AA134" si="402">STDEVPA(R2:R14)</f>
        <v>89.556591146333162</v>
      </c>
      <c r="AA134" s="176">
        <f t="shared" si="402"/>
        <v>56.407441957033427</v>
      </c>
      <c r="AC134" s="11">
        <f>SUM(Q2:S14)</f>
        <v>4713.3624999999993</v>
      </c>
      <c r="AD134" s="11">
        <f>MIN(Q2:S14)</f>
        <v>0</v>
      </c>
      <c r="AE134" s="11">
        <f>MAX(Q2:S14)</f>
        <v>3094</v>
      </c>
      <c r="AF134" s="11">
        <f>AE134-AD134</f>
        <v>3094</v>
      </c>
      <c r="AG134" s="11">
        <f>MEDIAN(Q2:S14)</f>
        <v>0</v>
      </c>
      <c r="AH134" s="11">
        <f>MODE(Q2:S14)</f>
        <v>0</v>
      </c>
      <c r="AI134" s="212">
        <f>AVERAGEA(Q2:S14)</f>
        <v>120.8554487179487</v>
      </c>
      <c r="AJ134" s="176">
        <f>STDEVPA(Q2:S14)</f>
        <v>495.93208978916783</v>
      </c>
      <c r="AP134" s="58" t="s">
        <v>456</v>
      </c>
      <c r="AQ134" s="177">
        <v>36.397373862940697</v>
      </c>
      <c r="AR134" s="177" t="s">
        <v>456</v>
      </c>
      <c r="AS134" s="177">
        <v>18.046103190475456</v>
      </c>
      <c r="AT134" s="177" t="s">
        <v>456</v>
      </c>
      <c r="AU134" s="177">
        <v>18.149191619674447</v>
      </c>
      <c r="AV134" s="6"/>
      <c r="AW134" s="177" t="s">
        <v>456</v>
      </c>
      <c r="AX134" s="177">
        <v>14.808721021456524</v>
      </c>
      <c r="AY134" s="6">
        <f>AX133-AX148</f>
        <v>21.126281071872949</v>
      </c>
      <c r="BA134" s="190">
        <v>30436.919318181819</v>
      </c>
      <c r="BB134" s="190">
        <v>36162.614772727276</v>
      </c>
      <c r="BC134" s="190">
        <v>43778.219318181815</v>
      </c>
      <c r="BD134" s="123">
        <f>D134/BA134</f>
        <v>0.13109326073011882</v>
      </c>
      <c r="BE134" s="123">
        <f t="shared" ref="BE134:BF134" si="403">E134/BB134</f>
        <v>1.0188699083725371E-2</v>
      </c>
      <c r="BF134" s="123">
        <f t="shared" si="403"/>
        <v>8.1053433768291747E-3</v>
      </c>
      <c r="BG134" s="190">
        <f>AVERAGEA(BA134:BC134)</f>
        <v>36792.584469696965</v>
      </c>
      <c r="BH134" s="123">
        <f>AVERAGEA(BM2:BO14)</f>
        <v>3.4402439022840306E-2</v>
      </c>
      <c r="BI134" s="6">
        <f>STDEVA(BM2:BO14)</f>
        <v>0.12465477161546826</v>
      </c>
      <c r="CT134">
        <v>0</v>
      </c>
      <c r="CV134" s="156"/>
      <c r="DA134" s="156"/>
    </row>
    <row r="135" spans="1:105">
      <c r="A135" t="s">
        <v>36</v>
      </c>
      <c r="B135" s="11">
        <v>61</v>
      </c>
      <c r="C135" s="11">
        <v>30.5</v>
      </c>
      <c r="D135" s="11">
        <f>SUM(Q15:Q16)</f>
        <v>0</v>
      </c>
      <c r="E135" s="11">
        <f t="shared" ref="E135:F135" si="404">SUM(R15:R16)</f>
        <v>206</v>
      </c>
      <c r="F135" s="11">
        <f t="shared" si="404"/>
        <v>445</v>
      </c>
      <c r="G135" s="11">
        <f>MIN(Q15:Q16)</f>
        <v>0</v>
      </c>
      <c r="H135" s="11">
        <f t="shared" ref="H135:I135" si="405">MIN(R15:R16)</f>
        <v>0</v>
      </c>
      <c r="I135" s="11">
        <f t="shared" si="405"/>
        <v>0</v>
      </c>
      <c r="J135" s="190">
        <f>MAX(Q15:Q16)</f>
        <v>0</v>
      </c>
      <c r="K135" s="11">
        <f t="shared" ref="K135:L135" si="406">MAX(R15:R16)</f>
        <v>206</v>
      </c>
      <c r="L135" s="11">
        <f t="shared" si="406"/>
        <v>445</v>
      </c>
      <c r="M135" s="11">
        <f t="shared" ref="M135:M146" si="407">J135-G135</f>
        <v>0</v>
      </c>
      <c r="N135" s="190">
        <f t="shared" ref="N135:N146" si="408">K135-H135</f>
        <v>206</v>
      </c>
      <c r="O135" s="190">
        <f t="shared" ref="O135:O146" si="409">L135-I135</f>
        <v>445</v>
      </c>
      <c r="P135" s="190">
        <f>MEDIAN(Q15:Q16)</f>
        <v>0</v>
      </c>
      <c r="Q135" s="190">
        <f t="shared" ref="Q135:R135" si="410">MEDIAN(R15:R16)</f>
        <v>103</v>
      </c>
      <c r="R135" s="190">
        <f t="shared" si="410"/>
        <v>222.5</v>
      </c>
      <c r="S135" s="190">
        <f>MODE(Q15:Q16)</f>
        <v>0</v>
      </c>
      <c r="T135" s="190" t="s">
        <v>437</v>
      </c>
      <c r="U135" s="190" t="s">
        <v>437</v>
      </c>
      <c r="V135" s="176">
        <f>AVERAGEA(Q15:Q16)</f>
        <v>0</v>
      </c>
      <c r="W135" s="176">
        <f t="shared" ref="W135:X135" si="411">AVERAGEA(R15:R16)</f>
        <v>103</v>
      </c>
      <c r="X135" s="176">
        <f t="shared" si="411"/>
        <v>222.5</v>
      </c>
      <c r="Y135" s="176">
        <f>STDEVPA(Q15:Q16)</f>
        <v>0</v>
      </c>
      <c r="Z135" s="176">
        <f t="shared" ref="Z135:AA135" si="412">STDEVPA(R15:R16)</f>
        <v>103</v>
      </c>
      <c r="AA135" s="176">
        <f t="shared" si="412"/>
        <v>222.5</v>
      </c>
      <c r="AC135" s="11">
        <f>SUM(Q15:S16)</f>
        <v>651</v>
      </c>
      <c r="AD135" s="11">
        <f>MIN(Q15:S16)</f>
        <v>0</v>
      </c>
      <c r="AE135" s="11">
        <f>MAX(Q15:S16)</f>
        <v>445</v>
      </c>
      <c r="AF135" s="11">
        <f t="shared" ref="AF135:AF146" si="413">AE135-AD135</f>
        <v>445</v>
      </c>
      <c r="AG135" s="11">
        <f>MEDIAN(Q15:S16)</f>
        <v>0</v>
      </c>
      <c r="AH135" s="11">
        <f>MODE(Q15:S16)</f>
        <v>0</v>
      </c>
      <c r="AI135" s="212">
        <f>AVERAGEA(Q15:S16)</f>
        <v>108.5</v>
      </c>
      <c r="AJ135" s="176">
        <f>STDEVPA(Q15:S16)</f>
        <v>168.2396604054268</v>
      </c>
      <c r="AP135" s="58" t="s">
        <v>431</v>
      </c>
      <c r="AQ135" s="177">
        <v>0</v>
      </c>
      <c r="AR135" s="177" t="s">
        <v>431</v>
      </c>
      <c r="AS135" s="177">
        <v>0</v>
      </c>
      <c r="AT135" s="177" t="s">
        <v>431</v>
      </c>
      <c r="AU135" s="177">
        <v>0</v>
      </c>
      <c r="AV135" s="6"/>
      <c r="AW135" s="177" t="s">
        <v>431</v>
      </c>
      <c r="AX135" s="177">
        <v>0</v>
      </c>
      <c r="BA135" s="11">
        <v>269</v>
      </c>
      <c r="BB135" s="11">
        <v>1427</v>
      </c>
      <c r="BC135" s="11">
        <v>1842</v>
      </c>
      <c r="BD135" s="123">
        <f t="shared" ref="BD135:BD147" si="414">D135/BA135</f>
        <v>0</v>
      </c>
      <c r="BE135" s="123">
        <f t="shared" ref="BE135:BE146" si="415">E135/BB135</f>
        <v>0.14435879467414156</v>
      </c>
      <c r="BF135" s="123">
        <f t="shared" ref="BF135:BF147" si="416">F135/BC135</f>
        <v>0.24158523344191096</v>
      </c>
      <c r="BG135" s="190">
        <f t="shared" si="205"/>
        <v>1179.3333333333333</v>
      </c>
      <c r="BH135" s="123">
        <f>AVERAGEA(BM15:BO16)</f>
        <v>6.4939738235858982E-2</v>
      </c>
      <c r="BI135" s="6">
        <f>STDEVA(BM15:BO16)</f>
        <v>0.10519801482644797</v>
      </c>
      <c r="CT135">
        <v>182.4</v>
      </c>
      <c r="CV135" s="156"/>
      <c r="DA135" s="156"/>
    </row>
    <row r="136" spans="1:105">
      <c r="A136" t="s">
        <v>46</v>
      </c>
      <c r="B136" s="11">
        <v>21</v>
      </c>
      <c r="C136" s="11">
        <v>21</v>
      </c>
      <c r="D136" s="11">
        <f>SUM(Q17)</f>
        <v>0</v>
      </c>
      <c r="E136" s="11">
        <f t="shared" ref="E136:F136" si="417">SUM(R17)</f>
        <v>0</v>
      </c>
      <c r="F136" s="11">
        <f t="shared" si="417"/>
        <v>0</v>
      </c>
      <c r="G136" s="11">
        <f>MIN(Q17)</f>
        <v>0</v>
      </c>
      <c r="H136" s="11">
        <f t="shared" ref="H136:I136" si="418">MIN(R17)</f>
        <v>0</v>
      </c>
      <c r="I136" s="11">
        <f t="shared" si="418"/>
        <v>0</v>
      </c>
      <c r="J136" s="190">
        <f>MAX(Q17)</f>
        <v>0</v>
      </c>
      <c r="K136" s="11">
        <f t="shared" ref="K136:L136" si="419">MAX(R17)</f>
        <v>0</v>
      </c>
      <c r="L136" s="11">
        <f t="shared" si="419"/>
        <v>0</v>
      </c>
      <c r="M136" s="11">
        <f t="shared" si="407"/>
        <v>0</v>
      </c>
      <c r="N136" s="190">
        <f t="shared" si="408"/>
        <v>0</v>
      </c>
      <c r="O136" s="190">
        <f t="shared" si="409"/>
        <v>0</v>
      </c>
      <c r="P136" s="190">
        <f>MEDIAN(Q17)</f>
        <v>0</v>
      </c>
      <c r="Q136" s="190">
        <f>MEDIAN(R17)</f>
        <v>0</v>
      </c>
      <c r="R136" s="190">
        <f>MEDIAN(S17)</f>
        <v>0</v>
      </c>
      <c r="S136" s="190" t="s">
        <v>437</v>
      </c>
      <c r="T136" s="190" t="s">
        <v>437</v>
      </c>
      <c r="U136" s="190" t="s">
        <v>437</v>
      </c>
      <c r="V136" s="176">
        <f>AVERAGEA(Q17)</f>
        <v>0</v>
      </c>
      <c r="W136" s="176">
        <f t="shared" ref="W136:X136" si="420">AVERAGEA(R17)</f>
        <v>0</v>
      </c>
      <c r="X136" s="176">
        <f t="shared" si="420"/>
        <v>0</v>
      </c>
      <c r="Y136" s="176">
        <f>STDEVPA(Q17)</f>
        <v>0</v>
      </c>
      <c r="Z136" s="176">
        <f t="shared" ref="Z136:AA136" si="421">STDEVPA(R17)</f>
        <v>0</v>
      </c>
      <c r="AA136" s="176">
        <f t="shared" si="421"/>
        <v>0</v>
      </c>
      <c r="AC136" s="11">
        <f>SUM(Q17:S17)</f>
        <v>0</v>
      </c>
      <c r="AD136" s="11">
        <f>MIN(Q17:S17)</f>
        <v>0</v>
      </c>
      <c r="AE136" s="11">
        <f>MAX(Q17:S17)</f>
        <v>0</v>
      </c>
      <c r="AF136" s="11">
        <f t="shared" si="413"/>
        <v>0</v>
      </c>
      <c r="AG136" s="11">
        <f>MEDIAN(Q17:S17)</f>
        <v>0</v>
      </c>
      <c r="AH136" s="11">
        <f>MODE(Q17:S17)</f>
        <v>0</v>
      </c>
      <c r="AI136" s="212">
        <f>AVERAGEA(Q17:S17)</f>
        <v>0</v>
      </c>
      <c r="AJ136" s="176">
        <f>STDEVPA(Q17:S17)</f>
        <v>0</v>
      </c>
      <c r="AP136" s="58" t="s">
        <v>457</v>
      </c>
      <c r="AQ136" s="177">
        <v>0</v>
      </c>
      <c r="AR136" s="177" t="s">
        <v>457</v>
      </c>
      <c r="AS136" s="177">
        <v>0</v>
      </c>
      <c r="AT136" s="177" t="s">
        <v>457</v>
      </c>
      <c r="AU136" s="177">
        <v>0</v>
      </c>
      <c r="AV136" s="6"/>
      <c r="AW136" s="177" t="s">
        <v>457</v>
      </c>
      <c r="AX136" s="177">
        <v>0</v>
      </c>
      <c r="BA136" s="11">
        <v>115</v>
      </c>
      <c r="BB136" s="11">
        <v>57</v>
      </c>
      <c r="BC136" s="11">
        <v>148</v>
      </c>
      <c r="BD136" s="123">
        <f t="shared" si="414"/>
        <v>0</v>
      </c>
      <c r="BE136" s="123">
        <f t="shared" si="415"/>
        <v>0</v>
      </c>
      <c r="BF136" s="123">
        <f t="shared" si="416"/>
        <v>0</v>
      </c>
      <c r="BG136" s="190">
        <f t="shared" si="205"/>
        <v>106.66666666666667</v>
      </c>
      <c r="BH136" s="123">
        <f>AVERAGEA(BM17:BO17)</f>
        <v>0</v>
      </c>
      <c r="BI136" s="6">
        <f>STDEVA(BM17:BO17)</f>
        <v>0</v>
      </c>
      <c r="CT136">
        <v>121</v>
      </c>
      <c r="CV136" s="156"/>
      <c r="DA136" s="156"/>
    </row>
    <row r="137" spans="1:105">
      <c r="A137" t="s">
        <v>37</v>
      </c>
      <c r="B137" s="11">
        <v>1755</v>
      </c>
      <c r="C137" s="11">
        <v>175.5</v>
      </c>
      <c r="D137" s="11">
        <f>SUM(Q18:Q27)</f>
        <v>131.92331288343559</v>
      </c>
      <c r="E137" s="11">
        <f t="shared" ref="E137:F137" si="422">SUM(R18:R27)</f>
        <v>48</v>
      </c>
      <c r="F137" s="11">
        <f t="shared" si="422"/>
        <v>37</v>
      </c>
      <c r="G137" s="11">
        <f>MIN(Q18:Q27)</f>
        <v>0</v>
      </c>
      <c r="H137" s="11">
        <f t="shared" ref="H137:I137" si="423">MIN(R18:R27)</f>
        <v>0</v>
      </c>
      <c r="I137" s="11">
        <f t="shared" si="423"/>
        <v>0</v>
      </c>
      <c r="J137" s="190">
        <f>MAX(Q18:Q27)</f>
        <v>120</v>
      </c>
      <c r="K137" s="11">
        <f t="shared" ref="K137:L137" si="424">MAX(R18:R27)</f>
        <v>29</v>
      </c>
      <c r="L137" s="11">
        <f t="shared" si="424"/>
        <v>32</v>
      </c>
      <c r="M137" s="11">
        <f t="shared" si="407"/>
        <v>120</v>
      </c>
      <c r="N137" s="190">
        <f t="shared" si="408"/>
        <v>29</v>
      </c>
      <c r="O137" s="190">
        <f t="shared" si="409"/>
        <v>32</v>
      </c>
      <c r="P137" s="190">
        <f>MEDIAN(Q18:Q27)</f>
        <v>0</v>
      </c>
      <c r="Q137" s="190">
        <f t="shared" ref="Q137:R137" si="425">MEDIAN(R18:R27)</f>
        <v>0</v>
      </c>
      <c r="R137" s="190">
        <f t="shared" si="425"/>
        <v>0</v>
      </c>
      <c r="S137" s="190">
        <f>MODE(Q18:Q27)</f>
        <v>0</v>
      </c>
      <c r="T137" s="190">
        <f t="shared" ref="T137:U137" si="426">MODE(R18:R27)</f>
        <v>0</v>
      </c>
      <c r="U137" s="190">
        <f t="shared" si="426"/>
        <v>0</v>
      </c>
      <c r="V137" s="176">
        <f>AVERAGEA(Q18:Q27)</f>
        <v>13.192331288343558</v>
      </c>
      <c r="W137" s="176">
        <f t="shared" ref="W137:X137" si="427">AVERAGEA(R18:R27)</f>
        <v>4.8</v>
      </c>
      <c r="X137" s="176">
        <f t="shared" si="427"/>
        <v>3.7</v>
      </c>
      <c r="Y137" s="176">
        <f>STDEVPA(Q18:Q27)</f>
        <v>35.725793321119554</v>
      </c>
      <c r="Z137" s="176">
        <f t="shared" ref="Z137:AA137" si="428">STDEVPA(R18:R27)</f>
        <v>9.8569772242812856</v>
      </c>
      <c r="AA137" s="176">
        <f t="shared" si="428"/>
        <v>9.5503926620846329</v>
      </c>
      <c r="AC137" s="11">
        <f>SUM(Q18:S27)</f>
        <v>216.92331288343559</v>
      </c>
      <c r="AD137" s="11">
        <f>MIN(Q18:S27)</f>
        <v>0</v>
      </c>
      <c r="AE137" s="11">
        <f>MAX(Q18:S27)</f>
        <v>120</v>
      </c>
      <c r="AF137" s="11">
        <f t="shared" si="413"/>
        <v>120</v>
      </c>
      <c r="AG137" s="11">
        <f>MEDIAN(Q18:S27)</f>
        <v>0</v>
      </c>
      <c r="AH137" s="11">
        <f>MODE(Q18:S27)</f>
        <v>0</v>
      </c>
      <c r="AI137" s="212">
        <f>AVERAGEA(Q18:S27)</f>
        <v>7.2307770961145197</v>
      </c>
      <c r="AJ137" s="176">
        <f>STDEVPA(Q18:S27)</f>
        <v>22.499018504545749</v>
      </c>
      <c r="AP137" s="58" t="s">
        <v>458</v>
      </c>
      <c r="AQ137" s="177">
        <v>351.00356215149316</v>
      </c>
      <c r="AR137" s="177" t="s">
        <v>458</v>
      </c>
      <c r="AS137" s="177">
        <v>174.03031676578601</v>
      </c>
      <c r="AT137" s="177" t="s">
        <v>458</v>
      </c>
      <c r="AU137" s="177">
        <v>175.02446557448044</v>
      </c>
      <c r="AV137" s="6"/>
      <c r="AW137" s="177" t="s">
        <v>458</v>
      </c>
      <c r="AX137" s="177">
        <v>247.35440748707234</v>
      </c>
      <c r="BA137" s="11">
        <v>10595.616679089502</v>
      </c>
      <c r="BB137" s="11">
        <v>14464.064990539533</v>
      </c>
      <c r="BC137" s="11">
        <v>15286.240181182273</v>
      </c>
      <c r="BD137" s="123">
        <f t="shared" si="414"/>
        <v>1.2450744197247796E-2</v>
      </c>
      <c r="BE137" s="123">
        <f t="shared" si="415"/>
        <v>3.3185691595962277E-3</v>
      </c>
      <c r="BF137" s="123">
        <f t="shared" si="416"/>
        <v>2.4204774726454895E-3</v>
      </c>
      <c r="BG137" s="190">
        <f t="shared" si="205"/>
        <v>13448.640616937102</v>
      </c>
      <c r="BH137" s="123">
        <f>AVERAGEA(BM18:BO27)</f>
        <v>5.997484340553594E-3</v>
      </c>
      <c r="BI137" s="6">
        <f>STDEVA(BM18:BO27)</f>
        <v>1.2406159993545685E-2</v>
      </c>
      <c r="CT137">
        <v>21</v>
      </c>
      <c r="CV137" s="156"/>
      <c r="DA137" s="156"/>
    </row>
    <row r="138" spans="1:105">
      <c r="A138" t="s">
        <v>38</v>
      </c>
      <c r="B138" s="11">
        <v>7329</v>
      </c>
      <c r="C138" s="11">
        <v>155.93617021276594</v>
      </c>
      <c r="D138" s="11">
        <f>SUM(Q28:Q74)</f>
        <v>714.49</v>
      </c>
      <c r="E138" s="11">
        <f t="shared" ref="E138:F138" si="429">SUM(R28:R74)</f>
        <v>841.61</v>
      </c>
      <c r="F138" s="11">
        <f t="shared" si="429"/>
        <v>742.97</v>
      </c>
      <c r="G138" s="11">
        <f>MIN(Q28:Q74)</f>
        <v>0</v>
      </c>
      <c r="H138" s="11">
        <f t="shared" ref="H138:I138" si="430">MIN(R28:R74)</f>
        <v>0</v>
      </c>
      <c r="I138" s="11">
        <f t="shared" si="430"/>
        <v>0</v>
      </c>
      <c r="J138" s="190">
        <f>MAX(Q28:Q74)</f>
        <v>326</v>
      </c>
      <c r="K138" s="11">
        <f t="shared" ref="K138:L138" si="431">MAX(R28:R74)</f>
        <v>637</v>
      </c>
      <c r="L138" s="11">
        <f t="shared" si="431"/>
        <v>428</v>
      </c>
      <c r="M138" s="11">
        <f t="shared" si="407"/>
        <v>326</v>
      </c>
      <c r="N138" s="190">
        <f t="shared" si="408"/>
        <v>637</v>
      </c>
      <c r="O138" s="190">
        <f t="shared" si="409"/>
        <v>428</v>
      </c>
      <c r="P138" s="190">
        <f>MEDIAN(Q28:Q74)</f>
        <v>0</v>
      </c>
      <c r="Q138" s="190">
        <f t="shared" ref="Q138:R138" si="432">MEDIAN(R28:R74)</f>
        <v>0</v>
      </c>
      <c r="R138" s="190">
        <f t="shared" si="432"/>
        <v>0</v>
      </c>
      <c r="S138" s="190">
        <f>MODE(Q28:Q74)</f>
        <v>0</v>
      </c>
      <c r="T138" s="190">
        <f t="shared" ref="T138:U138" si="433">MODE(R28:R74)</f>
        <v>0</v>
      </c>
      <c r="U138" s="190">
        <f t="shared" si="433"/>
        <v>0</v>
      </c>
      <c r="V138" s="176">
        <f>AVERAGEA(Q28:Q74)</f>
        <v>15.201914893617021</v>
      </c>
      <c r="W138" s="176">
        <f t="shared" ref="W138:X138" si="434">AVERAGEA(R28:R74)</f>
        <v>17.90659574468085</v>
      </c>
      <c r="X138" s="176">
        <f t="shared" si="434"/>
        <v>15.807872340425533</v>
      </c>
      <c r="Y138" s="176">
        <f>STDEVPA(Q28:Q74)</f>
        <v>49.269822434388388</v>
      </c>
      <c r="Z138" s="176">
        <f t="shared" ref="Z138:AA138" si="435">STDEVPA(R28:R74)</f>
        <v>92.259140359643553</v>
      </c>
      <c r="AA138" s="176">
        <f t="shared" si="435"/>
        <v>67.47212915340927</v>
      </c>
      <c r="AC138" s="11">
        <f>SUM(Q28:S74)</f>
        <v>2299.0700000000002</v>
      </c>
      <c r="AD138" s="11">
        <f>MIN(Q28:S74)</f>
        <v>0</v>
      </c>
      <c r="AE138" s="11">
        <f>MAX(Q28:S74)</f>
        <v>637</v>
      </c>
      <c r="AF138" s="11">
        <f t="shared" si="413"/>
        <v>637</v>
      </c>
      <c r="AG138" s="11">
        <f>MEDIAN(Q28:S74)</f>
        <v>0</v>
      </c>
      <c r="AH138" s="11">
        <f>MODE(Q28:S74)</f>
        <v>0</v>
      </c>
      <c r="AI138" s="212">
        <f>AVERAGEA(Q28:S74)</f>
        <v>16.305460992907804</v>
      </c>
      <c r="AJ138" s="176">
        <f>STDEVPA(Q28:S74)</f>
        <v>71.869747080081339</v>
      </c>
      <c r="AP138" s="58" t="s">
        <v>459</v>
      </c>
      <c r="AQ138" s="177">
        <v>123203.5006430371</v>
      </c>
      <c r="AR138" s="177" t="s">
        <v>459</v>
      </c>
      <c r="AS138" s="177">
        <v>30286.551153599816</v>
      </c>
      <c r="AT138" s="177" t="s">
        <v>459</v>
      </c>
      <c r="AU138" s="177">
        <v>30633.56354963249</v>
      </c>
      <c r="AV138" s="6"/>
      <c r="AW138" s="177" t="s">
        <v>459</v>
      </c>
      <c r="AX138" s="177">
        <v>61184.202903280624</v>
      </c>
      <c r="BA138" s="11">
        <v>40432.555555555555</v>
      </c>
      <c r="BB138" s="11">
        <v>46784.662222222221</v>
      </c>
      <c r="BC138" s="11">
        <v>46705.878888888888</v>
      </c>
      <c r="BD138" s="123">
        <f t="shared" si="414"/>
        <v>1.7671156081595415E-2</v>
      </c>
      <c r="BE138" s="123">
        <f t="shared" si="415"/>
        <v>1.798901520336817E-2</v>
      </c>
      <c r="BF138" s="123">
        <f t="shared" si="416"/>
        <v>1.5907419315831547E-2</v>
      </c>
      <c r="BG138" s="190">
        <f t="shared" si="205"/>
        <v>44641.032222222224</v>
      </c>
      <c r="BH138" s="123">
        <f>AVERAGEA(BM28:BO74)</f>
        <v>1.1597284897481708E-2</v>
      </c>
      <c r="BI138" s="6">
        <f>STDEVA(BM28:BO74)</f>
        <v>3.9414418142067059E-2</v>
      </c>
      <c r="CT138">
        <v>0</v>
      </c>
      <c r="CV138" s="156"/>
      <c r="DA138" s="156"/>
    </row>
    <row r="139" spans="1:105">
      <c r="A139" t="s">
        <v>39</v>
      </c>
      <c r="B139" s="11">
        <v>95</v>
      </c>
      <c r="C139" s="11">
        <v>95</v>
      </c>
      <c r="D139" s="11">
        <f>SUM(Q75)</f>
        <v>0</v>
      </c>
      <c r="E139" s="11">
        <f t="shared" ref="E139:F139" si="436">SUM(R75)</f>
        <v>0</v>
      </c>
      <c r="F139" s="11">
        <f t="shared" si="436"/>
        <v>0</v>
      </c>
      <c r="G139" s="11">
        <f>MIN(Q75)</f>
        <v>0</v>
      </c>
      <c r="H139" s="11">
        <f t="shared" ref="H139:I139" si="437">MIN(R75)</f>
        <v>0</v>
      </c>
      <c r="I139" s="11">
        <f t="shared" si="437"/>
        <v>0</v>
      </c>
      <c r="J139" s="190">
        <f>MAX(Q75)</f>
        <v>0</v>
      </c>
      <c r="K139" s="11">
        <f t="shared" ref="K139:L139" si="438">MAX(R75)</f>
        <v>0</v>
      </c>
      <c r="L139" s="11">
        <f t="shared" si="438"/>
        <v>0</v>
      </c>
      <c r="M139" s="11">
        <f t="shared" si="407"/>
        <v>0</v>
      </c>
      <c r="N139" s="190">
        <f t="shared" si="408"/>
        <v>0</v>
      </c>
      <c r="O139" s="190">
        <f t="shared" si="409"/>
        <v>0</v>
      </c>
      <c r="P139" s="190">
        <f>MEDIAN(Q75)</f>
        <v>0</v>
      </c>
      <c r="Q139" s="190">
        <f t="shared" ref="Q139:R139" si="439">MEDIAN(R75)</f>
        <v>0</v>
      </c>
      <c r="R139" s="190">
        <f t="shared" si="439"/>
        <v>0</v>
      </c>
      <c r="S139" s="190" t="s">
        <v>437</v>
      </c>
      <c r="T139" s="190" t="s">
        <v>437</v>
      </c>
      <c r="U139" s="190" t="s">
        <v>437</v>
      </c>
      <c r="V139" s="176">
        <f>AVERAGEA(Q75)</f>
        <v>0</v>
      </c>
      <c r="W139" s="176">
        <f t="shared" ref="W139:X139" si="440">AVERAGEA(R75)</f>
        <v>0</v>
      </c>
      <c r="X139" s="176">
        <f t="shared" si="440"/>
        <v>0</v>
      </c>
      <c r="Y139" s="176">
        <f>STDEVPA(Q75)</f>
        <v>0</v>
      </c>
      <c r="Z139" s="176">
        <f t="shared" ref="Z139:AA139" si="441">STDEVPA(R75)</f>
        <v>0</v>
      </c>
      <c r="AA139" s="176">
        <f t="shared" si="441"/>
        <v>0</v>
      </c>
      <c r="AC139" s="11">
        <f>SUM(Q75:S75)</f>
        <v>0</v>
      </c>
      <c r="AD139" s="11">
        <f>MIN(Q75:S75)</f>
        <v>0</v>
      </c>
      <c r="AE139" s="11">
        <f>MAX(Q75:S75)</f>
        <v>0</v>
      </c>
      <c r="AF139" s="11">
        <f t="shared" si="413"/>
        <v>0</v>
      </c>
      <c r="AG139" s="11">
        <f>MEDIAN(Q75:S75)</f>
        <v>0</v>
      </c>
      <c r="AH139" s="11">
        <f>MODE(Q75:S75)</f>
        <v>0</v>
      </c>
      <c r="AI139" s="212">
        <f>AVERAGEA(Q75:S75)</f>
        <v>0</v>
      </c>
      <c r="AJ139" s="176">
        <f>STDEVPA(Q75:S75)</f>
        <v>0</v>
      </c>
      <c r="AP139" s="58" t="s">
        <v>460</v>
      </c>
      <c r="AQ139" s="177">
        <v>62.461558714798898</v>
      </c>
      <c r="AR139" s="177" t="s">
        <v>460</v>
      </c>
      <c r="AS139" s="177">
        <v>60.01979962471723</v>
      </c>
      <c r="AT139" s="177" t="s">
        <v>460</v>
      </c>
      <c r="AU139" s="177">
        <v>34.372581699219928</v>
      </c>
      <c r="AV139" s="6"/>
      <c r="AW139" s="177" t="s">
        <v>460</v>
      </c>
      <c r="AX139" s="177">
        <v>91.092800683863842</v>
      </c>
      <c r="BA139" s="11">
        <v>461</v>
      </c>
      <c r="BB139" s="11">
        <v>569</v>
      </c>
      <c r="BC139" s="11">
        <v>524</v>
      </c>
      <c r="BD139" s="123">
        <f t="shared" si="414"/>
        <v>0</v>
      </c>
      <c r="BE139" s="123">
        <f t="shared" si="415"/>
        <v>0</v>
      </c>
      <c r="BF139" s="123">
        <f t="shared" si="416"/>
        <v>0</v>
      </c>
      <c r="BG139" s="190">
        <f t="shared" si="205"/>
        <v>518</v>
      </c>
      <c r="BH139" s="123">
        <f>AVERAGEA(BM75:BO75)</f>
        <v>0</v>
      </c>
      <c r="BI139" s="6">
        <f t="shared" si="297"/>
        <v>0</v>
      </c>
      <c r="CT139">
        <v>78</v>
      </c>
      <c r="CV139" s="156"/>
      <c r="DA139" s="156"/>
    </row>
    <row r="140" spans="1:105">
      <c r="A140" t="s">
        <v>40</v>
      </c>
      <c r="B140" s="11">
        <v>50</v>
      </c>
      <c r="C140" s="11">
        <v>50</v>
      </c>
      <c r="D140" s="11">
        <f>SUM(Q76)</f>
        <v>0</v>
      </c>
      <c r="E140" s="11">
        <f>SUM(R76)</f>
        <v>0</v>
      </c>
      <c r="F140" s="11">
        <f t="shared" ref="F140" si="442">SUM(S76)</f>
        <v>0</v>
      </c>
      <c r="G140" s="11">
        <f>MIN(Q76)</f>
        <v>0</v>
      </c>
      <c r="H140" s="11">
        <f t="shared" ref="H140:I140" si="443">MIN(R76)</f>
        <v>0</v>
      </c>
      <c r="I140" s="11">
        <f t="shared" si="443"/>
        <v>0</v>
      </c>
      <c r="J140" s="190">
        <f>MAX(Q76)</f>
        <v>0</v>
      </c>
      <c r="K140" s="11">
        <f t="shared" ref="K140:L140" si="444">MAX(R76)</f>
        <v>0</v>
      </c>
      <c r="L140" s="11">
        <f t="shared" si="444"/>
        <v>0</v>
      </c>
      <c r="M140" s="11">
        <f t="shared" si="407"/>
        <v>0</v>
      </c>
      <c r="N140" s="190">
        <f t="shared" si="408"/>
        <v>0</v>
      </c>
      <c r="O140" s="190">
        <f t="shared" si="409"/>
        <v>0</v>
      </c>
      <c r="P140" s="190">
        <f>MEDIAN(Q76)</f>
        <v>0</v>
      </c>
      <c r="Q140" s="190">
        <f t="shared" ref="Q140:R140" si="445">MEDIAN(R76)</f>
        <v>0</v>
      </c>
      <c r="R140" s="190">
        <f t="shared" si="445"/>
        <v>0</v>
      </c>
      <c r="S140" s="190" t="s">
        <v>437</v>
      </c>
      <c r="T140" s="190" t="s">
        <v>437</v>
      </c>
      <c r="U140" s="190" t="s">
        <v>437</v>
      </c>
      <c r="V140" s="176">
        <f>AVERAGEA(Q76)</f>
        <v>0</v>
      </c>
      <c r="W140" s="176">
        <f t="shared" ref="W140:X140" si="446">AVERAGEA(R76)</f>
        <v>0</v>
      </c>
      <c r="X140" s="176">
        <f t="shared" si="446"/>
        <v>0</v>
      </c>
      <c r="Y140" s="176">
        <f>STDEVPA(Q76)</f>
        <v>0</v>
      </c>
      <c r="Z140" s="176">
        <f t="shared" ref="Z140:AA140" si="447">STDEVPA(R76)</f>
        <v>0</v>
      </c>
      <c r="AA140" s="176">
        <f t="shared" si="447"/>
        <v>0</v>
      </c>
      <c r="AC140" s="11">
        <f>SUM(Q76:S76)</f>
        <v>0</v>
      </c>
      <c r="AD140" s="11">
        <f>MIN(Q76:S76)</f>
        <v>0</v>
      </c>
      <c r="AE140" s="11">
        <f>MAX(Q76:S76)</f>
        <v>0</v>
      </c>
      <c r="AF140" s="11">
        <f t="shared" si="413"/>
        <v>0</v>
      </c>
      <c r="AG140" s="11">
        <f>MEDIAN(Q76:S76)</f>
        <v>0</v>
      </c>
      <c r="AH140" s="11" t="s">
        <v>437</v>
      </c>
      <c r="AI140" s="212">
        <f>AVERAGEA(Q76:S76)</f>
        <v>0</v>
      </c>
      <c r="AJ140" s="176">
        <f>STDEVPA(Q76:S76)</f>
        <v>0</v>
      </c>
      <c r="AP140" s="58" t="s">
        <v>461</v>
      </c>
      <c r="AQ140" s="177">
        <v>7.5820874216158556</v>
      </c>
      <c r="AR140" s="177" t="s">
        <v>461</v>
      </c>
      <c r="AS140" s="177">
        <v>7.4132235033455949</v>
      </c>
      <c r="AT140" s="177" t="s">
        <v>461</v>
      </c>
      <c r="AU140" s="177">
        <v>5.5563545551488156</v>
      </c>
      <c r="AV140" s="6"/>
      <c r="AW140" s="177" t="s">
        <v>461</v>
      </c>
      <c r="AX140" s="177">
        <v>8.6666871180304668</v>
      </c>
      <c r="BA140" s="11">
        <v>230</v>
      </c>
      <c r="BB140" s="11">
        <v>163</v>
      </c>
      <c r="BC140" s="11">
        <v>172</v>
      </c>
      <c r="BD140" s="123">
        <f t="shared" si="414"/>
        <v>0</v>
      </c>
      <c r="BE140" s="123">
        <f t="shared" si="415"/>
        <v>0</v>
      </c>
      <c r="BF140" s="123">
        <f t="shared" si="416"/>
        <v>0</v>
      </c>
      <c r="BG140" s="190">
        <f t="shared" si="205"/>
        <v>188.33333333333334</v>
      </c>
      <c r="BH140" s="123">
        <f>AVERAGEA(BM76:BO76)</f>
        <v>0</v>
      </c>
      <c r="BI140" s="6">
        <f t="shared" si="297"/>
        <v>0</v>
      </c>
      <c r="CT140">
        <v>10</v>
      </c>
      <c r="CV140" s="156"/>
      <c r="DA140" s="156"/>
    </row>
    <row r="141" spans="1:105">
      <c r="A141" t="s">
        <v>41</v>
      </c>
      <c r="B141" s="11">
        <v>221</v>
      </c>
      <c r="C141" s="11">
        <v>55.25</v>
      </c>
      <c r="D141" s="11">
        <f t="shared" ref="D141:F141" si="448">SUM(Q77:Q80)</f>
        <v>129.33519553072625</v>
      </c>
      <c r="E141" s="11">
        <f t="shared" si="448"/>
        <v>32</v>
      </c>
      <c r="F141" s="11">
        <f t="shared" si="448"/>
        <v>74</v>
      </c>
      <c r="G141" s="11">
        <f>MIN(Q77:Q80)</f>
        <v>0</v>
      </c>
      <c r="H141" s="11">
        <f t="shared" ref="H141:I141" si="449">MIN(R77:R80)</f>
        <v>0</v>
      </c>
      <c r="I141" s="11">
        <f t="shared" si="449"/>
        <v>0</v>
      </c>
      <c r="J141" s="190">
        <f>MAX(Q77:Q80)</f>
        <v>100.33519553072625</v>
      </c>
      <c r="K141" s="190">
        <f t="shared" ref="K141:L141" si="450">MAX(R77:R80)</f>
        <v>32</v>
      </c>
      <c r="L141" s="190">
        <f t="shared" si="450"/>
        <v>74</v>
      </c>
      <c r="M141" s="11">
        <f>J141-G141</f>
        <v>100.33519553072625</v>
      </c>
      <c r="N141" s="190">
        <f t="shared" si="408"/>
        <v>32</v>
      </c>
      <c r="O141" s="190">
        <f t="shared" si="409"/>
        <v>74</v>
      </c>
      <c r="P141" s="213">
        <f t="shared" ref="P141:R141" si="451">MEDIAN(Q77:Q80)</f>
        <v>14.5</v>
      </c>
      <c r="Q141" s="190">
        <f t="shared" si="451"/>
        <v>0</v>
      </c>
      <c r="R141" s="190">
        <f t="shared" si="451"/>
        <v>0</v>
      </c>
      <c r="S141" s="190">
        <f>MODE(Q77:Q80)</f>
        <v>0</v>
      </c>
      <c r="T141" s="190">
        <f t="shared" ref="T141:U141" si="452">MODE(R77:R80)</f>
        <v>0</v>
      </c>
      <c r="U141" s="190">
        <f t="shared" si="452"/>
        <v>0</v>
      </c>
      <c r="V141" s="176">
        <f>AVERAGEA(Q77:Q80)</f>
        <v>32.333798882681563</v>
      </c>
      <c r="W141" s="176">
        <f t="shared" ref="W141:X141" si="453">AVERAGEA(R77:R80)</f>
        <v>8</v>
      </c>
      <c r="X141" s="176">
        <f t="shared" si="453"/>
        <v>18.5</v>
      </c>
      <c r="Y141" s="176">
        <f>STDEVPA(Q77:Q80)</f>
        <v>41.006869124106117</v>
      </c>
      <c r="Z141" s="176">
        <f>STDEVPA(R77:R80)</f>
        <v>13.856406460551018</v>
      </c>
      <c r="AA141" s="176">
        <f>STDEVPA(S77:S80)</f>
        <v>32.042939940024233</v>
      </c>
      <c r="AC141" s="11">
        <f>SUM(Q77:S80)</f>
        <v>235.33519553072625</v>
      </c>
      <c r="AD141" s="11">
        <f>MIN(Q77:S80)</f>
        <v>0</v>
      </c>
      <c r="AE141" s="11">
        <f>MAX(Q77:S80)</f>
        <v>100.33519553072625</v>
      </c>
      <c r="AF141" s="11">
        <f t="shared" si="413"/>
        <v>100.33519553072625</v>
      </c>
      <c r="AG141" s="11">
        <f>MEDIAN(Q77:S80)</f>
        <v>0</v>
      </c>
      <c r="AH141" s="11">
        <f>MODE(Q77:S80)</f>
        <v>0</v>
      </c>
      <c r="AI141" s="212">
        <f>AVERAGEA(Q77:S80)</f>
        <v>19.611266294227189</v>
      </c>
      <c r="AJ141" s="176">
        <f>STDEVPA(Q77:S80)</f>
        <v>32.650842605554061</v>
      </c>
      <c r="AP141" s="58" t="s">
        <v>462</v>
      </c>
      <c r="AQ141" s="177">
        <v>3094</v>
      </c>
      <c r="AR141" s="177" t="s">
        <v>462</v>
      </c>
      <c r="AS141" s="177">
        <v>1518</v>
      </c>
      <c r="AT141" s="177" t="s">
        <v>462</v>
      </c>
      <c r="AU141" s="177">
        <v>1308</v>
      </c>
      <c r="AV141" s="6"/>
      <c r="AW141" s="177" t="s">
        <v>462</v>
      </c>
      <c r="AX141" s="177">
        <v>3094</v>
      </c>
      <c r="BA141" s="11">
        <v>961.73184357541902</v>
      </c>
      <c r="BB141" s="11">
        <v>1110.7308278313865</v>
      </c>
      <c r="BC141" s="11">
        <v>1531.4433722701879</v>
      </c>
      <c r="BD141" s="123">
        <f t="shared" si="414"/>
        <v>0.13448155678187626</v>
      </c>
      <c r="BE141" s="123">
        <f t="shared" si="415"/>
        <v>2.8809860317352904E-2</v>
      </c>
      <c r="BF141" s="123">
        <f t="shared" si="416"/>
        <v>4.8320428518557335E-2</v>
      </c>
      <c r="BG141" s="190">
        <f t="shared" si="205"/>
        <v>1201.3020145589978</v>
      </c>
      <c r="BH141" s="123">
        <f>AVERAGEA(BM77:BO80)</f>
        <v>7.99017496475216E-2</v>
      </c>
      <c r="BI141" s="6">
        <f>STDEVA(BM77:BO80)</f>
        <v>0.11938297480984789</v>
      </c>
      <c r="CT141">
        <v>29</v>
      </c>
      <c r="CV141" s="156"/>
      <c r="DA141" s="156"/>
    </row>
    <row r="142" spans="1:105">
      <c r="A142" t="s">
        <v>34</v>
      </c>
      <c r="B142" s="11">
        <v>880</v>
      </c>
      <c r="C142" s="11">
        <v>220</v>
      </c>
      <c r="D142" s="11">
        <f>SUM(Q81:Q84)</f>
        <v>181.68</v>
      </c>
      <c r="E142" s="11">
        <f t="shared" ref="E142:F142" si="454">SUM(R81:R84)</f>
        <v>121</v>
      </c>
      <c r="F142" s="11">
        <f t="shared" si="454"/>
        <v>853</v>
      </c>
      <c r="G142" s="11">
        <f>MIN(Q81:Q84)</f>
        <v>0</v>
      </c>
      <c r="H142" s="11">
        <f t="shared" ref="H142:I142" si="455">MIN(R81:R84)</f>
        <v>0</v>
      </c>
      <c r="I142" s="11">
        <f t="shared" si="455"/>
        <v>0</v>
      </c>
      <c r="J142" s="190">
        <f>MAX(Q81:Q84)</f>
        <v>139.68</v>
      </c>
      <c r="K142" s="11">
        <f t="shared" ref="K142:L142" si="456">MAX(R81:R84)</f>
        <v>121</v>
      </c>
      <c r="L142" s="11">
        <f t="shared" si="456"/>
        <v>853</v>
      </c>
      <c r="M142" s="11">
        <f>J142-G142</f>
        <v>139.68</v>
      </c>
      <c r="N142" s="190">
        <f t="shared" si="408"/>
        <v>121</v>
      </c>
      <c r="O142" s="190">
        <f t="shared" si="409"/>
        <v>853</v>
      </c>
      <c r="P142" s="190">
        <f>MEDIAN(Q81:Q84)</f>
        <v>21</v>
      </c>
      <c r="Q142" s="190">
        <f t="shared" ref="Q142:R142" si="457">MEDIAN(R81:R84)</f>
        <v>0</v>
      </c>
      <c r="R142" s="190">
        <f t="shared" si="457"/>
        <v>0</v>
      </c>
      <c r="S142" s="190">
        <f>MODE(Q81:Q84)</f>
        <v>0</v>
      </c>
      <c r="T142" s="190">
        <f t="shared" ref="T142:U142" si="458">MODE(R81:R84)</f>
        <v>0</v>
      </c>
      <c r="U142" s="190">
        <f t="shared" si="458"/>
        <v>0</v>
      </c>
      <c r="V142" s="176">
        <f>AVERAGEA(Q81:Q84)</f>
        <v>45.42</v>
      </c>
      <c r="W142" s="176">
        <f t="shared" ref="W142:X142" si="459">AVERAGEA(R81:R84)</f>
        <v>30.25</v>
      </c>
      <c r="X142" s="176">
        <f t="shared" si="459"/>
        <v>213.25</v>
      </c>
      <c r="Y142" s="176">
        <f>STDEVPA(Q81:Q84)</f>
        <v>57.058296504539989</v>
      </c>
      <c r="Z142" s="176">
        <f t="shared" ref="Z142:AA142" si="460">STDEVPA(R81:R84)</f>
        <v>52.394536928958537</v>
      </c>
      <c r="AA142" s="176">
        <f t="shared" si="460"/>
        <v>369.35983471406308</v>
      </c>
      <c r="AC142" s="11">
        <f>SUM(Q81:S84)</f>
        <v>1155.68</v>
      </c>
      <c r="AD142" s="11">
        <f>MIN(Q81:S84)</f>
        <v>0</v>
      </c>
      <c r="AE142" s="11">
        <f>MAX(Q81:S84)</f>
        <v>853</v>
      </c>
      <c r="AF142" s="11">
        <f t="shared" si="413"/>
        <v>853</v>
      </c>
      <c r="AG142" s="11">
        <f>MEDIAN(Q81:S84)</f>
        <v>0</v>
      </c>
      <c r="AH142" s="11">
        <f>MODE(Q81:S84)</f>
        <v>0</v>
      </c>
      <c r="AI142" s="212">
        <f>AVERAGEA(Q81:S84)</f>
        <v>96.306666666666672</v>
      </c>
      <c r="AJ142" s="176">
        <f>STDEVPA(Q81:S84)</f>
        <v>233.13529939119519</v>
      </c>
      <c r="AP142" s="58" t="s">
        <v>412</v>
      </c>
      <c r="AQ142" s="177">
        <v>0</v>
      </c>
      <c r="AR142" s="177" t="s">
        <v>412</v>
      </c>
      <c r="AS142" s="177">
        <v>0</v>
      </c>
      <c r="AT142" s="177" t="s">
        <v>412</v>
      </c>
      <c r="AU142" s="177">
        <v>0</v>
      </c>
      <c r="AV142" s="6"/>
      <c r="AW142" s="177" t="s">
        <v>412</v>
      </c>
      <c r="AX142" s="177">
        <v>0</v>
      </c>
      <c r="BA142" s="11">
        <v>8083.21</v>
      </c>
      <c r="BB142" s="11">
        <v>8999.16</v>
      </c>
      <c r="BC142" s="11">
        <v>10296.74</v>
      </c>
      <c r="BD142" s="123">
        <f t="shared" si="414"/>
        <v>2.2476219224788173E-2</v>
      </c>
      <c r="BE142" s="123">
        <f t="shared" si="415"/>
        <v>1.344569937638624E-2</v>
      </c>
      <c r="BF142" s="123">
        <f t="shared" si="416"/>
        <v>8.2841753797803966E-2</v>
      </c>
      <c r="BG142" s="190">
        <f t="shared" si="205"/>
        <v>9126.3700000000008</v>
      </c>
      <c r="BH142" s="123">
        <f>AVERAGEA(BM81:BO84)</f>
        <v>5.1663742634805269E-2</v>
      </c>
      <c r="BI142" s="6">
        <f>STDEVA(BM81:BO84)</f>
        <v>0.12098691623223594</v>
      </c>
      <c r="CT142">
        <v>247</v>
      </c>
      <c r="CV142" s="156"/>
      <c r="DA142" s="156"/>
    </row>
    <row r="143" spans="1:105">
      <c r="A143" t="s">
        <v>42</v>
      </c>
      <c r="B143" s="11">
        <v>92</v>
      </c>
      <c r="C143" s="11">
        <v>92</v>
      </c>
      <c r="D143" s="11">
        <f>SUM(Q85)</f>
        <v>0</v>
      </c>
      <c r="E143" s="11">
        <f t="shared" ref="E143:F143" si="461">SUM(R85)</f>
        <v>0</v>
      </c>
      <c r="F143" s="11">
        <f t="shared" si="461"/>
        <v>0</v>
      </c>
      <c r="G143" s="11">
        <f>MIN(Q85)</f>
        <v>0</v>
      </c>
      <c r="H143" s="11">
        <f t="shared" ref="H143:I143" si="462">MIN(R85)</f>
        <v>0</v>
      </c>
      <c r="I143" s="11">
        <f t="shared" si="462"/>
        <v>0</v>
      </c>
      <c r="J143" s="190">
        <f>MAX(Q85)</f>
        <v>0</v>
      </c>
      <c r="K143" s="11">
        <f t="shared" ref="K143:L143" si="463">MAX(R85)</f>
        <v>0</v>
      </c>
      <c r="L143" s="11">
        <f t="shared" si="463"/>
        <v>0</v>
      </c>
      <c r="M143" s="11">
        <f t="shared" si="407"/>
        <v>0</v>
      </c>
      <c r="N143" s="190">
        <f t="shared" si="408"/>
        <v>0</v>
      </c>
      <c r="O143" s="190">
        <f t="shared" si="409"/>
        <v>0</v>
      </c>
      <c r="P143" s="190">
        <f>MEDIAN(Q75)</f>
        <v>0</v>
      </c>
      <c r="Q143" s="190">
        <f t="shared" ref="Q143:R143" si="464">MEDIAN(R75)</f>
        <v>0</v>
      </c>
      <c r="R143" s="190">
        <f t="shared" si="464"/>
        <v>0</v>
      </c>
      <c r="S143" s="190" t="s">
        <v>437</v>
      </c>
      <c r="T143" s="190" t="s">
        <v>437</v>
      </c>
      <c r="U143" s="190" t="s">
        <v>437</v>
      </c>
      <c r="V143" s="176">
        <f>AVERAGEA(Q85)</f>
        <v>0</v>
      </c>
      <c r="W143" s="176">
        <f t="shared" ref="W143:X143" si="465">AVERAGEA(R85)</f>
        <v>0</v>
      </c>
      <c r="X143" s="176">
        <f t="shared" si="465"/>
        <v>0</v>
      </c>
      <c r="Y143" s="176">
        <f>STDEVPA(Q85)</f>
        <v>0</v>
      </c>
      <c r="Z143" s="176">
        <f t="shared" ref="Z143:AA143" si="466">STDEVPA(R85)</f>
        <v>0</v>
      </c>
      <c r="AA143" s="176">
        <f t="shared" si="466"/>
        <v>0</v>
      </c>
      <c r="AC143" s="11">
        <f>SUM(Q85:S85)</f>
        <v>0</v>
      </c>
      <c r="AD143" s="11">
        <f>MIN(Q85:S85)</f>
        <v>0</v>
      </c>
      <c r="AE143" s="11">
        <f>MAX(Q85:S85)</f>
        <v>0</v>
      </c>
      <c r="AF143" s="11">
        <f t="shared" si="413"/>
        <v>0</v>
      </c>
      <c r="AG143" s="11">
        <f>MEDIAN(Q85:S85)</f>
        <v>0</v>
      </c>
      <c r="AH143" s="11">
        <f>MODE(Q85:S85)</f>
        <v>0</v>
      </c>
      <c r="AI143" s="212">
        <f>AVERAGEA(Q85:S85)</f>
        <v>0</v>
      </c>
      <c r="AJ143" s="176">
        <f>STDEVPA(Q85:S85)</f>
        <v>0</v>
      </c>
      <c r="AP143" s="58" t="s">
        <v>413</v>
      </c>
      <c r="AQ143" s="177">
        <v>3094</v>
      </c>
      <c r="AR143" s="177" t="s">
        <v>413</v>
      </c>
      <c r="AS143" s="177">
        <v>1518</v>
      </c>
      <c r="AT143" s="177" t="s">
        <v>413</v>
      </c>
      <c r="AU143" s="177">
        <v>1308</v>
      </c>
      <c r="AV143" s="6"/>
      <c r="AW143" s="177" t="s">
        <v>413</v>
      </c>
      <c r="AX143" s="177">
        <v>3094</v>
      </c>
      <c r="BA143" s="11">
        <v>547</v>
      </c>
      <c r="BB143" s="11">
        <v>580</v>
      </c>
      <c r="BC143" s="11">
        <v>742</v>
      </c>
      <c r="BD143" s="123">
        <f t="shared" si="414"/>
        <v>0</v>
      </c>
      <c r="BE143" s="123">
        <f t="shared" si="415"/>
        <v>0</v>
      </c>
      <c r="BF143" s="123">
        <f t="shared" si="416"/>
        <v>0</v>
      </c>
      <c r="BG143" s="190">
        <f t="shared" si="205"/>
        <v>623</v>
      </c>
      <c r="BH143" s="123">
        <f t="shared" si="315"/>
        <v>0</v>
      </c>
      <c r="BI143" s="6">
        <f t="shared" si="297"/>
        <v>0</v>
      </c>
      <c r="CT143">
        <v>41</v>
      </c>
      <c r="CV143" s="156"/>
      <c r="DA143" s="156"/>
    </row>
    <row r="144" spans="1:105">
      <c r="A144" t="s">
        <v>43</v>
      </c>
      <c r="B144" s="11">
        <v>105</v>
      </c>
      <c r="C144" s="11">
        <v>105</v>
      </c>
      <c r="D144" s="11">
        <f>SUM(Q86)</f>
        <v>0</v>
      </c>
      <c r="E144" s="11">
        <f t="shared" ref="E144:F144" si="467">SUM(R86)</f>
        <v>0</v>
      </c>
      <c r="F144" s="11">
        <f t="shared" si="467"/>
        <v>0</v>
      </c>
      <c r="G144" s="11">
        <f>MIN(Q86)</f>
        <v>0</v>
      </c>
      <c r="H144" s="11">
        <f t="shared" ref="H144:I144" si="468">MIN(R86)</f>
        <v>0</v>
      </c>
      <c r="I144" s="11">
        <f t="shared" si="468"/>
        <v>0</v>
      </c>
      <c r="J144" s="190">
        <f>MAX(Q86)</f>
        <v>0</v>
      </c>
      <c r="K144" s="11">
        <f t="shared" ref="K144:L144" si="469">MAX(R86)</f>
        <v>0</v>
      </c>
      <c r="L144" s="11">
        <f t="shared" si="469"/>
        <v>0</v>
      </c>
      <c r="M144" s="11">
        <f t="shared" si="407"/>
        <v>0</v>
      </c>
      <c r="N144" s="190">
        <f t="shared" si="408"/>
        <v>0</v>
      </c>
      <c r="O144" s="190">
        <f t="shared" si="409"/>
        <v>0</v>
      </c>
      <c r="P144" s="190">
        <f>MEDIAN(Q76)</f>
        <v>0</v>
      </c>
      <c r="Q144" s="190">
        <f t="shared" ref="Q144:R144" si="470">MEDIAN(R76)</f>
        <v>0</v>
      </c>
      <c r="R144" s="190">
        <f t="shared" si="470"/>
        <v>0</v>
      </c>
      <c r="S144" s="190" t="s">
        <v>437</v>
      </c>
      <c r="T144" s="190" t="s">
        <v>437</v>
      </c>
      <c r="U144" s="190" t="s">
        <v>437</v>
      </c>
      <c r="V144" s="176">
        <f>AVERAGEA(Q86)</f>
        <v>0</v>
      </c>
      <c r="W144" s="176">
        <f t="shared" ref="W144:X144" si="471">AVERAGEA(R86)</f>
        <v>0</v>
      </c>
      <c r="X144" s="176">
        <f t="shared" si="471"/>
        <v>0</v>
      </c>
      <c r="Y144" s="176">
        <f>STDEVPA(Q86)</f>
        <v>0</v>
      </c>
      <c r="Z144" s="176">
        <f t="shared" ref="Z144:AA144" si="472">STDEVPA(R86)</f>
        <v>0</v>
      </c>
      <c r="AA144" s="176">
        <f t="shared" si="472"/>
        <v>0</v>
      </c>
      <c r="AC144" s="11">
        <f>SUM(Q86:S86)</f>
        <v>0</v>
      </c>
      <c r="AD144" s="11">
        <f>MIN(Q86:S86)</f>
        <v>0</v>
      </c>
      <c r="AE144" s="11">
        <f>MAX(Q86:S86)</f>
        <v>0</v>
      </c>
      <c r="AF144" s="11">
        <f t="shared" si="413"/>
        <v>0</v>
      </c>
      <c r="AG144" s="11">
        <f>MEDIAN(Q86:S86)</f>
        <v>0</v>
      </c>
      <c r="AH144" s="11">
        <f>MODE(Q86:S86)</f>
        <v>0</v>
      </c>
      <c r="AI144" s="212">
        <f>AVERAGEA(Q86:S86)</f>
        <v>0</v>
      </c>
      <c r="AJ144" s="176">
        <f>STDEVPA(Q86:S86)</f>
        <v>0</v>
      </c>
      <c r="AP144" s="58" t="s">
        <v>463</v>
      </c>
      <c r="AQ144" s="177">
        <v>6510.9635084141619</v>
      </c>
      <c r="AR144" s="177" t="s">
        <v>463</v>
      </c>
      <c r="AS144" s="177">
        <v>3171.22</v>
      </c>
      <c r="AT144" s="177" t="s">
        <v>463</v>
      </c>
      <c r="AU144" s="177">
        <v>4110.3091666666669</v>
      </c>
      <c r="AV144" s="6"/>
      <c r="AW144" s="177" t="s">
        <v>463</v>
      </c>
      <c r="AX144" s="177">
        <v>14027.492675080826</v>
      </c>
      <c r="BA144" s="11">
        <v>804</v>
      </c>
      <c r="BB144" s="11">
        <v>873</v>
      </c>
      <c r="BC144" s="11">
        <v>1133</v>
      </c>
      <c r="BD144" s="123">
        <f t="shared" si="414"/>
        <v>0</v>
      </c>
      <c r="BE144" s="123">
        <f t="shared" si="415"/>
        <v>0</v>
      </c>
      <c r="BF144" s="123">
        <f t="shared" si="416"/>
        <v>0</v>
      </c>
      <c r="BG144" s="190">
        <f t="shared" si="205"/>
        <v>936.66666666666663</v>
      </c>
      <c r="BH144" s="123">
        <f t="shared" si="315"/>
        <v>0</v>
      </c>
      <c r="BI144" s="6">
        <f t="shared" si="297"/>
        <v>0</v>
      </c>
      <c r="CT144">
        <v>83</v>
      </c>
      <c r="CV144" s="156"/>
      <c r="DA144" s="156"/>
    </row>
    <row r="145" spans="1:105">
      <c r="A145" t="s">
        <v>44</v>
      </c>
      <c r="B145" s="11">
        <v>1150</v>
      </c>
      <c r="C145" s="11">
        <v>164.28571428571428</v>
      </c>
      <c r="D145" s="11">
        <f>SUM(Q87:Q93)</f>
        <v>1363.46</v>
      </c>
      <c r="E145" s="11">
        <f t="shared" ref="E145:F145" si="473">SUM(R87:R93)</f>
        <v>1554.16</v>
      </c>
      <c r="F145" s="11">
        <f t="shared" si="473"/>
        <v>1603.5016666666666</v>
      </c>
      <c r="G145" s="11">
        <f>MIN(Q87:Q93)</f>
        <v>0</v>
      </c>
      <c r="H145" s="11">
        <f t="shared" ref="H145:I145" si="474">MIN(R87:R93)</f>
        <v>0</v>
      </c>
      <c r="I145" s="11">
        <f t="shared" si="474"/>
        <v>0</v>
      </c>
      <c r="J145" s="190">
        <f>MAX(Q87:Q93)</f>
        <v>1271</v>
      </c>
      <c r="K145" s="11">
        <f t="shared" ref="K145:L145" si="475">MAX(R87:R93)</f>
        <v>1518</v>
      </c>
      <c r="L145" s="11">
        <f t="shared" si="475"/>
        <v>1308</v>
      </c>
      <c r="M145" s="11">
        <f t="shared" si="407"/>
        <v>1271</v>
      </c>
      <c r="N145" s="190">
        <f t="shared" si="408"/>
        <v>1518</v>
      </c>
      <c r="O145" s="190">
        <f t="shared" si="409"/>
        <v>1308</v>
      </c>
      <c r="P145" s="190">
        <f>MEDIAN(Q87:Q93)</f>
        <v>0</v>
      </c>
      <c r="Q145" s="190">
        <f t="shared" ref="Q145:R145" si="476">MEDIAN(R87:R93)</f>
        <v>0</v>
      </c>
      <c r="R145" s="190">
        <f t="shared" si="476"/>
        <v>6.11</v>
      </c>
      <c r="S145" s="190">
        <f>MODE(Q87:Q93)</f>
        <v>0</v>
      </c>
      <c r="T145" s="190">
        <f t="shared" ref="T145:U145" si="477">MODE(R87:R93)</f>
        <v>0</v>
      </c>
      <c r="U145" s="190">
        <f t="shared" si="477"/>
        <v>0</v>
      </c>
      <c r="V145" s="176">
        <f>AVERAGEA(Q87:Q93)</f>
        <v>194.78</v>
      </c>
      <c r="W145" s="176">
        <f t="shared" ref="W145:X145" si="478">AVERAGEA(R87:R93)</f>
        <v>222.02285714285716</v>
      </c>
      <c r="X145" s="176">
        <f t="shared" si="478"/>
        <v>229.07166666666666</v>
      </c>
      <c r="Y145" s="176">
        <f>STDEVPA(Q87:Q93)</f>
        <v>440.36755310600643</v>
      </c>
      <c r="Z145" s="176">
        <f t="shared" ref="Z145:AA145" si="479">STDEVPA(R87:R93)</f>
        <v>529.19160207444941</v>
      </c>
      <c r="AA145" s="176">
        <f t="shared" si="479"/>
        <v>450.9853317565038</v>
      </c>
      <c r="AC145" s="11">
        <f>SUM(Q87:S93)</f>
        <v>4521.121666666666</v>
      </c>
      <c r="AD145" s="11">
        <f>MIN(Q87:S93)</f>
        <v>0</v>
      </c>
      <c r="AE145" s="11">
        <f>MAX(Q87:S93)</f>
        <v>1518</v>
      </c>
      <c r="AF145" s="11">
        <f t="shared" si="413"/>
        <v>1518</v>
      </c>
      <c r="AG145" s="11">
        <f>MEDIAN(Q87:S93)</f>
        <v>0</v>
      </c>
      <c r="AH145" s="11">
        <f>MODE(Q87:S93)</f>
        <v>0</v>
      </c>
      <c r="AI145" s="212">
        <f>AVERAGEA(Q87:S93)</f>
        <v>215.29150793650791</v>
      </c>
      <c r="AJ145" s="176">
        <f>STDEVPA(Q87:S93)</f>
        <v>475.39843948306958</v>
      </c>
      <c r="AP145" s="58" t="s">
        <v>464</v>
      </c>
      <c r="AQ145" s="177">
        <v>93</v>
      </c>
      <c r="AR145" s="177" t="s">
        <v>464</v>
      </c>
      <c r="AS145" s="177">
        <v>93</v>
      </c>
      <c r="AT145" s="177" t="s">
        <v>464</v>
      </c>
      <c r="AU145" s="177">
        <v>93</v>
      </c>
      <c r="AV145" s="6"/>
      <c r="AW145" s="177" t="s">
        <v>464</v>
      </c>
      <c r="AX145" s="177">
        <v>279</v>
      </c>
      <c r="BA145" s="11">
        <v>10584.598333333333</v>
      </c>
      <c r="BB145" s="11">
        <v>12332.931666666667</v>
      </c>
      <c r="BC145" s="11">
        <v>12970.705</v>
      </c>
      <c r="BD145" s="123">
        <f t="shared" si="414"/>
        <v>0.12881546914313707</v>
      </c>
      <c r="BE145" s="123">
        <f t="shared" si="415"/>
        <v>0.12601707704264423</v>
      </c>
      <c r="BF145" s="123">
        <f t="shared" si="416"/>
        <v>0.12362486593185695</v>
      </c>
      <c r="BG145" s="190">
        <f t="shared" si="205"/>
        <v>11962.745000000001</v>
      </c>
      <c r="BH145" s="123">
        <f>AVERAGEA(BM87:BO93)</f>
        <v>0.10380168744152372</v>
      </c>
      <c r="BI145" s="6">
        <f>STDEVA(BM87:BO93)</f>
        <v>0.21407050717051196</v>
      </c>
      <c r="CT145">
        <v>423.5555555555556</v>
      </c>
      <c r="CV145" s="328"/>
      <c r="DA145" s="156"/>
    </row>
    <row r="146" spans="1:105">
      <c r="A146" t="s">
        <v>45</v>
      </c>
      <c r="B146" s="11">
        <v>70</v>
      </c>
      <c r="C146" s="11">
        <v>70</v>
      </c>
      <c r="D146" s="11">
        <f>SUM(Q94)</f>
        <v>0</v>
      </c>
      <c r="E146" s="11">
        <f t="shared" ref="E146:F146" si="480">SUM(R94)</f>
        <v>0</v>
      </c>
      <c r="F146" s="11">
        <f t="shared" si="480"/>
        <v>0</v>
      </c>
      <c r="G146" s="11">
        <f>MIN(Q94)</f>
        <v>0</v>
      </c>
      <c r="H146" s="11">
        <f t="shared" ref="H146:I146" si="481">MIN(R94)</f>
        <v>0</v>
      </c>
      <c r="I146" s="11">
        <f t="shared" si="481"/>
        <v>0</v>
      </c>
      <c r="J146" s="190">
        <f>MAX(Q94)</f>
        <v>0</v>
      </c>
      <c r="K146" s="11">
        <f t="shared" ref="K146:L146" si="482">MAX(R94)</f>
        <v>0</v>
      </c>
      <c r="L146" s="11">
        <f t="shared" si="482"/>
        <v>0</v>
      </c>
      <c r="M146" s="11">
        <f t="shared" si="407"/>
        <v>0</v>
      </c>
      <c r="N146" s="190">
        <f t="shared" si="408"/>
        <v>0</v>
      </c>
      <c r="O146" s="190">
        <f t="shared" si="409"/>
        <v>0</v>
      </c>
      <c r="P146" s="190">
        <f>MEDIAN(Q94)</f>
        <v>0</v>
      </c>
      <c r="Q146" s="190">
        <f t="shared" ref="Q146:R146" si="483">MEDIAN(R94)</f>
        <v>0</v>
      </c>
      <c r="R146" s="190">
        <f t="shared" si="483"/>
        <v>0</v>
      </c>
      <c r="S146" s="190" t="s">
        <v>437</v>
      </c>
      <c r="T146" s="190" t="s">
        <v>437</v>
      </c>
      <c r="U146" s="190" t="s">
        <v>437</v>
      </c>
      <c r="V146" s="176">
        <f>AVERAGEA(Q94)</f>
        <v>0</v>
      </c>
      <c r="W146" s="176">
        <f t="shared" ref="W146:X146" si="484">AVERAGEA(R94)</f>
        <v>0</v>
      </c>
      <c r="X146" s="176">
        <f t="shared" si="484"/>
        <v>0</v>
      </c>
      <c r="Y146" s="176">
        <f>STDEVPA(Q94)</f>
        <v>0</v>
      </c>
      <c r="Z146" s="176">
        <f t="shared" ref="Z146:AA146" si="485">STDEVPA(R94)</f>
        <v>0</v>
      </c>
      <c r="AA146" s="176">
        <f t="shared" si="485"/>
        <v>0</v>
      </c>
      <c r="AC146" s="11">
        <f>SUM(Q94:S94)</f>
        <v>0</v>
      </c>
      <c r="AD146" s="11">
        <f>MIN(Q94:S94)</f>
        <v>0</v>
      </c>
      <c r="AE146" s="11">
        <f>MAX(Q94:S94)</f>
        <v>0</v>
      </c>
      <c r="AF146" s="11">
        <f t="shared" si="413"/>
        <v>0</v>
      </c>
      <c r="AG146" s="11">
        <f>MEDIAN(Q94:S94)</f>
        <v>0</v>
      </c>
      <c r="AH146" s="11">
        <f>MODE(Q94:S94)</f>
        <v>0</v>
      </c>
      <c r="AI146" s="212">
        <f>AVERAGEA(Q94:S94)</f>
        <v>0</v>
      </c>
      <c r="AJ146" s="176">
        <f>STDEVPA(Q94:S94)</f>
        <v>0</v>
      </c>
      <c r="AP146" s="58" t="s">
        <v>485</v>
      </c>
      <c r="AQ146" s="177">
        <v>3094</v>
      </c>
      <c r="AR146" s="177" t="s">
        <v>485</v>
      </c>
      <c r="AS146" s="177">
        <v>1518</v>
      </c>
      <c r="AT146" s="177" t="s">
        <v>485</v>
      </c>
      <c r="AU146" s="177">
        <v>1308</v>
      </c>
      <c r="AV146" s="6"/>
      <c r="AW146" s="177" t="s">
        <v>485</v>
      </c>
      <c r="AX146" s="177">
        <v>3094</v>
      </c>
      <c r="BA146" s="11">
        <v>738.02702702702697</v>
      </c>
      <c r="BB146" s="11">
        <v>651.18918918918916</v>
      </c>
      <c r="BC146" s="11">
        <v>722.70270270270271</v>
      </c>
      <c r="BD146" s="123">
        <f t="shared" si="414"/>
        <v>0</v>
      </c>
      <c r="BE146" s="123">
        <f t="shared" si="415"/>
        <v>0</v>
      </c>
      <c r="BF146" s="123">
        <f t="shared" si="416"/>
        <v>0</v>
      </c>
      <c r="BG146" s="190">
        <f t="shared" si="205"/>
        <v>703.97297297297303</v>
      </c>
      <c r="BH146" s="123">
        <f>AVERAGEA(BM94:BO94)</f>
        <v>0</v>
      </c>
      <c r="BI146" s="6">
        <f t="shared" si="297"/>
        <v>0</v>
      </c>
      <c r="CT146">
        <v>12</v>
      </c>
      <c r="CV146" s="156"/>
      <c r="DA146" s="156"/>
    </row>
    <row r="147" spans="1:105">
      <c r="B147" s="11">
        <v>15450</v>
      </c>
      <c r="C147" s="11">
        <v>166.12903225806451</v>
      </c>
      <c r="D147" s="11">
        <f>SUM(D134:D146)</f>
        <v>6510.9635084141619</v>
      </c>
      <c r="E147" s="11">
        <f>SUM(E134:E146)</f>
        <v>3171.2200000000003</v>
      </c>
      <c r="F147" s="11">
        <f>SUM(F134:F146)</f>
        <v>4110.309166666666</v>
      </c>
      <c r="G147" s="11"/>
      <c r="H147" s="190"/>
      <c r="I147" s="190"/>
      <c r="J147" s="190"/>
      <c r="K147" s="11"/>
      <c r="L147" s="11"/>
      <c r="M147" s="11"/>
      <c r="N147" s="190"/>
      <c r="O147" s="190"/>
      <c r="P147" s="190"/>
      <c r="Q147" s="190"/>
      <c r="R147" s="190"/>
      <c r="S147" s="190"/>
      <c r="T147" s="190"/>
      <c r="U147" s="190"/>
      <c r="V147" s="176"/>
      <c r="W147" s="176"/>
      <c r="X147" s="176"/>
      <c r="Y147" s="176"/>
      <c r="Z147" s="176"/>
      <c r="AA147" s="176"/>
      <c r="AC147" s="11">
        <v>13792</v>
      </c>
      <c r="AD147" s="11"/>
      <c r="AE147" s="11"/>
      <c r="AF147" s="11"/>
      <c r="AG147" s="11"/>
      <c r="AH147" s="11"/>
      <c r="AI147" s="212"/>
      <c r="AJ147" s="176"/>
      <c r="AP147" s="58" t="s">
        <v>486</v>
      </c>
      <c r="AQ147" s="177">
        <v>0</v>
      </c>
      <c r="AR147" s="177" t="s">
        <v>486</v>
      </c>
      <c r="AS147" s="177">
        <v>0</v>
      </c>
      <c r="AT147" s="177" t="s">
        <v>486</v>
      </c>
      <c r="AU147" s="177">
        <v>0</v>
      </c>
      <c r="AV147" s="6"/>
      <c r="AW147" s="177" t="s">
        <v>486</v>
      </c>
      <c r="AX147" s="177">
        <v>0</v>
      </c>
      <c r="AZ147" t="s">
        <v>376</v>
      </c>
      <c r="BA147" s="11">
        <v>104258.65875676264</v>
      </c>
      <c r="BB147" s="11">
        <v>124174.35366917629</v>
      </c>
      <c r="BC147" s="11">
        <v>135852.92946322585</v>
      </c>
      <c r="BD147" s="123">
        <f t="shared" si="414"/>
        <v>6.2450098495937481E-2</v>
      </c>
      <c r="BE147" s="123">
        <f>E147/BB147</f>
        <v>2.5538445792508201E-2</v>
      </c>
      <c r="BF147" s="123">
        <f t="shared" si="416"/>
        <v>3.025557993417646E-2</v>
      </c>
      <c r="BG147" s="190"/>
      <c r="BH147" s="123">
        <f>AVERAGEA(BM2:BO94)</f>
        <v>2.6183141920169808E-2</v>
      </c>
      <c r="BI147" s="6">
        <f>STDEVA(BM2:BO94)</f>
        <v>9.1691168426385625E-2</v>
      </c>
      <c r="CT147">
        <v>0</v>
      </c>
      <c r="CV147" s="156"/>
      <c r="DA147" s="156"/>
    </row>
    <row r="148" spans="1:105" ht="17" thickBot="1">
      <c r="B148" s="11"/>
      <c r="C148" s="11"/>
      <c r="D148" s="11"/>
      <c r="E148" s="11"/>
      <c r="F148" s="11"/>
      <c r="G148" s="11"/>
      <c r="H148" s="190"/>
      <c r="I148" s="190"/>
      <c r="J148" s="190"/>
      <c r="K148" s="11"/>
      <c r="L148" s="11"/>
      <c r="M148" s="11"/>
      <c r="N148" s="190"/>
      <c r="O148" s="190"/>
      <c r="P148" s="190"/>
      <c r="Q148" s="190"/>
      <c r="R148" s="190"/>
      <c r="S148" s="190"/>
      <c r="T148" s="190"/>
      <c r="U148" s="190"/>
      <c r="V148" s="176"/>
      <c r="W148" s="176"/>
      <c r="X148" s="176"/>
      <c r="Y148" s="176"/>
      <c r="Z148" s="176"/>
      <c r="AA148" s="176"/>
      <c r="AC148" s="11"/>
      <c r="AD148" s="11"/>
      <c r="AE148" s="11"/>
      <c r="AF148" s="11"/>
      <c r="AG148" s="11"/>
      <c r="AH148" s="11"/>
      <c r="AI148" s="212"/>
      <c r="AJ148" s="176"/>
      <c r="AP148" s="59" t="s">
        <v>467</v>
      </c>
      <c r="AQ148" s="193">
        <v>72.288326202141207</v>
      </c>
      <c r="AR148" s="193" t="s">
        <v>467</v>
      </c>
      <c r="AS148" s="193">
        <v>35.841118620891429</v>
      </c>
      <c r="AT148" s="193" t="s">
        <v>467</v>
      </c>
      <c r="AU148" s="193">
        <v>36.045861139559499</v>
      </c>
      <c r="AV148" s="6"/>
      <c r="AW148" s="193" t="s">
        <v>467</v>
      </c>
      <c r="AX148" s="193">
        <v>29.151470451714243</v>
      </c>
      <c r="BG148" s="190"/>
      <c r="BH148" s="188"/>
      <c r="BI148" s="6"/>
      <c r="CT148">
        <v>33</v>
      </c>
      <c r="CV148" s="156"/>
      <c r="DA148" s="156"/>
    </row>
    <row r="149" spans="1:105">
      <c r="A149" t="s">
        <v>490</v>
      </c>
      <c r="B149" s="11"/>
      <c r="C149" s="11"/>
      <c r="D149" s="11"/>
      <c r="E149" s="11"/>
      <c r="F149" s="11"/>
      <c r="G149" s="11"/>
      <c r="H149" s="190"/>
      <c r="I149" s="190"/>
      <c r="J149" s="190"/>
      <c r="K149" s="11"/>
      <c r="L149" s="11"/>
      <c r="M149" s="11"/>
      <c r="N149" s="190"/>
      <c r="O149" s="190"/>
      <c r="P149" s="190"/>
      <c r="Q149" s="190"/>
      <c r="R149" s="190"/>
      <c r="S149" s="190"/>
      <c r="T149" s="190"/>
      <c r="U149" s="190"/>
      <c r="V149" s="176"/>
      <c r="W149" s="176"/>
      <c r="X149" s="176"/>
      <c r="Y149" s="176"/>
      <c r="Z149" s="176"/>
      <c r="AA149" s="176"/>
      <c r="AC149" s="11"/>
      <c r="AD149" s="11"/>
      <c r="AE149" s="11"/>
      <c r="AF149" s="11"/>
      <c r="AG149" s="11"/>
      <c r="AH149" s="11"/>
      <c r="AI149" s="212"/>
      <c r="AJ149" s="176"/>
      <c r="AN149" t="s">
        <v>490</v>
      </c>
      <c r="AP149" s="412" t="s">
        <v>499</v>
      </c>
      <c r="AQ149" s="412"/>
      <c r="AR149" s="412" t="s">
        <v>500</v>
      </c>
      <c r="AS149" s="412"/>
      <c r="AT149" s="412" t="s">
        <v>501</v>
      </c>
      <c r="AU149" s="412"/>
      <c r="AV149" s="6"/>
      <c r="AW149" s="411" t="s">
        <v>376</v>
      </c>
      <c r="AX149" s="413"/>
      <c r="AY149" s="6">
        <f>AX150+AX165</f>
        <v>192.0722826684171</v>
      </c>
      <c r="BG149" s="190"/>
      <c r="BH149" s="188"/>
      <c r="BI149" s="176"/>
      <c r="CT149">
        <v>73</v>
      </c>
      <c r="CV149" s="156"/>
      <c r="DA149" s="156"/>
    </row>
    <row r="150" spans="1:105">
      <c r="B150" s="11" t="s">
        <v>376</v>
      </c>
      <c r="C150" s="11" t="s">
        <v>442</v>
      </c>
      <c r="D150" s="11" t="s">
        <v>376</v>
      </c>
      <c r="E150" s="11" t="s">
        <v>376</v>
      </c>
      <c r="F150" s="11" t="s">
        <v>376</v>
      </c>
      <c r="G150" s="11" t="s">
        <v>430</v>
      </c>
      <c r="H150" s="190" t="s">
        <v>430</v>
      </c>
      <c r="I150" s="190" t="s">
        <v>430</v>
      </c>
      <c r="J150" s="190" t="s">
        <v>413</v>
      </c>
      <c r="K150" s="11" t="s">
        <v>413</v>
      </c>
      <c r="L150" s="11" t="s">
        <v>413</v>
      </c>
      <c r="M150" s="11" t="s">
        <v>448</v>
      </c>
      <c r="N150" s="190" t="s">
        <v>448</v>
      </c>
      <c r="O150" s="190" t="s">
        <v>448</v>
      </c>
      <c r="P150" s="190" t="s">
        <v>431</v>
      </c>
      <c r="Q150" s="190" t="s">
        <v>431</v>
      </c>
      <c r="R150" s="190" t="s">
        <v>431</v>
      </c>
      <c r="S150" s="190" t="s">
        <v>410</v>
      </c>
      <c r="T150" s="190" t="s">
        <v>410</v>
      </c>
      <c r="U150" s="190" t="s">
        <v>410</v>
      </c>
      <c r="V150" s="176" t="s">
        <v>449</v>
      </c>
      <c r="W150" s="176" t="s">
        <v>449</v>
      </c>
      <c r="X150" s="176" t="s">
        <v>449</v>
      </c>
      <c r="Y150" s="176" t="s">
        <v>441</v>
      </c>
      <c r="Z150" s="176" t="s">
        <v>441</v>
      </c>
      <c r="AA150" s="176" t="s">
        <v>441</v>
      </c>
      <c r="AC150" s="11" t="s">
        <v>376</v>
      </c>
      <c r="AD150" s="11" t="s">
        <v>430</v>
      </c>
      <c r="AE150" s="11" t="s">
        <v>413</v>
      </c>
      <c r="AF150" s="11" t="s">
        <v>448</v>
      </c>
      <c r="AG150" s="11" t="s">
        <v>431</v>
      </c>
      <c r="AH150" s="11" t="s">
        <v>410</v>
      </c>
      <c r="AI150" s="212" t="s">
        <v>449</v>
      </c>
      <c r="AJ150" s="176" t="s">
        <v>441</v>
      </c>
      <c r="AP150" s="58" t="s">
        <v>455</v>
      </c>
      <c r="AQ150" s="177">
        <v>139.08039098772099</v>
      </c>
      <c r="AR150" s="177" t="s">
        <v>455</v>
      </c>
      <c r="AS150" s="177">
        <v>124.35504291578094</v>
      </c>
      <c r="AT150" s="177" t="s">
        <v>455</v>
      </c>
      <c r="AU150" s="177">
        <v>176.8227040993547</v>
      </c>
      <c r="AV150" s="6"/>
      <c r="AW150" s="177" t="s">
        <v>455</v>
      </c>
      <c r="AX150" s="177">
        <v>146.75271266761885</v>
      </c>
      <c r="AY150" s="6">
        <f>AX150-AX165</f>
        <v>101.4331426668206</v>
      </c>
      <c r="BA150" s="83" t="s">
        <v>535</v>
      </c>
      <c r="BB150" s="83" t="s">
        <v>536</v>
      </c>
      <c r="BC150" s="83" t="s">
        <v>537</v>
      </c>
      <c r="BD150" s="83" t="s">
        <v>532</v>
      </c>
      <c r="BE150" s="83" t="s">
        <v>533</v>
      </c>
      <c r="BF150" s="83" t="s">
        <v>534</v>
      </c>
      <c r="BG150" s="190"/>
      <c r="BH150" s="188"/>
      <c r="BI150" s="176"/>
      <c r="CT150">
        <v>140</v>
      </c>
      <c r="CV150" s="156"/>
      <c r="DA150" s="156"/>
    </row>
    <row r="151" spans="1:105">
      <c r="A151" t="s">
        <v>31</v>
      </c>
      <c r="B151" s="11">
        <v>3621</v>
      </c>
      <c r="C151" s="11">
        <v>278.53846153846155</v>
      </c>
      <c r="D151" s="11">
        <f>SUM(T2:T14)</f>
        <v>5834.539772727273</v>
      </c>
      <c r="E151" s="11">
        <f t="shared" ref="E151:F151" si="486">SUM(U2:U14)</f>
        <v>3927.7045454545455</v>
      </c>
      <c r="F151" s="11">
        <f t="shared" si="486"/>
        <v>9053.0602272727283</v>
      </c>
      <c r="G151" s="11">
        <f>MIN(T2:T14)</f>
        <v>0</v>
      </c>
      <c r="H151" s="11">
        <f t="shared" ref="H151" si="487">MIN(U2:U14)</f>
        <v>0</v>
      </c>
      <c r="I151" s="11">
        <f>MIN(V2:V14)</f>
        <v>0</v>
      </c>
      <c r="J151" s="190">
        <f>MAX(T2:T14)</f>
        <v>1978</v>
      </c>
      <c r="K151" s="190">
        <f t="shared" ref="K151:L151" si="488">MAX(U2:U14)</f>
        <v>1064</v>
      </c>
      <c r="L151" s="190">
        <f t="shared" si="488"/>
        <v>5142</v>
      </c>
      <c r="M151" s="11">
        <f>J151-G151</f>
        <v>1978</v>
      </c>
      <c r="N151" s="11">
        <f t="shared" ref="N151:O163" si="489">K151-H151</f>
        <v>1064</v>
      </c>
      <c r="O151" s="11">
        <f t="shared" si="489"/>
        <v>5142</v>
      </c>
      <c r="P151" s="190">
        <f>MEDIAN(T2:T14)</f>
        <v>60</v>
      </c>
      <c r="Q151" s="190">
        <f t="shared" ref="Q151:R151" si="490">MEDIAN(U2:U14)</f>
        <v>60</v>
      </c>
      <c r="R151" s="190">
        <f t="shared" si="490"/>
        <v>70</v>
      </c>
      <c r="S151" s="190">
        <f>MODE(T2:T14)</f>
        <v>1352</v>
      </c>
      <c r="T151" s="190">
        <f t="shared" ref="T151" si="491">MODE(U2:U14)</f>
        <v>1064</v>
      </c>
      <c r="U151" s="190">
        <f>MODE(V2:V14)</f>
        <v>724</v>
      </c>
      <c r="V151" s="176">
        <f>AVERAGEA(T2:T14)</f>
        <v>448.81075174825179</v>
      </c>
      <c r="W151" s="176">
        <f t="shared" ref="W151:X151" si="492">AVERAGEA(U2:U14)</f>
        <v>302.13111888111888</v>
      </c>
      <c r="X151" s="176">
        <f t="shared" si="492"/>
        <v>696.38924825174831</v>
      </c>
      <c r="Y151" s="176">
        <f>STDEVA(V2:V14)</f>
        <v>1383.6607726929187</v>
      </c>
      <c r="Z151" s="176">
        <f t="shared" ref="Z151:AA151" si="493">STDEVA(W2:W14)</f>
        <v>655.48840628132461</v>
      </c>
      <c r="AA151" s="176">
        <f t="shared" si="493"/>
        <v>631.93857483278862</v>
      </c>
      <c r="AC151" s="11">
        <f>SUM(T2:V14)</f>
        <v>18815.304545454546</v>
      </c>
      <c r="AD151" s="11">
        <f>MIN(T2:V14)</f>
        <v>0</v>
      </c>
      <c r="AE151" s="11">
        <f>MAX(T2:V14)</f>
        <v>5142</v>
      </c>
      <c r="AF151" s="11">
        <f>AE151-AD151</f>
        <v>5142</v>
      </c>
      <c r="AG151" s="11">
        <f>MEDIAN(T2:V14)</f>
        <v>60</v>
      </c>
      <c r="AH151" s="11">
        <f>MODE(T2:V14)</f>
        <v>0</v>
      </c>
      <c r="AI151" s="212">
        <f>AVERAGEA(T2:V14)</f>
        <v>482.44370629370633</v>
      </c>
      <c r="AJ151" s="176">
        <f>STDEVA(T2:V14)</f>
        <v>908.20187172616147</v>
      </c>
      <c r="AP151" s="58" t="s">
        <v>456</v>
      </c>
      <c r="AQ151" s="177">
        <v>30.748769573251259</v>
      </c>
      <c r="AR151" s="177" t="s">
        <v>456</v>
      </c>
      <c r="AS151" s="177">
        <v>22.000828850442893</v>
      </c>
      <c r="AT151" s="177" t="s">
        <v>456</v>
      </c>
      <c r="AU151" s="177">
        <v>57.958865631019023</v>
      </c>
      <c r="AV151" s="6"/>
      <c r="AW151" s="177" t="s">
        <v>456</v>
      </c>
      <c r="AX151" s="177">
        <v>23.021990265150631</v>
      </c>
      <c r="BA151" s="190">
        <v>30436.919318181819</v>
      </c>
      <c r="BB151" s="190">
        <v>36162.614772727276</v>
      </c>
      <c r="BC151" s="190">
        <v>43778.219318181815</v>
      </c>
      <c r="BD151" s="123">
        <f>D151/BA151</f>
        <v>0.1916928487976754</v>
      </c>
      <c r="BE151" s="123">
        <f t="shared" ref="BE151:BF151" si="494">E151/BB151</f>
        <v>0.10861229394332123</v>
      </c>
      <c r="BF151" s="123">
        <f t="shared" si="494"/>
        <v>0.20679370628290591</v>
      </c>
      <c r="BG151" s="190">
        <f t="shared" si="205"/>
        <v>36792.584469696965</v>
      </c>
      <c r="BH151" s="123">
        <f>AVERAGEA(BQ2:BS14)</f>
        <v>0.15720436655479766</v>
      </c>
      <c r="BI151" s="324">
        <f>STDEVPA(BQ2:BS14)</f>
        <v>0.1715520021224495</v>
      </c>
      <c r="CT151">
        <v>37</v>
      </c>
      <c r="CV151" s="156"/>
      <c r="DA151" s="156"/>
    </row>
    <row r="152" spans="1:105">
      <c r="A152" t="s">
        <v>36</v>
      </c>
      <c r="B152" s="11">
        <v>61</v>
      </c>
      <c r="C152" s="11">
        <v>30.5</v>
      </c>
      <c r="D152" s="11">
        <f>SUM(T15:T16)</f>
        <v>177</v>
      </c>
      <c r="E152" s="11">
        <f t="shared" ref="E152:F152" si="495">SUM(U15:U16)</f>
        <v>102</v>
      </c>
      <c r="F152" s="11">
        <f t="shared" si="495"/>
        <v>198</v>
      </c>
      <c r="G152" s="11">
        <f>MIN(T15:T16)</f>
        <v>0</v>
      </c>
      <c r="H152" s="11">
        <f t="shared" ref="H152:I152" si="496">MIN(U15:U16)</f>
        <v>0</v>
      </c>
      <c r="I152" s="11">
        <f t="shared" si="496"/>
        <v>0</v>
      </c>
      <c r="J152" s="190">
        <f>MAX(T15:T16)</f>
        <v>177</v>
      </c>
      <c r="K152" s="190">
        <f t="shared" ref="K152:L152" si="497">MAX(U15:U16)</f>
        <v>102</v>
      </c>
      <c r="L152" s="190">
        <f t="shared" si="497"/>
        <v>198</v>
      </c>
      <c r="M152" s="11">
        <f t="shared" ref="M152:M163" si="498">J152-G152</f>
        <v>177</v>
      </c>
      <c r="N152" s="11">
        <f t="shared" si="489"/>
        <v>102</v>
      </c>
      <c r="O152" s="11">
        <f t="shared" si="489"/>
        <v>198</v>
      </c>
      <c r="P152" s="190">
        <f>MEDIAN(T15:T16)</f>
        <v>88.5</v>
      </c>
      <c r="Q152" s="190">
        <f t="shared" ref="Q152:R152" si="499">MEDIAN(U15:U16)</f>
        <v>51</v>
      </c>
      <c r="R152" s="190">
        <f t="shared" si="499"/>
        <v>99</v>
      </c>
      <c r="S152" s="190" t="s">
        <v>437</v>
      </c>
      <c r="T152" s="190" t="s">
        <v>437</v>
      </c>
      <c r="U152" s="190" t="s">
        <v>437</v>
      </c>
      <c r="V152" s="176">
        <f>AVERAGEA(T15:T16)</f>
        <v>88.5</v>
      </c>
      <c r="W152" s="176">
        <f t="shared" ref="W152:X152" si="500">AVERAGEA(U15:U16)</f>
        <v>51</v>
      </c>
      <c r="X152" s="176">
        <f t="shared" si="500"/>
        <v>99</v>
      </c>
      <c r="Y152" s="176">
        <f>STDEVA(T15:T16)</f>
        <v>125.15790027001891</v>
      </c>
      <c r="Z152" s="176">
        <f t="shared" ref="Z152:AA152" si="501">STDEVA(U15:U16)</f>
        <v>72.124891681027847</v>
      </c>
      <c r="AA152" s="176">
        <f t="shared" si="501"/>
        <v>140.0071426749364</v>
      </c>
      <c r="AC152" s="11">
        <f>SUM(T15:V16)</f>
        <v>477</v>
      </c>
      <c r="AD152" s="11">
        <f>MIN(T15:V16)</f>
        <v>0</v>
      </c>
      <c r="AE152" s="11">
        <f>MAX(T15:V16)</f>
        <v>198</v>
      </c>
      <c r="AF152" s="11">
        <f t="shared" ref="AF152:AF163" si="502">AE152-AD152</f>
        <v>198</v>
      </c>
      <c r="AG152" s="11">
        <f>MEDIAN(T15:V16)</f>
        <v>51</v>
      </c>
      <c r="AH152" s="11">
        <f>MODE(T15:V16)</f>
        <v>0</v>
      </c>
      <c r="AI152" s="212">
        <f>AVERAGEA(T15:V16)</f>
        <v>79.5</v>
      </c>
      <c r="AJ152" s="176">
        <f>STDEVA(T15:V16)</f>
        <v>92.752897528864295</v>
      </c>
      <c r="AP152" s="58" t="s">
        <v>431</v>
      </c>
      <c r="AQ152" s="177">
        <v>54</v>
      </c>
      <c r="AR152" s="177" t="s">
        <v>431</v>
      </c>
      <c r="AS152" s="177">
        <v>37</v>
      </c>
      <c r="AT152" s="177" t="s">
        <v>431</v>
      </c>
      <c r="AU152" s="177">
        <v>43</v>
      </c>
      <c r="AV152" s="6"/>
      <c r="AW152" s="177" t="s">
        <v>431</v>
      </c>
      <c r="AX152" s="177">
        <v>47</v>
      </c>
      <c r="BA152" s="11">
        <v>269</v>
      </c>
      <c r="BB152" s="11">
        <v>1427</v>
      </c>
      <c r="BC152" s="11">
        <v>1842</v>
      </c>
      <c r="BD152" s="123">
        <f t="shared" ref="BD152:BD163" si="503">D152/BA152</f>
        <v>0.65799256505576209</v>
      </c>
      <c r="BE152" s="123">
        <f t="shared" ref="BE152:BE164" si="504">E152/BB152</f>
        <v>7.1478626489138053E-2</v>
      </c>
      <c r="BF152" s="123">
        <f t="shared" ref="BF152:BF164" si="505">F152/BC152</f>
        <v>0.10749185667752444</v>
      </c>
      <c r="BG152" s="190">
        <f t="shared" si="205"/>
        <v>1179.3333333333333</v>
      </c>
      <c r="BH152" s="123">
        <f>AVERAGEA(BQ15:BS16)</f>
        <v>0.14580408545631376</v>
      </c>
      <c r="BI152" s="324">
        <f>STDEVPA(BQ15:BS16)</f>
        <v>0.24873648990449623</v>
      </c>
      <c r="CT152">
        <v>131</v>
      </c>
      <c r="CV152" s="156"/>
      <c r="DA152" s="156"/>
    </row>
    <row r="153" spans="1:105">
      <c r="A153" t="s">
        <v>46</v>
      </c>
      <c r="B153" s="11">
        <v>21</v>
      </c>
      <c r="C153" s="11">
        <v>21</v>
      </c>
      <c r="D153" s="11">
        <f>SUM(T17)</f>
        <v>82</v>
      </c>
      <c r="E153" s="11">
        <f t="shared" ref="E153:F153" si="506">SUM(U17)</f>
        <v>24</v>
      </c>
      <c r="F153" s="11">
        <f t="shared" si="506"/>
        <v>65</v>
      </c>
      <c r="G153" s="11">
        <f>MIN(T17)</f>
        <v>82</v>
      </c>
      <c r="H153" s="11">
        <f t="shared" ref="H153:I153" si="507">MIN(U17)</f>
        <v>24</v>
      </c>
      <c r="I153" s="11">
        <f t="shared" si="507"/>
        <v>65</v>
      </c>
      <c r="J153" s="190">
        <f>MAX(T17)</f>
        <v>82</v>
      </c>
      <c r="K153" s="190">
        <f t="shared" ref="K153:L153" si="508">MAX(U17)</f>
        <v>24</v>
      </c>
      <c r="L153" s="190">
        <f t="shared" si="508"/>
        <v>65</v>
      </c>
      <c r="M153" s="11">
        <f t="shared" si="498"/>
        <v>0</v>
      </c>
      <c r="N153" s="11">
        <f t="shared" si="489"/>
        <v>0</v>
      </c>
      <c r="O153" s="11">
        <f t="shared" si="489"/>
        <v>0</v>
      </c>
      <c r="P153" s="190">
        <f>MEDIAN(T17)</f>
        <v>82</v>
      </c>
      <c r="Q153" s="190">
        <f t="shared" ref="Q153:R153" si="509">MEDIAN(U17)</f>
        <v>24</v>
      </c>
      <c r="R153" s="190">
        <f t="shared" si="509"/>
        <v>65</v>
      </c>
      <c r="S153" s="190" t="s">
        <v>437</v>
      </c>
      <c r="T153" s="190" t="s">
        <v>437</v>
      </c>
      <c r="U153" s="190" t="s">
        <v>437</v>
      </c>
      <c r="V153" s="176">
        <f>AVERAGEA(T17)</f>
        <v>82</v>
      </c>
      <c r="W153" s="176">
        <f t="shared" ref="W153:X153" si="510">AVERAGEA(U17)</f>
        <v>24</v>
      </c>
      <c r="X153" s="176">
        <f t="shared" si="510"/>
        <v>65</v>
      </c>
      <c r="Y153" s="176">
        <f>STDEVPA(T17)</f>
        <v>0</v>
      </c>
      <c r="Z153" s="176">
        <f t="shared" ref="Z153:AA153" si="511">STDEVPA(U17)</f>
        <v>0</v>
      </c>
      <c r="AA153" s="176">
        <f t="shared" si="511"/>
        <v>0</v>
      </c>
      <c r="AC153" s="11">
        <f>SUM(T17:V17)</f>
        <v>171</v>
      </c>
      <c r="AD153" s="11">
        <f>MIN(T17:V17)</f>
        <v>24</v>
      </c>
      <c r="AE153" s="11">
        <f>MAX(T17:V17)</f>
        <v>82</v>
      </c>
      <c r="AF153" s="11">
        <f t="shared" si="502"/>
        <v>58</v>
      </c>
      <c r="AG153" s="11">
        <f>MEDIAN(T17:V17)</f>
        <v>65</v>
      </c>
      <c r="AH153" s="11" t="s">
        <v>437</v>
      </c>
      <c r="AI153" s="212">
        <f>AVERAGEA(T17:V17)</f>
        <v>57</v>
      </c>
      <c r="AJ153" s="176">
        <f>STDEVA(T17:V17)</f>
        <v>29.816103031751148</v>
      </c>
      <c r="AP153" s="58" t="s">
        <v>457</v>
      </c>
      <c r="AQ153" s="177">
        <v>0</v>
      </c>
      <c r="AR153" s="177" t="s">
        <v>457</v>
      </c>
      <c r="AS153" s="177">
        <v>0</v>
      </c>
      <c r="AT153" s="177" t="s">
        <v>457</v>
      </c>
      <c r="AU153" s="177">
        <v>0</v>
      </c>
      <c r="AV153" s="6"/>
      <c r="AW153" s="177" t="s">
        <v>457</v>
      </c>
      <c r="AX153" s="177">
        <v>0</v>
      </c>
      <c r="BA153" s="11">
        <v>115</v>
      </c>
      <c r="BB153" s="11">
        <v>57</v>
      </c>
      <c r="BC153" s="11">
        <v>148</v>
      </c>
      <c r="BD153" s="123">
        <f t="shared" si="503"/>
        <v>0.71304347826086956</v>
      </c>
      <c r="BE153" s="123">
        <f t="shared" si="504"/>
        <v>0.42105263157894735</v>
      </c>
      <c r="BF153" s="123">
        <f t="shared" si="505"/>
        <v>0.4391891891891892</v>
      </c>
      <c r="BG153" s="190">
        <f t="shared" si="205"/>
        <v>106.66666666666667</v>
      </c>
      <c r="BH153" s="123">
        <f>AVERAGEA(BQ17:BS17)</f>
        <v>0.52442843300966868</v>
      </c>
      <c r="BI153" s="324">
        <f>STDEVPA(BQ17:BS17)</f>
        <v>0.13357634559013287</v>
      </c>
      <c r="CT153">
        <v>330</v>
      </c>
      <c r="CV153" s="156"/>
      <c r="DA153" s="156"/>
    </row>
    <row r="154" spans="1:105">
      <c r="A154" t="s">
        <v>37</v>
      </c>
      <c r="B154" s="11">
        <v>1755</v>
      </c>
      <c r="C154" s="11">
        <v>175.5</v>
      </c>
      <c r="D154" s="11">
        <f>SUM(T18:T27)</f>
        <v>510.8804827704833</v>
      </c>
      <c r="E154" s="11">
        <f t="shared" ref="E154:F154" si="512">SUM(U18:U27)</f>
        <v>1340.3873631099134</v>
      </c>
      <c r="F154" s="11">
        <f t="shared" si="512"/>
        <v>1106.7497849893928</v>
      </c>
      <c r="G154" s="11">
        <f>MIN(T18:T27)</f>
        <v>0</v>
      </c>
      <c r="H154" s="11">
        <f t="shared" ref="H154:I154" si="513">MIN(U18:U27)</f>
        <v>0</v>
      </c>
      <c r="I154" s="11">
        <f t="shared" si="513"/>
        <v>0</v>
      </c>
      <c r="J154" s="190">
        <f>MAX(T18:T27)</f>
        <v>168</v>
      </c>
      <c r="K154" s="190">
        <f t="shared" ref="K154:L154" si="514">MAX(U18:U27)</f>
        <v>595</v>
      </c>
      <c r="L154" s="190">
        <f t="shared" si="514"/>
        <v>699</v>
      </c>
      <c r="M154" s="11">
        <f t="shared" si="498"/>
        <v>168</v>
      </c>
      <c r="N154" s="11">
        <f t="shared" si="489"/>
        <v>595</v>
      </c>
      <c r="O154" s="11">
        <f t="shared" si="489"/>
        <v>699</v>
      </c>
      <c r="P154" s="190">
        <f>MEDIAN(T18:T27)</f>
        <v>24.636503067484664</v>
      </c>
      <c r="Q154" s="190">
        <f t="shared" ref="Q154:R154" si="515">MEDIAN(U18:U27)</f>
        <v>45.528037383177569</v>
      </c>
      <c r="R154" s="190">
        <f t="shared" si="515"/>
        <v>30.242990654205606</v>
      </c>
      <c r="S154" s="190">
        <f>MODE(T18:T27)</f>
        <v>0</v>
      </c>
      <c r="T154" s="190">
        <f t="shared" ref="T154:U154" si="516">MODE(U18:U27)</f>
        <v>0</v>
      </c>
      <c r="U154" s="190">
        <f t="shared" si="516"/>
        <v>0</v>
      </c>
      <c r="V154" s="176">
        <f>AVERAGEA(T18:T27)</f>
        <v>51.08804827704833</v>
      </c>
      <c r="W154" s="176">
        <f t="shared" ref="W154:X154" si="517">AVERAGEA(U18:U27)</f>
        <v>134.03873631099134</v>
      </c>
      <c r="X154" s="176">
        <f t="shared" si="517"/>
        <v>110.67497849893928</v>
      </c>
      <c r="Y154" s="176">
        <f>STDEVA(T18:T27)</f>
        <v>64.668179506964464</v>
      </c>
      <c r="Z154" s="176">
        <f t="shared" ref="Z154:AA154" si="518">STDEVA(U18:U27)</f>
        <v>188.90055249897151</v>
      </c>
      <c r="AA154" s="176">
        <f t="shared" si="518"/>
        <v>213.9420799061092</v>
      </c>
      <c r="AC154" s="11">
        <f>SUM(T18:V27)</f>
        <v>2958.0176308697892</v>
      </c>
      <c r="AD154" s="11">
        <f>MIN(T18:V27)</f>
        <v>0</v>
      </c>
      <c r="AE154" s="11">
        <f>MAX(T18:V27)</f>
        <v>699</v>
      </c>
      <c r="AF154" s="11">
        <f t="shared" si="502"/>
        <v>699</v>
      </c>
      <c r="AG154" s="11">
        <f>MEDIAN(T18:V27)</f>
        <v>45.528037383177569</v>
      </c>
      <c r="AH154" s="11">
        <f>MODE(T18:V27)</f>
        <v>0</v>
      </c>
      <c r="AI154" s="212">
        <f>AVERAGEA(T18:V27)</f>
        <v>98.600587695659641</v>
      </c>
      <c r="AJ154" s="176">
        <f>STDEVA(T18:V27)</f>
        <v>166.84913673973003</v>
      </c>
      <c r="AP154" s="58" t="s">
        <v>458</v>
      </c>
      <c r="AQ154" s="177">
        <v>296.53039509468152</v>
      </c>
      <c r="AR154" s="177" t="s">
        <v>458</v>
      </c>
      <c r="AS154" s="177">
        <v>212.16830988604937</v>
      </c>
      <c r="AT154" s="177" t="s">
        <v>458</v>
      </c>
      <c r="AU154" s="177">
        <v>558.93505864886504</v>
      </c>
      <c r="AV154" s="6"/>
      <c r="AW154" s="177" t="s">
        <v>458</v>
      </c>
      <c r="AX154" s="177">
        <v>384.54305087917612</v>
      </c>
      <c r="BA154" s="11">
        <v>10595.616679089502</v>
      </c>
      <c r="BB154" s="11">
        <v>14464.064990539533</v>
      </c>
      <c r="BC154" s="11">
        <v>15286.240181182273</v>
      </c>
      <c r="BD154" s="123">
        <f t="shared" si="503"/>
        <v>4.8216210367321821E-2</v>
      </c>
      <c r="BE154" s="123">
        <f t="shared" si="504"/>
        <v>9.2670170106855604E-2</v>
      </c>
      <c r="BF154" s="123">
        <f t="shared" si="505"/>
        <v>7.2401700606001748E-2</v>
      </c>
      <c r="BG154" s="190">
        <f t="shared" si="205"/>
        <v>13448.640616937102</v>
      </c>
      <c r="BH154" s="123">
        <f>AVERAGEA(BQ18:BS27)</f>
        <v>8.8439328860703423E-2</v>
      </c>
      <c r="BI154" s="324">
        <f>STDEVPA(BQ18:BS27)</f>
        <v>0.15605967064410881</v>
      </c>
      <c r="CT154">
        <v>30</v>
      </c>
      <c r="CV154" s="156"/>
      <c r="DA154" s="156"/>
    </row>
    <row r="155" spans="1:105">
      <c r="A155" t="s">
        <v>38</v>
      </c>
      <c r="B155" s="11">
        <v>7329</v>
      </c>
      <c r="C155" s="11">
        <v>155.93617021276594</v>
      </c>
      <c r="D155" s="11">
        <f>SUM(T28:T74)</f>
        <v>4820.9266666666663</v>
      </c>
      <c r="E155" s="11">
        <f t="shared" ref="E155:F155" si="519">SUM(U28:U74)</f>
        <v>4606.9555555555562</v>
      </c>
      <c r="F155" s="11">
        <f t="shared" si="519"/>
        <v>4577.2144444444439</v>
      </c>
      <c r="G155" s="11">
        <f>MIN(T28:T74)</f>
        <v>0</v>
      </c>
      <c r="H155" s="11">
        <f t="shared" ref="H155:I155" si="520">MIN(U28:U74)</f>
        <v>0</v>
      </c>
      <c r="I155" s="11">
        <f t="shared" si="520"/>
        <v>0</v>
      </c>
      <c r="J155" s="190">
        <f>MAX(T28:T74)</f>
        <v>683.66666666666663</v>
      </c>
      <c r="K155" s="190">
        <f t="shared" ref="K155:L155" si="521">MAX(U28:U74)</f>
        <v>792</v>
      </c>
      <c r="L155" s="190">
        <f t="shared" si="521"/>
        <v>504</v>
      </c>
      <c r="M155" s="11">
        <f t="shared" si="498"/>
        <v>683.66666666666663</v>
      </c>
      <c r="N155" s="11">
        <f t="shared" si="489"/>
        <v>792</v>
      </c>
      <c r="O155" s="11">
        <f t="shared" si="489"/>
        <v>504</v>
      </c>
      <c r="P155" s="190">
        <f>MEDIAN(T28:T74)</f>
        <v>55</v>
      </c>
      <c r="Q155" s="190">
        <f t="shared" ref="Q155:R155" si="522">MEDIAN(U28:U74)</f>
        <v>37</v>
      </c>
      <c r="R155" s="190">
        <f t="shared" si="522"/>
        <v>43</v>
      </c>
      <c r="S155" s="190">
        <f>MODE(T28:T74)</f>
        <v>0</v>
      </c>
      <c r="T155" s="190">
        <f t="shared" ref="T155:U155" si="523">MODE(U28:U74)</f>
        <v>0</v>
      </c>
      <c r="U155" s="190">
        <f t="shared" si="523"/>
        <v>0</v>
      </c>
      <c r="V155" s="176">
        <f>AVERAGEA(T28:T74)</f>
        <v>102.57290780141844</v>
      </c>
      <c r="W155" s="176">
        <f t="shared" ref="W155:X155" si="524">AVERAGEA(U28:U74)</f>
        <v>98.02033096926715</v>
      </c>
      <c r="X155" s="176">
        <f t="shared" si="524"/>
        <v>97.387541371158378</v>
      </c>
      <c r="Y155" s="176">
        <f>STDEVA(T28:T74)</f>
        <v>149.15111043427177</v>
      </c>
      <c r="Z155" s="176">
        <f t="shared" ref="Z155:AA155" si="525">STDEVA(U28:U74)</f>
        <v>150.32159441082047</v>
      </c>
      <c r="AA155" s="176">
        <f t="shared" si="525"/>
        <v>134.04519610775748</v>
      </c>
      <c r="AC155" s="11">
        <f>SUM(T28:V74)</f>
        <v>14005.096666666666</v>
      </c>
      <c r="AD155" s="11">
        <f>MIN(T28:V74)</f>
        <v>0</v>
      </c>
      <c r="AE155" s="11">
        <f>MAX(T28:V74)</f>
        <v>792</v>
      </c>
      <c r="AF155" s="11">
        <f t="shared" si="502"/>
        <v>792</v>
      </c>
      <c r="AG155" s="11">
        <f>MEDIAN(T28:V74)</f>
        <v>48</v>
      </c>
      <c r="AH155" s="11">
        <f>MODE(T28:V74)</f>
        <v>0</v>
      </c>
      <c r="AI155" s="212">
        <f>AVERAGEA(T28:V74)</f>
        <v>99.326926713947984</v>
      </c>
      <c r="AJ155" s="176">
        <f>STDEVA(T28:V74)</f>
        <v>143.67738488349553</v>
      </c>
      <c r="AP155" s="58" t="s">
        <v>459</v>
      </c>
      <c r="AQ155" s="177">
        <v>87930.275215007932</v>
      </c>
      <c r="AR155" s="177" t="s">
        <v>459</v>
      </c>
      <c r="AS155" s="177">
        <v>45015.391719902676</v>
      </c>
      <c r="AT155" s="177" t="s">
        <v>459</v>
      </c>
      <c r="AU155" s="177">
        <v>312408.39978681016</v>
      </c>
      <c r="AV155" s="6"/>
      <c r="AW155" s="177" t="s">
        <v>459</v>
      </c>
      <c r="AX155" s="177">
        <v>147873.35797946464</v>
      </c>
      <c r="BA155" s="11">
        <v>40432.555555555555</v>
      </c>
      <c r="BB155" s="11">
        <v>46784.662222222221</v>
      </c>
      <c r="BC155" s="11">
        <v>46705.878888888888</v>
      </c>
      <c r="BD155" s="123">
        <f t="shared" si="503"/>
        <v>0.11923378575570291</v>
      </c>
      <c r="BE155" s="123">
        <f t="shared" si="504"/>
        <v>9.8471493364064536E-2</v>
      </c>
      <c r="BF155" s="123">
        <f t="shared" si="505"/>
        <v>9.8000820310724143E-2</v>
      </c>
      <c r="BG155" s="190">
        <f t="shared" si="205"/>
        <v>44641.032222222224</v>
      </c>
      <c r="BH155" s="123">
        <f>AVERAGEA(BQ28:BS74)</f>
        <v>0.13959985146764151</v>
      </c>
      <c r="BI155" s="324">
        <f>STDEVPA(BQ28:BS74)</f>
        <v>0.174020425980009</v>
      </c>
      <c r="CT155">
        <v>26</v>
      </c>
      <c r="CV155" s="156"/>
      <c r="DA155" s="156"/>
    </row>
    <row r="156" spans="1:105">
      <c r="A156" t="s">
        <v>39</v>
      </c>
      <c r="B156" s="11">
        <v>95</v>
      </c>
      <c r="C156" s="11">
        <v>95</v>
      </c>
      <c r="D156" s="11">
        <f>SUM(T75)</f>
        <v>0</v>
      </c>
      <c r="E156" s="11">
        <f t="shared" ref="E156:F156" si="526">SUM(U75)</f>
        <v>0</v>
      </c>
      <c r="F156" s="11">
        <f t="shared" si="526"/>
        <v>0</v>
      </c>
      <c r="G156" s="11">
        <f>MIN(T75)</f>
        <v>0</v>
      </c>
      <c r="H156" s="11">
        <f t="shared" ref="H156:I156" si="527">MIN(U75)</f>
        <v>0</v>
      </c>
      <c r="I156" s="11">
        <f t="shared" si="527"/>
        <v>0</v>
      </c>
      <c r="J156" s="190">
        <f>MAX(T75)</f>
        <v>0</v>
      </c>
      <c r="K156" s="190">
        <f t="shared" ref="K156:L156" si="528">MAX(U75)</f>
        <v>0</v>
      </c>
      <c r="L156" s="190">
        <f t="shared" si="528"/>
        <v>0</v>
      </c>
      <c r="M156" s="11">
        <f t="shared" si="498"/>
        <v>0</v>
      </c>
      <c r="N156" s="11">
        <f t="shared" si="489"/>
        <v>0</v>
      </c>
      <c r="O156" s="11">
        <f t="shared" si="489"/>
        <v>0</v>
      </c>
      <c r="P156" s="190">
        <f>MEDIAN(T75)</f>
        <v>0</v>
      </c>
      <c r="Q156" s="190">
        <f t="shared" ref="Q156:R156" si="529">MEDIAN(U75)</f>
        <v>0</v>
      </c>
      <c r="R156" s="190">
        <f t="shared" si="529"/>
        <v>0</v>
      </c>
      <c r="S156" s="190" t="s">
        <v>437</v>
      </c>
      <c r="T156" s="190" t="s">
        <v>437</v>
      </c>
      <c r="U156" s="190" t="s">
        <v>437</v>
      </c>
      <c r="V156" s="176">
        <f>AVERAGEA(T75)</f>
        <v>0</v>
      </c>
      <c r="W156" s="176">
        <f t="shared" ref="W156:X156" si="530">AVERAGEA(U75)</f>
        <v>0</v>
      </c>
      <c r="X156" s="176">
        <f t="shared" si="530"/>
        <v>0</v>
      </c>
      <c r="Y156" s="176">
        <f>STDEVPA(T75)</f>
        <v>0</v>
      </c>
      <c r="Z156" s="176">
        <f t="shared" ref="Z156:AA156" si="531">STDEVPA(U75)</f>
        <v>0</v>
      </c>
      <c r="AA156" s="176">
        <f t="shared" si="531"/>
        <v>0</v>
      </c>
      <c r="AC156" s="11">
        <f>SUM(T75:V75)</f>
        <v>0</v>
      </c>
      <c r="AD156" s="11">
        <f>MIN(T75:V75)</f>
        <v>0</v>
      </c>
      <c r="AE156" s="11">
        <f>MAX(T75:V75)</f>
        <v>0</v>
      </c>
      <c r="AF156" s="11">
        <f t="shared" si="502"/>
        <v>0</v>
      </c>
      <c r="AG156" s="11">
        <f>MEDIAN(T75:V75)</f>
        <v>0</v>
      </c>
      <c r="AH156" s="11">
        <f>MODE(T75:V75)</f>
        <v>0</v>
      </c>
      <c r="AI156" s="212">
        <f>AVERAGEA(T75:V75)</f>
        <v>0</v>
      </c>
      <c r="AJ156" s="176">
        <f>STDEVA(T75:V75)</f>
        <v>0</v>
      </c>
      <c r="AP156" s="58" t="s">
        <v>460</v>
      </c>
      <c r="AQ156" s="177">
        <v>20.835836396481554</v>
      </c>
      <c r="AR156" s="177" t="s">
        <v>460</v>
      </c>
      <c r="AS156" s="177">
        <v>8.337351430894218</v>
      </c>
      <c r="AT156" s="177" t="s">
        <v>460</v>
      </c>
      <c r="AU156" s="177">
        <v>69.248555571389787</v>
      </c>
      <c r="AV156" s="6"/>
      <c r="AW156" s="177" t="s">
        <v>460</v>
      </c>
      <c r="AX156" s="177">
        <v>104.72511326710296</v>
      </c>
      <c r="BA156" s="11">
        <v>461</v>
      </c>
      <c r="BB156" s="11">
        <v>569</v>
      </c>
      <c r="BC156" s="11">
        <v>524</v>
      </c>
      <c r="BD156" s="123">
        <f t="shared" si="503"/>
        <v>0</v>
      </c>
      <c r="BE156" s="123">
        <f t="shared" si="504"/>
        <v>0</v>
      </c>
      <c r="BF156" s="123">
        <f t="shared" si="505"/>
        <v>0</v>
      </c>
      <c r="BG156" s="190">
        <f t="shared" si="205"/>
        <v>518</v>
      </c>
      <c r="BH156" s="123">
        <f t="shared" si="315"/>
        <v>0</v>
      </c>
      <c r="BI156" s="324">
        <f>STDEVPA(BQ75:BS75)</f>
        <v>0</v>
      </c>
      <c r="CT156">
        <v>14</v>
      </c>
      <c r="CV156" s="156"/>
      <c r="DA156" s="156"/>
    </row>
    <row r="157" spans="1:105">
      <c r="A157" t="s">
        <v>40</v>
      </c>
      <c r="B157" s="11">
        <v>50</v>
      </c>
      <c r="C157" s="11">
        <v>50</v>
      </c>
      <c r="D157" s="11">
        <f>SUM(T76)</f>
        <v>205</v>
      </c>
      <c r="E157" s="11">
        <f t="shared" ref="E157:F157" si="532">SUM(U76)</f>
        <v>123</v>
      </c>
      <c r="F157" s="11">
        <f t="shared" si="532"/>
        <v>62</v>
      </c>
      <c r="G157" s="11">
        <f>MIN(T76)</f>
        <v>205</v>
      </c>
      <c r="H157" s="11">
        <f t="shared" ref="H157:I157" si="533">MIN(U76)</f>
        <v>123</v>
      </c>
      <c r="I157" s="11">
        <f t="shared" si="533"/>
        <v>62</v>
      </c>
      <c r="J157" s="190">
        <f>MAX(T76)</f>
        <v>205</v>
      </c>
      <c r="K157" s="190">
        <f t="shared" ref="K157:L157" si="534">MAX(U76)</f>
        <v>123</v>
      </c>
      <c r="L157" s="190">
        <f t="shared" si="534"/>
        <v>62</v>
      </c>
      <c r="M157" s="11">
        <f t="shared" si="498"/>
        <v>0</v>
      </c>
      <c r="N157" s="11">
        <f t="shared" si="489"/>
        <v>0</v>
      </c>
      <c r="O157" s="11">
        <f t="shared" si="489"/>
        <v>0</v>
      </c>
      <c r="P157" s="190">
        <f>MEDIAN(T76)</f>
        <v>205</v>
      </c>
      <c r="Q157" s="190">
        <f t="shared" ref="Q157:R157" si="535">MEDIAN(U76)</f>
        <v>123</v>
      </c>
      <c r="R157" s="190">
        <f t="shared" si="535"/>
        <v>62</v>
      </c>
      <c r="S157" s="190" t="s">
        <v>437</v>
      </c>
      <c r="T157" s="190" t="s">
        <v>437</v>
      </c>
      <c r="U157" s="190" t="s">
        <v>437</v>
      </c>
      <c r="V157" s="176">
        <f>AVERAGEA(T76)</f>
        <v>205</v>
      </c>
      <c r="W157" s="176">
        <f t="shared" ref="W157:X157" si="536">AVERAGEA(U76)</f>
        <v>123</v>
      </c>
      <c r="X157" s="176">
        <f t="shared" si="536"/>
        <v>62</v>
      </c>
      <c r="Y157" s="176">
        <f>STDEVPA(T76)</f>
        <v>0</v>
      </c>
      <c r="Z157" s="176">
        <f t="shared" ref="Z157:AA157" si="537">STDEVPA(U76)</f>
        <v>0</v>
      </c>
      <c r="AA157" s="176">
        <f t="shared" si="537"/>
        <v>0</v>
      </c>
      <c r="AC157" s="11">
        <f>SUM(T76:V76)</f>
        <v>390</v>
      </c>
      <c r="AD157" s="11">
        <f>MIN(T76:V76)</f>
        <v>62</v>
      </c>
      <c r="AE157" s="11">
        <f>MAX(T76:V76)</f>
        <v>205</v>
      </c>
      <c r="AF157" s="11">
        <f t="shared" si="502"/>
        <v>143</v>
      </c>
      <c r="AG157" s="11">
        <f>MEDIAN(T76:V76)</f>
        <v>123</v>
      </c>
      <c r="AH157" s="11" t="s">
        <v>437</v>
      </c>
      <c r="AI157" s="212">
        <f>AVERAGEA(T76:V76)</f>
        <v>130</v>
      </c>
      <c r="AJ157" s="176">
        <f>STDEVA(T76:V76)</f>
        <v>71.756532803640951</v>
      </c>
      <c r="AP157" s="58" t="s">
        <v>461</v>
      </c>
      <c r="AQ157" s="177">
        <v>4.2931000837930995</v>
      </c>
      <c r="AR157" s="177" t="s">
        <v>461</v>
      </c>
      <c r="AS157" s="177">
        <v>2.7843126675692678</v>
      </c>
      <c r="AT157" s="177" t="s">
        <v>461</v>
      </c>
      <c r="AU157" s="177">
        <v>7.8574954574137692</v>
      </c>
      <c r="AV157" s="6"/>
      <c r="AW157" s="177" t="s">
        <v>461</v>
      </c>
      <c r="AX157" s="177">
        <v>8.7999958094776325</v>
      </c>
      <c r="BA157" s="11">
        <v>230</v>
      </c>
      <c r="BB157" s="11">
        <v>163</v>
      </c>
      <c r="BC157" s="11">
        <v>172</v>
      </c>
      <c r="BD157" s="123">
        <f t="shared" si="503"/>
        <v>0.89130434782608692</v>
      </c>
      <c r="BE157" s="123">
        <f t="shared" si="504"/>
        <v>0.754601226993865</v>
      </c>
      <c r="BF157" s="123">
        <f t="shared" si="505"/>
        <v>0.36046511627906974</v>
      </c>
      <c r="BG157" s="190">
        <f t="shared" si="205"/>
        <v>188.33333333333334</v>
      </c>
      <c r="BH157" s="123">
        <f>AVERAGEA(BQ76:BS76)</f>
        <v>0.66879023036634067</v>
      </c>
      <c r="BI157" s="324">
        <f>STDEVPA(BQ76:BS76)</f>
        <v>0.2250484655861392</v>
      </c>
      <c r="CT157">
        <v>36</v>
      </c>
      <c r="CV157" s="156"/>
      <c r="DA157" s="156"/>
    </row>
    <row r="158" spans="1:105">
      <c r="A158" t="s">
        <v>41</v>
      </c>
      <c r="B158" s="11">
        <v>221</v>
      </c>
      <c r="C158" s="11">
        <v>55.25</v>
      </c>
      <c r="D158" s="11">
        <f>SUM(T77:T80)</f>
        <v>85.344845099035041</v>
      </c>
      <c r="E158" s="11">
        <f t="shared" ref="E158:F158" si="538">SUM(U77:U80)</f>
        <v>36.156932453021838</v>
      </c>
      <c r="F158" s="11">
        <f t="shared" si="538"/>
        <v>13.327069578466226</v>
      </c>
      <c r="G158" s="11">
        <f>MIN(T77:T80)</f>
        <v>0</v>
      </c>
      <c r="H158" s="11">
        <f t="shared" ref="H158:I158" si="539">MIN(U77:U80)</f>
        <v>0</v>
      </c>
      <c r="I158" s="11">
        <f t="shared" si="539"/>
        <v>0</v>
      </c>
      <c r="J158" s="190">
        <f>MAX(T77:T80)</f>
        <v>60</v>
      </c>
      <c r="K158" s="190">
        <f t="shared" ref="K158:L158" si="540">MAX(U77:U80)</f>
        <v>19.156932453021838</v>
      </c>
      <c r="L158" s="190">
        <f t="shared" si="540"/>
        <v>9</v>
      </c>
      <c r="M158" s="11">
        <f t="shared" si="498"/>
        <v>60</v>
      </c>
      <c r="N158" s="11">
        <f t="shared" si="489"/>
        <v>19.156932453021838</v>
      </c>
      <c r="O158" s="11">
        <f t="shared" si="489"/>
        <v>9</v>
      </c>
      <c r="P158" s="190">
        <f>MEDIAN(T77:T80)</f>
        <v>12.67242254951752</v>
      </c>
      <c r="Q158" s="190">
        <f t="shared" ref="Q158:R158" si="541">MEDIAN(U77:U80)</f>
        <v>8.5</v>
      </c>
      <c r="R158" s="190">
        <f t="shared" si="541"/>
        <v>2.1635347892331134</v>
      </c>
      <c r="S158" s="190" t="s">
        <v>437</v>
      </c>
      <c r="T158" s="190">
        <f t="shared" ref="T158:U158" si="542">MODE(U77:U80)</f>
        <v>0</v>
      </c>
      <c r="U158" s="190">
        <f t="shared" si="542"/>
        <v>0</v>
      </c>
      <c r="V158" s="176">
        <f>AVERAGEA(T77:T80)</f>
        <v>21.33621127475876</v>
      </c>
      <c r="W158" s="176">
        <f t="shared" ref="W158:X158" si="543">AVERAGEA(U77:U80)</f>
        <v>9.0392331132554595</v>
      </c>
      <c r="X158" s="176">
        <f t="shared" si="543"/>
        <v>3.3317673946165565</v>
      </c>
      <c r="Y158" s="176">
        <f>STDEVA(T77:T80)</f>
        <v>26.598185926114006</v>
      </c>
      <c r="Z158" s="176">
        <f t="shared" ref="Z158:AA158" si="544">STDEVA(U77:U80)</f>
        <v>10.474685673987953</v>
      </c>
      <c r="AA158" s="176">
        <f t="shared" si="544"/>
        <v>4.2942145284699782</v>
      </c>
      <c r="AC158" s="11">
        <f>SUM(T77:V80)</f>
        <v>134.82884713052312</v>
      </c>
      <c r="AD158" s="11">
        <f>MIN(T77:V80)</f>
        <v>0</v>
      </c>
      <c r="AE158" s="11">
        <f>MAX(T77:V80)</f>
        <v>60</v>
      </c>
      <c r="AF158" s="11">
        <f t="shared" si="502"/>
        <v>60</v>
      </c>
      <c r="AG158" s="11">
        <f>MEDIAN(T77:V80)</f>
        <v>6.6635347892331129</v>
      </c>
      <c r="AH158" s="11">
        <f>MODE(T77:V80)</f>
        <v>0</v>
      </c>
      <c r="AI158" s="212">
        <f>AVERAGEA(T77:V80)</f>
        <v>11.235737260876926</v>
      </c>
      <c r="AJ158" s="176">
        <f>STDEVA(T77:V80)</f>
        <v>17.013727667349283</v>
      </c>
      <c r="AP158" s="58" t="s">
        <v>462</v>
      </c>
      <c r="AQ158" s="177">
        <v>1978</v>
      </c>
      <c r="AR158" s="177" t="s">
        <v>462</v>
      </c>
      <c r="AS158" s="177">
        <v>1064</v>
      </c>
      <c r="AT158" s="177" t="s">
        <v>462</v>
      </c>
      <c r="AU158" s="177">
        <v>5142</v>
      </c>
      <c r="AV158" s="6"/>
      <c r="AW158" s="177" t="s">
        <v>462</v>
      </c>
      <c r="AX158" s="177">
        <v>5142</v>
      </c>
      <c r="BA158" s="11">
        <v>961.73184357541902</v>
      </c>
      <c r="BB158" s="11">
        <v>1110.7308278313865</v>
      </c>
      <c r="BC158" s="11">
        <v>1531.4433722701879</v>
      </c>
      <c r="BD158" s="123">
        <f t="shared" si="503"/>
        <v>8.8740791592955393E-2</v>
      </c>
      <c r="BE158" s="123">
        <f t="shared" si="504"/>
        <v>3.2552380421110097E-2</v>
      </c>
      <c r="BF158" s="123">
        <f t="shared" si="505"/>
        <v>8.7022934179475306E-3</v>
      </c>
      <c r="BG158" s="190">
        <f t="shared" si="205"/>
        <v>1201.3020145589978</v>
      </c>
      <c r="BH158" s="123">
        <f>AVERAGEA(BQ77:BS80)</f>
        <v>5.1446345922082498E-2</v>
      </c>
      <c r="BI158" s="324">
        <f>STDEVPA(BQ77:BS80)</f>
        <v>8.1319197312866159E-2</v>
      </c>
      <c r="CT158">
        <v>9</v>
      </c>
      <c r="CV158" s="156"/>
      <c r="DA158" s="156"/>
    </row>
    <row r="159" spans="1:105">
      <c r="A159" t="s">
        <v>34</v>
      </c>
      <c r="B159" s="11">
        <v>880</v>
      </c>
      <c r="C159" s="11">
        <v>220</v>
      </c>
      <c r="D159" s="11">
        <f>SUM(T81:T84)</f>
        <v>282.11</v>
      </c>
      <c r="E159" s="11">
        <f t="shared" ref="E159:F159" si="545">SUM(U81:U84)</f>
        <v>553.38</v>
      </c>
      <c r="F159" s="11">
        <f t="shared" si="545"/>
        <v>667.06</v>
      </c>
      <c r="G159" s="11">
        <f>MIN(T81:T84)</f>
        <v>0</v>
      </c>
      <c r="H159" s="11">
        <f t="shared" ref="H159:I159" si="546">MIN(U81:U84)</f>
        <v>0</v>
      </c>
      <c r="I159" s="11">
        <f t="shared" si="546"/>
        <v>0</v>
      </c>
      <c r="J159" s="190">
        <f>MAX(T81:T84)</f>
        <v>160.10999999999999</v>
      </c>
      <c r="K159" s="190">
        <f t="shared" ref="K159:L159" si="547">MAX(U81:U84)</f>
        <v>431</v>
      </c>
      <c r="L159" s="190">
        <f t="shared" si="547"/>
        <v>619</v>
      </c>
      <c r="M159" s="11">
        <f t="shared" si="498"/>
        <v>160.10999999999999</v>
      </c>
      <c r="N159" s="11">
        <f t="shared" si="489"/>
        <v>431</v>
      </c>
      <c r="O159" s="11">
        <f t="shared" si="489"/>
        <v>619</v>
      </c>
      <c r="P159" s="190">
        <f>MEDIAN(T81:T84)</f>
        <v>61</v>
      </c>
      <c r="Q159" s="190">
        <f t="shared" ref="Q159:R159" si="548">MEDIAN(U81:U84)</f>
        <v>61.190000000000005</v>
      </c>
      <c r="R159" s="190">
        <f t="shared" si="548"/>
        <v>24.03</v>
      </c>
      <c r="S159" s="190" t="s">
        <v>437</v>
      </c>
      <c r="T159" s="190" t="s">
        <v>437</v>
      </c>
      <c r="U159" s="190">
        <f t="shared" ref="U159" si="549">MODE(V81:V84)</f>
        <v>0</v>
      </c>
      <c r="V159" s="176">
        <f>AVERAGEA(T81:T84)</f>
        <v>70.527500000000003</v>
      </c>
      <c r="W159" s="176">
        <f t="shared" ref="W159:X159" si="550">AVERAGEA(U81:U84)</f>
        <v>138.345</v>
      </c>
      <c r="X159" s="176">
        <f t="shared" si="550"/>
        <v>166.76499999999999</v>
      </c>
      <c r="Y159" s="176">
        <f>STDEVA(T81:T84)</f>
        <v>72.509077765017338</v>
      </c>
      <c r="Z159" s="176">
        <f t="shared" ref="Z159:AA159" si="551">STDEVA(U81:U84)</f>
        <v>199.42543159453527</v>
      </c>
      <c r="AA159" s="176">
        <f t="shared" si="551"/>
        <v>302.34004184030931</v>
      </c>
      <c r="AC159" s="11">
        <f>SUM(T81:V84)</f>
        <v>1502.55</v>
      </c>
      <c r="AD159" s="11">
        <f>MIN(T81:V84)</f>
        <v>0</v>
      </c>
      <c r="AE159" s="11">
        <f>MAX(T81:V84)</f>
        <v>619</v>
      </c>
      <c r="AF159" s="11">
        <f t="shared" si="502"/>
        <v>619</v>
      </c>
      <c r="AG159" s="11">
        <f>MEDIAN(T81:V84)</f>
        <v>36.53</v>
      </c>
      <c r="AH159" s="11">
        <f>MODE(T81:V84)</f>
        <v>0</v>
      </c>
      <c r="AI159" s="212">
        <f>AVERAGEA(T81:V84)</f>
        <v>125.21249999999999</v>
      </c>
      <c r="AJ159" s="176">
        <f>STDEVA(T81:V84)</f>
        <v>197.45443622286868</v>
      </c>
      <c r="AP159" s="58" t="s">
        <v>412</v>
      </c>
      <c r="AQ159" s="177">
        <v>0</v>
      </c>
      <c r="AR159" s="177" t="s">
        <v>412</v>
      </c>
      <c r="AS159" s="177">
        <v>0</v>
      </c>
      <c r="AT159" s="177" t="s">
        <v>412</v>
      </c>
      <c r="AU159" s="177">
        <v>0</v>
      </c>
      <c r="AV159" s="6"/>
      <c r="AW159" s="177" t="s">
        <v>412</v>
      </c>
      <c r="AX159" s="177">
        <v>0</v>
      </c>
      <c r="BA159" s="11">
        <v>8083.21</v>
      </c>
      <c r="BB159" s="11">
        <v>8999.16</v>
      </c>
      <c r="BC159" s="11">
        <v>10296.74</v>
      </c>
      <c r="BD159" s="123">
        <f t="shared" si="503"/>
        <v>3.4900738691683135E-2</v>
      </c>
      <c r="BE159" s="123">
        <f t="shared" si="504"/>
        <v>6.1492405957889407E-2</v>
      </c>
      <c r="BF159" s="123">
        <f t="shared" si="505"/>
        <v>6.4783611123520643E-2</v>
      </c>
      <c r="BG159" s="190">
        <f t="shared" si="205"/>
        <v>9126.3700000000008</v>
      </c>
      <c r="BH159" s="123">
        <f>AVERAGEA(BQ81:BS84)</f>
        <v>4.1636669545691972E-2</v>
      </c>
      <c r="BI159" s="324">
        <f>STDEVPA(BQ81:BS84)</f>
        <v>4.6522825160201307E-2</v>
      </c>
      <c r="CT159">
        <v>0</v>
      </c>
      <c r="CV159" s="156"/>
      <c r="DA159" s="156"/>
    </row>
    <row r="160" spans="1:105">
      <c r="A160" t="s">
        <v>42</v>
      </c>
      <c r="B160" s="11">
        <v>92</v>
      </c>
      <c r="C160" s="11">
        <v>92</v>
      </c>
      <c r="D160" s="11">
        <f>SUM(T85)</f>
        <v>94</v>
      </c>
      <c r="E160" s="11">
        <f t="shared" ref="E160:F160" si="552">SUM(U85)</f>
        <v>9</v>
      </c>
      <c r="F160" s="11">
        <f t="shared" si="552"/>
        <v>14</v>
      </c>
      <c r="G160" s="11">
        <f>MIN(T85)</f>
        <v>94</v>
      </c>
      <c r="H160" s="11">
        <f t="shared" ref="H160:I160" si="553">MIN(U85)</f>
        <v>9</v>
      </c>
      <c r="I160" s="11">
        <f t="shared" si="553"/>
        <v>14</v>
      </c>
      <c r="J160" s="190">
        <f>MAX(T85)</f>
        <v>94</v>
      </c>
      <c r="K160" s="190">
        <f t="shared" ref="K160:L161" si="554">MAX(U85)</f>
        <v>9</v>
      </c>
      <c r="L160" s="190">
        <f t="shared" si="554"/>
        <v>14</v>
      </c>
      <c r="M160" s="11">
        <f t="shared" si="498"/>
        <v>0</v>
      </c>
      <c r="N160" s="11">
        <f t="shared" si="489"/>
        <v>0</v>
      </c>
      <c r="O160" s="11">
        <f t="shared" si="489"/>
        <v>0</v>
      </c>
      <c r="P160" s="190">
        <f>MEDIAN(T85)</f>
        <v>94</v>
      </c>
      <c r="Q160" s="190">
        <f t="shared" ref="Q160:R160" si="555">MEDIAN(U85)</f>
        <v>9</v>
      </c>
      <c r="R160" s="190">
        <f t="shared" si="555"/>
        <v>14</v>
      </c>
      <c r="S160" s="190" t="s">
        <v>437</v>
      </c>
      <c r="T160" s="190" t="s">
        <v>437</v>
      </c>
      <c r="U160" s="190" t="s">
        <v>437</v>
      </c>
      <c r="V160" s="176">
        <f>AVERAGEA(T85)</f>
        <v>94</v>
      </c>
      <c r="W160" s="176">
        <f t="shared" ref="W160:X160" si="556">AVERAGEA(U85)</f>
        <v>9</v>
      </c>
      <c r="X160" s="176">
        <f t="shared" si="556"/>
        <v>14</v>
      </c>
      <c r="Y160" s="176">
        <f>STDEVPA(T85)</f>
        <v>0</v>
      </c>
      <c r="Z160" s="176">
        <f t="shared" ref="Z160:AA160" si="557">STDEVPA(U85)</f>
        <v>0</v>
      </c>
      <c r="AA160" s="176">
        <f t="shared" si="557"/>
        <v>0</v>
      </c>
      <c r="AC160" s="11">
        <f>SUM(T85:V85)</f>
        <v>117</v>
      </c>
      <c r="AD160" s="11">
        <f>MIN(T85:V85)</f>
        <v>9</v>
      </c>
      <c r="AE160" s="11">
        <f>MAX(T85:V85)</f>
        <v>94</v>
      </c>
      <c r="AF160" s="11">
        <f t="shared" si="502"/>
        <v>85</v>
      </c>
      <c r="AG160" s="11">
        <f>MEDIAN(T85:V85)</f>
        <v>14</v>
      </c>
      <c r="AH160" s="11" t="s">
        <v>437</v>
      </c>
      <c r="AI160" s="212">
        <f>AVERAGEA(T85:V85)</f>
        <v>39</v>
      </c>
      <c r="AJ160" s="176">
        <f>STDEVA(T85:V85)</f>
        <v>47.696960070847283</v>
      </c>
      <c r="AP160" s="58" t="s">
        <v>413</v>
      </c>
      <c r="AQ160" s="177">
        <v>1978</v>
      </c>
      <c r="AR160" s="177" t="s">
        <v>413</v>
      </c>
      <c r="AS160" s="177">
        <v>1064</v>
      </c>
      <c r="AT160" s="177" t="s">
        <v>413</v>
      </c>
      <c r="AU160" s="177">
        <v>5142</v>
      </c>
      <c r="AV160" s="6"/>
      <c r="AW160" s="177" t="s">
        <v>413</v>
      </c>
      <c r="AX160" s="177">
        <v>5142</v>
      </c>
      <c r="BA160" s="11">
        <v>547</v>
      </c>
      <c r="BB160" s="11">
        <v>580</v>
      </c>
      <c r="BC160" s="11">
        <v>742</v>
      </c>
      <c r="BD160" s="123">
        <f t="shared" si="503"/>
        <v>0.17184643510054845</v>
      </c>
      <c r="BE160" s="123">
        <f t="shared" si="504"/>
        <v>1.5517241379310345E-2</v>
      </c>
      <c r="BF160" s="123">
        <f t="shared" si="505"/>
        <v>1.8867924528301886E-2</v>
      </c>
      <c r="BG160" s="190">
        <f t="shared" si="205"/>
        <v>623</v>
      </c>
      <c r="BH160" s="123">
        <f>AVERAGEA(BQ85:BS85)</f>
        <v>6.8743867002720227E-2</v>
      </c>
      <c r="BI160" s="324">
        <f>STDEVPA(BQ85:BS85)</f>
        <v>7.2917357013113207E-2</v>
      </c>
      <c r="CT160">
        <v>17</v>
      </c>
      <c r="CV160" s="156"/>
      <c r="DA160" s="156"/>
    </row>
    <row r="161" spans="1:105">
      <c r="A161" t="s">
        <v>43</v>
      </c>
      <c r="B161" s="11">
        <v>105</v>
      </c>
      <c r="C161" s="11">
        <v>105</v>
      </c>
      <c r="D161" s="11">
        <f>SUM(T86)</f>
        <v>115</v>
      </c>
      <c r="E161" s="11">
        <f t="shared" ref="E161:F161" si="558">SUM(U86)</f>
        <v>85</v>
      </c>
      <c r="F161" s="11">
        <f t="shared" si="558"/>
        <v>54</v>
      </c>
      <c r="G161" s="11">
        <f>MIN(T86)</f>
        <v>115</v>
      </c>
      <c r="H161" s="11">
        <f t="shared" ref="H161:I161" si="559">MIN(U86)</f>
        <v>85</v>
      </c>
      <c r="I161" s="11">
        <f t="shared" si="559"/>
        <v>54</v>
      </c>
      <c r="J161" s="190">
        <f t="shared" ref="J161" si="560">MAX(T86)</f>
        <v>115</v>
      </c>
      <c r="K161" s="190">
        <f t="shared" si="554"/>
        <v>85</v>
      </c>
      <c r="L161" s="190">
        <f t="shared" si="554"/>
        <v>54</v>
      </c>
      <c r="M161" s="11">
        <f t="shared" si="498"/>
        <v>0</v>
      </c>
      <c r="N161" s="11">
        <f t="shared" si="489"/>
        <v>0</v>
      </c>
      <c r="O161" s="11">
        <f t="shared" si="489"/>
        <v>0</v>
      </c>
      <c r="P161" s="190">
        <f>MEDIAN(T86)</f>
        <v>115</v>
      </c>
      <c r="Q161" s="190">
        <f t="shared" ref="Q161:R161" si="561">MEDIAN(U86)</f>
        <v>85</v>
      </c>
      <c r="R161" s="190">
        <f t="shared" si="561"/>
        <v>54</v>
      </c>
      <c r="S161" s="190" t="s">
        <v>437</v>
      </c>
      <c r="T161" s="190" t="s">
        <v>437</v>
      </c>
      <c r="U161" s="190" t="s">
        <v>437</v>
      </c>
      <c r="V161" s="176">
        <f>AVERAGEA(T86)</f>
        <v>115</v>
      </c>
      <c r="W161" s="176">
        <f t="shared" ref="W161:X161" si="562">AVERAGEA(U86)</f>
        <v>85</v>
      </c>
      <c r="X161" s="176">
        <f t="shared" si="562"/>
        <v>54</v>
      </c>
      <c r="Y161" s="176">
        <f>STDEVPA(T86)</f>
        <v>0</v>
      </c>
      <c r="Z161" s="176">
        <f t="shared" ref="Z161:AA161" si="563">STDEVPA(U86)</f>
        <v>0</v>
      </c>
      <c r="AA161" s="176">
        <f t="shared" si="563"/>
        <v>0</v>
      </c>
      <c r="AC161" s="11">
        <f>SUM(T86:V86)</f>
        <v>254</v>
      </c>
      <c r="AD161" s="11">
        <f>MIN(T86:V86)</f>
        <v>54</v>
      </c>
      <c r="AE161" s="11">
        <f>MAX(T86:V86)</f>
        <v>115</v>
      </c>
      <c r="AF161" s="11">
        <f t="shared" si="502"/>
        <v>61</v>
      </c>
      <c r="AG161" s="11">
        <f>MEDIAN(T86:V86)</f>
        <v>85</v>
      </c>
      <c r="AH161" s="11" t="s">
        <v>437</v>
      </c>
      <c r="AI161" s="212">
        <f>AVERAGEA(T86:V86)</f>
        <v>84.666666666666671</v>
      </c>
      <c r="AJ161" s="176">
        <f>STDEVA(T86:V86)</f>
        <v>30.501366089625133</v>
      </c>
      <c r="AP161" s="58" t="s">
        <v>463</v>
      </c>
      <c r="AQ161" s="177">
        <v>12934.476361858053</v>
      </c>
      <c r="AR161" s="177" t="s">
        <v>463</v>
      </c>
      <c r="AS161" s="177">
        <v>11565.018991167628</v>
      </c>
      <c r="AT161" s="177" t="s">
        <v>463</v>
      </c>
      <c r="AU161" s="177">
        <v>16444.511481239988</v>
      </c>
      <c r="AV161" s="6"/>
      <c r="AW161" s="177" t="s">
        <v>463</v>
      </c>
      <c r="AX161" s="177">
        <v>40944.00683426566</v>
      </c>
      <c r="BA161" s="11">
        <v>804</v>
      </c>
      <c r="BB161" s="11">
        <v>873</v>
      </c>
      <c r="BC161" s="11">
        <v>1133</v>
      </c>
      <c r="BD161" s="123">
        <f t="shared" si="503"/>
        <v>0.14303482587064675</v>
      </c>
      <c r="BE161" s="123">
        <f t="shared" si="504"/>
        <v>9.736540664375716E-2</v>
      </c>
      <c r="BF161" s="123">
        <f t="shared" si="505"/>
        <v>4.7661076787290382E-2</v>
      </c>
      <c r="BG161" s="190">
        <f t="shared" si="205"/>
        <v>936.66666666666663</v>
      </c>
      <c r="BH161" s="123">
        <f>AVERAGEA(BQ86:BS86)</f>
        <v>9.6020436433898085E-2</v>
      </c>
      <c r="BI161" s="324">
        <f>STDEVPA(BQ86:BS86)</f>
        <v>3.8947783096541067E-2</v>
      </c>
      <c r="CT161">
        <v>14</v>
      </c>
      <c r="CV161" s="156"/>
      <c r="DA161" s="156"/>
    </row>
    <row r="162" spans="1:105">
      <c r="A162" t="s">
        <v>44</v>
      </c>
      <c r="B162" s="11">
        <v>1150</v>
      </c>
      <c r="C162" s="11">
        <v>164.28571428571428</v>
      </c>
      <c r="D162" s="11">
        <f>SUM(T87:T93)</f>
        <v>640.08000000000004</v>
      </c>
      <c r="E162" s="11">
        <f t="shared" ref="E162:F162" si="564">SUM(U87:U93)</f>
        <v>669.84</v>
      </c>
      <c r="F162" s="11">
        <f t="shared" si="564"/>
        <v>543.47833333333335</v>
      </c>
      <c r="G162" s="11">
        <f>MIN(T87:T93)</f>
        <v>0</v>
      </c>
      <c r="H162" s="11">
        <f t="shared" ref="H162:I162" si="565">MIN(U87:U93)</f>
        <v>0</v>
      </c>
      <c r="I162" s="11">
        <f t="shared" si="565"/>
        <v>0</v>
      </c>
      <c r="J162" s="190">
        <f>MAX(T87:T93)</f>
        <v>391</v>
      </c>
      <c r="K162" s="190">
        <f t="shared" ref="K162:L162" si="566">MAX(U87:U93)</f>
        <v>400</v>
      </c>
      <c r="L162" s="190">
        <f t="shared" si="566"/>
        <v>324</v>
      </c>
      <c r="M162" s="11">
        <f t="shared" si="498"/>
        <v>391</v>
      </c>
      <c r="N162" s="11">
        <f t="shared" si="489"/>
        <v>400</v>
      </c>
      <c r="O162" s="11">
        <f t="shared" si="489"/>
        <v>324</v>
      </c>
      <c r="P162" s="190">
        <f>MEDIAN(T87:T93)</f>
        <v>41.08</v>
      </c>
      <c r="Q162" s="190">
        <f t="shared" ref="Q162:R162" si="567">MEDIAN(U87:U93)</f>
        <v>34.840000000000003</v>
      </c>
      <c r="R162" s="190">
        <f t="shared" si="567"/>
        <v>25</v>
      </c>
      <c r="S162" s="190">
        <f>MODE(T87:T93)</f>
        <v>0</v>
      </c>
      <c r="T162" s="190">
        <f t="shared" ref="T162" si="568">MODE(U87:U93)</f>
        <v>0</v>
      </c>
      <c r="U162" s="190" t="s">
        <v>437</v>
      </c>
      <c r="V162" s="176">
        <f>AVERAGEA(T87:T93)</f>
        <v>91.440000000000012</v>
      </c>
      <c r="W162" s="176">
        <f t="shared" ref="W162:X162" si="569">AVERAGEA(U87:U93)</f>
        <v>95.691428571428574</v>
      </c>
      <c r="X162" s="176">
        <f t="shared" si="569"/>
        <v>77.639761904761912</v>
      </c>
      <c r="Y162" s="176">
        <f>STDEVA(T87:T93)</f>
        <v>138.58309853658201</v>
      </c>
      <c r="Z162" s="176">
        <f t="shared" ref="Z162:AA162" si="570">STDEVA(U87:U93)</f>
        <v>145.82574023225706</v>
      </c>
      <c r="AA162" s="176">
        <f t="shared" si="570"/>
        <v>113.71433377526502</v>
      </c>
      <c r="AC162" s="11">
        <f>SUM(T87:V93)</f>
        <v>1853.3983333333331</v>
      </c>
      <c r="AD162" s="11">
        <f>MIN(T87:V93)</f>
        <v>0</v>
      </c>
      <c r="AE162" s="11">
        <f>MAX(T87:V93)</f>
        <v>400</v>
      </c>
      <c r="AF162" s="11">
        <f t="shared" si="502"/>
        <v>400</v>
      </c>
      <c r="AG162" s="11">
        <f>MEDIAN(T87:V93)</f>
        <v>34.840000000000003</v>
      </c>
      <c r="AH162" s="11">
        <f>MODE(T87:V93)</f>
        <v>0</v>
      </c>
      <c r="AI162" s="212">
        <f>AVERAGEA(T87:V93)</f>
        <v>88.25706349206348</v>
      </c>
      <c r="AJ162" s="176">
        <f>STDEVA(T87:V93)</f>
        <v>126.81780715952836</v>
      </c>
      <c r="AP162" s="58" t="s">
        <v>464</v>
      </c>
      <c r="AQ162" s="177">
        <v>93</v>
      </c>
      <c r="AR162" s="177" t="s">
        <v>464</v>
      </c>
      <c r="AS162" s="177">
        <v>93</v>
      </c>
      <c r="AT162" s="177" t="s">
        <v>464</v>
      </c>
      <c r="AU162" s="177">
        <v>93</v>
      </c>
      <c r="AV162" s="6"/>
      <c r="AW162" s="177" t="s">
        <v>464</v>
      </c>
      <c r="AX162" s="177">
        <v>279</v>
      </c>
      <c r="BA162" s="11">
        <v>10584.598333333333</v>
      </c>
      <c r="BB162" s="11">
        <v>12332.931666666667</v>
      </c>
      <c r="BC162" s="11">
        <v>12970.705</v>
      </c>
      <c r="BD162" s="123">
        <f t="shared" si="503"/>
        <v>6.0472771837193004E-2</v>
      </c>
      <c r="BE162" s="123">
        <f t="shared" si="504"/>
        <v>5.4313120197563187E-2</v>
      </c>
      <c r="BF162" s="123">
        <f t="shared" si="505"/>
        <v>4.1900446686077078E-2</v>
      </c>
      <c r="BG162" s="190">
        <f t="shared" si="205"/>
        <v>11962.745000000001</v>
      </c>
      <c r="BH162" s="123">
        <f>AVERAGEA(BQ87:BS93)</f>
        <v>0.12137399175182907</v>
      </c>
      <c r="BI162" s="324">
        <f>STDEVPA(BQ87:BS93)</f>
        <v>0.18327913284456324</v>
      </c>
      <c r="CT162">
        <v>0</v>
      </c>
      <c r="CV162" s="156"/>
      <c r="DA162" s="156"/>
    </row>
    <row r="163" spans="1:105">
      <c r="A163" t="s">
        <v>45</v>
      </c>
      <c r="B163" s="11">
        <v>70</v>
      </c>
      <c r="C163" s="11">
        <v>70</v>
      </c>
      <c r="D163" s="11">
        <f>SUM(T94)</f>
        <v>87.594594594594597</v>
      </c>
      <c r="E163" s="11">
        <f t="shared" ref="E163:F163" si="571">SUM(U94)</f>
        <v>87.594594594594597</v>
      </c>
      <c r="F163" s="11">
        <f t="shared" si="571"/>
        <v>90.621621621621628</v>
      </c>
      <c r="G163" s="11">
        <f>MIN(T94)</f>
        <v>87.594594594594597</v>
      </c>
      <c r="H163" s="11">
        <f t="shared" ref="H163:I163" si="572">MIN(U94)</f>
        <v>87.594594594594597</v>
      </c>
      <c r="I163" s="11">
        <f t="shared" si="572"/>
        <v>90.621621621621628</v>
      </c>
      <c r="J163" s="190">
        <f>MAX(T94)</f>
        <v>87.594594594594597</v>
      </c>
      <c r="K163" s="190">
        <f t="shared" ref="K163:L163" si="573">MAX(U94)</f>
        <v>87.594594594594597</v>
      </c>
      <c r="L163" s="190">
        <f t="shared" si="573"/>
        <v>90.621621621621628</v>
      </c>
      <c r="M163" s="11">
        <f t="shared" si="498"/>
        <v>0</v>
      </c>
      <c r="N163" s="11">
        <f t="shared" si="489"/>
        <v>0</v>
      </c>
      <c r="O163" s="11">
        <f t="shared" si="489"/>
        <v>0</v>
      </c>
      <c r="P163" s="190">
        <f>MEDIAN(T94)</f>
        <v>87.594594594594597</v>
      </c>
      <c r="Q163" s="190">
        <f t="shared" ref="Q163:R163" si="574">MEDIAN(U94)</f>
        <v>87.594594594594597</v>
      </c>
      <c r="R163" s="190">
        <f t="shared" si="574"/>
        <v>90.621621621621628</v>
      </c>
      <c r="S163" s="190" t="s">
        <v>437</v>
      </c>
      <c r="T163" s="190" t="s">
        <v>437</v>
      </c>
      <c r="U163" s="190" t="s">
        <v>437</v>
      </c>
      <c r="V163" s="176">
        <f>AVERAGEA(T94)</f>
        <v>87.594594594594597</v>
      </c>
      <c r="W163" s="176">
        <f t="shared" ref="W163:X163" si="575">AVERAGEA(U94)</f>
        <v>87.594594594594597</v>
      </c>
      <c r="X163" s="176">
        <f t="shared" si="575"/>
        <v>90.621621621621628</v>
      </c>
      <c r="Y163" s="176">
        <f>STDEVPA(T94)</f>
        <v>0</v>
      </c>
      <c r="Z163" s="176">
        <f t="shared" ref="Z163:AA163" si="576">STDEVPA(U94)</f>
        <v>0</v>
      </c>
      <c r="AA163" s="176">
        <f t="shared" si="576"/>
        <v>0</v>
      </c>
      <c r="AC163" s="11">
        <f>SUM(T94:V94)</f>
        <v>265.81081081081084</v>
      </c>
      <c r="AD163" s="11">
        <f>MIN(T94:V94)</f>
        <v>87.594594594594597</v>
      </c>
      <c r="AE163" s="11">
        <f>MAX(T94:V94)</f>
        <v>90.621621621621628</v>
      </c>
      <c r="AF163" s="11">
        <f t="shared" si="502"/>
        <v>3.0270270270270316</v>
      </c>
      <c r="AG163" s="11">
        <f>MEDIAN(T94:V94)</f>
        <v>87.594594594594597</v>
      </c>
      <c r="AH163" s="11">
        <f>MODE(T94:V94)</f>
        <v>87.594594594594597</v>
      </c>
      <c r="AI163" s="212">
        <f>AVERAGEA(T94:V94)</f>
        <v>88.603603603603617</v>
      </c>
      <c r="AJ163" s="176">
        <f>STDEVA(T94:V94)</f>
        <v>1.7476548688983291</v>
      </c>
      <c r="AP163" s="58" t="s">
        <v>485</v>
      </c>
      <c r="AQ163" s="177">
        <v>1978</v>
      </c>
      <c r="AR163" s="177" t="s">
        <v>485</v>
      </c>
      <c r="AS163" s="177">
        <v>1064</v>
      </c>
      <c r="AT163" s="177" t="s">
        <v>485</v>
      </c>
      <c r="AU163" s="177">
        <v>5142</v>
      </c>
      <c r="AV163" s="6"/>
      <c r="AW163" s="177" t="s">
        <v>485</v>
      </c>
      <c r="AX163" s="177">
        <v>5142</v>
      </c>
      <c r="BA163" s="11">
        <v>738.02702702702697</v>
      </c>
      <c r="BB163" s="11">
        <v>651.18918918918916</v>
      </c>
      <c r="BC163" s="11">
        <v>722.70270270270271</v>
      </c>
      <c r="BD163" s="123">
        <f t="shared" si="503"/>
        <v>0.11868751602153295</v>
      </c>
      <c r="BE163" s="123">
        <f t="shared" si="504"/>
        <v>0.13451481696687972</v>
      </c>
      <c r="BF163" s="123">
        <f t="shared" si="505"/>
        <v>0.12539267015706806</v>
      </c>
      <c r="BG163" s="190">
        <f t="shared" si="205"/>
        <v>703.97297297297303</v>
      </c>
      <c r="BH163" s="123">
        <f>AVERAGEA(BQ94:BS94)</f>
        <v>0.1261983343818269</v>
      </c>
      <c r="BI163" s="324">
        <f>STDEVPA(BQ2:BS94)</f>
        <v>0.18177595186029971</v>
      </c>
      <c r="CT163">
        <v>92</v>
      </c>
      <c r="CV163" s="156"/>
      <c r="DA163" s="156"/>
    </row>
    <row r="164" spans="1:105">
      <c r="B164" s="11"/>
      <c r="C164" s="11"/>
      <c r="D164" s="11">
        <f>SUM(D151:D163)</f>
        <v>12934.476361858053</v>
      </c>
      <c r="E164" s="11">
        <f t="shared" ref="E164:F164" si="577">SUM(E151:E163)</f>
        <v>11565.018991167632</v>
      </c>
      <c r="F164" s="11">
        <f t="shared" si="577"/>
        <v>16444.511481239984</v>
      </c>
      <c r="G164" s="11"/>
      <c r="H164" s="190"/>
      <c r="I164" s="190"/>
      <c r="J164" s="190"/>
      <c r="K164" s="11"/>
      <c r="L164" s="11"/>
      <c r="M164" s="11"/>
      <c r="N164" s="190"/>
      <c r="O164" s="190"/>
      <c r="P164" s="190"/>
      <c r="Q164" s="190"/>
      <c r="R164" s="190"/>
      <c r="S164" s="190"/>
      <c r="T164" s="190"/>
      <c r="U164" s="190"/>
      <c r="V164" s="176"/>
      <c r="W164" s="176"/>
      <c r="X164" s="176"/>
      <c r="Y164" s="176"/>
      <c r="Z164" s="176"/>
      <c r="AA164" s="176"/>
      <c r="AC164" s="11">
        <f>SUM(AC151:AC163)</f>
        <v>40944.006834265667</v>
      </c>
      <c r="AD164" s="11"/>
      <c r="AE164" s="11"/>
      <c r="AF164" s="11"/>
      <c r="AG164" s="11"/>
      <c r="AH164" s="11"/>
      <c r="AI164" s="212"/>
      <c r="AJ164" s="176"/>
      <c r="AP164" s="58" t="s">
        <v>486</v>
      </c>
      <c r="AQ164" s="177">
        <v>0</v>
      </c>
      <c r="AR164" s="177" t="s">
        <v>486</v>
      </c>
      <c r="AS164" s="177">
        <v>0</v>
      </c>
      <c r="AT164" s="177" t="s">
        <v>486</v>
      </c>
      <c r="AU164" s="177">
        <v>0</v>
      </c>
      <c r="AV164" s="6"/>
      <c r="AW164" s="177" t="s">
        <v>486</v>
      </c>
      <c r="AX164" s="177">
        <v>0</v>
      </c>
      <c r="AZ164" t="s">
        <v>376</v>
      </c>
      <c r="BA164" s="11">
        <v>104258.65875676264</v>
      </c>
      <c r="BB164" s="11">
        <v>124174.35366917629</v>
      </c>
      <c r="BC164" s="11">
        <v>135852.92946322585</v>
      </c>
      <c r="BD164" s="123">
        <f>D164/BA164</f>
        <v>0.12406141145585253</v>
      </c>
      <c r="BE164" s="123">
        <f t="shared" si="504"/>
        <v>9.3135326655124029E-2</v>
      </c>
      <c r="BF164" s="123">
        <f t="shared" si="505"/>
        <v>0.12104642532343304</v>
      </c>
      <c r="BG164" s="190"/>
      <c r="BH164" s="123">
        <f>AVERAGEA(BQ2:BS94)</f>
        <v>0.13426862955956492</v>
      </c>
      <c r="BI164" s="324">
        <f>STDEVPA(BQ94:BS94)</f>
        <v>6.4865339967215127E-3</v>
      </c>
      <c r="CT164">
        <v>183</v>
      </c>
      <c r="CV164" s="156"/>
      <c r="DA164" s="156"/>
    </row>
    <row r="165" spans="1:105" ht="17" thickBot="1">
      <c r="B165" s="11"/>
      <c r="C165" s="11"/>
      <c r="D165" s="11"/>
      <c r="E165" s="11"/>
      <c r="F165" s="11"/>
      <c r="G165" s="11"/>
      <c r="H165" s="190"/>
      <c r="I165" s="190"/>
      <c r="J165" s="190"/>
      <c r="K165" s="11"/>
      <c r="L165" s="11"/>
      <c r="M165" s="11"/>
      <c r="N165" s="190"/>
      <c r="O165" s="190"/>
      <c r="P165" s="190"/>
      <c r="Q165" s="190"/>
      <c r="R165" s="190"/>
      <c r="S165" s="190"/>
      <c r="T165" s="190"/>
      <c r="U165" s="190"/>
      <c r="V165" s="176"/>
      <c r="W165" s="176"/>
      <c r="X165" s="176"/>
      <c r="Y165" s="176"/>
      <c r="Z165" s="176"/>
      <c r="AA165" s="176"/>
      <c r="AC165" s="11"/>
      <c r="AD165" s="11"/>
      <c r="AE165" s="11"/>
      <c r="AF165" s="11"/>
      <c r="AG165" s="11"/>
      <c r="AH165" s="11"/>
      <c r="AI165" s="212"/>
      <c r="AJ165" s="176"/>
      <c r="AP165" s="59" t="s">
        <v>467</v>
      </c>
      <c r="AQ165" s="193">
        <v>61.06971051251756</v>
      </c>
      <c r="AR165" s="193" t="s">
        <v>467</v>
      </c>
      <c r="AS165" s="193">
        <v>43.695545141448285</v>
      </c>
      <c r="AT165" s="193" t="s">
        <v>467</v>
      </c>
      <c r="AU165" s="193">
        <v>115.111309975776</v>
      </c>
      <c r="AV165" s="6"/>
      <c r="AW165" s="193" t="s">
        <v>467</v>
      </c>
      <c r="AX165" s="193">
        <v>45.319570000798251</v>
      </c>
      <c r="BG165" s="190"/>
      <c r="BH165" s="123"/>
      <c r="BI165" s="6"/>
      <c r="CT165">
        <v>0</v>
      </c>
      <c r="CV165" s="156"/>
      <c r="DA165" s="156"/>
    </row>
    <row r="166" spans="1:105">
      <c r="A166" t="s">
        <v>491</v>
      </c>
      <c r="B166" s="11"/>
      <c r="C166" s="11"/>
      <c r="D166" s="11"/>
      <c r="E166" s="11"/>
      <c r="F166" s="11"/>
      <c r="G166" s="11"/>
      <c r="H166" s="190"/>
      <c r="I166" s="190"/>
      <c r="J166" s="190"/>
      <c r="K166" s="11"/>
      <c r="L166" s="11"/>
      <c r="M166" s="11"/>
      <c r="N166" s="190"/>
      <c r="O166" s="190"/>
      <c r="P166" s="190"/>
      <c r="Q166" s="190"/>
      <c r="R166" s="190"/>
      <c r="S166" s="190"/>
      <c r="T166" s="190"/>
      <c r="U166" s="190"/>
      <c r="V166" s="176"/>
      <c r="W166" s="176"/>
      <c r="X166" s="176"/>
      <c r="Y166" s="176"/>
      <c r="Z166" s="176"/>
      <c r="AA166" s="176"/>
      <c r="AC166" s="11"/>
      <c r="AD166" s="11"/>
      <c r="AE166" s="11"/>
      <c r="AF166" s="11"/>
      <c r="AG166" s="11"/>
      <c r="AH166" s="11"/>
      <c r="AI166" s="212"/>
      <c r="AJ166" s="176"/>
      <c r="AN166" t="s">
        <v>491</v>
      </c>
      <c r="AP166" s="412" t="s">
        <v>499</v>
      </c>
      <c r="AQ166" s="412"/>
      <c r="AR166" s="412" t="s">
        <v>500</v>
      </c>
      <c r="AS166" s="412"/>
      <c r="AT166" s="412" t="s">
        <v>501</v>
      </c>
      <c r="AU166" s="412"/>
      <c r="AV166" s="6"/>
      <c r="BG166" s="190"/>
      <c r="BH166" s="123"/>
      <c r="BI166" s="6"/>
      <c r="CT166">
        <v>23</v>
      </c>
      <c r="CV166" s="156"/>
      <c r="DA166" s="156"/>
    </row>
    <row r="167" spans="1:105">
      <c r="B167" s="11" t="s">
        <v>376</v>
      </c>
      <c r="C167" s="11" t="s">
        <v>442</v>
      </c>
      <c r="D167" s="11" t="s">
        <v>376</v>
      </c>
      <c r="E167" s="11" t="s">
        <v>376</v>
      </c>
      <c r="F167" s="11" t="s">
        <v>376</v>
      </c>
      <c r="G167" s="11" t="s">
        <v>430</v>
      </c>
      <c r="H167" s="190" t="s">
        <v>430</v>
      </c>
      <c r="I167" s="190" t="s">
        <v>430</v>
      </c>
      <c r="J167" s="190" t="s">
        <v>413</v>
      </c>
      <c r="K167" s="11" t="s">
        <v>413</v>
      </c>
      <c r="L167" s="11" t="s">
        <v>413</v>
      </c>
      <c r="M167" s="11" t="s">
        <v>448</v>
      </c>
      <c r="N167" s="190" t="s">
        <v>448</v>
      </c>
      <c r="O167" s="190" t="s">
        <v>448</v>
      </c>
      <c r="P167" s="190" t="s">
        <v>431</v>
      </c>
      <c r="Q167" s="190" t="s">
        <v>431</v>
      </c>
      <c r="R167" s="190" t="s">
        <v>431</v>
      </c>
      <c r="S167" s="190" t="s">
        <v>410</v>
      </c>
      <c r="T167" s="190" t="s">
        <v>410</v>
      </c>
      <c r="U167" s="190" t="s">
        <v>410</v>
      </c>
      <c r="V167" s="176" t="s">
        <v>449</v>
      </c>
      <c r="W167" s="176" t="s">
        <v>449</v>
      </c>
      <c r="X167" s="176" t="s">
        <v>449</v>
      </c>
      <c r="Y167" s="176" t="s">
        <v>441</v>
      </c>
      <c r="Z167" s="176" t="s">
        <v>441</v>
      </c>
      <c r="AA167" s="176" t="s">
        <v>441</v>
      </c>
      <c r="AC167" s="11" t="s">
        <v>376</v>
      </c>
      <c r="AD167" s="11" t="s">
        <v>430</v>
      </c>
      <c r="AE167" s="11" t="s">
        <v>413</v>
      </c>
      <c r="AF167" s="11" t="s">
        <v>448</v>
      </c>
      <c r="AG167" s="11" t="s">
        <v>431</v>
      </c>
      <c r="AH167" s="11" t="s">
        <v>410</v>
      </c>
      <c r="AI167" s="212" t="s">
        <v>449</v>
      </c>
      <c r="AJ167" s="176" t="s">
        <v>441</v>
      </c>
      <c r="AP167" s="58" t="s">
        <v>455</v>
      </c>
      <c r="AQ167" s="177">
        <v>222.02168380232041</v>
      </c>
      <c r="AR167" s="177" t="s">
        <v>455</v>
      </c>
      <c r="AS167" s="177">
        <v>272.01885426729046</v>
      </c>
      <c r="AT167" s="177" t="s">
        <v>455</v>
      </c>
      <c r="AU167" s="177">
        <v>288.99856645926866</v>
      </c>
      <c r="AV167" s="6">
        <f>AU167+AU182</f>
        <v>417.7942950713786</v>
      </c>
      <c r="AW167" s="177" t="s">
        <v>455</v>
      </c>
      <c r="AX167" s="177">
        <v>244.34731135463653</v>
      </c>
      <c r="AY167" s="6">
        <f>AX167-AX182</f>
        <v>187.88832084819538</v>
      </c>
      <c r="BA167" s="83" t="s">
        <v>535</v>
      </c>
      <c r="BB167" s="83" t="s">
        <v>536</v>
      </c>
      <c r="BC167" s="83" t="s">
        <v>537</v>
      </c>
      <c r="BD167" s="83" t="s">
        <v>532</v>
      </c>
      <c r="BE167" s="83" t="s">
        <v>533</v>
      </c>
      <c r="BF167" s="83" t="s">
        <v>534</v>
      </c>
      <c r="BG167" s="190"/>
      <c r="BH167" s="123"/>
      <c r="BI167" s="324"/>
      <c r="CT167">
        <v>37</v>
      </c>
      <c r="CV167" s="156"/>
      <c r="DA167" s="156"/>
    </row>
    <row r="168" spans="1:105">
      <c r="A168" t="s">
        <v>31</v>
      </c>
      <c r="B168" s="11">
        <v>3621</v>
      </c>
      <c r="C168" s="11">
        <v>278.53846153846155</v>
      </c>
      <c r="D168" s="11">
        <f>SUM(W2:W14)</f>
        <v>8299.1</v>
      </c>
      <c r="E168" s="11">
        <f t="shared" ref="E168:F168" si="578">SUM(X2:X14)</f>
        <v>8327.5238636363647</v>
      </c>
      <c r="F168" s="11">
        <f t="shared" si="578"/>
        <v>8765.5386363636353</v>
      </c>
      <c r="G168" s="11">
        <f>MIN(W2:W14)</f>
        <v>3</v>
      </c>
      <c r="H168" s="11">
        <f t="shared" ref="H168:I168" si="579">MIN(X2:X14)</f>
        <v>3</v>
      </c>
      <c r="I168" s="11">
        <f t="shared" si="579"/>
        <v>3</v>
      </c>
      <c r="J168" s="190">
        <f>MAX(W2:W14)</f>
        <v>1810</v>
      </c>
      <c r="K168" s="190">
        <f t="shared" ref="K168:L168" si="580">MAX(X2:X14)</f>
        <v>1810</v>
      </c>
      <c r="L168" s="190">
        <f t="shared" si="580"/>
        <v>1913</v>
      </c>
      <c r="M168" s="11">
        <f>J168-G168</f>
        <v>1807</v>
      </c>
      <c r="N168" s="11">
        <f t="shared" ref="N168:O180" si="581">K168-H168</f>
        <v>1807</v>
      </c>
      <c r="O168" s="11">
        <f t="shared" si="581"/>
        <v>1910</v>
      </c>
      <c r="P168" s="190">
        <f>MEDIAN(W2:W14)</f>
        <v>382</v>
      </c>
      <c r="Q168" s="190">
        <f t="shared" ref="Q168:R168" si="582">MEDIAN(X2:X14)</f>
        <v>360</v>
      </c>
      <c r="R168" s="190">
        <f t="shared" si="582"/>
        <v>318</v>
      </c>
      <c r="S168" s="190" t="s">
        <v>437</v>
      </c>
      <c r="T168" s="190" t="s">
        <v>437</v>
      </c>
      <c r="U168" s="190" t="s">
        <v>437</v>
      </c>
      <c r="V168" s="176">
        <f>AVERAGEA(W2:W13)</f>
        <v>564.3416666666667</v>
      </c>
      <c r="W168" s="176">
        <f t="shared" ref="W168:X168" si="583">AVERAGEA(X2:X13)</f>
        <v>586.37698863636365</v>
      </c>
      <c r="X168" s="176">
        <f t="shared" si="583"/>
        <v>571.04488636363635</v>
      </c>
      <c r="Y168" s="176">
        <f>STDEVA(W2:W14)</f>
        <v>655.48840628132461</v>
      </c>
      <c r="Z168" s="176">
        <f t="shared" ref="Z168:AA168" si="584">STDEVA(X2:X14)</f>
        <v>631.93857483278862</v>
      </c>
      <c r="AA168" s="176">
        <f t="shared" si="584"/>
        <v>738.8005328480516</v>
      </c>
      <c r="AC168" s="11">
        <f>SUM(W2:Y14)</f>
        <v>25392.162499999999</v>
      </c>
      <c r="AD168" s="11">
        <f>MIN(W2:Y14)</f>
        <v>3</v>
      </c>
      <c r="AE168" s="11">
        <f>MAX(W2:Y14)</f>
        <v>1913</v>
      </c>
      <c r="AF168" s="11">
        <f>AE168-AD168</f>
        <v>1910</v>
      </c>
      <c r="AG168" s="11">
        <f>MEDIAN(W2:Y14)</f>
        <v>360</v>
      </c>
      <c r="AH168" s="11">
        <f>MODE(W2:Y14)</f>
        <v>3</v>
      </c>
      <c r="AI168" s="212">
        <f>AVERAGEA(W2:Y14)</f>
        <v>651.0810897435897</v>
      </c>
      <c r="AJ168" s="176">
        <f>STDEVA(W2:Y14)</f>
        <v>659.11763984599963</v>
      </c>
      <c r="AP168" s="58" t="s">
        <v>456</v>
      </c>
      <c r="AQ168" s="177">
        <v>40.118602681970749</v>
      </c>
      <c r="AR168" s="177" t="s">
        <v>456</v>
      </c>
      <c r="AS168" s="177">
        <v>46.128264961369119</v>
      </c>
      <c r="AT168" s="177" t="s">
        <v>456</v>
      </c>
      <c r="AU168" s="177">
        <v>64.849008581775109</v>
      </c>
      <c r="AV168" s="6"/>
      <c r="AW168" s="177" t="s">
        <v>456</v>
      </c>
      <c r="AX168" s="177">
        <v>28.680729534649721</v>
      </c>
      <c r="AY168" s="6">
        <f>AX167+AX182</f>
        <v>300.80630186107766</v>
      </c>
      <c r="BA168" s="190">
        <v>30436.919318181819</v>
      </c>
      <c r="BB168" s="190">
        <v>36162.614772727276</v>
      </c>
      <c r="BC168" s="190">
        <v>43778.219318181815</v>
      </c>
      <c r="BD168" s="123">
        <f>D168/BA168</f>
        <v>0.27266557148056847</v>
      </c>
      <c r="BE168" s="123">
        <f t="shared" ref="BE168:BF168" si="585">E168/BB168</f>
        <v>0.23027991521002306</v>
      </c>
      <c r="BF168" s="123">
        <f t="shared" si="585"/>
        <v>0.20022602044764218</v>
      </c>
      <c r="BG168" s="190">
        <f t="shared" ref="BG168:BG228" si="586">AVERAGEA(BA168:BC168)</f>
        <v>36792.584469696965</v>
      </c>
      <c r="BH168" s="123">
        <f>AVERAGEA(BU2:BW14)</f>
        <v>0.2251499507009708</v>
      </c>
      <c r="BI168" s="324">
        <f>STDEVA(BU2:BW14)</f>
        <v>0.155625536114087</v>
      </c>
      <c r="CT168">
        <v>0</v>
      </c>
      <c r="CV168" s="101"/>
      <c r="DA168" s="101"/>
    </row>
    <row r="169" spans="1:105">
      <c r="A169" t="s">
        <v>36</v>
      </c>
      <c r="B169" s="11">
        <v>61</v>
      </c>
      <c r="C169" s="11">
        <v>30.5</v>
      </c>
      <c r="D169" s="11">
        <f>SUM(W15:W16)</f>
        <v>20</v>
      </c>
      <c r="E169" s="11">
        <f t="shared" ref="E169:F169" si="587">SUM(X15:X16)</f>
        <v>70</v>
      </c>
      <c r="F169" s="11">
        <f t="shared" si="587"/>
        <v>48</v>
      </c>
      <c r="G169" s="11">
        <f>MIN(W15:W16)</f>
        <v>0</v>
      </c>
      <c r="H169" s="11">
        <f t="shared" ref="H169:I169" si="588">MIN(X15:X16)</f>
        <v>0</v>
      </c>
      <c r="I169" s="11">
        <f t="shared" si="588"/>
        <v>0</v>
      </c>
      <c r="J169" s="190">
        <f>MAX(W15:W16)</f>
        <v>20</v>
      </c>
      <c r="K169" s="190">
        <f t="shared" ref="K169:L169" si="589">MAX(X15:X16)</f>
        <v>70</v>
      </c>
      <c r="L169" s="190">
        <f t="shared" si="589"/>
        <v>48</v>
      </c>
      <c r="M169" s="11">
        <f t="shared" ref="M169:M180" si="590">J169-G169</f>
        <v>20</v>
      </c>
      <c r="N169" s="11">
        <f t="shared" si="581"/>
        <v>70</v>
      </c>
      <c r="O169" s="11">
        <f t="shared" si="581"/>
        <v>48</v>
      </c>
      <c r="P169" s="190">
        <f>MEDIAN(W15:W16)</f>
        <v>10</v>
      </c>
      <c r="Q169" s="190">
        <f t="shared" ref="Q169:R169" si="591">MEDIAN(X15:X16)</f>
        <v>35</v>
      </c>
      <c r="R169" s="190">
        <f t="shared" si="591"/>
        <v>24</v>
      </c>
      <c r="S169" s="190" t="s">
        <v>437</v>
      </c>
      <c r="T169" s="190" t="s">
        <v>437</v>
      </c>
      <c r="U169" s="190" t="s">
        <v>437</v>
      </c>
      <c r="V169" s="176">
        <f>AVERAGEA(W15:W16)</f>
        <v>10</v>
      </c>
      <c r="W169" s="176">
        <f t="shared" ref="W169:X169" si="592">AVERAGEA(X15:X16)</f>
        <v>35</v>
      </c>
      <c r="X169" s="176">
        <f t="shared" si="592"/>
        <v>24</v>
      </c>
      <c r="Y169" s="176">
        <f>STDEVA(W15:W16)</f>
        <v>14.142135623730951</v>
      </c>
      <c r="Z169" s="176">
        <f t="shared" ref="Z169:AA169" si="593">STDEVA(X15:X16)</f>
        <v>49.497474683058329</v>
      </c>
      <c r="AA169" s="176">
        <f t="shared" si="593"/>
        <v>33.941125496954278</v>
      </c>
      <c r="AC169" s="11">
        <f>SUM(W15:Y16)</f>
        <v>138</v>
      </c>
      <c r="AD169" s="11">
        <f>MIN(W15:Y16)</f>
        <v>0</v>
      </c>
      <c r="AE169" s="11">
        <f>MAX(W15:Y16)</f>
        <v>70</v>
      </c>
      <c r="AF169" s="11">
        <f t="shared" ref="AF169:AF180" si="594">AE169-AD169</f>
        <v>70</v>
      </c>
      <c r="AG169" s="11">
        <f>MEDIAN(W15:Y16)</f>
        <v>10</v>
      </c>
      <c r="AH169" s="11">
        <f>MODE(W15:Y16)</f>
        <v>0</v>
      </c>
      <c r="AI169" s="212">
        <f>AVERAGEA(W15:Y16)</f>
        <v>23</v>
      </c>
      <c r="AJ169" s="176">
        <f>STDEVA(W15:Y16)</f>
        <v>29.765752132274432</v>
      </c>
      <c r="AP169" s="58" t="s">
        <v>431</v>
      </c>
      <c r="AQ169" s="177">
        <v>48</v>
      </c>
      <c r="AR169" s="177" t="s">
        <v>431</v>
      </c>
      <c r="AS169" s="177">
        <v>70</v>
      </c>
      <c r="AT169" s="177" t="s">
        <v>431</v>
      </c>
      <c r="AU169" s="177">
        <v>67</v>
      </c>
      <c r="AV169" s="6"/>
      <c r="AW169" s="177" t="s">
        <v>431</v>
      </c>
      <c r="AX169" s="177">
        <v>53</v>
      </c>
      <c r="BA169" s="11">
        <v>269</v>
      </c>
      <c r="BB169" s="11">
        <v>1427</v>
      </c>
      <c r="BC169" s="11">
        <v>1842</v>
      </c>
      <c r="BD169" s="123">
        <f t="shared" ref="BD169:BD181" si="595">D169/BA169</f>
        <v>7.434944237918216E-2</v>
      </c>
      <c r="BE169" s="123">
        <f t="shared" ref="BE169:BE181" si="596">E169/BB169</f>
        <v>4.9053959355290819E-2</v>
      </c>
      <c r="BF169" s="123">
        <f t="shared" ref="BF169:BF181" si="597">F169/BC169</f>
        <v>2.6058631921824105E-2</v>
      </c>
      <c r="BG169" s="190">
        <f t="shared" si="586"/>
        <v>1179.3333333333333</v>
      </c>
      <c r="BH169" s="123">
        <f>AVERAGEA(BU15:BW16)</f>
        <v>2.5728367132453415E-2</v>
      </c>
      <c r="BI169" s="324">
        <f>STDEVA(BU15:BW16)</f>
        <v>3.2672449465707153E-2</v>
      </c>
      <c r="CT169">
        <v>123</v>
      </c>
      <c r="CV169" s="161"/>
      <c r="DA169" s="161"/>
    </row>
    <row r="170" spans="1:105">
      <c r="A170" t="s">
        <v>46</v>
      </c>
      <c r="B170" s="11">
        <v>21</v>
      </c>
      <c r="C170" s="11">
        <v>21</v>
      </c>
      <c r="D170" s="11">
        <f>SUM(W17)</f>
        <v>0</v>
      </c>
      <c r="E170" s="11">
        <f t="shared" ref="E170:F170" si="598">SUM(X17)</f>
        <v>27</v>
      </c>
      <c r="F170" s="11">
        <f t="shared" si="598"/>
        <v>25</v>
      </c>
      <c r="G170" s="11">
        <f>MIN(W17)</f>
        <v>0</v>
      </c>
      <c r="H170" s="11">
        <f t="shared" ref="H170:I170" si="599">MIN(X17)</f>
        <v>27</v>
      </c>
      <c r="I170" s="11">
        <f t="shared" si="599"/>
        <v>25</v>
      </c>
      <c r="J170" s="190">
        <f>MAX(W17)</f>
        <v>0</v>
      </c>
      <c r="K170" s="190">
        <f t="shared" ref="K170:L170" si="600">MAX(X17)</f>
        <v>27</v>
      </c>
      <c r="L170" s="190">
        <f t="shared" si="600"/>
        <v>25</v>
      </c>
      <c r="M170" s="11">
        <f t="shared" si="590"/>
        <v>0</v>
      </c>
      <c r="N170" s="11">
        <f t="shared" si="581"/>
        <v>0</v>
      </c>
      <c r="O170" s="11">
        <f t="shared" si="581"/>
        <v>0</v>
      </c>
      <c r="P170" s="190">
        <f>MEDIAN(W17)</f>
        <v>0</v>
      </c>
      <c r="Q170" s="190">
        <f t="shared" ref="Q170:R170" si="601">MEDIAN(X17)</f>
        <v>27</v>
      </c>
      <c r="R170" s="190">
        <f t="shared" si="601"/>
        <v>25</v>
      </c>
      <c r="S170" s="190" t="s">
        <v>437</v>
      </c>
      <c r="T170" s="190" t="s">
        <v>437</v>
      </c>
      <c r="U170" s="190" t="s">
        <v>437</v>
      </c>
      <c r="V170" s="176">
        <f>AVERAGEA(W17)</f>
        <v>0</v>
      </c>
      <c r="W170" s="176">
        <f t="shared" ref="W170:X170" si="602">AVERAGEA(X17)</f>
        <v>27</v>
      </c>
      <c r="X170" s="176">
        <f t="shared" si="602"/>
        <v>25</v>
      </c>
      <c r="Y170" s="176">
        <f>STDEVPA(W17)</f>
        <v>0</v>
      </c>
      <c r="Z170" s="176">
        <f t="shared" ref="Z170:AA170" si="603">STDEVPA(X17)</f>
        <v>0</v>
      </c>
      <c r="AA170" s="176">
        <f t="shared" si="603"/>
        <v>0</v>
      </c>
      <c r="AC170" s="11">
        <f>SUM(W17:Y17)</f>
        <v>52</v>
      </c>
      <c r="AD170" s="11">
        <f>MIN(W17:Y17)</f>
        <v>0</v>
      </c>
      <c r="AE170" s="11">
        <f>MAX(W17:Y17)</f>
        <v>27</v>
      </c>
      <c r="AF170" s="11">
        <f t="shared" si="594"/>
        <v>27</v>
      </c>
      <c r="AG170" s="11">
        <f>MEDIAN(W17:Y17)</f>
        <v>25</v>
      </c>
      <c r="AH170" s="11" t="s">
        <v>437</v>
      </c>
      <c r="AI170" s="212">
        <f>AVERAGEA(W17:Y17)</f>
        <v>17.333333333333332</v>
      </c>
      <c r="AJ170" s="176">
        <f>STDEVA(W17:Y17)</f>
        <v>15.044378795195676</v>
      </c>
      <c r="AP170" s="58" t="s">
        <v>457</v>
      </c>
      <c r="AQ170" s="177">
        <v>0</v>
      </c>
      <c r="AR170" s="177" t="s">
        <v>457</v>
      </c>
      <c r="AS170" s="177">
        <v>0</v>
      </c>
      <c r="AT170" s="177" t="s">
        <v>457</v>
      </c>
      <c r="AU170" s="177">
        <v>0</v>
      </c>
      <c r="AV170" s="6"/>
      <c r="AW170" s="177" t="s">
        <v>457</v>
      </c>
      <c r="AX170" s="177">
        <v>0</v>
      </c>
      <c r="BA170" s="11">
        <v>115</v>
      </c>
      <c r="BB170" s="11">
        <v>57</v>
      </c>
      <c r="BC170" s="11">
        <v>148</v>
      </c>
      <c r="BD170" s="123">
        <f t="shared" si="595"/>
        <v>0</v>
      </c>
      <c r="BE170" s="123">
        <f t="shared" si="596"/>
        <v>0.47368421052631576</v>
      </c>
      <c r="BF170" s="123">
        <f t="shared" si="597"/>
        <v>0.16891891891891891</v>
      </c>
      <c r="BG170" s="190">
        <f t="shared" si="586"/>
        <v>106.66666666666667</v>
      </c>
      <c r="BH170" s="123">
        <f>AVERAGEA(BU17:BW17)</f>
        <v>0.21420104314841157</v>
      </c>
      <c r="BI170" s="324">
        <f>STDEVA(BU17:BW17)</f>
        <v>0.24006673219447996</v>
      </c>
      <c r="CT170">
        <v>19.156932453021838</v>
      </c>
      <c r="CV170" s="329"/>
      <c r="DA170" s="107"/>
    </row>
    <row r="171" spans="1:105">
      <c r="A171" t="s">
        <v>37</v>
      </c>
      <c r="B171" s="11">
        <v>1755</v>
      </c>
      <c r="C171" s="11">
        <v>175.5</v>
      </c>
      <c r="D171" s="11">
        <f>SUM(W18:W27)</f>
        <v>4177.2657531104869</v>
      </c>
      <c r="E171" s="11">
        <f t="shared" ref="E171:F171" si="604">SUM(X18:X27)</f>
        <v>5593.8265007740383</v>
      </c>
      <c r="F171" s="11">
        <f t="shared" si="604"/>
        <v>8608.3954188406624</v>
      </c>
      <c r="G171" s="11">
        <f>MIN(W18:W27)</f>
        <v>12.938650306748466</v>
      </c>
      <c r="H171" s="11">
        <f t="shared" ref="H171:I171" si="605">MIN(X18:X27)</f>
        <v>12.938650306748466</v>
      </c>
      <c r="I171" s="11">
        <f t="shared" si="605"/>
        <v>12.414110429447852</v>
      </c>
      <c r="J171" s="190">
        <f>MAX(W18:W27)</f>
        <v>1715</v>
      </c>
      <c r="K171" s="190">
        <f t="shared" ref="K171:L171" si="606">MAX(X18:X27)</f>
        <v>2126</v>
      </c>
      <c r="L171" s="190">
        <f t="shared" si="606"/>
        <v>4696</v>
      </c>
      <c r="M171" s="11">
        <f t="shared" si="590"/>
        <v>1702.0613496932515</v>
      </c>
      <c r="N171" s="11">
        <f t="shared" si="581"/>
        <v>2113.0613496932515</v>
      </c>
      <c r="O171" s="11">
        <f t="shared" si="581"/>
        <v>4683.5858895705524</v>
      </c>
      <c r="P171" s="190">
        <f>MEDIAN(W18:W27)</f>
        <v>158.5</v>
      </c>
      <c r="Q171" s="190">
        <f t="shared" ref="Q171:R171" si="607">MEDIAN(X18:X27)</f>
        <v>301</v>
      </c>
      <c r="R171" s="190">
        <f t="shared" si="607"/>
        <v>464.5</v>
      </c>
      <c r="S171" s="190" t="s">
        <v>437</v>
      </c>
      <c r="T171" s="190" t="s">
        <v>437</v>
      </c>
      <c r="U171" s="190" t="s">
        <v>437</v>
      </c>
      <c r="V171" s="176">
        <f>AVERAGEA(W18:W27)</f>
        <v>417.72657531104869</v>
      </c>
      <c r="W171" s="176">
        <f t="shared" ref="W171:X171" si="608">AVERAGEA(X18:X27)</f>
        <v>559.38265007740381</v>
      </c>
      <c r="X171" s="176">
        <f t="shared" si="608"/>
        <v>860.83954188406619</v>
      </c>
      <c r="Y171" s="176">
        <f>STDEVA(W18:W27)</f>
        <v>523.91448775803553</v>
      </c>
      <c r="Z171" s="176">
        <f t="shared" ref="Z171:AA171" si="609">STDEVA(X18:X27)</f>
        <v>643.0942992254578</v>
      </c>
      <c r="AA171" s="176">
        <f t="shared" si="609"/>
        <v>1390.5304555600551</v>
      </c>
      <c r="AC171" s="11">
        <f>SUM(W18:Y27)</f>
        <v>18379.48767272519</v>
      </c>
      <c r="AD171" s="11">
        <f>MIN(W18:Y27)</f>
        <v>12.414110429447852</v>
      </c>
      <c r="AE171" s="11">
        <f>MAX(W18:Y27)</f>
        <v>4696</v>
      </c>
      <c r="AF171" s="11">
        <f t="shared" si="594"/>
        <v>4683.5858895705524</v>
      </c>
      <c r="AG171" s="11">
        <f>MEDIAN(W18:Y27)</f>
        <v>301</v>
      </c>
      <c r="AH171" s="11">
        <f>MODE(W18:Y27)</f>
        <v>12.938650306748466</v>
      </c>
      <c r="AI171" s="212">
        <f>AVERAGEA(W18:Y27)</f>
        <v>612.64958909083964</v>
      </c>
      <c r="AJ171" s="176">
        <f>STDEVA(W18:Y27)</f>
        <v>921.37435859802099</v>
      </c>
      <c r="AP171" s="58" t="s">
        <v>458</v>
      </c>
      <c r="AQ171" s="177">
        <v>386.88979328396124</v>
      </c>
      <c r="AR171" s="177" t="s">
        <v>458</v>
      </c>
      <c r="AS171" s="177">
        <v>444.84487749799194</v>
      </c>
      <c r="AT171" s="177" t="s">
        <v>458</v>
      </c>
      <c r="AU171" s="177">
        <v>625.38119095927414</v>
      </c>
      <c r="AV171" s="6"/>
      <c r="AW171" s="177" t="s">
        <v>458</v>
      </c>
      <c r="AX171" s="177">
        <v>479.06263140896766</v>
      </c>
      <c r="BA171" s="11">
        <v>10595.616679089502</v>
      </c>
      <c r="BB171" s="11">
        <v>14464.064990539533</v>
      </c>
      <c r="BC171" s="11">
        <v>15286.240181182273</v>
      </c>
      <c r="BD171" s="123">
        <f t="shared" si="595"/>
        <v>0.39424470322282795</v>
      </c>
      <c r="BE171" s="123">
        <f t="shared" si="596"/>
        <v>0.38673958561668353</v>
      </c>
      <c r="BF171" s="123">
        <f t="shared" si="597"/>
        <v>0.56314668072779617</v>
      </c>
      <c r="BG171" s="190">
        <f t="shared" si="586"/>
        <v>13448.640616937102</v>
      </c>
      <c r="BH171" s="123">
        <f>AVERAGEA(BU18:BW27)</f>
        <v>0.41506622421303491</v>
      </c>
      <c r="BI171" s="324">
        <f>STDEVA(BU18:BW27)</f>
        <v>0.16277948933113123</v>
      </c>
      <c r="CT171">
        <v>0</v>
      </c>
      <c r="CV171" s="107"/>
      <c r="DA171" s="107"/>
    </row>
    <row r="172" spans="1:105">
      <c r="A172" t="s">
        <v>38</v>
      </c>
      <c r="B172" s="11">
        <v>7329</v>
      </c>
      <c r="C172" s="11">
        <v>155.93617021276594</v>
      </c>
      <c r="D172" s="11">
        <f>SUM(W28:W74)</f>
        <v>3848.5033333333336</v>
      </c>
      <c r="E172" s="11">
        <f t="shared" ref="E172:F172" si="610">SUM(X28:X74)</f>
        <v>6300.1088888888889</v>
      </c>
      <c r="F172" s="11">
        <f t="shared" si="610"/>
        <v>5018.5411111111107</v>
      </c>
      <c r="G172" s="11">
        <f>MIN(W28:W74)</f>
        <v>0</v>
      </c>
      <c r="H172" s="11">
        <f t="shared" ref="H172:I172" si="611">MIN(X28:X74)</f>
        <v>0</v>
      </c>
      <c r="I172" s="11">
        <f t="shared" si="611"/>
        <v>0</v>
      </c>
      <c r="J172" s="190">
        <f>MAX(W28:W74)</f>
        <v>474</v>
      </c>
      <c r="K172" s="190">
        <f t="shared" ref="K172:L172" si="612">MAX(X28:X74)</f>
        <v>1462</v>
      </c>
      <c r="L172" s="190">
        <f t="shared" si="612"/>
        <v>1017</v>
      </c>
      <c r="M172" s="11">
        <f t="shared" si="590"/>
        <v>474</v>
      </c>
      <c r="N172" s="11">
        <f t="shared" si="581"/>
        <v>1462</v>
      </c>
      <c r="O172" s="11">
        <f t="shared" si="581"/>
        <v>1017</v>
      </c>
      <c r="P172" s="190">
        <f>MEDIAN(W28:W74)</f>
        <v>31</v>
      </c>
      <c r="Q172" s="190">
        <f t="shared" ref="Q172:R172" si="613">MEDIAN(X28:X74)</f>
        <v>50</v>
      </c>
      <c r="R172" s="190">
        <f t="shared" si="613"/>
        <v>45</v>
      </c>
      <c r="S172" s="190">
        <f>MODE(W28:W74)</f>
        <v>0</v>
      </c>
      <c r="T172" s="190">
        <f t="shared" ref="T172:U172" si="614">MODE(X28:X74)</f>
        <v>0</v>
      </c>
      <c r="U172" s="190">
        <f t="shared" si="614"/>
        <v>23</v>
      </c>
      <c r="V172" s="176">
        <f>AVERAGEA(W28:W74)</f>
        <v>81.883049645390074</v>
      </c>
      <c r="W172" s="176">
        <f t="shared" ref="W172:X172" si="615">AVERAGEA(X28:X74)</f>
        <v>134.04486997635934</v>
      </c>
      <c r="X172" s="176">
        <f t="shared" si="615"/>
        <v>106.77747044917257</v>
      </c>
      <c r="Y172" s="176">
        <f>STDEVA(W28:W74)</f>
        <v>120.23158726493747</v>
      </c>
      <c r="Z172" s="176">
        <f t="shared" ref="Z172:AA172" si="616">STDEVA(X28:X74)</f>
        <v>260.2840856714331</v>
      </c>
      <c r="AA172" s="176">
        <f t="shared" si="616"/>
        <v>173.26186589994819</v>
      </c>
      <c r="AC172" s="11">
        <f>SUM(W28:Y74)</f>
        <v>15167.153333333334</v>
      </c>
      <c r="AD172" s="11">
        <f>MIN(W28:Y74)</f>
        <v>0</v>
      </c>
      <c r="AE172" s="11">
        <f>MAX(W28:Y74)</f>
        <v>1462</v>
      </c>
      <c r="AF172" s="11">
        <f t="shared" si="594"/>
        <v>1462</v>
      </c>
      <c r="AG172" s="11">
        <f>MEDIAN(W28:Y74)</f>
        <v>40</v>
      </c>
      <c r="AH172" s="11">
        <f>MODE(W28:Y74)</f>
        <v>0</v>
      </c>
      <c r="AI172" s="212">
        <f>AVERAGEA(W28:Y74)</f>
        <v>107.56846335697399</v>
      </c>
      <c r="AJ172" s="176">
        <f>STDEVA(W28:Y74)</f>
        <v>193.21060785382016</v>
      </c>
      <c r="AP172" s="58" t="s">
        <v>459</v>
      </c>
      <c r="AQ172" s="177">
        <v>149683.71214730624</v>
      </c>
      <c r="AR172" s="177" t="s">
        <v>459</v>
      </c>
      <c r="AS172" s="177">
        <v>197886.96503620344</v>
      </c>
      <c r="AT172" s="177" t="s">
        <v>459</v>
      </c>
      <c r="AU172" s="177">
        <v>391101.63400564017</v>
      </c>
      <c r="AV172" s="6"/>
      <c r="AW172" s="177" t="s">
        <v>459</v>
      </c>
      <c r="AX172" s="177">
        <v>229501.00481248443</v>
      </c>
      <c r="BA172" s="11">
        <v>40432.555555555555</v>
      </c>
      <c r="BB172" s="11">
        <v>46784.662222222221</v>
      </c>
      <c r="BC172" s="11">
        <v>46705.878888888888</v>
      </c>
      <c r="BD172" s="123">
        <f t="shared" si="595"/>
        <v>9.5183281898799932E-2</v>
      </c>
      <c r="BE172" s="123">
        <f t="shared" si="596"/>
        <v>0.1346618440668447</v>
      </c>
      <c r="BF172" s="123">
        <f t="shared" si="597"/>
        <v>0.107449880625306</v>
      </c>
      <c r="BG172" s="190">
        <f t="shared" si="586"/>
        <v>44641.032222222224</v>
      </c>
      <c r="BH172" s="123">
        <f>AVERAGEA(BU28:BW74)</f>
        <v>0.11364537956168284</v>
      </c>
      <c r="BI172" s="324">
        <f>STDEVA(BU28:BW74)</f>
        <v>0.10696564142542761</v>
      </c>
      <c r="CT172">
        <v>0</v>
      </c>
      <c r="CV172" s="107"/>
      <c r="DA172" s="107"/>
    </row>
    <row r="173" spans="1:105">
      <c r="A173" t="s">
        <v>39</v>
      </c>
      <c r="B173" s="11">
        <v>95</v>
      </c>
      <c r="C173" s="11">
        <v>95</v>
      </c>
      <c r="D173" s="11">
        <f>SUM(W75)</f>
        <v>0</v>
      </c>
      <c r="E173" s="11">
        <f t="shared" ref="E173:F173" si="617">SUM(X75)</f>
        <v>0</v>
      </c>
      <c r="F173" s="11">
        <f t="shared" si="617"/>
        <v>0</v>
      </c>
      <c r="G173" s="11">
        <f>MIN(W75)</f>
        <v>0</v>
      </c>
      <c r="H173" s="11">
        <f t="shared" ref="H173:I173" si="618">MIN(X75)</f>
        <v>0</v>
      </c>
      <c r="I173" s="11">
        <f t="shared" si="618"/>
        <v>0</v>
      </c>
      <c r="J173" s="190">
        <f>MAX(W75)</f>
        <v>0</v>
      </c>
      <c r="K173" s="190">
        <f t="shared" ref="K173:L173" si="619">MAX(X75)</f>
        <v>0</v>
      </c>
      <c r="L173" s="190">
        <f t="shared" si="619"/>
        <v>0</v>
      </c>
      <c r="M173" s="11">
        <f t="shared" si="590"/>
        <v>0</v>
      </c>
      <c r="N173" s="11">
        <f t="shared" si="581"/>
        <v>0</v>
      </c>
      <c r="O173" s="11">
        <f t="shared" si="581"/>
        <v>0</v>
      </c>
      <c r="P173" s="190">
        <f>MEDIAN(W75)</f>
        <v>0</v>
      </c>
      <c r="Q173" s="190">
        <f t="shared" ref="Q173:R173" si="620">MEDIAN(X75)</f>
        <v>0</v>
      </c>
      <c r="R173" s="190">
        <f t="shared" si="620"/>
        <v>0</v>
      </c>
      <c r="S173" s="190" t="s">
        <v>437</v>
      </c>
      <c r="T173" s="190" t="s">
        <v>437</v>
      </c>
      <c r="U173" s="190" t="s">
        <v>437</v>
      </c>
      <c r="V173" s="176">
        <f>AVERAGEA(W75)</f>
        <v>0</v>
      </c>
      <c r="W173" s="176">
        <f t="shared" ref="W173:X173" si="621">AVERAGEA(X75)</f>
        <v>0</v>
      </c>
      <c r="X173" s="176">
        <f t="shared" si="621"/>
        <v>0</v>
      </c>
      <c r="Y173" s="176">
        <f>STDEVPA(W75)</f>
        <v>0</v>
      </c>
      <c r="Z173" s="176">
        <f t="shared" ref="Z173:AA173" si="622">STDEVPA(X75)</f>
        <v>0</v>
      </c>
      <c r="AA173" s="176">
        <f t="shared" si="622"/>
        <v>0</v>
      </c>
      <c r="AC173" s="11">
        <f>SUM(W75:Y75)</f>
        <v>0</v>
      </c>
      <c r="AD173" s="11">
        <f>MIN(W75:Y75)</f>
        <v>0</v>
      </c>
      <c r="AE173" s="11">
        <f>MAX(W75:Y75)</f>
        <v>0</v>
      </c>
      <c r="AF173" s="11">
        <f t="shared" si="594"/>
        <v>0</v>
      </c>
      <c r="AG173" s="11">
        <f>MEDIAN(W75:Y75)</f>
        <v>0</v>
      </c>
      <c r="AH173" s="11">
        <f>MODE(W75:Y75)</f>
        <v>0</v>
      </c>
      <c r="AI173" s="212">
        <f>AVERAGEA(W75:Y75)</f>
        <v>0</v>
      </c>
      <c r="AJ173" s="176">
        <f>STDEVA(W75:Y75)</f>
        <v>0</v>
      </c>
      <c r="AP173" s="58" t="s">
        <v>460</v>
      </c>
      <c r="AQ173" s="177">
        <v>6.7166583763642436</v>
      </c>
      <c r="AR173" s="177" t="s">
        <v>460</v>
      </c>
      <c r="AS173" s="177">
        <v>5.1055500252461528</v>
      </c>
      <c r="AT173" s="177" t="s">
        <v>460</v>
      </c>
      <c r="AU173" s="177">
        <v>27.555729732108404</v>
      </c>
      <c r="AV173" s="6"/>
      <c r="AW173" s="177" t="s">
        <v>460</v>
      </c>
      <c r="AX173" s="177">
        <v>28.960876838211945</v>
      </c>
      <c r="BA173" s="11">
        <v>461</v>
      </c>
      <c r="BB173" s="11">
        <v>569</v>
      </c>
      <c r="BC173" s="11">
        <v>524</v>
      </c>
      <c r="BD173" s="123">
        <f t="shared" si="595"/>
        <v>0</v>
      </c>
      <c r="BE173" s="123">
        <f t="shared" si="596"/>
        <v>0</v>
      </c>
      <c r="BF173" s="123">
        <f t="shared" si="597"/>
        <v>0</v>
      </c>
      <c r="BG173" s="190">
        <f t="shared" si="586"/>
        <v>518</v>
      </c>
      <c r="BH173" s="123">
        <f>AVERAGEA(BU75:BW75)</f>
        <v>0</v>
      </c>
      <c r="BI173" s="324">
        <f>STDEVA(BU75:BW75)</f>
        <v>0</v>
      </c>
      <c r="CT173">
        <v>17</v>
      </c>
      <c r="CV173" s="107"/>
      <c r="DA173" s="107"/>
    </row>
    <row r="174" spans="1:105">
      <c r="A174" t="s">
        <v>40</v>
      </c>
      <c r="B174" s="11">
        <v>50</v>
      </c>
      <c r="C174" s="11">
        <v>50</v>
      </c>
      <c r="D174" s="11">
        <f>SUM(W76)</f>
        <v>25</v>
      </c>
      <c r="E174" s="11">
        <f t="shared" ref="E174:F174" si="623">SUM(X76)</f>
        <v>25</v>
      </c>
      <c r="F174" s="11">
        <f t="shared" si="623"/>
        <v>25</v>
      </c>
      <c r="G174" s="11">
        <f>MIN(W76)</f>
        <v>25</v>
      </c>
      <c r="H174" s="11">
        <f t="shared" ref="H174:I174" si="624">MIN(X76)</f>
        <v>25</v>
      </c>
      <c r="I174" s="11">
        <f t="shared" si="624"/>
        <v>25</v>
      </c>
      <c r="J174" s="190">
        <f>MAX(W76)</f>
        <v>25</v>
      </c>
      <c r="K174" s="190">
        <f t="shared" ref="K174:L174" si="625">MAX(X76)</f>
        <v>25</v>
      </c>
      <c r="L174" s="190">
        <f t="shared" si="625"/>
        <v>25</v>
      </c>
      <c r="M174" s="11">
        <f t="shared" si="590"/>
        <v>0</v>
      </c>
      <c r="N174" s="11">
        <f t="shared" si="581"/>
        <v>0</v>
      </c>
      <c r="O174" s="11">
        <f t="shared" si="581"/>
        <v>0</v>
      </c>
      <c r="P174" s="190">
        <f>MEDIAN(W76)</f>
        <v>25</v>
      </c>
      <c r="Q174" s="190">
        <f t="shared" ref="Q174:R174" si="626">MEDIAN(X76)</f>
        <v>25</v>
      </c>
      <c r="R174" s="190">
        <f t="shared" si="626"/>
        <v>25</v>
      </c>
      <c r="S174" s="190" t="s">
        <v>437</v>
      </c>
      <c r="T174" s="190" t="s">
        <v>437</v>
      </c>
      <c r="U174" s="190" t="s">
        <v>437</v>
      </c>
      <c r="V174" s="176">
        <f>AVERAGEA(W76)</f>
        <v>25</v>
      </c>
      <c r="W174" s="176">
        <f t="shared" ref="W174:X174" si="627">AVERAGEA(X76)</f>
        <v>25</v>
      </c>
      <c r="X174" s="176">
        <f t="shared" si="627"/>
        <v>25</v>
      </c>
      <c r="Y174" s="176">
        <f>STDEVPA(W76)</f>
        <v>0</v>
      </c>
      <c r="Z174" s="176">
        <f t="shared" ref="Z174:AA174" si="628">STDEVPA(X76)</f>
        <v>0</v>
      </c>
      <c r="AA174" s="176">
        <f t="shared" si="628"/>
        <v>0</v>
      </c>
      <c r="AC174" s="11">
        <f>SUM(W76:Y76)</f>
        <v>75</v>
      </c>
      <c r="AD174" s="11">
        <f>MIN(W76:Y76)</f>
        <v>25</v>
      </c>
      <c r="AE174" s="11">
        <f>MAX(W76:Y76)</f>
        <v>25</v>
      </c>
      <c r="AF174" s="11">
        <f t="shared" si="594"/>
        <v>0</v>
      </c>
      <c r="AG174" s="11">
        <f>MEDIAN(W76:Y76)</f>
        <v>25</v>
      </c>
      <c r="AH174" s="11" t="s">
        <v>437</v>
      </c>
      <c r="AI174" s="212">
        <f>AVERAGEA(W76:Y76)</f>
        <v>25</v>
      </c>
      <c r="AJ174" s="176">
        <f>STDEVA(W76:Y76)</f>
        <v>0</v>
      </c>
      <c r="AP174" s="58" t="s">
        <v>461</v>
      </c>
      <c r="AQ174" s="177">
        <v>2.6175523041428361</v>
      </c>
      <c r="AR174" s="177" t="s">
        <v>461</v>
      </c>
      <c r="AS174" s="177">
        <v>2.3428576839749189</v>
      </c>
      <c r="AT174" s="177" t="s">
        <v>461</v>
      </c>
      <c r="AU174" s="177">
        <v>4.6550214075959033</v>
      </c>
      <c r="AV174" s="6"/>
      <c r="AW174" s="177" t="s">
        <v>461</v>
      </c>
      <c r="AX174" s="177">
        <v>4.3751888828467802</v>
      </c>
      <c r="BA174" s="11">
        <v>230</v>
      </c>
      <c r="BB174" s="11">
        <v>163</v>
      </c>
      <c r="BC174" s="11">
        <v>172</v>
      </c>
      <c r="BD174" s="123">
        <f t="shared" si="595"/>
        <v>0.10869565217391304</v>
      </c>
      <c r="BE174" s="123">
        <f t="shared" si="596"/>
        <v>0.15337423312883436</v>
      </c>
      <c r="BF174" s="123">
        <f t="shared" si="597"/>
        <v>0.14534883720930233</v>
      </c>
      <c r="BG174" s="190">
        <f t="shared" si="586"/>
        <v>188.33333333333334</v>
      </c>
      <c r="BH174" s="123">
        <f>AVERAGEA(BU76:BW76)</f>
        <v>0.13580624083734991</v>
      </c>
      <c r="BI174" s="324">
        <f>STDEVA(BU76:BW76)</f>
        <v>2.3818894982237666E-2</v>
      </c>
      <c r="CT174">
        <v>97.38000000000001</v>
      </c>
      <c r="CV174" s="330"/>
      <c r="DA174" s="102"/>
    </row>
    <row r="175" spans="1:105">
      <c r="A175" t="s">
        <v>41</v>
      </c>
      <c r="B175" s="11">
        <v>221</v>
      </c>
      <c r="C175" s="11">
        <v>55.25</v>
      </c>
      <c r="D175" s="11">
        <f>SUM(W77:W80)</f>
        <v>139.66480446927375</v>
      </c>
      <c r="E175" s="11">
        <f t="shared" ref="E175:F175" si="629">SUM(X77:X80)</f>
        <v>173.63788725241238</v>
      </c>
      <c r="F175" s="11">
        <f t="shared" si="629"/>
        <v>180.06399187404776</v>
      </c>
      <c r="G175" s="11">
        <f>MIN(W77:W80)</f>
        <v>21</v>
      </c>
      <c r="H175" s="11">
        <f t="shared" ref="H175:I175" si="630">MIN(X77:X80)</f>
        <v>25</v>
      </c>
      <c r="I175" s="11">
        <f t="shared" si="630"/>
        <v>22</v>
      </c>
      <c r="J175" s="190">
        <f>MAX(W77:W80)</f>
        <v>59.66480446927374</v>
      </c>
      <c r="K175" s="190">
        <f t="shared" ref="K175:L175" si="631">MAX(X77:X80)</f>
        <v>65</v>
      </c>
      <c r="L175" s="190">
        <f t="shared" si="631"/>
        <v>66.063991874047744</v>
      </c>
      <c r="M175" s="11">
        <f t="shared" si="590"/>
        <v>38.66480446927374</v>
      </c>
      <c r="N175" s="11">
        <f t="shared" si="581"/>
        <v>40</v>
      </c>
      <c r="O175" s="11">
        <f t="shared" si="581"/>
        <v>44.063991874047744</v>
      </c>
      <c r="P175" s="190">
        <f>MEDIAN(W77:W80)</f>
        <v>29.5</v>
      </c>
      <c r="Q175" s="190">
        <f t="shared" ref="Q175:R175" si="632">MEDIAN(X77:X80)</f>
        <v>41.818943626206192</v>
      </c>
      <c r="R175" s="190">
        <f t="shared" si="632"/>
        <v>46</v>
      </c>
      <c r="S175" s="190" t="s">
        <v>437</v>
      </c>
      <c r="T175" s="190" t="s">
        <v>437</v>
      </c>
      <c r="U175" s="190" t="s">
        <v>437</v>
      </c>
      <c r="V175" s="176">
        <f>AVERAGEA(W77:W80)</f>
        <v>34.916201117318437</v>
      </c>
      <c r="W175" s="176">
        <f t="shared" ref="W175:X175" si="633">AVERAGEA(X77:X80)</f>
        <v>43.409471813103096</v>
      </c>
      <c r="X175" s="176">
        <f t="shared" si="633"/>
        <v>45.01599796851194</v>
      </c>
      <c r="Y175" s="176">
        <f>STDEVA(W77:W80)</f>
        <v>18.049233506315915</v>
      </c>
      <c r="Z175" s="176">
        <f t="shared" ref="Z175:AA175" si="634">STDEVA(X77:X80)</f>
        <v>20.40687220886311</v>
      </c>
      <c r="AA175" s="176">
        <f t="shared" si="634"/>
        <v>18.31839448869145</v>
      </c>
      <c r="AC175" s="11">
        <f>SUM(W77:Y80)</f>
        <v>493.36668359573389</v>
      </c>
      <c r="AD175" s="11">
        <f>MIN(W77:Y80)</f>
        <v>21</v>
      </c>
      <c r="AE175" s="11">
        <f>MAX(W77:Y80)</f>
        <v>66.063991874047744</v>
      </c>
      <c r="AF175" s="11">
        <f t="shared" si="594"/>
        <v>45.063991874047744</v>
      </c>
      <c r="AG175" s="11">
        <f>MEDIAN(W77:Y80)</f>
        <v>39.5</v>
      </c>
      <c r="AH175" s="11">
        <f>MODE(W77:Y80)</f>
        <v>22</v>
      </c>
      <c r="AI175" s="212">
        <f>AVERAGEA(W77:Y80)</f>
        <v>41.113890299644488</v>
      </c>
      <c r="AJ175" s="176">
        <f>STDEVA(W77:Y80)</f>
        <v>17.75839489126065</v>
      </c>
      <c r="AP175" s="58" t="s">
        <v>462</v>
      </c>
      <c r="AQ175" s="177">
        <v>1810</v>
      </c>
      <c r="AR175" s="177" t="s">
        <v>462</v>
      </c>
      <c r="AS175" s="177">
        <v>2126</v>
      </c>
      <c r="AT175" s="177" t="s">
        <v>462</v>
      </c>
      <c r="AU175" s="177">
        <v>4696</v>
      </c>
      <c r="AV175" s="6"/>
      <c r="AW175" s="177" t="s">
        <v>462</v>
      </c>
      <c r="AX175" s="177">
        <v>4696</v>
      </c>
      <c r="BA175" s="11">
        <v>961.73184357541902</v>
      </c>
      <c r="BB175" s="11">
        <v>1110.7308278313865</v>
      </c>
      <c r="BC175" s="11">
        <v>1531.4433722701879</v>
      </c>
      <c r="BD175" s="123">
        <f t="shared" si="595"/>
        <v>0.14522218995062447</v>
      </c>
      <c r="BE175" s="123">
        <f t="shared" si="596"/>
        <v>0.15632760242319602</v>
      </c>
      <c r="BF175" s="123">
        <f t="shared" si="597"/>
        <v>0.11757796281237856</v>
      </c>
      <c r="BG175" s="190">
        <f t="shared" si="586"/>
        <v>1201.3020145589978</v>
      </c>
      <c r="BH175" s="123">
        <f>AVERAGEA(BU77:BW80)</f>
        <v>0.14858860744332683</v>
      </c>
      <c r="BI175" s="324">
        <f>STDEVA(BU77:BW80)</f>
        <v>5.2247727318778588E-2</v>
      </c>
      <c r="CT175">
        <v>0</v>
      </c>
      <c r="CV175" s="102"/>
      <c r="DA175" s="102"/>
    </row>
    <row r="176" spans="1:105">
      <c r="A176" t="s">
        <v>34</v>
      </c>
      <c r="B176" s="11">
        <v>880</v>
      </c>
      <c r="C176" s="11">
        <v>220</v>
      </c>
      <c r="D176" s="11">
        <f>SUM(W81:W84)</f>
        <v>2452.66</v>
      </c>
      <c r="E176" s="11">
        <f t="shared" ref="E176:F176" si="635">SUM(X81:X84)</f>
        <v>3013.71</v>
      </c>
      <c r="F176" s="11">
        <f t="shared" si="635"/>
        <v>2507.7200000000003</v>
      </c>
      <c r="G176" s="11">
        <f>MIN(W81:W84)</f>
        <v>0</v>
      </c>
      <c r="H176" s="11">
        <f t="shared" ref="H176:I176" si="636">MIN(X81:X84)</f>
        <v>0</v>
      </c>
      <c r="I176" s="11">
        <f t="shared" si="636"/>
        <v>0</v>
      </c>
      <c r="J176" s="190">
        <f>MAX(W81:W84)</f>
        <v>1168</v>
      </c>
      <c r="K176" s="190">
        <f t="shared" ref="K176:L176" si="637">MAX(X81:X84)</f>
        <v>1653</v>
      </c>
      <c r="L176" s="190">
        <f t="shared" si="637"/>
        <v>1973</v>
      </c>
      <c r="M176" s="11">
        <f t="shared" si="590"/>
        <v>1168</v>
      </c>
      <c r="N176" s="11">
        <f t="shared" si="581"/>
        <v>1653</v>
      </c>
      <c r="O176" s="11">
        <f t="shared" si="581"/>
        <v>1973</v>
      </c>
      <c r="P176" s="190">
        <f>MEDIAN(W81:W84)</f>
        <v>642.33000000000004</v>
      </c>
      <c r="Q176" s="190">
        <f t="shared" ref="Q176:R176" si="638">MEDIAN(X81:X84)</f>
        <v>680.35500000000002</v>
      </c>
      <c r="R176" s="190">
        <f t="shared" si="638"/>
        <v>267.36</v>
      </c>
      <c r="S176" s="190" t="s">
        <v>437</v>
      </c>
      <c r="T176" s="190" t="s">
        <v>437</v>
      </c>
      <c r="U176" s="190" t="s">
        <v>437</v>
      </c>
      <c r="V176" s="176">
        <f>AVERAGEA(W81:W84)</f>
        <v>613.16499999999996</v>
      </c>
      <c r="W176" s="176">
        <f t="shared" ref="W176:X176" si="639">AVERAGEA(X81:X84)</f>
        <v>753.42750000000001</v>
      </c>
      <c r="X176" s="176">
        <f t="shared" si="639"/>
        <v>626.93000000000006</v>
      </c>
      <c r="Y176" s="176">
        <f>STDEVA(W81:W84)</f>
        <v>516.52615509768725</v>
      </c>
      <c r="Z176" s="176">
        <f t="shared" ref="Z176:AA176" si="640">STDEVA(X81:X84)</f>
        <v>699.73430030619477</v>
      </c>
      <c r="AA176" s="176">
        <f t="shared" si="640"/>
        <v>931.53981106552817</v>
      </c>
      <c r="AC176" s="11">
        <f>SUM(W81:Y84)</f>
        <v>7974.09</v>
      </c>
      <c r="AD176" s="11">
        <f>MIN(W81:Y84)</f>
        <v>0</v>
      </c>
      <c r="AE176" s="11">
        <f>MAX(W81:Y84)</f>
        <v>1973</v>
      </c>
      <c r="AF176" s="11">
        <f t="shared" si="594"/>
        <v>1973</v>
      </c>
      <c r="AG176" s="11">
        <f>MEDIAN(W81:Y84)</f>
        <v>505.21500000000003</v>
      </c>
      <c r="AH176" s="11">
        <f>MODE(W81:Y84)</f>
        <v>0</v>
      </c>
      <c r="AI176" s="212">
        <f>AVERAGEA(W81:Y84)</f>
        <v>664.50750000000005</v>
      </c>
      <c r="AJ176" s="176">
        <f>STDEVA(W81:Y84)</f>
        <v>668.81176094929037</v>
      </c>
      <c r="AP176" s="58" t="s">
        <v>412</v>
      </c>
      <c r="AQ176" s="177">
        <v>0</v>
      </c>
      <c r="AR176" s="177" t="s">
        <v>412</v>
      </c>
      <c r="AS176" s="177">
        <v>0</v>
      </c>
      <c r="AT176" s="177" t="s">
        <v>412</v>
      </c>
      <c r="AU176" s="177">
        <v>0</v>
      </c>
      <c r="AV176" s="6"/>
      <c r="AW176" s="177" t="s">
        <v>412</v>
      </c>
      <c r="AX176" s="177">
        <v>0</v>
      </c>
      <c r="BA176" s="11">
        <v>8083.21</v>
      </c>
      <c r="BB176" s="11">
        <v>8999.16</v>
      </c>
      <c r="BC176" s="11">
        <v>10296.74</v>
      </c>
      <c r="BD176" s="123">
        <f t="shared" si="595"/>
        <v>0.30342648527008453</v>
      </c>
      <c r="BE176" s="123">
        <f t="shared" si="596"/>
        <v>0.33488792287280145</v>
      </c>
      <c r="BF176" s="123">
        <f t="shared" si="597"/>
        <v>0.24354504435384405</v>
      </c>
      <c r="BG176" s="190">
        <f t="shared" si="586"/>
        <v>9126.3700000000008</v>
      </c>
      <c r="BH176" s="123">
        <f>AVERAGEA(BU81:BW84)</f>
        <v>0.2632176681264648</v>
      </c>
      <c r="BI176" s="324">
        <f>STDEVA(BU81:BW84)</f>
        <v>0.216539508940498</v>
      </c>
      <c r="CT176">
        <v>431</v>
      </c>
      <c r="CV176" s="102"/>
      <c r="DA176" s="102"/>
    </row>
    <row r="177" spans="1:105">
      <c r="A177" t="s">
        <v>42</v>
      </c>
      <c r="B177" s="11">
        <v>92</v>
      </c>
      <c r="C177" s="11">
        <v>92</v>
      </c>
      <c r="D177" s="11">
        <f>SUM(W85)</f>
        <v>230</v>
      </c>
      <c r="E177" s="11">
        <f t="shared" ref="E177:F177" si="641">SUM(X85)</f>
        <v>247</v>
      </c>
      <c r="F177" s="11">
        <f t="shared" si="641"/>
        <v>273</v>
      </c>
      <c r="G177" s="11">
        <f>MIN(W85)</f>
        <v>230</v>
      </c>
      <c r="H177" s="11">
        <f t="shared" ref="H177:I177" si="642">MIN(X85)</f>
        <v>247</v>
      </c>
      <c r="I177" s="11">
        <f t="shared" si="642"/>
        <v>273</v>
      </c>
      <c r="J177" s="190">
        <f>MAX(W85)</f>
        <v>230</v>
      </c>
      <c r="K177" s="190">
        <f t="shared" ref="K177:L177" si="643">MAX(X85)</f>
        <v>247</v>
      </c>
      <c r="L177" s="190">
        <f t="shared" si="643"/>
        <v>273</v>
      </c>
      <c r="M177" s="11">
        <f t="shared" si="590"/>
        <v>0</v>
      </c>
      <c r="N177" s="11">
        <f t="shared" si="581"/>
        <v>0</v>
      </c>
      <c r="O177" s="11">
        <f t="shared" si="581"/>
        <v>0</v>
      </c>
      <c r="P177" s="190">
        <f>MEDIAN(W85)</f>
        <v>230</v>
      </c>
      <c r="Q177" s="190">
        <f t="shared" ref="Q177:R177" si="644">MEDIAN(X85)</f>
        <v>247</v>
      </c>
      <c r="R177" s="190">
        <f t="shared" si="644"/>
        <v>273</v>
      </c>
      <c r="S177" s="190" t="s">
        <v>437</v>
      </c>
      <c r="T177" s="190" t="s">
        <v>437</v>
      </c>
      <c r="U177" s="190" t="s">
        <v>437</v>
      </c>
      <c r="V177" s="176">
        <f>AVERAGEA(W85)</f>
        <v>230</v>
      </c>
      <c r="W177" s="176">
        <f t="shared" ref="W177:X177" si="645">AVERAGEA(X85)</f>
        <v>247</v>
      </c>
      <c r="X177" s="176">
        <f t="shared" si="645"/>
        <v>273</v>
      </c>
      <c r="Y177" s="176">
        <f>STDEVPA(W85)</f>
        <v>0</v>
      </c>
      <c r="Z177" s="176">
        <f t="shared" ref="Z177:AA177" si="646">STDEVPA(X85)</f>
        <v>0</v>
      </c>
      <c r="AA177" s="176">
        <f t="shared" si="646"/>
        <v>0</v>
      </c>
      <c r="AC177" s="11">
        <f>SUM(W85:Y85)</f>
        <v>750</v>
      </c>
      <c r="AD177" s="11">
        <f>MIN(W85:Y85)</f>
        <v>230</v>
      </c>
      <c r="AE177" s="11">
        <f>MAX(W85:Y85)</f>
        <v>273</v>
      </c>
      <c r="AF177" s="11">
        <f t="shared" si="594"/>
        <v>43</v>
      </c>
      <c r="AG177" s="11">
        <f>MEDIAN(W85:Y85)</f>
        <v>247</v>
      </c>
      <c r="AH177" s="11" t="s">
        <v>437</v>
      </c>
      <c r="AI177" s="212">
        <f>AVERAGEA(W85:Y85)</f>
        <v>250</v>
      </c>
      <c r="AJ177" s="176">
        <f>STDEVA(W85:Y85)</f>
        <v>21.656407827707714</v>
      </c>
      <c r="AP177" s="58" t="s">
        <v>413</v>
      </c>
      <c r="AQ177" s="177">
        <v>1810</v>
      </c>
      <c r="AR177" s="177" t="s">
        <v>413</v>
      </c>
      <c r="AS177" s="177">
        <v>2126</v>
      </c>
      <c r="AT177" s="177" t="s">
        <v>413</v>
      </c>
      <c r="AU177" s="177">
        <v>4696</v>
      </c>
      <c r="AV177" s="6"/>
      <c r="AW177" s="177" t="s">
        <v>413</v>
      </c>
      <c r="AX177" s="177">
        <v>4696</v>
      </c>
      <c r="BA177" s="11">
        <v>547</v>
      </c>
      <c r="BB177" s="11">
        <v>580</v>
      </c>
      <c r="BC177" s="11">
        <v>742</v>
      </c>
      <c r="BD177" s="123">
        <f t="shared" si="595"/>
        <v>0.42047531992687387</v>
      </c>
      <c r="BE177" s="123">
        <f t="shared" si="596"/>
        <v>0.42586206896551726</v>
      </c>
      <c r="BF177" s="123">
        <f t="shared" si="597"/>
        <v>0.36792452830188677</v>
      </c>
      <c r="BG177" s="190">
        <f t="shared" si="586"/>
        <v>623</v>
      </c>
      <c r="BH177" s="123">
        <f>AVERAGEA(BU85:BW85)</f>
        <v>0.40475397239809263</v>
      </c>
      <c r="BI177" s="324">
        <f>STDEVA(BU85:BW85)</f>
        <v>3.2008752406615229E-2</v>
      </c>
      <c r="CT177">
        <v>25</v>
      </c>
      <c r="CV177" s="102"/>
      <c r="DA177" s="102"/>
    </row>
    <row r="178" spans="1:105">
      <c r="A178" t="s">
        <v>43</v>
      </c>
      <c r="B178" s="11">
        <v>105</v>
      </c>
      <c r="C178" s="11">
        <v>105</v>
      </c>
      <c r="D178" s="11">
        <f>SUM(W86)</f>
        <v>273</v>
      </c>
      <c r="E178" s="11">
        <f t="shared" ref="E178:F178" si="647">SUM(X86)</f>
        <v>303</v>
      </c>
      <c r="F178" s="11">
        <f t="shared" si="647"/>
        <v>292</v>
      </c>
      <c r="G178" s="11">
        <f>MIN(W86)</f>
        <v>273</v>
      </c>
      <c r="H178" s="11">
        <f t="shared" ref="H178:I178" si="648">MIN(X86)</f>
        <v>303</v>
      </c>
      <c r="I178" s="11">
        <f t="shared" si="648"/>
        <v>292</v>
      </c>
      <c r="J178" s="190">
        <f>MAX(W86)</f>
        <v>273</v>
      </c>
      <c r="K178" s="190">
        <f t="shared" ref="K178:L178" si="649">MAX(X86)</f>
        <v>303</v>
      </c>
      <c r="L178" s="190">
        <f t="shared" si="649"/>
        <v>292</v>
      </c>
      <c r="M178" s="11">
        <f t="shared" si="590"/>
        <v>0</v>
      </c>
      <c r="N178" s="11">
        <f t="shared" si="581"/>
        <v>0</v>
      </c>
      <c r="O178" s="11">
        <f t="shared" si="581"/>
        <v>0</v>
      </c>
      <c r="P178" s="190">
        <f>MEDIAN(W86)</f>
        <v>273</v>
      </c>
      <c r="Q178" s="190">
        <f t="shared" ref="Q178:R178" si="650">MEDIAN(X86)</f>
        <v>303</v>
      </c>
      <c r="R178" s="190">
        <f t="shared" si="650"/>
        <v>292</v>
      </c>
      <c r="S178" s="190" t="s">
        <v>437</v>
      </c>
      <c r="T178" s="190" t="s">
        <v>437</v>
      </c>
      <c r="U178" s="190" t="s">
        <v>437</v>
      </c>
      <c r="V178" s="176">
        <f>AVERAGEA(W86)</f>
        <v>273</v>
      </c>
      <c r="W178" s="176">
        <f t="shared" ref="W178:X178" si="651">AVERAGEA(X86)</f>
        <v>303</v>
      </c>
      <c r="X178" s="176">
        <f t="shared" si="651"/>
        <v>292</v>
      </c>
      <c r="Y178" s="176">
        <f>STDEVPA(W86)</f>
        <v>0</v>
      </c>
      <c r="Z178" s="176">
        <f t="shared" ref="Z178:AA178" si="652">STDEVPA(X86)</f>
        <v>0</v>
      </c>
      <c r="AA178" s="176">
        <f t="shared" si="652"/>
        <v>0</v>
      </c>
      <c r="AC178" s="11">
        <f>SUM(W86:Y86)</f>
        <v>868</v>
      </c>
      <c r="AD178" s="11">
        <f>MIN(W86:Y86)</f>
        <v>273</v>
      </c>
      <c r="AE178" s="11">
        <f>MAX(W86:Y86)</f>
        <v>303</v>
      </c>
      <c r="AF178" s="11">
        <f t="shared" si="594"/>
        <v>30</v>
      </c>
      <c r="AG178" s="11">
        <f>MEDIAN(W86:Y86)</f>
        <v>292</v>
      </c>
      <c r="AH178" s="11" t="s">
        <v>437</v>
      </c>
      <c r="AI178" s="212">
        <f>AVERAGEA(W86:Y86)</f>
        <v>289.33333333333331</v>
      </c>
      <c r="AJ178" s="176">
        <f>STDEVA(W86:Y86)</f>
        <v>15.176736583776281</v>
      </c>
      <c r="AP178" s="58" t="s">
        <v>463</v>
      </c>
      <c r="AQ178" s="177">
        <v>20648.016593615797</v>
      </c>
      <c r="AR178" s="177" t="s">
        <v>463</v>
      </c>
      <c r="AS178" s="177">
        <v>25297.753446858012</v>
      </c>
      <c r="AT178" s="177" t="s">
        <v>463</v>
      </c>
      <c r="AU178" s="177">
        <v>26876.866680711984</v>
      </c>
      <c r="AV178" s="6"/>
      <c r="AW178" s="177" t="s">
        <v>463</v>
      </c>
      <c r="AX178" s="177">
        <v>68172.89986794359</v>
      </c>
      <c r="BA178" s="11">
        <v>804</v>
      </c>
      <c r="BB178" s="11">
        <v>873</v>
      </c>
      <c r="BC178" s="11">
        <v>1133</v>
      </c>
      <c r="BD178" s="123">
        <f t="shared" si="595"/>
        <v>0.33955223880597013</v>
      </c>
      <c r="BE178" s="123">
        <f t="shared" si="596"/>
        <v>0.34707903780068727</v>
      </c>
      <c r="BF178" s="123">
        <f t="shared" si="597"/>
        <v>0.25772285966460723</v>
      </c>
      <c r="BG178" s="190">
        <f t="shared" si="586"/>
        <v>936.66666666666663</v>
      </c>
      <c r="BH178" s="123">
        <f>AVERAGEA(BU86:BW86)</f>
        <v>0.31478471209042153</v>
      </c>
      <c r="BI178" s="324">
        <f>STDEVA(BU86:BW86)</f>
        <v>4.9560109235914668E-2</v>
      </c>
      <c r="CT178">
        <v>9</v>
      </c>
      <c r="CV178" s="109"/>
      <c r="DA178" s="109"/>
    </row>
    <row r="179" spans="1:105">
      <c r="A179" t="s">
        <v>44</v>
      </c>
      <c r="B179" s="11">
        <v>1150</v>
      </c>
      <c r="C179" s="11">
        <v>164.28571428571428</v>
      </c>
      <c r="D179" s="11">
        <f>SUM(W87:W93)</f>
        <v>887.12</v>
      </c>
      <c r="E179" s="11">
        <f t="shared" ref="E179" si="653">SUM(X87:X93)</f>
        <v>1065.9733333333334</v>
      </c>
      <c r="F179" s="11">
        <f>SUM(Y87:Y93)</f>
        <v>1007.4183333333333</v>
      </c>
      <c r="G179" s="11">
        <f>MIN(W87:W93)</f>
        <v>0</v>
      </c>
      <c r="H179" s="11">
        <f t="shared" ref="H179:I179" si="654">MIN(X87:X93)</f>
        <v>15.99</v>
      </c>
      <c r="I179" s="11">
        <f t="shared" si="654"/>
        <v>22.36</v>
      </c>
      <c r="J179" s="190">
        <f>MAX(W87:W93)</f>
        <v>220</v>
      </c>
      <c r="K179" s="190">
        <f t="shared" ref="K179:L179" si="655">MAX(X87:X93)</f>
        <v>276</v>
      </c>
      <c r="L179" s="190">
        <f t="shared" si="655"/>
        <v>248</v>
      </c>
      <c r="M179" s="11">
        <f t="shared" si="590"/>
        <v>220</v>
      </c>
      <c r="N179" s="11">
        <f t="shared" si="581"/>
        <v>260.01</v>
      </c>
      <c r="O179" s="11">
        <f t="shared" si="581"/>
        <v>225.64</v>
      </c>
      <c r="P179" s="190">
        <f>MEDIAN(W87:W93)</f>
        <v>201</v>
      </c>
      <c r="Q179" s="190">
        <f t="shared" ref="Q179:R179" si="656">MEDIAN(X87:X93)</f>
        <v>196</v>
      </c>
      <c r="R179" s="190">
        <f t="shared" si="656"/>
        <v>166</v>
      </c>
      <c r="S179" s="190" t="s">
        <v>437</v>
      </c>
      <c r="T179" s="190" t="s">
        <v>437</v>
      </c>
      <c r="U179" s="190" t="s">
        <v>437</v>
      </c>
      <c r="V179" s="176">
        <f>AVERAGEA(W87:W93)</f>
        <v>126.73142857142857</v>
      </c>
      <c r="W179" s="176">
        <f t="shared" ref="W179:X179" si="657">AVERAGEA(X87:X93)</f>
        <v>152.28190476190477</v>
      </c>
      <c r="X179" s="176">
        <f t="shared" si="657"/>
        <v>143.91690476190476</v>
      </c>
      <c r="Y179" s="176">
        <f>STDEVA(W87:W93)</f>
        <v>105.88584221203693</v>
      </c>
      <c r="Z179" s="176">
        <f t="shared" ref="Z179:AA179" si="658">STDEVA(X87:X93)</f>
        <v>96.506243971034451</v>
      </c>
      <c r="AA179" s="176">
        <f t="shared" si="658"/>
        <v>91.493908117530154</v>
      </c>
      <c r="AC179" s="11">
        <f>SUM(W87:Y93)</f>
        <v>2960.5116666666663</v>
      </c>
      <c r="AD179" s="11">
        <f>MIN(W87:Y93)</f>
        <v>0</v>
      </c>
      <c r="AE179" s="11">
        <f>MAX(W87:Y93)</f>
        <v>276</v>
      </c>
      <c r="AF179" s="11">
        <f t="shared" si="594"/>
        <v>276</v>
      </c>
      <c r="AG179" s="11">
        <f>MEDIAN(W87:Y93)</f>
        <v>196</v>
      </c>
      <c r="AH179" s="11">
        <f>MODE(W87:Y93)</f>
        <v>206</v>
      </c>
      <c r="AI179" s="212">
        <f>AVERAGEA(W87:Y93)</f>
        <v>140.97674603174602</v>
      </c>
      <c r="AJ179" s="176">
        <f>STDEVA(W87:Y93)</f>
        <v>93.742752544272591</v>
      </c>
      <c r="AP179" s="58" t="s">
        <v>464</v>
      </c>
      <c r="AQ179" s="177">
        <v>93</v>
      </c>
      <c r="AR179" s="177" t="s">
        <v>464</v>
      </c>
      <c r="AS179" s="177">
        <v>93</v>
      </c>
      <c r="AT179" s="177" t="s">
        <v>464</v>
      </c>
      <c r="AU179" s="177">
        <v>93</v>
      </c>
      <c r="AV179" s="6"/>
      <c r="AW179" s="177" t="s">
        <v>464</v>
      </c>
      <c r="AX179" s="177">
        <v>279</v>
      </c>
      <c r="BA179" s="11">
        <v>10584.598333333333</v>
      </c>
      <c r="BB179" s="11">
        <v>12332.931666666667</v>
      </c>
      <c r="BC179" s="11">
        <v>12970.705</v>
      </c>
      <c r="BD179" s="123">
        <f t="shared" si="595"/>
        <v>8.3812344319789178E-2</v>
      </c>
      <c r="BE179" s="123">
        <f t="shared" si="596"/>
        <v>8.643308518561213E-2</v>
      </c>
      <c r="BF179" s="123">
        <f t="shared" si="597"/>
        <v>7.7668741470362124E-2</v>
      </c>
      <c r="BG179" s="190">
        <f t="shared" si="586"/>
        <v>11962.745000000001</v>
      </c>
      <c r="BH179" s="123">
        <f>AVERAGEA(BU87:BW93)</f>
        <v>0.17243989253797878</v>
      </c>
      <c r="BI179" s="324">
        <f>STDEVA(BU87:BW93)</f>
        <v>0.14391198203731131</v>
      </c>
      <c r="CT179">
        <v>85</v>
      </c>
      <c r="CV179" s="170"/>
      <c r="DA179" s="170"/>
    </row>
    <row r="180" spans="1:105">
      <c r="A180" t="s">
        <v>45</v>
      </c>
      <c r="B180" s="11">
        <v>70</v>
      </c>
      <c r="C180" s="11">
        <v>70</v>
      </c>
      <c r="D180" s="11">
        <f>SUM(W94)</f>
        <v>295.70270270270271</v>
      </c>
      <c r="E180" s="11">
        <f t="shared" ref="E180:F180" si="659">SUM(X94)</f>
        <v>150.972972972973</v>
      </c>
      <c r="F180" s="11">
        <f t="shared" si="659"/>
        <v>126.18918918918919</v>
      </c>
      <c r="G180" s="11">
        <f>MIN(W94)</f>
        <v>295.70270270270271</v>
      </c>
      <c r="H180" s="11">
        <f t="shared" ref="H180:I180" si="660">MIN(X94)</f>
        <v>150.972972972973</v>
      </c>
      <c r="I180" s="11">
        <f t="shared" si="660"/>
        <v>126.18918918918919</v>
      </c>
      <c r="J180" s="190">
        <f>MAX(W94)</f>
        <v>295.70270270270271</v>
      </c>
      <c r="K180" s="190">
        <f t="shared" ref="K180:L180" si="661">MAX(X94)</f>
        <v>150.972972972973</v>
      </c>
      <c r="L180" s="190">
        <f t="shared" si="661"/>
        <v>126.18918918918919</v>
      </c>
      <c r="M180" s="11">
        <f t="shared" si="590"/>
        <v>0</v>
      </c>
      <c r="N180" s="11">
        <f t="shared" si="581"/>
        <v>0</v>
      </c>
      <c r="O180" s="11">
        <f t="shared" si="581"/>
        <v>0</v>
      </c>
      <c r="P180" s="190">
        <f>MEDIAN(W94)</f>
        <v>295.70270270270271</v>
      </c>
      <c r="Q180" s="190">
        <f t="shared" ref="Q180:R180" si="662">MEDIAN(X94)</f>
        <v>150.972972972973</v>
      </c>
      <c r="R180" s="190">
        <f t="shared" si="662"/>
        <v>126.18918918918919</v>
      </c>
      <c r="S180" s="190" t="s">
        <v>437</v>
      </c>
      <c r="T180" s="190" t="s">
        <v>437</v>
      </c>
      <c r="U180" s="190" t="s">
        <v>437</v>
      </c>
      <c r="V180" s="176">
        <f>AVERAGEA(W94)</f>
        <v>295.70270270270271</v>
      </c>
      <c r="W180" s="176">
        <f t="shared" ref="W180:X180" si="663">AVERAGEA(X94)</f>
        <v>150.972972972973</v>
      </c>
      <c r="X180" s="176">
        <f t="shared" si="663"/>
        <v>126.18918918918919</v>
      </c>
      <c r="Y180" s="176">
        <f>STDEVPA(W94)</f>
        <v>0</v>
      </c>
      <c r="Z180" s="176">
        <f t="shared" ref="Z180:AA180" si="664">STDEVPA(X94)</f>
        <v>0</v>
      </c>
      <c r="AA180" s="176">
        <f t="shared" si="664"/>
        <v>0</v>
      </c>
      <c r="AC180" s="11">
        <f>SUM(W94:Y94)</f>
        <v>572.8648648648649</v>
      </c>
      <c r="AD180" s="11">
        <f>MIN(W94:Y94)</f>
        <v>126.18918918918919</v>
      </c>
      <c r="AE180" s="11">
        <f>MAX(W94:Y94)</f>
        <v>295.70270270270271</v>
      </c>
      <c r="AF180" s="11">
        <f t="shared" si="594"/>
        <v>169.51351351351352</v>
      </c>
      <c r="AG180" s="11">
        <f>MEDIAN(W94:Y94)</f>
        <v>150.972972972973</v>
      </c>
      <c r="AH180" s="11" t="s">
        <v>437</v>
      </c>
      <c r="AI180" s="212">
        <f>AVERAGEA(W94:Y94)</f>
        <v>190.95495495495496</v>
      </c>
      <c r="AJ180" s="176">
        <f>STDEVA(W94:Y94)</f>
        <v>91.556687239817066</v>
      </c>
      <c r="AP180" s="58" t="s">
        <v>485</v>
      </c>
      <c r="AQ180" s="177">
        <v>1810</v>
      </c>
      <c r="AR180" s="177" t="s">
        <v>485</v>
      </c>
      <c r="AS180" s="177">
        <v>2126</v>
      </c>
      <c r="AT180" s="177" t="s">
        <v>485</v>
      </c>
      <c r="AU180" s="177">
        <v>4696</v>
      </c>
      <c r="AV180" s="6"/>
      <c r="AW180" s="177" t="s">
        <v>485</v>
      </c>
      <c r="AX180" s="177">
        <v>4696</v>
      </c>
      <c r="BA180" s="11">
        <v>738.02702702702697</v>
      </c>
      <c r="BB180" s="11">
        <v>651.18918918918916</v>
      </c>
      <c r="BC180" s="11">
        <v>722.70270270270271</v>
      </c>
      <c r="BD180" s="123">
        <f t="shared" si="595"/>
        <v>0.40066649577031532</v>
      </c>
      <c r="BE180" s="123">
        <f t="shared" si="596"/>
        <v>0.23184195235328303</v>
      </c>
      <c r="BF180" s="123">
        <f t="shared" si="597"/>
        <v>0.17460732984293195</v>
      </c>
      <c r="BG180" s="190">
        <f t="shared" si="586"/>
        <v>703.97297297297303</v>
      </c>
      <c r="BH180" s="123">
        <f>AVERAGEA(BU94:BW94)</f>
        <v>0.26903859265551006</v>
      </c>
      <c r="BI180" s="324">
        <f>STDEVA(BU94:BW94)</f>
        <v>0.1175303329454828</v>
      </c>
      <c r="CT180">
        <v>400</v>
      </c>
      <c r="CV180" s="104"/>
      <c r="DA180" s="104"/>
    </row>
    <row r="181" spans="1:105">
      <c r="B181" s="11"/>
      <c r="C181" s="11"/>
      <c r="D181" s="11">
        <f>SUM(D168:D180)</f>
        <v>20648.016593615797</v>
      </c>
      <c r="E181" s="11">
        <f t="shared" ref="E181:F181" si="665">SUM(E168:E180)</f>
        <v>25297.753446858005</v>
      </c>
      <c r="F181" s="11">
        <f t="shared" si="665"/>
        <v>26876.866680711984</v>
      </c>
      <c r="G181" s="11"/>
      <c r="H181" s="190"/>
      <c r="I181" s="190"/>
      <c r="J181" s="190"/>
      <c r="K181" s="11"/>
      <c r="L181" s="11"/>
      <c r="M181" s="11"/>
      <c r="N181" s="190"/>
      <c r="O181" s="190"/>
      <c r="P181" s="190"/>
      <c r="Q181" s="190"/>
      <c r="R181" s="190"/>
      <c r="S181" s="190"/>
      <c r="T181" s="190"/>
      <c r="U181" s="190"/>
      <c r="V181" s="176"/>
      <c r="W181" s="176"/>
      <c r="X181" s="176"/>
      <c r="Y181" s="176"/>
      <c r="Z181" s="176"/>
      <c r="AA181" s="176"/>
      <c r="AC181" s="11">
        <f>SUM(AC168:AC180)</f>
        <v>72822.636721185801</v>
      </c>
      <c r="AD181" s="11"/>
      <c r="AE181" s="11"/>
      <c r="AF181" s="11"/>
      <c r="AG181" s="11"/>
      <c r="AH181" s="11"/>
      <c r="AI181" s="212"/>
      <c r="AJ181" s="176"/>
      <c r="AP181" s="58" t="s">
        <v>486</v>
      </c>
      <c r="AQ181" s="177">
        <v>0</v>
      </c>
      <c r="AR181" s="177" t="s">
        <v>486</v>
      </c>
      <c r="AS181" s="177">
        <v>0</v>
      </c>
      <c r="AT181" s="177" t="s">
        <v>486</v>
      </c>
      <c r="AU181" s="177">
        <v>0</v>
      </c>
      <c r="AV181" s="6"/>
      <c r="AW181" s="177" t="s">
        <v>486</v>
      </c>
      <c r="AX181" s="177">
        <v>0</v>
      </c>
      <c r="AZ181" t="s">
        <v>376</v>
      </c>
      <c r="BA181" s="11">
        <v>104258.65875676264</v>
      </c>
      <c r="BB181" s="11">
        <v>124174.35366917629</v>
      </c>
      <c r="BC181" s="11">
        <v>135852.92946322585</v>
      </c>
      <c r="BD181" s="123">
        <f t="shared" si="595"/>
        <v>0.19804606005711237</v>
      </c>
      <c r="BE181" s="123">
        <f t="shared" si="596"/>
        <v>0.20372768369107808</v>
      </c>
      <c r="BF181" s="123">
        <f t="shared" si="597"/>
        <v>0.1978379618820609</v>
      </c>
      <c r="BG181" s="190"/>
      <c r="BH181" s="123">
        <f>AVERAGEA(BU2:BW94)</f>
        <v>0.17917516221593313</v>
      </c>
      <c r="BI181" s="324">
        <f>STDEVA(BU2:BW94)</f>
        <v>0.16249048466661625</v>
      </c>
      <c r="CT181">
        <v>0</v>
      </c>
      <c r="CV181" s="104"/>
      <c r="DA181" s="104"/>
    </row>
    <row r="182" spans="1:105" ht="17" thickBot="1">
      <c r="B182" s="11"/>
      <c r="C182" s="11"/>
      <c r="D182" s="11"/>
      <c r="E182" s="11"/>
      <c r="F182" s="11"/>
      <c r="G182" s="11"/>
      <c r="H182" s="190"/>
      <c r="I182" s="190"/>
      <c r="J182" s="190"/>
      <c r="K182" s="11"/>
      <c r="L182" s="11"/>
      <c r="M182" s="11"/>
      <c r="N182" s="190"/>
      <c r="O182" s="190"/>
      <c r="P182" s="190"/>
      <c r="Q182" s="190"/>
      <c r="R182" s="190"/>
      <c r="S182" s="190"/>
      <c r="T182" s="190"/>
      <c r="U182" s="190"/>
      <c r="V182" s="176"/>
      <c r="W182" s="176"/>
      <c r="X182" s="176"/>
      <c r="Y182" s="176"/>
      <c r="Z182" s="176"/>
      <c r="AA182" s="176"/>
      <c r="AC182" s="11"/>
      <c r="AD182" s="11"/>
      <c r="AE182" s="11"/>
      <c r="AF182" s="11"/>
      <c r="AG182" s="11"/>
      <c r="AH182" s="11"/>
      <c r="AI182" s="212"/>
      <c r="AJ182" s="176"/>
      <c r="AP182" s="59" t="s">
        <v>467</v>
      </c>
      <c r="AQ182" s="193">
        <v>79.679007841861008</v>
      </c>
      <c r="AR182" s="193" t="s">
        <v>467</v>
      </c>
      <c r="AS182" s="193">
        <v>91.614715864471407</v>
      </c>
      <c r="AT182" s="193" t="s">
        <v>467</v>
      </c>
      <c r="AU182" s="193">
        <v>128.79572861210994</v>
      </c>
      <c r="AV182" s="6"/>
      <c r="AW182" s="193" t="s">
        <v>467</v>
      </c>
      <c r="AX182" s="193">
        <v>56.458990506441147</v>
      </c>
      <c r="BG182" s="190"/>
      <c r="BH182" s="188"/>
      <c r="BI182" s="6"/>
      <c r="CT182">
        <v>165</v>
      </c>
      <c r="CV182" s="104"/>
      <c r="DA182" s="104"/>
    </row>
    <row r="183" spans="1:105">
      <c r="A183" t="s">
        <v>492</v>
      </c>
      <c r="B183" s="11"/>
      <c r="C183" s="11"/>
      <c r="D183" s="11"/>
      <c r="E183" s="11"/>
      <c r="F183" s="11"/>
      <c r="G183" s="11"/>
      <c r="H183" s="190"/>
      <c r="I183" s="190"/>
      <c r="J183" s="190"/>
      <c r="K183" s="11"/>
      <c r="L183" s="11"/>
      <c r="M183" s="11"/>
      <c r="N183" s="190"/>
      <c r="O183" s="190"/>
      <c r="P183" s="190"/>
      <c r="Q183" s="190"/>
      <c r="R183" s="190"/>
      <c r="S183" s="190"/>
      <c r="T183" s="190"/>
      <c r="U183" s="190"/>
      <c r="V183" s="176"/>
      <c r="W183" s="176"/>
      <c r="X183" s="176"/>
      <c r="Y183" s="176"/>
      <c r="Z183" s="176"/>
      <c r="AA183" s="176"/>
      <c r="AC183" s="11"/>
      <c r="AD183" s="11"/>
      <c r="AE183" s="11"/>
      <c r="AF183" s="11"/>
      <c r="AG183" s="11"/>
      <c r="AH183" s="11"/>
      <c r="AI183" s="212"/>
      <c r="AJ183" s="176"/>
      <c r="AN183" t="s">
        <v>492</v>
      </c>
      <c r="AP183" s="412" t="s">
        <v>499</v>
      </c>
      <c r="AQ183" s="412"/>
      <c r="AR183" s="412" t="s">
        <v>500</v>
      </c>
      <c r="AS183" s="412"/>
      <c r="AT183" s="412" t="s">
        <v>501</v>
      </c>
      <c r="AU183" s="412"/>
      <c r="AV183" s="6"/>
      <c r="AW183" s="411" t="s">
        <v>376</v>
      </c>
      <c r="AX183" s="413"/>
      <c r="BG183" s="190"/>
      <c r="BH183" s="188"/>
      <c r="BI183" s="6"/>
      <c r="CT183">
        <v>34.840000000000003</v>
      </c>
      <c r="CV183" s="331"/>
      <c r="DA183" s="104"/>
    </row>
    <row r="184" spans="1:105">
      <c r="B184" s="11" t="s">
        <v>376</v>
      </c>
      <c r="C184" s="11" t="s">
        <v>442</v>
      </c>
      <c r="D184" s="11" t="s">
        <v>376</v>
      </c>
      <c r="E184" s="11" t="s">
        <v>376</v>
      </c>
      <c r="F184" s="11" t="s">
        <v>376</v>
      </c>
      <c r="G184" s="11" t="s">
        <v>430</v>
      </c>
      <c r="H184" s="190" t="s">
        <v>430</v>
      </c>
      <c r="I184" s="190" t="s">
        <v>430</v>
      </c>
      <c r="J184" s="190" t="s">
        <v>413</v>
      </c>
      <c r="K184" s="11" t="s">
        <v>413</v>
      </c>
      <c r="L184" s="11" t="s">
        <v>413</v>
      </c>
      <c r="M184" s="11" t="s">
        <v>448</v>
      </c>
      <c r="N184" s="190" t="s">
        <v>448</v>
      </c>
      <c r="O184" s="190" t="s">
        <v>448</v>
      </c>
      <c r="P184" s="190" t="s">
        <v>431</v>
      </c>
      <c r="Q184" s="190" t="s">
        <v>431</v>
      </c>
      <c r="R184" s="190" t="s">
        <v>431</v>
      </c>
      <c r="S184" s="190" t="s">
        <v>410</v>
      </c>
      <c r="T184" s="190" t="s">
        <v>410</v>
      </c>
      <c r="U184" s="190" t="s">
        <v>410</v>
      </c>
      <c r="V184" s="176" t="s">
        <v>449</v>
      </c>
      <c r="W184" s="176" t="s">
        <v>449</v>
      </c>
      <c r="X184" s="176" t="s">
        <v>449</v>
      </c>
      <c r="Y184" s="176" t="s">
        <v>441</v>
      </c>
      <c r="Z184" s="176" t="s">
        <v>441</v>
      </c>
      <c r="AA184" s="176" t="s">
        <v>441</v>
      </c>
      <c r="AC184" s="11" t="s">
        <v>376</v>
      </c>
      <c r="AD184" s="11" t="s">
        <v>430</v>
      </c>
      <c r="AE184" s="11" t="s">
        <v>413</v>
      </c>
      <c r="AF184" s="11" t="s">
        <v>448</v>
      </c>
      <c r="AG184" s="11" t="s">
        <v>431</v>
      </c>
      <c r="AH184" s="11" t="s">
        <v>410</v>
      </c>
      <c r="AI184" s="212" t="s">
        <v>449</v>
      </c>
      <c r="AJ184" s="176" t="s">
        <v>441</v>
      </c>
      <c r="AP184" s="177" t="s">
        <v>455</v>
      </c>
      <c r="AQ184" s="177">
        <v>148.30077780547543</v>
      </c>
      <c r="AR184" s="177" t="s">
        <v>455</v>
      </c>
      <c r="AS184" s="177">
        <v>100.18223601854811</v>
      </c>
      <c r="AT184" s="177" t="s">
        <v>455</v>
      </c>
      <c r="AU184" s="177">
        <v>122.80627320182244</v>
      </c>
      <c r="AV184" s="6"/>
      <c r="AW184" s="177" t="s">
        <v>455</v>
      </c>
      <c r="AX184" s="177">
        <v>123.76309567528197</v>
      </c>
      <c r="AY184" s="6">
        <f>AX184+AX199</f>
        <v>159.09545188513704</v>
      </c>
      <c r="BA184" s="83" t="s">
        <v>535</v>
      </c>
      <c r="BB184" s="83" t="s">
        <v>536</v>
      </c>
      <c r="BC184" s="83" t="s">
        <v>537</v>
      </c>
      <c r="BD184" s="83" t="s">
        <v>532</v>
      </c>
      <c r="BE184" s="83" t="s">
        <v>533</v>
      </c>
      <c r="BF184" s="83" t="s">
        <v>534</v>
      </c>
      <c r="BG184" s="190"/>
      <c r="BH184" s="188"/>
      <c r="BI184" s="176"/>
      <c r="CT184">
        <v>0</v>
      </c>
      <c r="CV184" s="331"/>
      <c r="DA184" s="104"/>
    </row>
    <row r="185" spans="1:105">
      <c r="A185" t="s">
        <v>31</v>
      </c>
      <c r="B185" s="11">
        <v>3621</v>
      </c>
      <c r="C185" s="11">
        <v>278.53846153846155</v>
      </c>
      <c r="D185" s="11">
        <f>SUM(H2:H14)</f>
        <v>2028.7329545454545</v>
      </c>
      <c r="E185" s="11">
        <f t="shared" ref="E185:F185" si="666">SUM(I2:I14)</f>
        <v>750.10568181818189</v>
      </c>
      <c r="F185" s="11">
        <f t="shared" si="666"/>
        <v>4147.7534090909094</v>
      </c>
      <c r="G185" s="11">
        <f>MIN(H2:H14)</f>
        <v>0</v>
      </c>
      <c r="H185" s="11">
        <f t="shared" ref="H185:I185" si="667">MIN(I2:I14)</f>
        <v>0</v>
      </c>
      <c r="I185" s="11">
        <f t="shared" si="667"/>
        <v>0</v>
      </c>
      <c r="J185" s="190">
        <f>MAX(H2:H14)</f>
        <v>1331</v>
      </c>
      <c r="K185" s="190">
        <f t="shared" ref="K185:L185" si="668">MAX(I2:I14)</f>
        <v>295</v>
      </c>
      <c r="L185" s="190">
        <f t="shared" si="668"/>
        <v>2411</v>
      </c>
      <c r="M185" s="11">
        <f>J185-G185</f>
        <v>1331</v>
      </c>
      <c r="N185" s="11">
        <f t="shared" ref="N185:O197" si="669">K185-H185</f>
        <v>295</v>
      </c>
      <c r="O185" s="11">
        <f t="shared" si="669"/>
        <v>2411</v>
      </c>
      <c r="P185" s="190">
        <f>MEDIAN(H2:H14)</f>
        <v>21.545454545454547</v>
      </c>
      <c r="Q185" s="190">
        <f t="shared" ref="Q185:R185" si="670">MEDIAN(I2:I14)</f>
        <v>4</v>
      </c>
      <c r="R185" s="190">
        <f t="shared" si="670"/>
        <v>37.090909090909093</v>
      </c>
      <c r="S185" s="190">
        <f>MODE(H2:H14)</f>
        <v>0</v>
      </c>
      <c r="T185" s="190">
        <f t="shared" ref="T185:U185" si="671">MODE(I2:I14)</f>
        <v>0</v>
      </c>
      <c r="U185" s="190">
        <f t="shared" si="671"/>
        <v>0</v>
      </c>
      <c r="V185" s="176">
        <f>AVERAGEA(H2:H14)</f>
        <v>156.05638111888112</v>
      </c>
      <c r="W185" s="176">
        <f t="shared" ref="W185:X185" si="672">AVERAGEA(I2:I14)</f>
        <v>57.70043706293707</v>
      </c>
      <c r="X185" s="176">
        <f t="shared" si="672"/>
        <v>319.05795454545455</v>
      </c>
      <c r="Y185" s="176">
        <f>STDEVA(H2:H14)</f>
        <v>361.95587249746814</v>
      </c>
      <c r="Z185" s="215">
        <f t="shared" ref="Z185:AA185" si="673">STDEVA(I2:I14)</f>
        <v>98.735166811841154</v>
      </c>
      <c r="AA185" s="215">
        <f t="shared" si="673"/>
        <v>688.05382273602936</v>
      </c>
      <c r="AC185" s="11">
        <f>SUM(H2:J14)</f>
        <v>6926.5920454545467</v>
      </c>
      <c r="AD185" s="11">
        <f>MIN(H2:J14)</f>
        <v>0</v>
      </c>
      <c r="AE185" s="11">
        <f>MAX(H2:J14)</f>
        <v>2411</v>
      </c>
      <c r="AF185" s="11">
        <f>AE185-AD185</f>
        <v>2411</v>
      </c>
      <c r="AG185" s="11">
        <f>MEDIAN(H2:J14)</f>
        <v>20.31818181818182</v>
      </c>
      <c r="AH185" s="11">
        <f>MODE(H2:J14)</f>
        <v>0</v>
      </c>
      <c r="AI185" s="212">
        <f>AVERAGEA(H2:J14)</f>
        <v>177.60492424242426</v>
      </c>
      <c r="AJ185" s="176">
        <f>STDEVA(H2:J14)</f>
        <v>453.73305418230143</v>
      </c>
      <c r="AP185" s="177" t="s">
        <v>456</v>
      </c>
      <c r="AQ185" s="177">
        <v>34.875163888864492</v>
      </c>
      <c r="AR185" s="177" t="s">
        <v>456</v>
      </c>
      <c r="AS185" s="177">
        <v>27.409128371223698</v>
      </c>
      <c r="AT185" s="177" t="s">
        <v>456</v>
      </c>
      <c r="AU185" s="177">
        <v>30.663204759094185</v>
      </c>
      <c r="AV185" s="6"/>
      <c r="AW185" s="177" t="s">
        <v>456</v>
      </c>
      <c r="AX185" s="177">
        <v>17.94856307537319</v>
      </c>
      <c r="AY185" s="6">
        <f>AX184-AX199</f>
        <v>88.430739465426896</v>
      </c>
      <c r="BA185" s="190">
        <v>30436.919318181819</v>
      </c>
      <c r="BB185" s="190">
        <v>36162.614772727276</v>
      </c>
      <c r="BC185" s="190">
        <v>43778.219318181815</v>
      </c>
      <c r="BD185" s="123">
        <f>D185/BA185</f>
        <v>6.6653689006349909E-2</v>
      </c>
      <c r="BE185" s="123">
        <f t="shared" ref="BE185:BF185" si="674">E185/BB185</f>
        <v>2.0742573138928227E-2</v>
      </c>
      <c r="BF185" s="123">
        <f t="shared" si="674"/>
        <v>9.4744680658317204E-2</v>
      </c>
      <c r="BG185" s="190">
        <f t="shared" si="586"/>
        <v>36792.584469696965</v>
      </c>
      <c r="BH185" s="123">
        <f>AVERAGEA(BY2:CA14)</f>
        <v>7.3077150353445905E-2</v>
      </c>
      <c r="BI185" s="176">
        <f>STDEVA(BY2:CA14)</f>
        <v>9.8628201049339836E-2</v>
      </c>
      <c r="CT185">
        <v>15</v>
      </c>
      <c r="CV185" s="104"/>
      <c r="DA185" s="104"/>
    </row>
    <row r="186" spans="1:105">
      <c r="A186" t="s">
        <v>36</v>
      </c>
      <c r="B186" s="11">
        <v>61</v>
      </c>
      <c r="C186" s="11">
        <v>30.5</v>
      </c>
      <c r="D186" s="11">
        <f>SUM(H15:H16)</f>
        <v>3</v>
      </c>
      <c r="E186" s="11">
        <f t="shared" ref="E186:F186" si="675">SUM(I15:I16)</f>
        <v>0</v>
      </c>
      <c r="F186" s="11">
        <f t="shared" si="675"/>
        <v>20</v>
      </c>
      <c r="G186" s="11">
        <f>MIN(H15:H16)</f>
        <v>0</v>
      </c>
      <c r="H186" s="11">
        <f t="shared" ref="H186:I186" si="676">MIN(I15:I16)</f>
        <v>0</v>
      </c>
      <c r="I186" s="11">
        <f t="shared" si="676"/>
        <v>0</v>
      </c>
      <c r="J186" s="190">
        <f>MAX(H15:H16)</f>
        <v>3</v>
      </c>
      <c r="K186" s="190">
        <f t="shared" ref="K186:L186" si="677">MAX(I15:I16)</f>
        <v>0</v>
      </c>
      <c r="L186" s="190">
        <f t="shared" si="677"/>
        <v>20</v>
      </c>
      <c r="M186" s="11">
        <f t="shared" ref="M186:M197" si="678">J186-G186</f>
        <v>3</v>
      </c>
      <c r="N186" s="11">
        <f t="shared" si="669"/>
        <v>0</v>
      </c>
      <c r="O186" s="11">
        <f t="shared" si="669"/>
        <v>20</v>
      </c>
      <c r="P186" s="190">
        <f>MEDIAN(H15:H16)</f>
        <v>1.5</v>
      </c>
      <c r="Q186" s="190">
        <f t="shared" ref="Q186:R186" si="679">MEDIAN(I15:I16)</f>
        <v>0</v>
      </c>
      <c r="R186" s="190">
        <f t="shared" si="679"/>
        <v>10</v>
      </c>
      <c r="S186" s="190" t="s">
        <v>437</v>
      </c>
      <c r="T186" s="190">
        <f t="shared" ref="T186" si="680">MODE(I15:I16)</f>
        <v>0</v>
      </c>
      <c r="U186" s="190" t="s">
        <v>437</v>
      </c>
      <c r="V186" s="176">
        <f>AVERAGEA(H15:H16)</f>
        <v>1.5</v>
      </c>
      <c r="W186" s="176">
        <f t="shared" ref="W186:X186" si="681">AVERAGEA(I15:I16)</f>
        <v>0</v>
      </c>
      <c r="X186" s="176">
        <f t="shared" si="681"/>
        <v>10</v>
      </c>
      <c r="Y186" s="176">
        <f>STDEVA(H15:H16)</f>
        <v>2.1213203435596424</v>
      </c>
      <c r="Z186" s="215">
        <f t="shared" ref="Z186:AA186" si="682">STDEVA(I15:I16)</f>
        <v>0</v>
      </c>
      <c r="AA186" s="215">
        <f t="shared" si="682"/>
        <v>14.142135623730951</v>
      </c>
      <c r="AC186" s="11">
        <f>SUM(H15:J16)</f>
        <v>23</v>
      </c>
      <c r="AD186" s="11">
        <f>MIN(H15:J16)</f>
        <v>0</v>
      </c>
      <c r="AE186" s="11">
        <f>MAX(H15:J16)</f>
        <v>20</v>
      </c>
      <c r="AF186" s="11">
        <f t="shared" ref="AF186:AF197" si="683">AE186-AD186</f>
        <v>20</v>
      </c>
      <c r="AG186" s="11">
        <f>MEDIAN(H15:J16)</f>
        <v>0</v>
      </c>
      <c r="AH186" s="11">
        <f>MODE(H15:J16)</f>
        <v>0</v>
      </c>
      <c r="AI186" s="212">
        <f>AVERAGEA(H15:J16)</f>
        <v>3.8333333333333335</v>
      </c>
      <c r="AJ186" s="176">
        <f>STDEVA(H15:J16)</f>
        <v>8.0104098937986095</v>
      </c>
      <c r="AP186" s="177" t="s">
        <v>431</v>
      </c>
      <c r="AQ186" s="177">
        <v>35</v>
      </c>
      <c r="AR186" s="177" t="s">
        <v>431</v>
      </c>
      <c r="AS186" s="177">
        <v>19</v>
      </c>
      <c r="AT186" s="177" t="s">
        <v>431</v>
      </c>
      <c r="AU186" s="177">
        <v>37.090909090909093</v>
      </c>
      <c r="AV186" s="6"/>
      <c r="AW186" s="177" t="s">
        <v>431</v>
      </c>
      <c r="AX186" s="177">
        <v>33</v>
      </c>
      <c r="BA186" s="11">
        <v>269</v>
      </c>
      <c r="BB186" s="11">
        <v>1427</v>
      </c>
      <c r="BC186" s="11">
        <v>1842</v>
      </c>
      <c r="BD186" s="123">
        <f t="shared" ref="BD186:BD198" si="684">D186/BA186</f>
        <v>1.1152416356877323E-2</v>
      </c>
      <c r="BE186" s="123">
        <f t="shared" ref="BE186:BE198" si="685">E186/BB186</f>
        <v>0</v>
      </c>
      <c r="BF186" s="123">
        <f t="shared" ref="BF186:BF198" si="686">F186/BC186</f>
        <v>1.0857763300760043E-2</v>
      </c>
      <c r="BG186" s="190">
        <f t="shared" si="586"/>
        <v>1179.3333333333333</v>
      </c>
      <c r="BH186" s="123">
        <f>AVERAGEA(BY15:CA16)</f>
        <v>3.7842708199253444E-3</v>
      </c>
      <c r="BI186" s="176">
        <f>STDEVA(BY15:CA16)</f>
        <v>5.8683520692880296E-3</v>
      </c>
      <c r="CT186">
        <v>55</v>
      </c>
      <c r="CV186" s="104"/>
      <c r="DA186" s="104"/>
    </row>
    <row r="187" spans="1:105">
      <c r="A187" t="s">
        <v>46</v>
      </c>
      <c r="B187" s="11">
        <v>21</v>
      </c>
      <c r="C187" s="11">
        <v>21</v>
      </c>
      <c r="D187" s="11">
        <f>SUM(H17)</f>
        <v>33</v>
      </c>
      <c r="E187" s="11">
        <f t="shared" ref="E187:F187" si="687">SUM(I17)</f>
        <v>6</v>
      </c>
      <c r="F187" s="11">
        <f t="shared" si="687"/>
        <v>58</v>
      </c>
      <c r="G187" s="11">
        <f>MIN(H17)</f>
        <v>33</v>
      </c>
      <c r="H187" s="11">
        <f t="shared" ref="H187:I187" si="688">MIN(I17)</f>
        <v>6</v>
      </c>
      <c r="I187" s="11">
        <f t="shared" si="688"/>
        <v>58</v>
      </c>
      <c r="J187" s="190">
        <f>MAX(H17)</f>
        <v>33</v>
      </c>
      <c r="K187" s="190">
        <f t="shared" ref="K187:L187" si="689">MAX(I17)</f>
        <v>6</v>
      </c>
      <c r="L187" s="190">
        <f t="shared" si="689"/>
        <v>58</v>
      </c>
      <c r="M187" s="11">
        <f t="shared" si="678"/>
        <v>0</v>
      </c>
      <c r="N187" s="11">
        <f t="shared" si="669"/>
        <v>0</v>
      </c>
      <c r="O187" s="11">
        <f t="shared" si="669"/>
        <v>0</v>
      </c>
      <c r="P187" s="190">
        <f>MEDIAN(H17)</f>
        <v>33</v>
      </c>
      <c r="Q187" s="190">
        <f t="shared" ref="Q187:R187" si="690">MEDIAN(I17)</f>
        <v>6</v>
      </c>
      <c r="R187" s="190">
        <f t="shared" si="690"/>
        <v>58</v>
      </c>
      <c r="S187" s="190" t="s">
        <v>437</v>
      </c>
      <c r="T187" s="190" t="s">
        <v>437</v>
      </c>
      <c r="U187" s="190" t="s">
        <v>437</v>
      </c>
      <c r="V187" s="176">
        <f>AVERAGEA(H17)</f>
        <v>33</v>
      </c>
      <c r="W187" s="176">
        <f t="shared" ref="W187:X187" si="691">AVERAGEA(I17)</f>
        <v>6</v>
      </c>
      <c r="X187" s="176">
        <f t="shared" si="691"/>
        <v>58</v>
      </c>
      <c r="Y187" s="176">
        <f>STDEVPA(H17)</f>
        <v>0</v>
      </c>
      <c r="Z187" s="215">
        <f t="shared" ref="Z187:AA187" si="692">STDEVPA(I17)</f>
        <v>0</v>
      </c>
      <c r="AA187" s="215">
        <f t="shared" si="692"/>
        <v>0</v>
      </c>
      <c r="AC187" s="11">
        <f>SUM(H17:J17)</f>
        <v>97</v>
      </c>
      <c r="AD187" s="11">
        <f>MIN(H17:J17)</f>
        <v>6</v>
      </c>
      <c r="AE187" s="11">
        <f>MAX(H17:J17)</f>
        <v>58</v>
      </c>
      <c r="AF187" s="11">
        <f t="shared" si="683"/>
        <v>52</v>
      </c>
      <c r="AG187" s="11">
        <f>MEDIAN(H17:J17)</f>
        <v>33</v>
      </c>
      <c r="AH187" s="11" t="s">
        <v>437</v>
      </c>
      <c r="AI187" s="212">
        <f>AVERAGEA(H17:J17)</f>
        <v>32.333333333333336</v>
      </c>
      <c r="AJ187" s="176">
        <f>STDEVA(H17:J17)</f>
        <v>26.006409466386035</v>
      </c>
      <c r="AP187" s="177" t="s">
        <v>457</v>
      </c>
      <c r="AQ187" s="177">
        <v>0</v>
      </c>
      <c r="AR187" s="177" t="s">
        <v>457</v>
      </c>
      <c r="AS187" s="177">
        <v>0</v>
      </c>
      <c r="AT187" s="177" t="s">
        <v>457</v>
      </c>
      <c r="AU187" s="177">
        <v>0</v>
      </c>
      <c r="AV187" s="6"/>
      <c r="AW187" s="177" t="s">
        <v>457</v>
      </c>
      <c r="AX187" s="177">
        <v>0</v>
      </c>
      <c r="BA187" s="11">
        <v>115</v>
      </c>
      <c r="BB187" s="11">
        <v>57</v>
      </c>
      <c r="BC187" s="11">
        <v>148</v>
      </c>
      <c r="BD187" s="123">
        <f t="shared" si="684"/>
        <v>0.28695652173913044</v>
      </c>
      <c r="BE187" s="123">
        <f t="shared" si="685"/>
        <v>0.10526315789473684</v>
      </c>
      <c r="BF187" s="123">
        <f t="shared" si="686"/>
        <v>0.39189189189189189</v>
      </c>
      <c r="BG187" s="190">
        <f t="shared" si="586"/>
        <v>106.66666666666667</v>
      </c>
      <c r="BH187" s="123">
        <f>AVERAGEA(BY17:CA17)</f>
        <v>0.26137052384191972</v>
      </c>
      <c r="BI187" s="176">
        <f>STDEVA(BY17:CA17)</f>
        <v>0.14501720675319882</v>
      </c>
      <c r="CT187">
        <v>87.594594594594597</v>
      </c>
      <c r="CV187" s="332"/>
      <c r="CW187" s="83" t="s">
        <v>559</v>
      </c>
      <c r="DA187" s="179"/>
    </row>
    <row r="188" spans="1:105">
      <c r="A188" t="s">
        <v>37</v>
      </c>
      <c r="B188" s="11">
        <v>1755</v>
      </c>
      <c r="C188" s="11">
        <v>175.5</v>
      </c>
      <c r="D188" s="11">
        <f>SUM(H18:H27)</f>
        <v>3134.4662576687115</v>
      </c>
      <c r="E188" s="11">
        <f t="shared" ref="E188:F188" si="693">SUM(I18:I27)</f>
        <v>2892.4635342010206</v>
      </c>
      <c r="F188" s="11">
        <f t="shared" si="693"/>
        <v>761.83854136804086</v>
      </c>
      <c r="G188" s="11">
        <f>MIN(H18:H27)</f>
        <v>0</v>
      </c>
      <c r="H188" s="11">
        <f t="shared" ref="H188:I188" si="694">MIN(I18:I27)</f>
        <v>0</v>
      </c>
      <c r="I188" s="11">
        <f t="shared" si="694"/>
        <v>0</v>
      </c>
      <c r="J188" s="190">
        <f>MAX(H18:H27)</f>
        <v>2502</v>
      </c>
      <c r="K188" s="190">
        <f t="shared" ref="K188:L188" si="695">MAX(I18:I27)</f>
        <v>2408</v>
      </c>
      <c r="L188" s="190">
        <f t="shared" si="695"/>
        <v>443</v>
      </c>
      <c r="M188" s="11">
        <f t="shared" si="678"/>
        <v>2502</v>
      </c>
      <c r="N188" s="11">
        <f t="shared" si="669"/>
        <v>2408</v>
      </c>
      <c r="O188" s="11">
        <f t="shared" si="669"/>
        <v>443</v>
      </c>
      <c r="P188" s="190">
        <f>MEDIAN(H18:H27)</f>
        <v>38.5</v>
      </c>
      <c r="Q188" s="190">
        <f t="shared" ref="Q188:R188" si="696">MEDIAN(I18:I27)</f>
        <v>10</v>
      </c>
      <c r="R188" s="190">
        <f t="shared" si="696"/>
        <v>39</v>
      </c>
      <c r="S188" s="190">
        <f>MODE(H18:H27)</f>
        <v>0</v>
      </c>
      <c r="T188" s="190">
        <f t="shared" ref="T188:U188" si="697">MODE(I18:I27)</f>
        <v>0</v>
      </c>
      <c r="U188" s="190">
        <f t="shared" si="697"/>
        <v>0</v>
      </c>
      <c r="V188" s="176">
        <f>AVERAGEA(H18:H27)</f>
        <v>313.44662576687114</v>
      </c>
      <c r="W188" s="176">
        <f t="shared" ref="W188:X188" si="698">AVERAGEA(I18:I27)</f>
        <v>289.24635342010208</v>
      </c>
      <c r="X188" s="176">
        <f t="shared" si="698"/>
        <v>76.183854136804086</v>
      </c>
      <c r="Y188" s="176">
        <f>STDEVPA(H18:H27)</f>
        <v>735.90232676285541</v>
      </c>
      <c r="Z188" s="215">
        <f t="shared" ref="Z188:AA188" si="699">STDEVPA(I18:I27)</f>
        <v>709.78609037617605</v>
      </c>
      <c r="AA188" s="215">
        <f t="shared" si="699"/>
        <v>127.5333331065633</v>
      </c>
      <c r="AC188" s="11">
        <f>SUM(H18:J27)</f>
        <v>6788.7683332377728</v>
      </c>
      <c r="AD188" s="11">
        <f>MIN(H18:J27)</f>
        <v>0</v>
      </c>
      <c r="AE188" s="11">
        <f>MAX(H18:J27)</f>
        <v>2502</v>
      </c>
      <c r="AF188" s="11">
        <f t="shared" si="683"/>
        <v>2502</v>
      </c>
      <c r="AG188" s="11">
        <f>MEDIAN(H18:J27)</f>
        <v>20</v>
      </c>
      <c r="AH188" s="11">
        <f>MODE(H18:J27)</f>
        <v>0</v>
      </c>
      <c r="AI188" s="212">
        <f>AVERAGEA(H18:J27)</f>
        <v>226.29227777459243</v>
      </c>
      <c r="AJ188" s="176">
        <f>STDEVA(H18:J27)</f>
        <v>614.67819294021308</v>
      </c>
      <c r="AP188" s="177" t="s">
        <v>458</v>
      </c>
      <c r="AQ188" s="177">
        <v>336.32390077660204</v>
      </c>
      <c r="AR188" s="177" t="s">
        <v>458</v>
      </c>
      <c r="AS188" s="177">
        <v>264.32406167530502</v>
      </c>
      <c r="AT188" s="177" t="s">
        <v>458</v>
      </c>
      <c r="AU188" s="177">
        <v>295.70523790952143</v>
      </c>
      <c r="AV188" s="6"/>
      <c r="AW188" s="177" t="s">
        <v>458</v>
      </c>
      <c r="AX188" s="177">
        <v>299.80010956520903</v>
      </c>
      <c r="BA188" s="11">
        <v>10595.616679089502</v>
      </c>
      <c r="BB188" s="11">
        <v>14464.064990539533</v>
      </c>
      <c r="BC188" s="11">
        <v>15286.240181182273</v>
      </c>
      <c r="BD188" s="123">
        <f t="shared" si="684"/>
        <v>0.29582669443436876</v>
      </c>
      <c r="BE188" s="123">
        <f t="shared" si="685"/>
        <v>0.19997583916367118</v>
      </c>
      <c r="BF188" s="123">
        <f t="shared" si="686"/>
        <v>4.9838189923633563E-2</v>
      </c>
      <c r="BG188" s="190">
        <f t="shared" si="586"/>
        <v>13448.640616937102</v>
      </c>
      <c r="BH188" s="123">
        <f>AVERAGEA(BY18:CA27)</f>
        <v>0.11601215829878456</v>
      </c>
      <c r="BI188" s="176">
        <f>STDEVA(BY18:CA27)</f>
        <v>0.16680005440242998</v>
      </c>
      <c r="CT188">
        <v>0</v>
      </c>
      <c r="CV188" s="110"/>
      <c r="DA188" s="110"/>
    </row>
    <row r="189" spans="1:105">
      <c r="A189" t="s">
        <v>38</v>
      </c>
      <c r="B189" s="11">
        <v>7329</v>
      </c>
      <c r="C189" s="11">
        <v>155.93617021276594</v>
      </c>
      <c r="D189" s="11">
        <f>SUM(H28:H74)</f>
        <v>6501.9155555555553</v>
      </c>
      <c r="E189" s="11">
        <f t="shared" ref="E189:F189" si="700">SUM(I28:I74)</f>
        <v>4440.13</v>
      </c>
      <c r="F189" s="11">
        <f t="shared" si="700"/>
        <v>4935.431111111111</v>
      </c>
      <c r="G189" s="11">
        <f>MIN(H28:H74)</f>
        <v>0</v>
      </c>
      <c r="H189" s="11">
        <f t="shared" ref="H189:I189" si="701">MIN(I28:I74)</f>
        <v>0</v>
      </c>
      <c r="I189" s="11">
        <f t="shared" si="701"/>
        <v>0</v>
      </c>
      <c r="J189" s="190">
        <f>MAX(H28:H74)</f>
        <v>942</v>
      </c>
      <c r="K189" s="190">
        <f t="shared" ref="K189:L189" si="702">MAX(I28:I74)</f>
        <v>426</v>
      </c>
      <c r="L189" s="190">
        <f t="shared" si="702"/>
        <v>951</v>
      </c>
      <c r="M189" s="11">
        <f t="shared" si="678"/>
        <v>942</v>
      </c>
      <c r="N189" s="11">
        <f t="shared" si="669"/>
        <v>426</v>
      </c>
      <c r="O189" s="11">
        <f t="shared" si="669"/>
        <v>951</v>
      </c>
      <c r="P189" s="190">
        <f>MEDIAN(H28:H74)</f>
        <v>53</v>
      </c>
      <c r="Q189" s="190">
        <f t="shared" ref="Q189:R189" si="703">MEDIAN(I28:I74)</f>
        <v>56</v>
      </c>
      <c r="R189" s="190">
        <f t="shared" si="703"/>
        <v>43</v>
      </c>
      <c r="S189" s="190">
        <f>MODE(H28:H74)</f>
        <v>0</v>
      </c>
      <c r="T189" s="190">
        <f t="shared" ref="T189:U189" si="704">MODE(I28:I74)</f>
        <v>0</v>
      </c>
      <c r="U189" s="190">
        <f t="shared" si="704"/>
        <v>0</v>
      </c>
      <c r="V189" s="176">
        <f>AVERAGEA(H28:H74)</f>
        <v>138.33862884160757</v>
      </c>
      <c r="W189" s="176">
        <f t="shared" ref="W189:X189" si="705">AVERAGEA(I28:I74)</f>
        <v>94.470851063829784</v>
      </c>
      <c r="X189" s="176">
        <f t="shared" si="705"/>
        <v>105.00917257683214</v>
      </c>
      <c r="Y189" s="176">
        <f>STDEVPA(H28:H74)</f>
        <v>218.74559831563369</v>
      </c>
      <c r="Z189" s="215">
        <f t="shared" ref="Z189:AA189" si="706">STDEVPA(I28:I74)</f>
        <v>114.78177230986999</v>
      </c>
      <c r="AA189" s="215">
        <f t="shared" si="706"/>
        <v>167.56444352998</v>
      </c>
      <c r="AC189" s="11">
        <f>SUM(H28:J74)</f>
        <v>15877.476666666666</v>
      </c>
      <c r="AD189" s="11">
        <f>MIN(H28:J74)</f>
        <v>0</v>
      </c>
      <c r="AE189" s="11">
        <f>MAX(H28:J74)</f>
        <v>951</v>
      </c>
      <c r="AF189" s="11">
        <f t="shared" si="683"/>
        <v>951</v>
      </c>
      <c r="AG189" s="11">
        <f>MEDIAN(H28:J74)</f>
        <v>46</v>
      </c>
      <c r="AH189" s="11">
        <f>MODE(H28:J74)</f>
        <v>0</v>
      </c>
      <c r="AI189" s="212">
        <f>AVERAGEA(H28:J74)</f>
        <v>112.60621749408983</v>
      </c>
      <c r="AJ189" s="176">
        <f>STDEVA(H28:J74)</f>
        <v>173.96842126309048</v>
      </c>
      <c r="AP189" s="177" t="s">
        <v>459</v>
      </c>
      <c r="AQ189" s="177">
        <v>113113.76623358965</v>
      </c>
      <c r="AR189" s="177" t="s">
        <v>459</v>
      </c>
      <c r="AS189" s="177">
        <v>69867.209580530456</v>
      </c>
      <c r="AT189" s="177" t="s">
        <v>459</v>
      </c>
      <c r="AU189" s="177">
        <v>87441.58772712668</v>
      </c>
      <c r="AV189" s="6"/>
      <c r="AW189" s="177" t="s">
        <v>459</v>
      </c>
      <c r="AX189" s="177">
        <v>89880.105695311329</v>
      </c>
      <c r="BA189" s="11">
        <v>40432.555555555555</v>
      </c>
      <c r="BB189" s="11">
        <v>46784.662222222221</v>
      </c>
      <c r="BC189" s="11">
        <v>46705.878888888888</v>
      </c>
      <c r="BD189" s="123">
        <f t="shared" si="684"/>
        <v>0.1608089191053414</v>
      </c>
      <c r="BE189" s="123">
        <f t="shared" si="685"/>
        <v>9.490567611474568E-2</v>
      </c>
      <c r="BF189" s="123">
        <f t="shared" si="686"/>
        <v>0.10567044724395984</v>
      </c>
      <c r="BG189" s="190">
        <f t="shared" si="586"/>
        <v>44641.032222222224</v>
      </c>
      <c r="BH189" s="123">
        <f>AVERAGEA(BY28:CA74)</f>
        <v>0.11884336472428668</v>
      </c>
      <c r="BI189" s="176">
        <f>STDEVA(BY28:CA74)</f>
        <v>0.16074872207765295</v>
      </c>
      <c r="CT189">
        <v>40</v>
      </c>
      <c r="CV189" s="110"/>
      <c r="DA189" s="110"/>
    </row>
    <row r="190" spans="1:105">
      <c r="A190" t="s">
        <v>39</v>
      </c>
      <c r="B190" s="11">
        <v>95</v>
      </c>
      <c r="C190" s="11">
        <v>95</v>
      </c>
      <c r="D190" s="11">
        <f>SUM(H75)</f>
        <v>0</v>
      </c>
      <c r="E190" s="11">
        <f t="shared" ref="E190:F190" si="707">SUM(I75)</f>
        <v>0</v>
      </c>
      <c r="F190" s="11">
        <f t="shared" si="707"/>
        <v>0</v>
      </c>
      <c r="G190" s="11">
        <f>MIN(H75)</f>
        <v>0</v>
      </c>
      <c r="H190" s="11">
        <f t="shared" ref="H190:I190" si="708">MIN(I75)</f>
        <v>0</v>
      </c>
      <c r="I190" s="11">
        <f t="shared" si="708"/>
        <v>0</v>
      </c>
      <c r="J190" s="190">
        <f>MAX(H75)</f>
        <v>0</v>
      </c>
      <c r="K190" s="190">
        <f t="shared" ref="K190:L190" si="709">MAX(I75)</f>
        <v>0</v>
      </c>
      <c r="L190" s="190">
        <f t="shared" si="709"/>
        <v>0</v>
      </c>
      <c r="M190" s="11">
        <f t="shared" si="678"/>
        <v>0</v>
      </c>
      <c r="N190" s="11">
        <f t="shared" si="669"/>
        <v>0</v>
      </c>
      <c r="O190" s="11">
        <f t="shared" si="669"/>
        <v>0</v>
      </c>
      <c r="P190" s="190">
        <f>MEDIAN(H75)</f>
        <v>0</v>
      </c>
      <c r="Q190" s="190">
        <f t="shared" ref="Q190:R190" si="710">MEDIAN(I75)</f>
        <v>0</v>
      </c>
      <c r="R190" s="190">
        <f t="shared" si="710"/>
        <v>0</v>
      </c>
      <c r="S190" s="190" t="s">
        <v>437</v>
      </c>
      <c r="T190" s="190" t="s">
        <v>437</v>
      </c>
      <c r="U190" s="190" t="s">
        <v>437</v>
      </c>
      <c r="V190" s="176">
        <f>AVERAGEA(H75)</f>
        <v>0</v>
      </c>
      <c r="W190" s="176">
        <f t="shared" ref="W190:X190" si="711">AVERAGEA(I75)</f>
        <v>0</v>
      </c>
      <c r="X190" s="176">
        <f t="shared" si="711"/>
        <v>0</v>
      </c>
      <c r="Y190" s="176">
        <f>STDEVPA(H75)</f>
        <v>0</v>
      </c>
      <c r="Z190" s="215">
        <f t="shared" ref="Z190:AA190" si="712">STDEVPA(I75)</f>
        <v>0</v>
      </c>
      <c r="AA190" s="215">
        <f t="shared" si="712"/>
        <v>0</v>
      </c>
      <c r="AC190" s="11">
        <f>SUM(H75:J75)</f>
        <v>0</v>
      </c>
      <c r="AD190" s="11">
        <f>MIN(H75:J75)</f>
        <v>0</v>
      </c>
      <c r="AE190" s="11">
        <f>MAX(H75:J75)</f>
        <v>0</v>
      </c>
      <c r="AF190" s="11">
        <f t="shared" si="683"/>
        <v>0</v>
      </c>
      <c r="AG190" s="11">
        <f>MEDIAN(H75:J75)</f>
        <v>0</v>
      </c>
      <c r="AH190" s="11">
        <f>MODE(H75:J75)</f>
        <v>0</v>
      </c>
      <c r="AI190" s="212">
        <f>AVERAGEA(H75:J75)</f>
        <v>0</v>
      </c>
      <c r="AJ190" s="176">
        <f>STDEVA(H75:J75)</f>
        <v>0</v>
      </c>
      <c r="AP190" s="177" t="s">
        <v>460</v>
      </c>
      <c r="AQ190" s="177">
        <v>27.603759834149933</v>
      </c>
      <c r="AR190" s="177" t="s">
        <v>460</v>
      </c>
      <c r="AS190" s="177">
        <v>64.417049905362106</v>
      </c>
      <c r="AT190" s="177" t="s">
        <v>460</v>
      </c>
      <c r="AU190" s="177">
        <v>39.966922317926461</v>
      </c>
      <c r="AV190" s="6"/>
      <c r="AW190" s="177" t="s">
        <v>460</v>
      </c>
      <c r="AX190" s="177">
        <v>38.406524791077629</v>
      </c>
      <c r="BA190" s="11">
        <v>461</v>
      </c>
      <c r="BB190" s="11">
        <v>569</v>
      </c>
      <c r="BC190" s="11">
        <v>524</v>
      </c>
      <c r="BD190" s="123">
        <f t="shared" si="684"/>
        <v>0</v>
      </c>
      <c r="BE190" s="123">
        <f t="shared" si="685"/>
        <v>0</v>
      </c>
      <c r="BF190" s="123">
        <f t="shared" si="686"/>
        <v>0</v>
      </c>
      <c r="BG190" s="190">
        <f t="shared" si="586"/>
        <v>518</v>
      </c>
      <c r="BH190" s="123">
        <f>AVERAGEA(BY75:CA75)</f>
        <v>0</v>
      </c>
      <c r="BI190" s="176">
        <f>STDEVA(BY75:CA75)</f>
        <v>0</v>
      </c>
      <c r="CT190">
        <v>5142</v>
      </c>
      <c r="CV190" s="110"/>
      <c r="DA190" s="110"/>
    </row>
    <row r="191" spans="1:105">
      <c r="A191" t="s">
        <v>40</v>
      </c>
      <c r="B191" s="11">
        <v>50</v>
      </c>
      <c r="C191" s="11">
        <v>50</v>
      </c>
      <c r="D191" s="11">
        <f>SUM(H76)</f>
        <v>0</v>
      </c>
      <c r="E191" s="11">
        <f t="shared" ref="E191:F191" si="713">SUM(I76)</f>
        <v>15</v>
      </c>
      <c r="F191" s="11">
        <f t="shared" si="713"/>
        <v>85</v>
      </c>
      <c r="G191" s="11">
        <f>MIN(H76)</f>
        <v>0</v>
      </c>
      <c r="H191" s="11">
        <f t="shared" ref="H191:I191" si="714">MIN(I76)</f>
        <v>15</v>
      </c>
      <c r="I191" s="11">
        <f t="shared" si="714"/>
        <v>85</v>
      </c>
      <c r="J191" s="190">
        <f>MAX(H76)</f>
        <v>0</v>
      </c>
      <c r="K191" s="190">
        <f t="shared" ref="K191:L191" si="715">MAX(I76)</f>
        <v>15</v>
      </c>
      <c r="L191" s="190">
        <f t="shared" si="715"/>
        <v>85</v>
      </c>
      <c r="M191" s="11">
        <f t="shared" si="678"/>
        <v>0</v>
      </c>
      <c r="N191" s="11">
        <f t="shared" si="669"/>
        <v>0</v>
      </c>
      <c r="O191" s="11">
        <f t="shared" si="669"/>
        <v>0</v>
      </c>
      <c r="P191" s="190">
        <f>MEDIAN(H76)</f>
        <v>0</v>
      </c>
      <c r="Q191" s="190">
        <f t="shared" ref="Q191:R191" si="716">MEDIAN(I76)</f>
        <v>15</v>
      </c>
      <c r="R191" s="190">
        <f t="shared" si="716"/>
        <v>85</v>
      </c>
      <c r="S191" s="190" t="s">
        <v>437</v>
      </c>
      <c r="T191" s="190" t="s">
        <v>437</v>
      </c>
      <c r="U191" s="190" t="s">
        <v>437</v>
      </c>
      <c r="V191" s="176">
        <f>AVERAGEA(H76)</f>
        <v>0</v>
      </c>
      <c r="W191" s="176">
        <f t="shared" ref="W191:X191" si="717">AVERAGEA(I76)</f>
        <v>15</v>
      </c>
      <c r="X191" s="176">
        <f t="shared" si="717"/>
        <v>85</v>
      </c>
      <c r="Y191" s="176">
        <f>STDEVPA(H76)</f>
        <v>0</v>
      </c>
      <c r="Z191" s="215">
        <f t="shared" ref="Z191:AA191" si="718">STDEVPA(I76)</f>
        <v>0</v>
      </c>
      <c r="AA191" s="215">
        <f t="shared" si="718"/>
        <v>0</v>
      </c>
      <c r="AC191" s="11">
        <f>SUM(H76:J76)</f>
        <v>100</v>
      </c>
      <c r="AD191" s="11">
        <f>MIN(H76:J76)</f>
        <v>0</v>
      </c>
      <c r="AE191" s="11">
        <f>MAX(H76:J76)</f>
        <v>85</v>
      </c>
      <c r="AF191" s="11">
        <f t="shared" si="683"/>
        <v>85</v>
      </c>
      <c r="AG191" s="11">
        <f>MEDIAN(H76:J76)</f>
        <v>15</v>
      </c>
      <c r="AH191" s="11" t="s">
        <v>437</v>
      </c>
      <c r="AI191" s="212">
        <f>AVERAGEA(H76:J76)</f>
        <v>33.333333333333336</v>
      </c>
      <c r="AJ191" s="176">
        <f>STDEVA(H76:J76)</f>
        <v>45.368858629387326</v>
      </c>
      <c r="AP191" s="177" t="s">
        <v>461</v>
      </c>
      <c r="AQ191" s="177">
        <v>4.7241915392244014</v>
      </c>
      <c r="AR191" s="177" t="s">
        <v>461</v>
      </c>
      <c r="AS191" s="177">
        <v>7.4511412544471947</v>
      </c>
      <c r="AT191" s="177" t="s">
        <v>461</v>
      </c>
      <c r="AU191" s="177">
        <v>5.680397479990293</v>
      </c>
      <c r="AV191" s="6"/>
      <c r="AW191" s="177" t="s">
        <v>461</v>
      </c>
      <c r="AX191" s="177">
        <v>5.6575236257655321</v>
      </c>
      <c r="BA191" s="11">
        <v>230</v>
      </c>
      <c r="BB191" s="11">
        <v>163</v>
      </c>
      <c r="BC191" s="11">
        <v>172</v>
      </c>
      <c r="BD191" s="123">
        <f t="shared" si="684"/>
        <v>0</v>
      </c>
      <c r="BE191" s="123">
        <f t="shared" si="685"/>
        <v>9.202453987730061E-2</v>
      </c>
      <c r="BF191" s="123">
        <f t="shared" si="686"/>
        <v>0.4941860465116279</v>
      </c>
      <c r="BG191" s="190">
        <f t="shared" si="586"/>
        <v>188.33333333333334</v>
      </c>
      <c r="BH191" s="123">
        <f>AVERAGEA(BY76:CA76)</f>
        <v>0.19540352879630951</v>
      </c>
      <c r="BI191" s="176">
        <f>STDEVA(BY76:CA76)</f>
        <v>0.26281243055482673</v>
      </c>
      <c r="CT191">
        <v>751</v>
      </c>
      <c r="CV191" s="110"/>
      <c r="DA191" s="110"/>
    </row>
    <row r="192" spans="1:105">
      <c r="A192" t="s">
        <v>41</v>
      </c>
      <c r="B192" s="11">
        <v>221</v>
      </c>
      <c r="C192" s="11">
        <v>55.25</v>
      </c>
      <c r="D192" s="11">
        <f>SUM(H77:H80)</f>
        <v>153.02590147282882</v>
      </c>
      <c r="E192" s="11">
        <f t="shared" ref="E192:F192" si="719">SUM(I77:I80)</f>
        <v>143.97206703910615</v>
      </c>
      <c r="F192" s="11">
        <f t="shared" si="719"/>
        <v>175.39867953275774</v>
      </c>
      <c r="G192" s="11">
        <f>MIN(H77:H80)</f>
        <v>0</v>
      </c>
      <c r="H192" s="11">
        <f t="shared" ref="H192:I192" si="720">MIN(I77:I80)</f>
        <v>0</v>
      </c>
      <c r="I192" s="11">
        <f t="shared" si="720"/>
        <v>0</v>
      </c>
      <c r="J192" s="190">
        <f>MAX(H77:H80)</f>
        <v>101.02590147282883</v>
      </c>
      <c r="K192" s="190">
        <f t="shared" ref="K192:L192" si="721">MAX(I77:I80)</f>
        <v>94.97206703910615</v>
      </c>
      <c r="L192" s="190">
        <f t="shared" si="721"/>
        <v>95.39867953275774</v>
      </c>
      <c r="M192" s="11">
        <f t="shared" si="678"/>
        <v>101.02590147282883</v>
      </c>
      <c r="N192" s="11">
        <f t="shared" si="669"/>
        <v>94.97206703910615</v>
      </c>
      <c r="O192" s="11">
        <f t="shared" si="669"/>
        <v>95.39867953275774</v>
      </c>
      <c r="P192" s="190">
        <f>MEDIAN(H77:H80)</f>
        <v>26</v>
      </c>
      <c r="Q192" s="190">
        <f t="shared" ref="Q192:R192" si="722">MEDIAN(I77:I80)</f>
        <v>24.5</v>
      </c>
      <c r="R192" s="190">
        <f t="shared" si="722"/>
        <v>40</v>
      </c>
      <c r="S192" s="190" t="s">
        <v>437</v>
      </c>
      <c r="T192" s="190">
        <f t="shared" ref="T192" si="723">MODE(I77:I80)</f>
        <v>0</v>
      </c>
      <c r="U192" s="190" t="s">
        <v>437</v>
      </c>
      <c r="V192" s="176">
        <f>AVERAGEA(H77:H80)</f>
        <v>38.256475368207205</v>
      </c>
      <c r="W192" s="176">
        <f t="shared" ref="W192:X192" si="724">AVERAGEA(I77:I80)</f>
        <v>35.993016759776538</v>
      </c>
      <c r="X192" s="176">
        <f t="shared" si="724"/>
        <v>43.849669883189435</v>
      </c>
      <c r="Y192" s="176">
        <f>STDEVPA(H77:H80)</f>
        <v>39.038446235745418</v>
      </c>
      <c r="Z192" s="215">
        <f t="shared" ref="Z192:AA192" si="725">STDEVPA(I77:I80)</f>
        <v>39.492735078119914</v>
      </c>
      <c r="AA192" s="215">
        <f t="shared" si="725"/>
        <v>36.255116401464804</v>
      </c>
      <c r="AC192" s="11">
        <f>SUM(H77:J80)</f>
        <v>472.39664804469271</v>
      </c>
      <c r="AD192" s="11">
        <f>MIN(H77:J80)</f>
        <v>0</v>
      </c>
      <c r="AE192" s="11">
        <f>MAX(H77:J80)</f>
        <v>101.02590147282883</v>
      </c>
      <c r="AF192" s="11">
        <f t="shared" si="683"/>
        <v>101.02590147282883</v>
      </c>
      <c r="AG192" s="11">
        <f>MEDIAN(H77:J80)</f>
        <v>31</v>
      </c>
      <c r="AH192" s="11">
        <f>MODE(H77:J80)</f>
        <v>0</v>
      </c>
      <c r="AI192" s="212">
        <f>AVERAGEA(H77:J80)</f>
        <v>39.366387337057724</v>
      </c>
      <c r="AJ192" s="176">
        <f>STDEVA(H77:J80)</f>
        <v>40.139852016551167</v>
      </c>
      <c r="AP192" s="177" t="s">
        <v>462</v>
      </c>
      <c r="AQ192" s="177">
        <v>2502</v>
      </c>
      <c r="AR192" s="177" t="s">
        <v>462</v>
      </c>
      <c r="AS192" s="177">
        <v>2408</v>
      </c>
      <c r="AT192" s="177" t="s">
        <v>462</v>
      </c>
      <c r="AU192" s="177">
        <v>2411</v>
      </c>
      <c r="AV192" s="6"/>
      <c r="AW192" s="177" t="s">
        <v>462</v>
      </c>
      <c r="AX192" s="177">
        <v>2502</v>
      </c>
      <c r="BA192" s="11">
        <v>961.73184357541902</v>
      </c>
      <c r="BB192" s="11">
        <v>1110.7308278313865</v>
      </c>
      <c r="BC192" s="11">
        <v>1531.4433722701879</v>
      </c>
      <c r="BD192" s="123">
        <f t="shared" si="684"/>
        <v>0.15911493676233726</v>
      </c>
      <c r="BE192" s="123">
        <f t="shared" si="685"/>
        <v>0.129619223156163</v>
      </c>
      <c r="BF192" s="123">
        <f t="shared" si="686"/>
        <v>0.11453161292718872</v>
      </c>
      <c r="BG192" s="190">
        <f t="shared" si="586"/>
        <v>1201.3020145589978</v>
      </c>
      <c r="BH192" s="123">
        <f>AVERAGEA(BY77:CA80)</f>
        <v>0.11186504987387125</v>
      </c>
      <c r="BI192" s="176">
        <f>STDEVA(BY77:CA80)</f>
        <v>9.9211100970021684E-2</v>
      </c>
      <c r="CT192">
        <v>946</v>
      </c>
      <c r="CV192" s="110"/>
      <c r="DA192" s="110"/>
    </row>
    <row r="193" spans="1:105">
      <c r="A193" t="s">
        <v>34</v>
      </c>
      <c r="B193" s="11">
        <v>880</v>
      </c>
      <c r="C193" s="11">
        <v>220</v>
      </c>
      <c r="D193" s="11">
        <f>SUM(H81:H84)</f>
        <v>1450.82</v>
      </c>
      <c r="E193" s="11">
        <f t="shared" ref="E193:F193" si="726">SUM(I81:I84)</f>
        <v>565.21</v>
      </c>
      <c r="F193" s="11">
        <f t="shared" si="726"/>
        <v>926.7</v>
      </c>
      <c r="G193" s="11">
        <f>MIN(H81:H84)</f>
        <v>51</v>
      </c>
      <c r="H193" s="11">
        <f t="shared" ref="H193:I193" si="727">MIN(I81:I84)</f>
        <v>0</v>
      </c>
      <c r="I193" s="11">
        <f t="shared" si="727"/>
        <v>64</v>
      </c>
      <c r="J193" s="190">
        <f>MAX(H81:H84)</f>
        <v>887</v>
      </c>
      <c r="K193" s="190">
        <f t="shared" ref="K193:L193" si="728">MAX(I81:I84)</f>
        <v>303.21000000000004</v>
      </c>
      <c r="L193" s="190">
        <f t="shared" si="728"/>
        <v>398.7</v>
      </c>
      <c r="M193" s="11">
        <f t="shared" si="678"/>
        <v>836</v>
      </c>
      <c r="N193" s="11">
        <f t="shared" si="669"/>
        <v>303.21000000000004</v>
      </c>
      <c r="O193" s="11">
        <f t="shared" si="669"/>
        <v>334.7</v>
      </c>
      <c r="P193" s="190">
        <f>MEDIAN(H81:H84)</f>
        <v>256.40999999999997</v>
      </c>
      <c r="Q193" s="190">
        <f t="shared" ref="Q193:R193" si="729">MEDIAN(I81:I84)</f>
        <v>131</v>
      </c>
      <c r="R193" s="190">
        <f t="shared" si="729"/>
        <v>232</v>
      </c>
      <c r="S193" s="190" t="s">
        <v>437</v>
      </c>
      <c r="T193" s="190" t="s">
        <v>437</v>
      </c>
      <c r="U193" s="190" t="s">
        <v>437</v>
      </c>
      <c r="V193" s="176">
        <f>AVERAGEA(H81:H84)</f>
        <v>362.70499999999998</v>
      </c>
      <c r="W193" s="176">
        <f t="shared" ref="W193:X193" si="730">AVERAGEA(I81:I84)</f>
        <v>141.30250000000001</v>
      </c>
      <c r="X193" s="176">
        <f t="shared" si="730"/>
        <v>231.67500000000001</v>
      </c>
      <c r="Y193" s="176">
        <f>STDEVPA(H81:H84)</f>
        <v>321.1187491801125</v>
      </c>
      <c r="Z193" s="215">
        <f t="shared" ref="Z193:AA193" si="731">STDEVPA(I81:I84)</f>
        <v>122.9885340946464</v>
      </c>
      <c r="AA193" s="215">
        <f t="shared" si="731"/>
        <v>159.85967870291742</v>
      </c>
      <c r="AC193" s="11">
        <f>SUM(H81:J84)</f>
        <v>2942.73</v>
      </c>
      <c r="AD193" s="11">
        <f>MIN(H81:J84)</f>
        <v>0</v>
      </c>
      <c r="AE193" s="11">
        <f>MAX(H81:J84)</f>
        <v>887</v>
      </c>
      <c r="AF193" s="11">
        <f t="shared" si="683"/>
        <v>887</v>
      </c>
      <c r="AG193" s="11">
        <f>MEDIAN(H81:J84)</f>
        <v>188.5</v>
      </c>
      <c r="AH193" s="11" t="s">
        <v>437</v>
      </c>
      <c r="AI193" s="212">
        <f>AVERAGEA(H81:J84)</f>
        <v>245.22749999999999</v>
      </c>
      <c r="AJ193" s="176">
        <f>STDEVA(H81:J84)</f>
        <v>247.59467343091944</v>
      </c>
      <c r="AP193" s="177" t="s">
        <v>412</v>
      </c>
      <c r="AQ193" s="177">
        <v>0</v>
      </c>
      <c r="AR193" s="177" t="s">
        <v>412</v>
      </c>
      <c r="AS193" s="177">
        <v>0</v>
      </c>
      <c r="AT193" s="177" t="s">
        <v>412</v>
      </c>
      <c r="AU193" s="177">
        <v>0</v>
      </c>
      <c r="AV193" s="6"/>
      <c r="AW193" s="177" t="s">
        <v>412</v>
      </c>
      <c r="AX193" s="177">
        <v>0</v>
      </c>
      <c r="BA193" s="11">
        <v>8083.21</v>
      </c>
      <c r="BB193" s="11">
        <v>8999.16</v>
      </c>
      <c r="BC193" s="11">
        <v>10296.74</v>
      </c>
      <c r="BD193" s="123">
        <f t="shared" si="684"/>
        <v>0.17948562514149699</v>
      </c>
      <c r="BE193" s="123">
        <f t="shared" si="685"/>
        <v>6.2806973095266672E-2</v>
      </c>
      <c r="BF193" s="123">
        <f t="shared" si="686"/>
        <v>8.9999359020427827E-2</v>
      </c>
      <c r="BG193" s="190">
        <f t="shared" si="586"/>
        <v>9126.3700000000008</v>
      </c>
      <c r="BH193" s="123">
        <f>AVERAGEA(BY81:CA84)</f>
        <v>0.12441843372392036</v>
      </c>
      <c r="BI193" s="176">
        <f>STDEVA(BY81:CA84)</f>
        <v>9.7520287993992025E-2</v>
      </c>
      <c r="CB193">
        <v>150</v>
      </c>
      <c r="CT193">
        <v>6</v>
      </c>
      <c r="CV193" s="110"/>
      <c r="DA193" s="110"/>
    </row>
    <row r="194" spans="1:105">
      <c r="A194" t="s">
        <v>42</v>
      </c>
      <c r="B194" s="11">
        <v>92</v>
      </c>
      <c r="C194" s="11">
        <v>92</v>
      </c>
      <c r="D194" s="11">
        <f>SUM(H85)</f>
        <v>62</v>
      </c>
      <c r="E194" s="11">
        <f t="shared" ref="E194:F194" si="732">SUM(I85)</f>
        <v>19</v>
      </c>
      <c r="F194" s="11">
        <f t="shared" si="732"/>
        <v>27</v>
      </c>
      <c r="G194" s="11">
        <f>MIN(H85)</f>
        <v>62</v>
      </c>
      <c r="H194" s="11">
        <f t="shared" ref="H194:I194" si="733">MIN(I85)</f>
        <v>19</v>
      </c>
      <c r="I194" s="11">
        <f t="shared" si="733"/>
        <v>27</v>
      </c>
      <c r="J194" s="190">
        <f>MAX(H85)</f>
        <v>62</v>
      </c>
      <c r="K194" s="190">
        <f t="shared" ref="K194:L194" si="734">MAX(I85)</f>
        <v>19</v>
      </c>
      <c r="L194" s="190">
        <f t="shared" si="734"/>
        <v>27</v>
      </c>
      <c r="M194" s="11">
        <f t="shared" si="678"/>
        <v>0</v>
      </c>
      <c r="N194" s="11">
        <f t="shared" si="669"/>
        <v>0</v>
      </c>
      <c r="O194" s="11">
        <f t="shared" si="669"/>
        <v>0</v>
      </c>
      <c r="P194" s="190">
        <f>MEDIAN(H85)</f>
        <v>62</v>
      </c>
      <c r="Q194" s="190">
        <f t="shared" ref="Q194:R194" si="735">MEDIAN(I85)</f>
        <v>19</v>
      </c>
      <c r="R194" s="190">
        <f t="shared" si="735"/>
        <v>27</v>
      </c>
      <c r="S194" s="190" t="s">
        <v>437</v>
      </c>
      <c r="T194" s="190" t="s">
        <v>437</v>
      </c>
      <c r="U194" s="190" t="s">
        <v>437</v>
      </c>
      <c r="V194" s="176">
        <f>AVERAGEA(H85)</f>
        <v>62</v>
      </c>
      <c r="W194" s="176">
        <f t="shared" ref="W194:X194" si="736">AVERAGEA(I85)</f>
        <v>19</v>
      </c>
      <c r="X194" s="176">
        <f t="shared" si="736"/>
        <v>27</v>
      </c>
      <c r="Y194" s="176">
        <f>STDEVPA(H85)</f>
        <v>0</v>
      </c>
      <c r="Z194" s="215">
        <f t="shared" ref="Z194:AA194" si="737">STDEVPA(I85)</f>
        <v>0</v>
      </c>
      <c r="AA194" s="215">
        <f t="shared" si="737"/>
        <v>0</v>
      </c>
      <c r="AC194" s="11">
        <f>SUM(H85:J85)</f>
        <v>108</v>
      </c>
      <c r="AD194" s="11">
        <f>MIN(H85:J85)</f>
        <v>19</v>
      </c>
      <c r="AE194" s="11">
        <f>MAX(H85:J85)</f>
        <v>62</v>
      </c>
      <c r="AF194" s="11">
        <f t="shared" si="683"/>
        <v>43</v>
      </c>
      <c r="AG194" s="11">
        <f>MEDIAN(H85:J85)</f>
        <v>27</v>
      </c>
      <c r="AH194" s="11" t="s">
        <v>437</v>
      </c>
      <c r="AI194" s="212">
        <f>AVERAGEA(H85:J85)</f>
        <v>36</v>
      </c>
      <c r="AJ194" s="176">
        <f>STDEVA(H85:J85)</f>
        <v>22.869193252058544</v>
      </c>
      <c r="AP194" s="177" t="s">
        <v>413</v>
      </c>
      <c r="AQ194" s="177">
        <v>2502</v>
      </c>
      <c r="AR194" s="177" t="s">
        <v>413</v>
      </c>
      <c r="AS194" s="177">
        <v>2408</v>
      </c>
      <c r="AT194" s="177" t="s">
        <v>413</v>
      </c>
      <c r="AU194" s="177">
        <v>2411</v>
      </c>
      <c r="AV194" s="6"/>
      <c r="AW194" s="177" t="s">
        <v>413</v>
      </c>
      <c r="AX194" s="177">
        <v>2502</v>
      </c>
      <c r="BA194" s="11">
        <v>547</v>
      </c>
      <c r="BB194" s="11">
        <v>580</v>
      </c>
      <c r="BC194" s="11">
        <v>742</v>
      </c>
      <c r="BD194" s="123">
        <f t="shared" si="684"/>
        <v>0.11334552102376599</v>
      </c>
      <c r="BE194" s="123">
        <f t="shared" si="685"/>
        <v>3.2758620689655175E-2</v>
      </c>
      <c r="BF194" s="123">
        <f t="shared" si="686"/>
        <v>3.638814016172507E-2</v>
      </c>
      <c r="BG194" s="190">
        <f t="shared" si="586"/>
        <v>623</v>
      </c>
      <c r="BH194" s="123">
        <f>AVERAGEA(BY85:CA85)</f>
        <v>6.0830760625048746E-2</v>
      </c>
      <c r="BI194" s="176">
        <f>STDEVA(BY85:CA85)</f>
        <v>4.5515309487034632E-2</v>
      </c>
      <c r="CB194">
        <v>160</v>
      </c>
      <c r="CT194">
        <v>567</v>
      </c>
      <c r="CV194" s="110"/>
      <c r="DA194" s="110"/>
    </row>
    <row r="195" spans="1:105">
      <c r="A195" t="s">
        <v>43</v>
      </c>
      <c r="B195" s="11">
        <v>105</v>
      </c>
      <c r="C195" s="11">
        <v>105</v>
      </c>
      <c r="D195" s="11">
        <f>SUM(H86)</f>
        <v>49</v>
      </c>
      <c r="E195" s="11">
        <f t="shared" ref="E195:F195" si="738">SUM(I86)</f>
        <v>85</v>
      </c>
      <c r="F195" s="11">
        <f t="shared" si="738"/>
        <v>21</v>
      </c>
      <c r="G195" s="11">
        <f>MIN(H86)</f>
        <v>49</v>
      </c>
      <c r="H195" s="11">
        <f t="shared" ref="H195:I195" si="739">MIN(I86)</f>
        <v>85</v>
      </c>
      <c r="I195" s="11">
        <f t="shared" si="739"/>
        <v>21</v>
      </c>
      <c r="J195" s="190">
        <f>MAX(H86)</f>
        <v>49</v>
      </c>
      <c r="K195" s="190">
        <f t="shared" ref="K195:L195" si="740">MAX(I86)</f>
        <v>85</v>
      </c>
      <c r="L195" s="190">
        <f t="shared" si="740"/>
        <v>21</v>
      </c>
      <c r="M195" s="11">
        <f t="shared" si="678"/>
        <v>0</v>
      </c>
      <c r="N195" s="11">
        <f t="shared" si="669"/>
        <v>0</v>
      </c>
      <c r="O195" s="11">
        <f t="shared" si="669"/>
        <v>0</v>
      </c>
      <c r="P195" s="190">
        <f>MEDIAN(H86)</f>
        <v>49</v>
      </c>
      <c r="Q195" s="190">
        <f t="shared" ref="Q195:R195" si="741">MEDIAN(I86)</f>
        <v>85</v>
      </c>
      <c r="R195" s="190">
        <f t="shared" si="741"/>
        <v>21</v>
      </c>
      <c r="S195" s="190" t="s">
        <v>437</v>
      </c>
      <c r="T195" s="190" t="s">
        <v>437</v>
      </c>
      <c r="U195" s="190" t="s">
        <v>437</v>
      </c>
      <c r="V195" s="176">
        <f>AVERAGEA(H86)</f>
        <v>49</v>
      </c>
      <c r="W195" s="176">
        <f t="shared" ref="W195:X195" si="742">AVERAGEA(I86)</f>
        <v>85</v>
      </c>
      <c r="X195" s="176">
        <f t="shared" si="742"/>
        <v>21</v>
      </c>
      <c r="Y195" s="176">
        <f>STDEVPA(H86)</f>
        <v>0</v>
      </c>
      <c r="Z195" s="215">
        <f t="shared" ref="Z195:AA195" si="743">STDEVPA(I86)</f>
        <v>0</v>
      </c>
      <c r="AA195" s="215">
        <f t="shared" si="743"/>
        <v>0</v>
      </c>
      <c r="AC195" s="11">
        <f>SUM(H86:J86)</f>
        <v>155</v>
      </c>
      <c r="AD195" s="11">
        <f>MIN(H86:J86)</f>
        <v>21</v>
      </c>
      <c r="AE195" s="11">
        <f>MAX(H86:J86)</f>
        <v>85</v>
      </c>
      <c r="AF195" s="11">
        <f t="shared" si="683"/>
        <v>64</v>
      </c>
      <c r="AG195" s="11">
        <f>MEDIAN(H86:J86)</f>
        <v>49</v>
      </c>
      <c r="AH195" s="11" t="s">
        <v>437</v>
      </c>
      <c r="AI195" s="212">
        <f>AVERAGEA(H86:J86)</f>
        <v>51.666666666666664</v>
      </c>
      <c r="AJ195" s="176">
        <f>STDEVA(H86:J86)</f>
        <v>32.083225108042576</v>
      </c>
      <c r="AP195" s="177" t="s">
        <v>463</v>
      </c>
      <c r="AQ195" s="177">
        <v>13791.972335909215</v>
      </c>
      <c r="AR195" s="177" t="s">
        <v>463</v>
      </c>
      <c r="AS195" s="177">
        <v>9316.947949724974</v>
      </c>
      <c r="AT195" s="177" t="s">
        <v>463</v>
      </c>
      <c r="AU195" s="177">
        <v>11420.983407769487</v>
      </c>
      <c r="AV195" s="6"/>
      <c r="AW195" s="177" t="s">
        <v>463</v>
      </c>
      <c r="AX195" s="177">
        <v>34529.90369340367</v>
      </c>
      <c r="BA195" s="11">
        <v>804</v>
      </c>
      <c r="BB195" s="11">
        <v>873</v>
      </c>
      <c r="BC195" s="11">
        <v>1133</v>
      </c>
      <c r="BD195" s="123">
        <f t="shared" si="684"/>
        <v>6.0945273631840796E-2</v>
      </c>
      <c r="BE195" s="123">
        <f t="shared" si="685"/>
        <v>9.736540664375716E-2</v>
      </c>
      <c r="BF195" s="123">
        <f t="shared" si="686"/>
        <v>1.8534863195057368E-2</v>
      </c>
      <c r="BG195" s="190">
        <f t="shared" si="586"/>
        <v>936.66666666666663</v>
      </c>
      <c r="BH195" s="123">
        <f>AVERAGEA(BY86:CA86)</f>
        <v>5.894851449021845E-2</v>
      </c>
      <c r="BI195" s="176">
        <f>STDEVA(BY86:CA86)</f>
        <v>3.9453186568470924E-2</v>
      </c>
      <c r="CB195">
        <v>170</v>
      </c>
      <c r="CT195" s="11">
        <v>12.787500000000001</v>
      </c>
      <c r="CV195" s="205"/>
      <c r="DA195" s="110"/>
    </row>
    <row r="196" spans="1:105">
      <c r="A196" t="s">
        <v>44</v>
      </c>
      <c r="B196" s="11">
        <v>1150</v>
      </c>
      <c r="C196" s="11">
        <v>164.28571428571428</v>
      </c>
      <c r="D196" s="11">
        <f>SUM(H87:H93)</f>
        <v>376.01166666666666</v>
      </c>
      <c r="E196" s="11">
        <f t="shared" ref="E196:F196" si="744">SUM(I87:I93)</f>
        <v>400.06666666666666</v>
      </c>
      <c r="F196" s="11">
        <f t="shared" si="744"/>
        <v>262.86166666666668</v>
      </c>
      <c r="G196" s="11">
        <f>MIN(H87:H93)</f>
        <v>0</v>
      </c>
      <c r="H196" s="11">
        <f t="shared" ref="H196:I196" si="745">MIN(I87:I93)</f>
        <v>0</v>
      </c>
      <c r="I196" s="11">
        <f t="shared" si="745"/>
        <v>0</v>
      </c>
      <c r="J196" s="190">
        <f>MAX(H87:H93)</f>
        <v>197</v>
      </c>
      <c r="K196" s="190">
        <f t="shared" ref="K196:L196" si="746">MAX(I87:I93)</f>
        <v>356</v>
      </c>
      <c r="L196" s="190">
        <f t="shared" si="746"/>
        <v>198</v>
      </c>
      <c r="M196" s="11">
        <f t="shared" si="678"/>
        <v>197</v>
      </c>
      <c r="N196" s="11">
        <f t="shared" si="669"/>
        <v>356</v>
      </c>
      <c r="O196" s="11">
        <f t="shared" si="669"/>
        <v>198</v>
      </c>
      <c r="P196" s="190">
        <f>MEDIAN(H87:H93)</f>
        <v>8.32</v>
      </c>
      <c r="Q196" s="190">
        <f t="shared" ref="Q196:R196" si="747">MEDIAN(I87:I93)</f>
        <v>3</v>
      </c>
      <c r="R196" s="190">
        <f t="shared" si="747"/>
        <v>2.4699999999999998</v>
      </c>
      <c r="S196" s="190">
        <f>MODE(H87:H93)</f>
        <v>0</v>
      </c>
      <c r="T196" s="190">
        <f t="shared" ref="T196:U196" si="748">MODE(I87:I93)</f>
        <v>0</v>
      </c>
      <c r="U196" s="190">
        <f t="shared" si="748"/>
        <v>0</v>
      </c>
      <c r="V196" s="176">
        <f>AVERAGEA(H87:H93)</f>
        <v>53.71595238095238</v>
      </c>
      <c r="W196" s="176">
        <f t="shared" ref="W196:X196" si="749">AVERAGEA(I87:I93)</f>
        <v>57.152380952380952</v>
      </c>
      <c r="X196" s="176">
        <f t="shared" si="749"/>
        <v>37.551666666666669</v>
      </c>
      <c r="Y196" s="176">
        <f>STDEVPA(H87:H93)</f>
        <v>74.158510433583345</v>
      </c>
      <c r="Z196" s="215">
        <f t="shared" ref="Z196:AA196" si="750">STDEVPA(I87:I93)</f>
        <v>122.5500763952834</v>
      </c>
      <c r="AA196" s="215">
        <f t="shared" si="750"/>
        <v>67.928597614035311</v>
      </c>
      <c r="AC196" s="11">
        <f>SUM(H87:J93)</f>
        <v>1038.94</v>
      </c>
      <c r="AD196" s="11">
        <f>MIN(H87:J93)</f>
        <v>0</v>
      </c>
      <c r="AE196" s="11">
        <f>MAX(H87:J93)</f>
        <v>356</v>
      </c>
      <c r="AF196" s="11">
        <f t="shared" si="683"/>
        <v>356</v>
      </c>
      <c r="AG196" s="11">
        <f>MEDIAN(H87:J93)</f>
        <v>4</v>
      </c>
      <c r="AH196" s="11">
        <f>MODE(H87:J93)</f>
        <v>0</v>
      </c>
      <c r="AI196" s="212">
        <f>AVERAGEA(H87:J93)</f>
        <v>49.473333333333336</v>
      </c>
      <c r="AJ196" s="176">
        <f>STDEVA(H87:J93)</f>
        <v>94.19653867048406</v>
      </c>
      <c r="AP196" s="177" t="s">
        <v>464</v>
      </c>
      <c r="AQ196" s="177">
        <v>93</v>
      </c>
      <c r="AR196" s="177" t="s">
        <v>464</v>
      </c>
      <c r="AS196" s="177">
        <v>93</v>
      </c>
      <c r="AT196" s="177" t="s">
        <v>464</v>
      </c>
      <c r="AU196" s="177">
        <v>93</v>
      </c>
      <c r="AV196" s="6"/>
      <c r="AW196" s="177" t="s">
        <v>464</v>
      </c>
      <c r="AX196" s="177">
        <v>279</v>
      </c>
      <c r="BA196" s="11">
        <v>10584.598333333333</v>
      </c>
      <c r="BB196" s="11">
        <v>12332.931666666667</v>
      </c>
      <c r="BC196" s="11">
        <v>12970.705</v>
      </c>
      <c r="BD196" s="123">
        <f t="shared" si="684"/>
        <v>3.5524415270678671E-2</v>
      </c>
      <c r="BE196" s="123">
        <f t="shared" si="685"/>
        <v>3.2438894293719565E-2</v>
      </c>
      <c r="BF196" s="123">
        <f t="shared" si="686"/>
        <v>2.0265796397857069E-2</v>
      </c>
      <c r="BG196" s="190">
        <f t="shared" si="586"/>
        <v>11962.745000000001</v>
      </c>
      <c r="BH196" s="123">
        <f>AVERAGEA(BY87:CA93)</f>
        <v>5.5944534597765078E-2</v>
      </c>
      <c r="BI196" s="176">
        <f>STDEVA(BY87:CA93)</f>
        <v>0.14065360765063087</v>
      </c>
      <c r="CC196" s="83">
        <f>STDEVPA(CB193:CB195)</f>
        <v>8.1649658092772608</v>
      </c>
      <c r="CF196" s="198"/>
      <c r="CT196">
        <v>52</v>
      </c>
      <c r="CV196" s="110"/>
      <c r="DA196" s="110"/>
    </row>
    <row r="197" spans="1:105">
      <c r="A197" t="s">
        <v>45</v>
      </c>
      <c r="B197" s="11">
        <v>70</v>
      </c>
      <c r="C197" s="11">
        <v>70</v>
      </c>
      <c r="D197" s="11">
        <f>SUM(H94)</f>
        <v>0</v>
      </c>
      <c r="E197" s="11">
        <f t="shared" ref="E197:F197" si="751">SUM(I94)</f>
        <v>0</v>
      </c>
      <c r="F197" s="11">
        <f t="shared" si="751"/>
        <v>0</v>
      </c>
      <c r="G197" s="11">
        <f>MIN(H94)</f>
        <v>0</v>
      </c>
      <c r="H197" s="11">
        <f t="shared" ref="H197:I197" si="752">MIN(I94)</f>
        <v>0</v>
      </c>
      <c r="I197" s="11">
        <f t="shared" si="752"/>
        <v>0</v>
      </c>
      <c r="J197" s="190">
        <f>MAX(H94)</f>
        <v>0</v>
      </c>
      <c r="K197" s="190">
        <f t="shared" ref="K197:L197" si="753">MAX(I94)</f>
        <v>0</v>
      </c>
      <c r="L197" s="190">
        <f t="shared" si="753"/>
        <v>0</v>
      </c>
      <c r="M197" s="11">
        <f t="shared" si="678"/>
        <v>0</v>
      </c>
      <c r="N197" s="11">
        <f t="shared" si="669"/>
        <v>0</v>
      </c>
      <c r="O197" s="11">
        <f t="shared" si="669"/>
        <v>0</v>
      </c>
      <c r="P197" s="190">
        <f>MEDIAN(H94)</f>
        <v>0</v>
      </c>
      <c r="Q197" s="190">
        <f t="shared" ref="Q197:R197" si="754">MEDIAN(I94)</f>
        <v>0</v>
      </c>
      <c r="R197" s="190">
        <f t="shared" si="754"/>
        <v>0</v>
      </c>
      <c r="S197" s="190" t="s">
        <v>437</v>
      </c>
      <c r="T197" s="190" t="s">
        <v>437</v>
      </c>
      <c r="U197" s="190" t="s">
        <v>437</v>
      </c>
      <c r="V197" s="176">
        <f>AVERAGEA(H94)</f>
        <v>0</v>
      </c>
      <c r="W197" s="176">
        <f t="shared" ref="W197:X197" si="755">AVERAGEA(I94)</f>
        <v>0</v>
      </c>
      <c r="X197" s="176">
        <f t="shared" si="755"/>
        <v>0</v>
      </c>
      <c r="Y197" s="176">
        <f>STDEVPA(H94)</f>
        <v>0</v>
      </c>
      <c r="Z197" s="215">
        <f t="shared" ref="Z197:AA197" si="756">STDEVPA(I94)</f>
        <v>0</v>
      </c>
      <c r="AA197" s="215">
        <f t="shared" si="756"/>
        <v>0</v>
      </c>
      <c r="AC197" s="11">
        <f>SUM(H94:J94)</f>
        <v>0</v>
      </c>
      <c r="AD197" s="11">
        <f>MIN(H94:J94)</f>
        <v>0</v>
      </c>
      <c r="AE197" s="11">
        <f>MAX(H94:J94)</f>
        <v>0</v>
      </c>
      <c r="AF197" s="11">
        <f t="shared" si="683"/>
        <v>0</v>
      </c>
      <c r="AG197" s="11">
        <f>MEDIAN(H94:J94)</f>
        <v>0</v>
      </c>
      <c r="AH197" s="11">
        <f>MODE(H94:J94)</f>
        <v>0</v>
      </c>
      <c r="AI197" s="212">
        <f>AVERAGEA(H94:J94)</f>
        <v>0</v>
      </c>
      <c r="AJ197" s="176">
        <f>STDEVA(H94:J94)</f>
        <v>0</v>
      </c>
      <c r="AP197" s="177" t="s">
        <v>485</v>
      </c>
      <c r="AQ197" s="177">
        <v>2502</v>
      </c>
      <c r="AR197" s="177" t="s">
        <v>485</v>
      </c>
      <c r="AS197" s="177">
        <v>2408</v>
      </c>
      <c r="AT197" s="177" t="s">
        <v>485</v>
      </c>
      <c r="AU197" s="177">
        <v>2411</v>
      </c>
      <c r="AV197" s="6"/>
      <c r="AW197" s="177" t="s">
        <v>485</v>
      </c>
      <c r="AX197" s="177">
        <v>2502</v>
      </c>
      <c r="BA197" s="11">
        <v>738.02702702702697</v>
      </c>
      <c r="BB197" s="11">
        <v>651.18918918918916</v>
      </c>
      <c r="BC197" s="11">
        <v>722.70270270270271</v>
      </c>
      <c r="BD197" s="123">
        <f t="shared" si="684"/>
        <v>0</v>
      </c>
      <c r="BE197" s="123">
        <f t="shared" si="685"/>
        <v>0</v>
      </c>
      <c r="BF197" s="123">
        <f t="shared" si="686"/>
        <v>0</v>
      </c>
      <c r="BG197" s="190">
        <f t="shared" si="586"/>
        <v>703.97297297297303</v>
      </c>
      <c r="BH197" s="123">
        <f t="shared" ref="BH197:BH212" si="757">AVERAGEA(BD197:BF197)</f>
        <v>0</v>
      </c>
      <c r="BI197" s="176">
        <f t="shared" ref="BI197:BI225" si="758">STDEVA(BD197:BF197)</f>
        <v>0</v>
      </c>
      <c r="CF197" s="198"/>
      <c r="CT197" s="11">
        <v>70</v>
      </c>
      <c r="CV197" s="205"/>
      <c r="DA197" s="145"/>
    </row>
    <row r="198" spans="1:105">
      <c r="B198" s="11"/>
      <c r="C198" s="11"/>
      <c r="D198" s="11">
        <f>SUM(D185:D197)</f>
        <v>13791.972335909217</v>
      </c>
      <c r="E198" s="11">
        <f t="shared" ref="E198:F198" si="759">SUM(E185:E197)</f>
        <v>9316.9479497249758</v>
      </c>
      <c r="F198" s="11">
        <f t="shared" si="759"/>
        <v>11420.983407769487</v>
      </c>
      <c r="G198" s="11"/>
      <c r="H198" s="190"/>
      <c r="I198" s="190"/>
      <c r="J198" s="190"/>
      <c r="K198" s="11"/>
      <c r="L198" s="11"/>
      <c r="M198" s="11"/>
      <c r="N198" s="190"/>
      <c r="O198" s="190"/>
      <c r="P198" s="190"/>
      <c r="Q198" s="190"/>
      <c r="R198" s="190"/>
      <c r="S198" s="190"/>
      <c r="T198" s="190"/>
      <c r="U198" s="190"/>
      <c r="V198" s="176"/>
      <c r="W198" s="176"/>
      <c r="X198" s="176"/>
      <c r="Y198" s="176"/>
      <c r="Z198" s="176"/>
      <c r="AA198" s="176"/>
      <c r="AC198" s="11">
        <f>SUM(AC185:AC197)</f>
        <v>34529.903693403685</v>
      </c>
      <c r="AD198" s="11"/>
      <c r="AE198" s="11"/>
      <c r="AF198" s="11"/>
      <c r="AG198" s="11"/>
      <c r="AH198" s="11"/>
      <c r="AI198" s="212"/>
      <c r="AJ198" s="176"/>
      <c r="AP198" s="177" t="s">
        <v>486</v>
      </c>
      <c r="AQ198" s="177">
        <v>0</v>
      </c>
      <c r="AR198" s="177" t="s">
        <v>486</v>
      </c>
      <c r="AS198" s="177">
        <v>0</v>
      </c>
      <c r="AT198" s="177" t="s">
        <v>486</v>
      </c>
      <c r="AU198" s="177">
        <v>0</v>
      </c>
      <c r="AV198" s="6"/>
      <c r="AW198" s="177" t="s">
        <v>486</v>
      </c>
      <c r="AX198" s="177">
        <v>0</v>
      </c>
      <c r="AZ198" t="s">
        <v>376</v>
      </c>
      <c r="BA198" s="11">
        <v>104258.65875676264</v>
      </c>
      <c r="BB198" s="11">
        <v>124174.35366917629</v>
      </c>
      <c r="BC198" s="11">
        <v>135852.92946322585</v>
      </c>
      <c r="BD198" s="123">
        <f t="shared" si="684"/>
        <v>0.13228610937808188</v>
      </c>
      <c r="BE198" s="123">
        <f t="shared" si="685"/>
        <v>7.5031177327864892E-2</v>
      </c>
      <c r="BF198" s="123">
        <f t="shared" si="686"/>
        <v>8.4068731185226619E-2</v>
      </c>
      <c r="BG198" s="190"/>
      <c r="BH198" s="123">
        <f>AVERAGEA(BY2:CA94)</f>
        <v>0.103404626081645</v>
      </c>
      <c r="BI198" s="176">
        <f>STDEVA(BY2:CA94)</f>
        <v>0.14633801910296029</v>
      </c>
      <c r="CF198" s="199"/>
      <c r="CT198">
        <v>724</v>
      </c>
      <c r="CV198" s="110"/>
      <c r="DA198" s="110"/>
    </row>
    <row r="199" spans="1:105" ht="17" thickBot="1">
      <c r="B199" s="11"/>
      <c r="C199" s="11"/>
      <c r="D199" s="11"/>
      <c r="E199" s="11"/>
      <c r="F199" s="11"/>
      <c r="G199" s="11"/>
      <c r="H199" s="190"/>
      <c r="I199" s="190"/>
      <c r="J199" s="190"/>
      <c r="K199" s="11"/>
      <c r="L199" s="11"/>
      <c r="M199" s="11"/>
      <c r="N199" s="190"/>
      <c r="O199" s="190"/>
      <c r="P199" s="190"/>
      <c r="Q199" s="190"/>
      <c r="R199" s="190"/>
      <c r="S199" s="190"/>
      <c r="T199" s="190"/>
      <c r="U199" s="190"/>
      <c r="V199" s="176"/>
      <c r="W199" s="176"/>
      <c r="X199" s="176"/>
      <c r="Y199" s="176"/>
      <c r="Z199" s="176"/>
      <c r="AA199" s="176"/>
      <c r="AC199" s="11"/>
      <c r="AD199" s="11"/>
      <c r="AE199" s="11"/>
      <c r="AF199" s="11"/>
      <c r="AG199" s="11"/>
      <c r="AH199" s="11"/>
      <c r="AI199" s="212"/>
      <c r="AJ199" s="176"/>
      <c r="AP199" s="193" t="s">
        <v>467</v>
      </c>
      <c r="AQ199" s="193">
        <v>69.265085801101904</v>
      </c>
      <c r="AR199" s="193" t="s">
        <v>467</v>
      </c>
      <c r="AS199" s="193">
        <v>54.436894817644394</v>
      </c>
      <c r="AT199" s="193" t="s">
        <v>467</v>
      </c>
      <c r="AU199" s="193">
        <v>60.8997714059077</v>
      </c>
      <c r="AV199" s="6"/>
      <c r="AW199" s="193" t="s">
        <v>467</v>
      </c>
      <c r="AX199" s="193">
        <v>35.332356209855078</v>
      </c>
      <c r="BG199" s="190"/>
      <c r="BH199" s="123"/>
      <c r="BI199" s="176"/>
      <c r="CT199" s="11">
        <v>18.272727272727273</v>
      </c>
      <c r="CV199" s="205"/>
      <c r="DA199" s="110"/>
    </row>
    <row r="200" spans="1:105">
      <c r="A200" t="s">
        <v>493</v>
      </c>
      <c r="B200" s="11"/>
      <c r="C200" s="11"/>
      <c r="D200" s="11"/>
      <c r="E200" s="11"/>
      <c r="F200" s="11"/>
      <c r="G200" s="11"/>
      <c r="H200" s="190"/>
      <c r="I200" s="190"/>
      <c r="J200" s="190"/>
      <c r="K200" s="11"/>
      <c r="L200" s="11"/>
      <c r="M200" s="11"/>
      <c r="N200" s="190"/>
      <c r="O200" s="190"/>
      <c r="P200" s="190"/>
      <c r="Q200" s="190"/>
      <c r="R200" s="190"/>
      <c r="S200" s="190"/>
      <c r="T200" s="190"/>
      <c r="U200" s="190"/>
      <c r="V200" s="176"/>
      <c r="W200" s="176"/>
      <c r="X200" s="176"/>
      <c r="Y200" s="176"/>
      <c r="Z200" s="176"/>
      <c r="AA200" s="176"/>
      <c r="AC200" s="11"/>
      <c r="AD200" s="11"/>
      <c r="AE200" s="11"/>
      <c r="AF200" s="11"/>
      <c r="AG200" s="11"/>
      <c r="AH200" s="11"/>
      <c r="AI200" s="212"/>
      <c r="AJ200" s="176"/>
      <c r="AN200" t="s">
        <v>493</v>
      </c>
      <c r="AP200" s="412" t="s">
        <v>499</v>
      </c>
      <c r="AQ200" s="412"/>
      <c r="AR200" s="412" t="s">
        <v>500</v>
      </c>
      <c r="AS200" s="412"/>
      <c r="AT200" s="412" t="s">
        <v>501</v>
      </c>
      <c r="AU200" s="412"/>
      <c r="AV200" s="6"/>
      <c r="AW200" s="411" t="s">
        <v>376</v>
      </c>
      <c r="AX200" s="411"/>
      <c r="AY200" s="6">
        <f>AX201+AX216</f>
        <v>200.01764987260108</v>
      </c>
      <c r="BG200" s="190"/>
      <c r="BH200" s="123"/>
      <c r="BI200" s="176"/>
      <c r="CT200">
        <v>724</v>
      </c>
      <c r="CV200" s="110"/>
      <c r="DA200" s="110"/>
    </row>
    <row r="201" spans="1:105">
      <c r="B201" s="11" t="s">
        <v>376</v>
      </c>
      <c r="C201" s="11" t="s">
        <v>442</v>
      </c>
      <c r="D201" s="11" t="s">
        <v>376</v>
      </c>
      <c r="E201" s="11" t="s">
        <v>376</v>
      </c>
      <c r="F201" s="11" t="s">
        <v>376</v>
      </c>
      <c r="G201" s="11" t="s">
        <v>430</v>
      </c>
      <c r="H201" s="190" t="s">
        <v>430</v>
      </c>
      <c r="I201" s="190" t="s">
        <v>430</v>
      </c>
      <c r="J201" s="190" t="s">
        <v>413</v>
      </c>
      <c r="K201" s="11" t="s">
        <v>413</v>
      </c>
      <c r="L201" s="11" t="s">
        <v>413</v>
      </c>
      <c r="M201" s="11" t="s">
        <v>448</v>
      </c>
      <c r="N201" s="190" t="s">
        <v>448</v>
      </c>
      <c r="O201" s="190" t="s">
        <v>448</v>
      </c>
      <c r="P201" s="190" t="s">
        <v>431</v>
      </c>
      <c r="Q201" s="190" t="s">
        <v>431</v>
      </c>
      <c r="R201" s="190" t="s">
        <v>431</v>
      </c>
      <c r="S201" s="190" t="s">
        <v>410</v>
      </c>
      <c r="T201" s="190" t="s">
        <v>410</v>
      </c>
      <c r="U201" s="190" t="s">
        <v>410</v>
      </c>
      <c r="V201" s="176" t="s">
        <v>449</v>
      </c>
      <c r="W201" s="176" t="s">
        <v>449</v>
      </c>
      <c r="X201" s="176" t="s">
        <v>449</v>
      </c>
      <c r="Y201" s="176" t="s">
        <v>441</v>
      </c>
      <c r="Z201" s="176" t="s">
        <v>441</v>
      </c>
      <c r="AA201" s="176" t="s">
        <v>441</v>
      </c>
      <c r="AC201" s="11" t="s">
        <v>376</v>
      </c>
      <c r="AD201" s="11" t="s">
        <v>430</v>
      </c>
      <c r="AE201" s="11" t="s">
        <v>413</v>
      </c>
      <c r="AF201" s="11" t="s">
        <v>448</v>
      </c>
      <c r="AG201" s="11" t="s">
        <v>431</v>
      </c>
      <c r="AH201" s="11" t="s">
        <v>410</v>
      </c>
      <c r="AI201" s="212" t="s">
        <v>449</v>
      </c>
      <c r="AJ201" s="176" t="s">
        <v>441</v>
      </c>
      <c r="AP201" s="177" t="s">
        <v>455</v>
      </c>
      <c r="AQ201" s="177">
        <v>151.68830228318291</v>
      </c>
      <c r="AR201" s="177" t="s">
        <v>455</v>
      </c>
      <c r="AS201" s="177">
        <v>174.23372199965186</v>
      </c>
      <c r="AT201" s="177" t="s">
        <v>455</v>
      </c>
      <c r="AU201" s="177">
        <v>166.69673411417435</v>
      </c>
      <c r="AV201" s="6"/>
      <c r="AW201" s="177" t="s">
        <v>455</v>
      </c>
      <c r="AX201" s="177">
        <v>164.20625279900304</v>
      </c>
      <c r="AY201" s="6">
        <f>AX201-AX216</f>
        <v>128.39485572540499</v>
      </c>
      <c r="BA201" s="83" t="s">
        <v>535</v>
      </c>
      <c r="BB201" s="83" t="s">
        <v>536</v>
      </c>
      <c r="BC201" s="83" t="s">
        <v>537</v>
      </c>
      <c r="BD201" s="83" t="s">
        <v>532</v>
      </c>
      <c r="BE201" s="83" t="s">
        <v>533</v>
      </c>
      <c r="BF201" s="83" t="s">
        <v>534</v>
      </c>
      <c r="BG201" s="190"/>
      <c r="BH201" s="123"/>
      <c r="BI201" s="176"/>
      <c r="CT201">
        <v>0</v>
      </c>
      <c r="CV201" s="100"/>
      <c r="DA201" s="100"/>
    </row>
    <row r="202" spans="1:105">
      <c r="A202" t="s">
        <v>31</v>
      </c>
      <c r="B202" s="11">
        <v>3621</v>
      </c>
      <c r="C202" s="11">
        <v>278.53846153846155</v>
      </c>
      <c r="D202" s="11">
        <f>SUM(AI2:AI14)</f>
        <v>2329.4306818181822</v>
      </c>
      <c r="E202" s="11">
        <f t="shared" ref="E202:F202" si="760">SUM(AJ2:AJ14)</f>
        <v>2473.9102272727273</v>
      </c>
      <c r="F202" s="11">
        <f t="shared" si="760"/>
        <v>2382.7227272727273</v>
      </c>
      <c r="G202" s="11">
        <f>MIN(AI2:AI14)</f>
        <v>0</v>
      </c>
      <c r="H202" s="190">
        <f t="shared" ref="H202:I202" si="761">MIN(AJ2:AJ14)</f>
        <v>0</v>
      </c>
      <c r="I202" s="190">
        <f t="shared" si="761"/>
        <v>0</v>
      </c>
      <c r="J202" s="190">
        <f>MAX(AI2:AI14)</f>
        <v>920</v>
      </c>
      <c r="K202" s="190">
        <f t="shared" ref="K202:L202" si="762">MAX(AJ2:AJ14)</f>
        <v>881</v>
      </c>
      <c r="L202" s="190">
        <f t="shared" si="762"/>
        <v>788</v>
      </c>
      <c r="M202" s="11">
        <f>J202-G202</f>
        <v>920</v>
      </c>
      <c r="N202" s="11">
        <f t="shared" ref="N202:O214" si="763">K202-H202</f>
        <v>881</v>
      </c>
      <c r="O202" s="11">
        <f t="shared" si="763"/>
        <v>788</v>
      </c>
      <c r="P202" s="190">
        <f>MEDIAN(AI2:AI14)</f>
        <v>7.8181818181818183</v>
      </c>
      <c r="Q202" s="190">
        <f t="shared" ref="Q202:R202" si="764">MEDIAN(AJ2:AJ14)</f>
        <v>22.637499999999999</v>
      </c>
      <c r="R202" s="190">
        <f t="shared" si="764"/>
        <v>9.7727272727272734</v>
      </c>
      <c r="S202" s="190">
        <f>MODE(AI2:AI14)</f>
        <v>0</v>
      </c>
      <c r="T202" s="190">
        <f t="shared" ref="T202:U202" si="765">MODE(AJ2:AJ14)</f>
        <v>0</v>
      </c>
      <c r="U202" s="190">
        <f t="shared" si="765"/>
        <v>0</v>
      </c>
      <c r="V202" s="176">
        <f>AVERAGEA(AI2:AI14)</f>
        <v>179.18697552447554</v>
      </c>
      <c r="W202" s="176">
        <f t="shared" ref="W202:X202" si="766">AVERAGEA(AJ2:AJ14)</f>
        <v>190.30078671328673</v>
      </c>
      <c r="X202" s="176">
        <f t="shared" si="766"/>
        <v>183.28636363636363</v>
      </c>
      <c r="Y202" s="176">
        <f>STDEVA(AI2:AI14)</f>
        <v>336.18723212845185</v>
      </c>
      <c r="Z202" s="215">
        <f t="shared" ref="Z202:AA202" si="767">STDEVA(AJ2:AJ14)</f>
        <v>312.72195936915318</v>
      </c>
      <c r="AA202" s="215">
        <f t="shared" si="767"/>
        <v>293.2745193589688</v>
      </c>
      <c r="AC202" s="11">
        <f>SUM(AI2:AK14)</f>
        <v>7186.0636363636359</v>
      </c>
      <c r="AD202" s="11">
        <f>MIN(AI2:AK14)</f>
        <v>0</v>
      </c>
      <c r="AE202" s="11">
        <f>MAX(AI2:AK14)</f>
        <v>920</v>
      </c>
      <c r="AF202" s="11">
        <f>AE202-AD202</f>
        <v>920</v>
      </c>
      <c r="AG202" s="11">
        <f>MEDIAN(AI2:AK14)</f>
        <v>10</v>
      </c>
      <c r="AH202" s="11">
        <f>MODE(AI2:AK14)</f>
        <v>0</v>
      </c>
      <c r="AI202" s="212">
        <f>AVERAGEA(AI2:AK14)</f>
        <v>184.25804195804196</v>
      </c>
      <c r="AJ202" s="176">
        <f>STDEVA(AI2:AK14)</f>
        <v>306.19666632340466</v>
      </c>
      <c r="AP202" s="177" t="s">
        <v>456</v>
      </c>
      <c r="AQ202" s="177">
        <v>31.22939636928221</v>
      </c>
      <c r="AR202" s="177" t="s">
        <v>456</v>
      </c>
      <c r="AS202" s="177">
        <v>31.599671219265112</v>
      </c>
      <c r="AT202" s="177" t="s">
        <v>456</v>
      </c>
      <c r="AU202" s="177">
        <v>31.990879765048582</v>
      </c>
      <c r="AV202" s="6"/>
      <c r="AW202" s="177" t="s">
        <v>456</v>
      </c>
      <c r="AX202" s="177">
        <v>18.191912120862931</v>
      </c>
      <c r="BA202" s="190">
        <v>30436.919318181819</v>
      </c>
      <c r="BB202" s="190">
        <v>36162.614772727276</v>
      </c>
      <c r="BC202" s="190">
        <v>43778.219318181815</v>
      </c>
      <c r="BD202" s="123">
        <f>D202/BA202</f>
        <v>7.6533063595127765E-2</v>
      </c>
      <c r="BE202" s="123">
        <f t="shared" ref="BE202:BF202" si="768">E202/BB202</f>
        <v>6.8410712079881836E-2</v>
      </c>
      <c r="BF202" s="123">
        <f t="shared" si="768"/>
        <v>5.4427127562110399E-2</v>
      </c>
      <c r="BG202" s="190">
        <f t="shared" si="586"/>
        <v>36792.584469696965</v>
      </c>
      <c r="BH202" s="123">
        <f>AVERAGEA(CC2:CE14)</f>
        <v>6.8624854640300811E-2</v>
      </c>
      <c r="BI202" s="176">
        <f>STDEVA(CC2:CE14)</f>
        <v>7.5098974783992453E-2</v>
      </c>
      <c r="CT202">
        <v>198</v>
      </c>
      <c r="CV202" s="100"/>
      <c r="DA202" s="100"/>
    </row>
    <row r="203" spans="1:105">
      <c r="A203" t="s">
        <v>36</v>
      </c>
      <c r="B203" s="11">
        <v>61</v>
      </c>
      <c r="C203" s="11">
        <v>30.5</v>
      </c>
      <c r="D203" s="11">
        <f>SUM(AI15:AI16)</f>
        <v>0</v>
      </c>
      <c r="E203" s="11">
        <f t="shared" ref="E203:F203" si="769">SUM(AJ15:AJ16)</f>
        <v>0</v>
      </c>
      <c r="F203" s="11">
        <f t="shared" si="769"/>
        <v>0</v>
      </c>
      <c r="G203" s="11">
        <v>0</v>
      </c>
      <c r="H203" s="190">
        <v>0</v>
      </c>
      <c r="I203" s="190">
        <v>0</v>
      </c>
      <c r="J203" s="190">
        <f>MAX(AI15:AI16)</f>
        <v>0</v>
      </c>
      <c r="K203" s="190">
        <f t="shared" ref="K203:L203" si="770">MAX(AJ15:AJ16)</f>
        <v>0</v>
      </c>
      <c r="L203" s="190">
        <f t="shared" si="770"/>
        <v>0</v>
      </c>
      <c r="M203" s="11">
        <f t="shared" ref="M203:M214" si="771">J203-G203</f>
        <v>0</v>
      </c>
      <c r="N203" s="11">
        <f t="shared" si="763"/>
        <v>0</v>
      </c>
      <c r="O203" s="11">
        <f t="shared" si="763"/>
        <v>0</v>
      </c>
      <c r="P203" s="190">
        <v>0</v>
      </c>
      <c r="Q203" s="190">
        <v>0</v>
      </c>
      <c r="R203" s="190">
        <v>0</v>
      </c>
      <c r="S203" s="190" t="s">
        <v>437</v>
      </c>
      <c r="T203" s="190" t="s">
        <v>437</v>
      </c>
      <c r="U203" s="190" t="s">
        <v>437</v>
      </c>
      <c r="V203" s="176">
        <v>0</v>
      </c>
      <c r="W203" s="176">
        <v>0</v>
      </c>
      <c r="X203" s="176">
        <v>0</v>
      </c>
      <c r="Y203" s="176">
        <v>0</v>
      </c>
      <c r="Z203" s="215">
        <v>0</v>
      </c>
      <c r="AA203" s="215">
        <v>0</v>
      </c>
      <c r="AC203" s="11">
        <f>SUM(AI15:AK16)</f>
        <v>0</v>
      </c>
      <c r="AD203" s="11">
        <f>MIN(AI15:AK16)</f>
        <v>0</v>
      </c>
      <c r="AE203" s="11">
        <f>MAX(AI15:AK16)</f>
        <v>0</v>
      </c>
      <c r="AF203" s="11">
        <f t="shared" ref="AF203:AF214" si="772">AE203-AD203</f>
        <v>0</v>
      </c>
      <c r="AG203" s="11">
        <f>MEDIAN(AI15:AK16)</f>
        <v>0</v>
      </c>
      <c r="AH203" s="11">
        <f>MODE(AI15:AK16)</f>
        <v>0</v>
      </c>
      <c r="AI203" s="212">
        <f>AVERAGEA(AI15:AK16)</f>
        <v>0</v>
      </c>
      <c r="AJ203" s="176">
        <f>STDEVA(AI15:AK16)</f>
        <v>0</v>
      </c>
      <c r="AP203" s="177" t="s">
        <v>431</v>
      </c>
      <c r="AQ203" s="177">
        <v>19</v>
      </c>
      <c r="AR203" s="177" t="s">
        <v>431</v>
      </c>
      <c r="AS203" s="177">
        <v>34</v>
      </c>
      <c r="AT203" s="177" t="s">
        <v>431</v>
      </c>
      <c r="AU203" s="177">
        <v>39</v>
      </c>
      <c r="AV203" s="6"/>
      <c r="AW203" s="177" t="s">
        <v>431</v>
      </c>
      <c r="AX203" s="177">
        <v>32</v>
      </c>
      <c r="BA203" s="11">
        <v>269</v>
      </c>
      <c r="BB203" s="11">
        <v>1427</v>
      </c>
      <c r="BC203" s="11">
        <v>1842</v>
      </c>
      <c r="BD203" s="123">
        <f t="shared" ref="BD203:BD215" si="773">D203/BA203</f>
        <v>0</v>
      </c>
      <c r="BE203" s="123">
        <f t="shared" ref="BE203:BE215" si="774">E203/BB203</f>
        <v>0</v>
      </c>
      <c r="BF203" s="123">
        <f t="shared" ref="BF203:BF215" si="775">F203/BC203</f>
        <v>0</v>
      </c>
      <c r="BG203" s="190">
        <f t="shared" si="586"/>
        <v>1179.3333333333333</v>
      </c>
      <c r="BH203" s="123">
        <f>AVERAGEA(CC15:CE16)</f>
        <v>0</v>
      </c>
      <c r="BI203" s="176">
        <f>STDEVA(CC15:CE16)</f>
        <v>0</v>
      </c>
      <c r="CT203">
        <v>65</v>
      </c>
      <c r="CV203" s="150"/>
      <c r="DA203" s="150"/>
    </row>
    <row r="204" spans="1:105">
      <c r="A204" t="s">
        <v>46</v>
      </c>
      <c r="B204" s="11">
        <v>21</v>
      </c>
      <c r="C204" s="11">
        <v>21</v>
      </c>
      <c r="D204" s="11">
        <f>SUM(AI17)</f>
        <v>0</v>
      </c>
      <c r="E204" s="11">
        <f t="shared" ref="E204:F204" si="776">SUM(AJ17)</f>
        <v>0</v>
      </c>
      <c r="F204" s="11">
        <f t="shared" si="776"/>
        <v>0</v>
      </c>
      <c r="G204" s="11">
        <v>0</v>
      </c>
      <c r="H204" s="190">
        <v>0</v>
      </c>
      <c r="I204" s="190">
        <v>0</v>
      </c>
      <c r="J204" s="190">
        <v>0</v>
      </c>
      <c r="K204" s="190">
        <v>1</v>
      </c>
      <c r="L204" s="190">
        <v>2</v>
      </c>
      <c r="M204" s="11">
        <f t="shared" si="771"/>
        <v>0</v>
      </c>
      <c r="N204" s="11">
        <f t="shared" si="763"/>
        <v>1</v>
      </c>
      <c r="O204" s="11">
        <f t="shared" si="763"/>
        <v>2</v>
      </c>
      <c r="P204" s="190">
        <v>0</v>
      </c>
      <c r="Q204" s="190">
        <v>0</v>
      </c>
      <c r="R204" s="190">
        <v>0</v>
      </c>
      <c r="S204" s="190" t="s">
        <v>437</v>
      </c>
      <c r="T204" s="190" t="s">
        <v>437</v>
      </c>
      <c r="U204" s="190" t="s">
        <v>437</v>
      </c>
      <c r="V204" s="176">
        <v>0</v>
      </c>
      <c r="W204" s="176">
        <v>0</v>
      </c>
      <c r="X204" s="176">
        <v>0</v>
      </c>
      <c r="Y204" s="176">
        <v>0</v>
      </c>
      <c r="Z204" s="215">
        <v>0</v>
      </c>
      <c r="AA204" s="215">
        <v>0</v>
      </c>
      <c r="AC204" s="11">
        <f>SUM(AI17:AK17)</f>
        <v>0</v>
      </c>
      <c r="AD204" s="11">
        <f>MIN(AI17:AK17)</f>
        <v>0</v>
      </c>
      <c r="AE204" s="11">
        <f>MAX(AI17:AK17)</f>
        <v>0</v>
      </c>
      <c r="AF204" s="11">
        <f t="shared" si="772"/>
        <v>0</v>
      </c>
      <c r="AG204" s="11">
        <f>MEDIAN(AI17:AK17)</f>
        <v>0</v>
      </c>
      <c r="AH204" s="11">
        <f>MODE(AH202:AH203,AI17:AK17)</f>
        <v>0</v>
      </c>
      <c r="AI204" s="212">
        <f>AVERAGEA(AI17:AK17)</f>
        <v>0</v>
      </c>
      <c r="AJ204" s="176">
        <f>STDEVA(AI17:AK17)</f>
        <v>0</v>
      </c>
      <c r="AP204" s="177" t="s">
        <v>457</v>
      </c>
      <c r="AQ204" s="177">
        <v>0</v>
      </c>
      <c r="AR204" s="177" t="s">
        <v>457</v>
      </c>
      <c r="AS204" s="177">
        <v>0</v>
      </c>
      <c r="AT204" s="177" t="s">
        <v>457</v>
      </c>
      <c r="AU204" s="177">
        <v>0</v>
      </c>
      <c r="AV204" s="6"/>
      <c r="AW204" s="177" t="s">
        <v>457</v>
      </c>
      <c r="AX204" s="177">
        <v>0</v>
      </c>
      <c r="BA204" s="11">
        <v>115</v>
      </c>
      <c r="BB204" s="11">
        <v>57</v>
      </c>
      <c r="BC204" s="11">
        <v>148</v>
      </c>
      <c r="BD204" s="123">
        <f t="shared" si="773"/>
        <v>0</v>
      </c>
      <c r="BE204" s="123">
        <f t="shared" si="774"/>
        <v>0</v>
      </c>
      <c r="BF204" s="123">
        <f t="shared" si="775"/>
        <v>0</v>
      </c>
      <c r="BG204" s="190">
        <f t="shared" si="586"/>
        <v>106.66666666666667</v>
      </c>
      <c r="BH204" s="123">
        <f>AVERAGEA(CC17:CE17)</f>
        <v>0</v>
      </c>
      <c r="BI204" s="176">
        <f t="shared" si="758"/>
        <v>0</v>
      </c>
      <c r="CT204">
        <v>0</v>
      </c>
      <c r="CV204" s="153"/>
      <c r="DA204" s="153"/>
    </row>
    <row r="205" spans="1:105">
      <c r="A205" t="s">
        <v>37</v>
      </c>
      <c r="B205" s="11">
        <v>1755</v>
      </c>
      <c r="C205" s="11">
        <v>175.5</v>
      </c>
      <c r="D205" s="11">
        <f>SUM(AI18:AI27)</f>
        <v>518.70953500372684</v>
      </c>
      <c r="E205" s="11">
        <f t="shared" ref="E205:F205" si="777">SUM(AJ18:AJ27)</f>
        <v>868.74161458631954</v>
      </c>
      <c r="F205" s="11">
        <f t="shared" si="777"/>
        <v>791.33679261510235</v>
      </c>
      <c r="G205" s="11">
        <f>MIN(AI18:AI27)</f>
        <v>0</v>
      </c>
      <c r="H205" s="190">
        <f t="shared" ref="H205:I205" si="778">MIN(AJ18:AJ27)</f>
        <v>0</v>
      </c>
      <c r="I205" s="190">
        <f t="shared" si="778"/>
        <v>0</v>
      </c>
      <c r="J205" s="190">
        <f>MAX(AI18:AI27)</f>
        <v>379</v>
      </c>
      <c r="K205" s="190">
        <f t="shared" ref="K205:L205" si="779">MAX(AJ18:AJ27)</f>
        <v>540</v>
      </c>
      <c r="L205" s="190">
        <f t="shared" si="779"/>
        <v>471</v>
      </c>
      <c r="M205" s="11">
        <f t="shared" si="771"/>
        <v>379</v>
      </c>
      <c r="N205" s="11">
        <f t="shared" si="763"/>
        <v>540</v>
      </c>
      <c r="O205" s="11">
        <f t="shared" si="763"/>
        <v>471</v>
      </c>
      <c r="P205" s="190">
        <f>MEDIAN(AI18:AI27)</f>
        <v>0</v>
      </c>
      <c r="Q205" s="190">
        <f t="shared" ref="Q205:R205" si="780">MEDIAN(AJ18:AJ27)</f>
        <v>1.8941717791411041</v>
      </c>
      <c r="R205" s="190">
        <f t="shared" si="780"/>
        <v>3.0889570552147241</v>
      </c>
      <c r="S205" s="190">
        <f>MODE(AI18:AI27)</f>
        <v>0</v>
      </c>
      <c r="T205" s="190">
        <f t="shared" ref="T205:U205" si="781">MODE(AJ18:AJ27)</f>
        <v>0</v>
      </c>
      <c r="U205" s="190">
        <f t="shared" si="781"/>
        <v>0</v>
      </c>
      <c r="V205" s="176">
        <f>AVERAGEA(AI18:AI27)</f>
        <v>51.870953500372686</v>
      </c>
      <c r="W205" s="176">
        <f t="shared" ref="W205:X205" si="782">AVERAGEA(AJ18:AJ27)</f>
        <v>86.87416145863196</v>
      </c>
      <c r="X205" s="176">
        <f t="shared" si="782"/>
        <v>79.133679261510238</v>
      </c>
      <c r="Y205" s="176">
        <f>STDEVA(AI18:AI27)</f>
        <v>118.95336636576886</v>
      </c>
      <c r="Z205" s="215">
        <f t="shared" ref="Z205:AA205" si="783">STDEVA(AJ18:AJ27)</f>
        <v>176.21381012714934</v>
      </c>
      <c r="AA205" s="215">
        <f t="shared" si="783"/>
        <v>150.42092754663858</v>
      </c>
      <c r="AC205" s="11">
        <f>SUM(AI18:AK27)</f>
        <v>2178.7879422051483</v>
      </c>
      <c r="AD205" s="11">
        <f>MIN(AI18:AK27)</f>
        <v>0</v>
      </c>
      <c r="AE205" s="11">
        <f>MAX(AI18:AK27)</f>
        <v>540</v>
      </c>
      <c r="AF205" s="11">
        <f t="shared" si="772"/>
        <v>540</v>
      </c>
      <c r="AG205" s="11">
        <f>MEDIAN(AI18:AK27)</f>
        <v>0</v>
      </c>
      <c r="AH205" s="11">
        <f>MODE(AI18:AK27)</f>
        <v>0</v>
      </c>
      <c r="AI205" s="212">
        <f>AVERAGEA(AI18:AK27)</f>
        <v>72.626264740171607</v>
      </c>
      <c r="AJ205" s="176">
        <f>STDEVA(AI18:AK27)</f>
        <v>145.88733379971995</v>
      </c>
      <c r="AP205" s="177" t="s">
        <v>458</v>
      </c>
      <c r="AQ205" s="177">
        <v>301.16539206197899</v>
      </c>
      <c r="AR205" s="177" t="s">
        <v>458</v>
      </c>
      <c r="AS205" s="177">
        <v>304.73619340079318</v>
      </c>
      <c r="AT205" s="177" t="s">
        <v>458</v>
      </c>
      <c r="AU205" s="177">
        <v>308.50887199104488</v>
      </c>
      <c r="AV205" s="6"/>
      <c r="AW205" s="177" t="s">
        <v>458</v>
      </c>
      <c r="AX205" s="177">
        <v>303.86483999482846</v>
      </c>
      <c r="BA205" s="11">
        <v>10595.616679089502</v>
      </c>
      <c r="BB205" s="11">
        <v>14464.064990539533</v>
      </c>
      <c r="BC205" s="11">
        <v>15286.240181182273</v>
      </c>
      <c r="BD205" s="123">
        <f t="shared" si="773"/>
        <v>4.895510574928616E-2</v>
      </c>
      <c r="BE205" s="123">
        <f t="shared" si="774"/>
        <v>6.0062065204666511E-2</v>
      </c>
      <c r="BF205" s="123">
        <f t="shared" si="775"/>
        <v>5.1767915670280835E-2</v>
      </c>
      <c r="BG205" s="190">
        <f t="shared" si="586"/>
        <v>13448.640616937102</v>
      </c>
      <c r="BH205" s="123">
        <f>AVERAGEA(CC18:CE27)</f>
        <v>4.3266755087083879E-2</v>
      </c>
      <c r="BI205" s="176">
        <f>STDEVA(CC18:CE27)</f>
        <v>6.2751892172994747E-2</v>
      </c>
      <c r="CT205" s="11">
        <v>52.485981308411212</v>
      </c>
      <c r="CV205" s="153"/>
      <c r="DA205" s="153"/>
    </row>
    <row r="206" spans="1:105">
      <c r="A206" t="s">
        <v>38</v>
      </c>
      <c r="B206" s="11">
        <v>7329</v>
      </c>
      <c r="C206" s="11">
        <v>155.93617021276594</v>
      </c>
      <c r="D206" s="11">
        <f>SUM(AI28:AI74)</f>
        <v>9387.8888888888887</v>
      </c>
      <c r="E206" s="11">
        <f t="shared" ref="E206:F206" si="784">SUM(AJ28:AJ74)</f>
        <v>11112.042222222222</v>
      </c>
      <c r="F206" s="11">
        <f t="shared" si="784"/>
        <v>10161.566666666666</v>
      </c>
      <c r="G206" s="11">
        <f>MIN(AI28:AI74)</f>
        <v>0</v>
      </c>
      <c r="H206" s="190">
        <f t="shared" ref="H206:I206" si="785">MIN(AJ28:AJ74)</f>
        <v>0</v>
      </c>
      <c r="I206" s="190">
        <f t="shared" si="785"/>
        <v>0</v>
      </c>
      <c r="J206" s="190">
        <f>MAX(AI28:AI74)</f>
        <v>2218</v>
      </c>
      <c r="K206" s="190">
        <f t="shared" ref="K206:L206" si="786">MAX(AJ28:AJ74)</f>
        <v>2012</v>
      </c>
      <c r="L206" s="190">
        <f t="shared" si="786"/>
        <v>2044</v>
      </c>
      <c r="M206" s="11">
        <f t="shared" si="771"/>
        <v>2218</v>
      </c>
      <c r="N206" s="11">
        <f t="shared" si="763"/>
        <v>2012</v>
      </c>
      <c r="O206" s="11">
        <f t="shared" si="763"/>
        <v>2044</v>
      </c>
      <c r="P206" s="190">
        <f>MEDIAN(AI28:AI74)</f>
        <v>96</v>
      </c>
      <c r="Q206" s="190">
        <f t="shared" ref="Q206:R206" si="787">MEDIAN(AJ28:AJ74)</f>
        <v>90.82</v>
      </c>
      <c r="R206" s="190">
        <f t="shared" si="787"/>
        <v>71</v>
      </c>
      <c r="S206" s="190">
        <f>MODE(AI28:AI74)</f>
        <v>0</v>
      </c>
      <c r="T206" s="190">
        <f t="shared" ref="T206:U206" si="788">MODE(AJ28:AJ74)</f>
        <v>0</v>
      </c>
      <c r="U206" s="190">
        <f t="shared" si="788"/>
        <v>0</v>
      </c>
      <c r="V206" s="176">
        <f>AVERAGEA(AI28:AI74)</f>
        <v>199.74231678486998</v>
      </c>
      <c r="W206" s="176">
        <f t="shared" ref="W206:X206" si="789">AVERAGEA(AJ28:AJ74)</f>
        <v>236.42643026004728</v>
      </c>
      <c r="X206" s="176">
        <f t="shared" si="789"/>
        <v>216.20354609929075</v>
      </c>
      <c r="Y206" s="176">
        <f>STDEVA(AI28:AI74)</f>
        <v>355.46420634076537</v>
      </c>
      <c r="Z206" s="215">
        <f t="shared" ref="Z206:AA206" si="790">STDEVA(AJ28:AJ74)</f>
        <v>364.45561818214145</v>
      </c>
      <c r="AA206" s="215">
        <f t="shared" si="790"/>
        <v>373.90973608070715</v>
      </c>
      <c r="AC206" s="11">
        <f>SUM(AI28:AK74)</f>
        <v>30661.497777777782</v>
      </c>
      <c r="AD206" s="11">
        <f>MIN(AI28:AK74)</f>
        <v>0</v>
      </c>
      <c r="AE206" s="11">
        <f>MAX(AI28:AK74)</f>
        <v>2218</v>
      </c>
      <c r="AF206" s="11">
        <f t="shared" si="772"/>
        <v>2218</v>
      </c>
      <c r="AG206" s="11">
        <f>MEDIAN(AI28:AK74)</f>
        <v>90</v>
      </c>
      <c r="AH206" s="11">
        <f>MODE(AI28:AK74)</f>
        <v>0</v>
      </c>
      <c r="AI206" s="212">
        <f>AVERAGEA(AI28:AK74)</f>
        <v>217.45743104806937</v>
      </c>
      <c r="AJ206" s="176">
        <f>STDEVA(AI28:AK74)</f>
        <v>362.3862394541203</v>
      </c>
      <c r="AP206" s="177" t="s">
        <v>459</v>
      </c>
      <c r="AQ206" s="177">
        <v>90700.593375845521</v>
      </c>
      <c r="AR206" s="177" t="s">
        <v>459</v>
      </c>
      <c r="AS206" s="177">
        <v>92864.14756840562</v>
      </c>
      <c r="AT206" s="177" t="s">
        <v>459</v>
      </c>
      <c r="AU206" s="177">
        <v>95177.724097186918</v>
      </c>
      <c r="AV206" s="6"/>
      <c r="AW206" s="177" t="s">
        <v>459</v>
      </c>
      <c r="AX206" s="177">
        <v>92333.840985082716</v>
      </c>
      <c r="BA206" s="11">
        <v>40432.555555555555</v>
      </c>
      <c r="BB206" s="11">
        <v>46784.662222222221</v>
      </c>
      <c r="BC206" s="11">
        <v>46705.878888888888</v>
      </c>
      <c r="BD206" s="123">
        <f t="shared" si="773"/>
        <v>0.23218638445916795</v>
      </c>
      <c r="BE206" s="123">
        <f t="shared" si="774"/>
        <v>0.23751464036314276</v>
      </c>
      <c r="BF206" s="123">
        <f t="shared" si="775"/>
        <v>0.21756504552329611</v>
      </c>
      <c r="BG206" s="190">
        <f t="shared" si="586"/>
        <v>44641.032222222224</v>
      </c>
      <c r="BH206" s="123">
        <f>AVERAGEA(CC28:CE74)</f>
        <v>0.20623382697817072</v>
      </c>
      <c r="BI206" s="176">
        <f>STDEVA(CC28:CE74)</f>
        <v>0.19575978628542282</v>
      </c>
      <c r="CT206">
        <v>126</v>
      </c>
      <c r="CV206" s="153"/>
      <c r="DA206" s="153"/>
    </row>
    <row r="207" spans="1:105">
      <c r="A207" t="s">
        <v>39</v>
      </c>
      <c r="B207" s="11">
        <v>95</v>
      </c>
      <c r="C207" s="11">
        <v>95</v>
      </c>
      <c r="D207" s="11">
        <f>SUM(AI75)</f>
        <v>0</v>
      </c>
      <c r="E207" s="11">
        <f t="shared" ref="E207:F207" si="791">SUM(AJ75)</f>
        <v>0</v>
      </c>
      <c r="F207" s="11">
        <f t="shared" si="791"/>
        <v>0</v>
      </c>
      <c r="G207" s="11">
        <v>0</v>
      </c>
      <c r="H207" s="190">
        <v>0</v>
      </c>
      <c r="I207" s="190">
        <v>0</v>
      </c>
      <c r="J207" s="190">
        <v>0</v>
      </c>
      <c r="K207" s="190">
        <v>0</v>
      </c>
      <c r="L207" s="190">
        <v>0</v>
      </c>
      <c r="M207" s="11">
        <f t="shared" si="771"/>
        <v>0</v>
      </c>
      <c r="N207" s="11">
        <f t="shared" si="763"/>
        <v>0</v>
      </c>
      <c r="O207" s="11">
        <f t="shared" si="763"/>
        <v>0</v>
      </c>
      <c r="P207" s="190">
        <v>0</v>
      </c>
      <c r="Q207" s="190">
        <v>0</v>
      </c>
      <c r="R207" s="190">
        <v>0</v>
      </c>
      <c r="S207" s="190" t="s">
        <v>437</v>
      </c>
      <c r="T207" s="190" t="s">
        <v>437</v>
      </c>
      <c r="U207" s="190" t="s">
        <v>437</v>
      </c>
      <c r="V207" s="176">
        <v>0</v>
      </c>
      <c r="W207" s="176">
        <v>0</v>
      </c>
      <c r="X207" s="176">
        <v>0</v>
      </c>
      <c r="Y207" s="176">
        <v>0</v>
      </c>
      <c r="Z207" s="215">
        <v>0</v>
      </c>
      <c r="AA207" s="215">
        <v>0</v>
      </c>
      <c r="AC207" s="11">
        <f>SUM(AI75:AK75)</f>
        <v>0</v>
      </c>
      <c r="AD207" s="11">
        <f>MIN(AI75:AK75)</f>
        <v>0</v>
      </c>
      <c r="AE207" s="11">
        <f>MAX(AI75:AK75)</f>
        <v>0</v>
      </c>
      <c r="AF207" s="11">
        <f t="shared" si="772"/>
        <v>0</v>
      </c>
      <c r="AG207" s="11">
        <f>MEDIAN(AI75:AK75)</f>
        <v>0</v>
      </c>
      <c r="AH207" s="11">
        <f>MODE(AI75:AK75)</f>
        <v>0</v>
      </c>
      <c r="AI207" s="212">
        <f>AVERAGEA(AI75:AK75)</f>
        <v>0</v>
      </c>
      <c r="AJ207" s="176">
        <f>STDEVA(AI75:AK75)</f>
        <v>0</v>
      </c>
      <c r="AP207" s="177" t="s">
        <v>460</v>
      </c>
      <c r="AQ207" s="177">
        <v>23.970254676742467</v>
      </c>
      <c r="AR207" s="177" t="s">
        <v>460</v>
      </c>
      <c r="AS207" s="177">
        <v>14.401380715278655</v>
      </c>
      <c r="AT207" s="177" t="s">
        <v>460</v>
      </c>
      <c r="AU207" s="177">
        <v>15.12287308540003</v>
      </c>
      <c r="AV207" s="6"/>
      <c r="AW207" s="177" t="s">
        <v>460</v>
      </c>
      <c r="AX207" s="177">
        <v>16.950590278670248</v>
      </c>
      <c r="BA207" s="11">
        <v>461</v>
      </c>
      <c r="BB207" s="11">
        <v>569</v>
      </c>
      <c r="BC207" s="11">
        <v>524</v>
      </c>
      <c r="BD207" s="123">
        <f t="shared" si="773"/>
        <v>0</v>
      </c>
      <c r="BE207" s="123">
        <f t="shared" si="774"/>
        <v>0</v>
      </c>
      <c r="BF207" s="123">
        <f t="shared" si="775"/>
        <v>0</v>
      </c>
      <c r="BG207" s="190">
        <f t="shared" si="586"/>
        <v>518</v>
      </c>
      <c r="BH207" s="123">
        <f>AVERAGEA(CC75:CE75)</f>
        <v>0</v>
      </c>
      <c r="BI207" s="176">
        <f t="shared" si="758"/>
        <v>0</v>
      </c>
      <c r="CT207">
        <v>68</v>
      </c>
      <c r="CV207" s="153"/>
      <c r="DA207" s="153"/>
    </row>
    <row r="208" spans="1:105">
      <c r="A208" t="s">
        <v>40</v>
      </c>
      <c r="B208" s="11">
        <v>50</v>
      </c>
      <c r="C208" s="11">
        <v>50</v>
      </c>
      <c r="D208" s="11">
        <f>SUM(AI76)</f>
        <v>0</v>
      </c>
      <c r="E208" s="11">
        <f t="shared" ref="E208:F208" si="792">SUM(AJ76)</f>
        <v>0</v>
      </c>
      <c r="F208" s="11">
        <f t="shared" si="792"/>
        <v>0</v>
      </c>
      <c r="G208" s="11">
        <v>0</v>
      </c>
      <c r="H208" s="190">
        <v>0</v>
      </c>
      <c r="I208" s="190">
        <v>0</v>
      </c>
      <c r="J208" s="190">
        <v>0</v>
      </c>
      <c r="K208" s="190">
        <v>0</v>
      </c>
      <c r="L208" s="190">
        <v>0</v>
      </c>
      <c r="M208" s="11">
        <f t="shared" si="771"/>
        <v>0</v>
      </c>
      <c r="N208" s="11">
        <f t="shared" si="763"/>
        <v>0</v>
      </c>
      <c r="O208" s="11">
        <f t="shared" si="763"/>
        <v>0</v>
      </c>
      <c r="P208" s="190">
        <v>0</v>
      </c>
      <c r="Q208" s="190">
        <v>0</v>
      </c>
      <c r="R208" s="190">
        <v>0</v>
      </c>
      <c r="S208" s="190" t="s">
        <v>437</v>
      </c>
      <c r="T208" s="190" t="s">
        <v>437</v>
      </c>
      <c r="U208" s="190" t="s">
        <v>437</v>
      </c>
      <c r="V208" s="176">
        <v>0</v>
      </c>
      <c r="W208" s="176">
        <v>0</v>
      </c>
      <c r="X208" s="176">
        <v>0</v>
      </c>
      <c r="Y208" s="176">
        <v>0</v>
      </c>
      <c r="Z208" s="215">
        <v>0</v>
      </c>
      <c r="AA208" s="215">
        <v>0</v>
      </c>
      <c r="AC208" s="11">
        <f>SUM(AI76:AK76)</f>
        <v>0</v>
      </c>
      <c r="AD208" s="11">
        <f>MIN(AI76:AK76)</f>
        <v>0</v>
      </c>
      <c r="AE208" s="11">
        <f>MAX(AI76:AK76)</f>
        <v>0</v>
      </c>
      <c r="AF208" s="11">
        <f t="shared" si="772"/>
        <v>0</v>
      </c>
      <c r="AG208" s="11">
        <f>MEDIAN(AI76:AK76)</f>
        <v>0</v>
      </c>
      <c r="AH208" s="11">
        <f>MODE(AI76:AK76)</f>
        <v>0</v>
      </c>
      <c r="AI208" s="212">
        <f>AVERAGEA(AI76:AK76)</f>
        <v>0</v>
      </c>
      <c r="AJ208" s="176">
        <f>STDEVA(AI76:AK76)</f>
        <v>0</v>
      </c>
      <c r="AP208" s="177" t="s">
        <v>461</v>
      </c>
      <c r="AQ208" s="177">
        <v>4.1514057517885821</v>
      </c>
      <c r="AR208" s="177" t="s">
        <v>461</v>
      </c>
      <c r="AS208" s="177">
        <v>3.2183010035708248</v>
      </c>
      <c r="AT208" s="177" t="s">
        <v>461</v>
      </c>
      <c r="AU208" s="177">
        <v>3.3450652985782914</v>
      </c>
      <c r="AV208" s="6"/>
      <c r="AW208" s="177" t="s">
        <v>461</v>
      </c>
      <c r="AX208" s="177">
        <v>3.5199316149018571</v>
      </c>
      <c r="BA208" s="11">
        <v>230</v>
      </c>
      <c r="BB208" s="11">
        <v>163</v>
      </c>
      <c r="BC208" s="11">
        <v>172</v>
      </c>
      <c r="BD208" s="123">
        <f t="shared" si="773"/>
        <v>0</v>
      </c>
      <c r="BE208" s="123">
        <f t="shared" si="774"/>
        <v>0</v>
      </c>
      <c r="BF208" s="123">
        <f t="shared" si="775"/>
        <v>0</v>
      </c>
      <c r="BG208" s="190">
        <f t="shared" si="586"/>
        <v>188.33333333333334</v>
      </c>
      <c r="BH208" s="123">
        <f t="shared" si="757"/>
        <v>0</v>
      </c>
      <c r="BI208" s="176">
        <f t="shared" si="758"/>
        <v>0</v>
      </c>
      <c r="CT208">
        <v>8</v>
      </c>
      <c r="CV208" s="153"/>
      <c r="DA208" s="153"/>
    </row>
    <row r="209" spans="1:105">
      <c r="A209" t="s">
        <v>41</v>
      </c>
      <c r="B209" s="11">
        <v>221</v>
      </c>
      <c r="C209" s="11">
        <v>55.25</v>
      </c>
      <c r="D209" s="11">
        <f>SUM(AI77:AI80)</f>
        <v>71.164042661249368</v>
      </c>
      <c r="E209" s="11">
        <f t="shared" ref="E209:F209" si="793">SUM(AJ77:AJ80)</f>
        <v>99.80446927374301</v>
      </c>
      <c r="F209" s="11">
        <f t="shared" si="793"/>
        <v>318.97765363128491</v>
      </c>
      <c r="G209" s="11">
        <f>MIN(AI77:AI80)</f>
        <v>0</v>
      </c>
      <c r="H209" s="190">
        <f t="shared" ref="H209:I209" si="794">MIN(AJ77:AJ80)</f>
        <v>0</v>
      </c>
      <c r="I209" s="190">
        <f t="shared" si="794"/>
        <v>0</v>
      </c>
      <c r="J209" s="190">
        <f>MAX(AI77:AI80)</f>
        <v>53.164042661249368</v>
      </c>
      <c r="K209" s="190">
        <f t="shared" ref="K209:L209" si="795">MAX(AJ77:AJ80)</f>
        <v>64.80446927374301</v>
      </c>
      <c r="L209" s="190">
        <f t="shared" si="795"/>
        <v>315.97765363128491</v>
      </c>
      <c r="M209" s="11">
        <f t="shared" si="771"/>
        <v>53.164042661249368</v>
      </c>
      <c r="N209" s="11">
        <f t="shared" si="763"/>
        <v>64.80446927374301</v>
      </c>
      <c r="O209" s="11">
        <f t="shared" si="763"/>
        <v>315.97765363128491</v>
      </c>
      <c r="P209" s="190">
        <f>MEDIAN(AI77:AI80)</f>
        <v>9</v>
      </c>
      <c r="Q209" s="190">
        <f t="shared" ref="Q209:R209" si="796">MEDIAN(AJ77:AJ80)</f>
        <v>17.5</v>
      </c>
      <c r="R209" s="190">
        <f t="shared" si="796"/>
        <v>1.5</v>
      </c>
      <c r="S209" s="190" t="s">
        <v>437</v>
      </c>
      <c r="T209" s="190" t="s">
        <v>437</v>
      </c>
      <c r="U209" s="190">
        <f t="shared" ref="U209" si="797">MODE(AK77:AK80)</f>
        <v>0</v>
      </c>
      <c r="V209" s="176">
        <f>AVERAGEA(AI77:AI80)</f>
        <v>17.791010665312342</v>
      </c>
      <c r="W209" s="176">
        <f t="shared" ref="W209:X209" si="798">AVERAGEA(AJ77:AJ80)</f>
        <v>24.951117318435752</v>
      </c>
      <c r="X209" s="176">
        <f t="shared" si="798"/>
        <v>79.744413407821227</v>
      </c>
      <c r="Y209" s="176">
        <f>STDEVA(AI77:AI80)</f>
        <v>24.456322905090161</v>
      </c>
      <c r="Z209" s="215">
        <f t="shared" ref="Z209:AA209" si="799">STDEVA(AJ77:AJ80)</f>
        <v>29.633237060762944</v>
      </c>
      <c r="AA209" s="215">
        <f t="shared" si="799"/>
        <v>157.49517634444371</v>
      </c>
      <c r="AC209" s="11">
        <f>SUM(AI77:AK80)</f>
        <v>489.94616556627727</v>
      </c>
      <c r="AD209" s="11">
        <f>MIN(AI77:AK80)</f>
        <v>0</v>
      </c>
      <c r="AE209" s="11">
        <f>MAX(AI77:AK80)</f>
        <v>315.97765363128491</v>
      </c>
      <c r="AF209" s="11">
        <f t="shared" si="772"/>
        <v>315.97765363128491</v>
      </c>
      <c r="AG209" s="11">
        <f>MEDIAN(AI77:AK80)</f>
        <v>4</v>
      </c>
      <c r="AH209" s="11">
        <f>MODE(AI77:AK80)</f>
        <v>0</v>
      </c>
      <c r="AI209" s="212">
        <f>AVERAGEA(AI77:AK80)</f>
        <v>40.828847130523108</v>
      </c>
      <c r="AJ209" s="176">
        <f>STDEVA(AI77:AK80)</f>
        <v>89.458967317261468</v>
      </c>
      <c r="AP209" s="177" t="s">
        <v>462</v>
      </c>
      <c r="AQ209" s="177">
        <v>2218</v>
      </c>
      <c r="AR209" s="177" t="s">
        <v>462</v>
      </c>
      <c r="AS209" s="177">
        <v>2012</v>
      </c>
      <c r="AT209" s="177" t="s">
        <v>462</v>
      </c>
      <c r="AU209" s="177">
        <v>2044</v>
      </c>
      <c r="AV209" s="6"/>
      <c r="AW209" s="177" t="s">
        <v>462</v>
      </c>
      <c r="AX209" s="177">
        <v>2218</v>
      </c>
      <c r="BA209" s="11">
        <v>961.73184357541902</v>
      </c>
      <c r="BB209" s="11">
        <v>1110.7308278313865</v>
      </c>
      <c r="BC209" s="11">
        <v>1531.4433722701879</v>
      </c>
      <c r="BD209" s="123">
        <f t="shared" si="773"/>
        <v>7.3995722546405088E-2</v>
      </c>
      <c r="BE209" s="123">
        <f t="shared" si="774"/>
        <v>8.9854775588252361E-2</v>
      </c>
      <c r="BF209" s="123">
        <f t="shared" si="775"/>
        <v>0.20828563393658975</v>
      </c>
      <c r="BG209" s="190">
        <f t="shared" si="586"/>
        <v>1201.3020145589978</v>
      </c>
      <c r="BH209" s="123">
        <f>AVERAGEA(CC77:CE80)</f>
        <v>7.7053228022193956E-2</v>
      </c>
      <c r="BI209" s="176">
        <f>STDEVA(CC77:CE80)</f>
        <v>0.1221789799981147</v>
      </c>
      <c r="CT209" s="11">
        <v>3.2638036809815953</v>
      </c>
      <c r="CV209" s="327"/>
      <c r="DA209" s="153"/>
    </row>
    <row r="210" spans="1:105">
      <c r="A210" t="s">
        <v>34</v>
      </c>
      <c r="B210" s="11">
        <v>880</v>
      </c>
      <c r="C210" s="11">
        <v>220</v>
      </c>
      <c r="D210" s="11">
        <f>SUM(AI81:AI84)</f>
        <v>76.59</v>
      </c>
      <c r="E210" s="11">
        <f t="shared" ref="E210:F210" si="800">SUM(AJ81:AJ84)</f>
        <v>218.82999999999998</v>
      </c>
      <c r="F210" s="11">
        <f t="shared" si="800"/>
        <v>129.12</v>
      </c>
      <c r="G210" s="11">
        <f>MIN(AI81:AI84)</f>
        <v>0</v>
      </c>
      <c r="H210" s="190">
        <f t="shared" ref="H210:I210" si="801">MIN(AJ81:AJ84)</f>
        <v>0</v>
      </c>
      <c r="I210" s="190">
        <f t="shared" si="801"/>
        <v>0</v>
      </c>
      <c r="J210" s="190">
        <f>MAX(AI81:AI84)</f>
        <v>76.59</v>
      </c>
      <c r="K210" s="190">
        <f t="shared" ref="K210:L210" si="802">MAX(AJ81:AJ84)</f>
        <v>148</v>
      </c>
      <c r="L210" s="190">
        <f t="shared" si="802"/>
        <v>96</v>
      </c>
      <c r="M210" s="11">
        <f t="shared" si="771"/>
        <v>76.59</v>
      </c>
      <c r="N210" s="11">
        <f t="shared" si="763"/>
        <v>148</v>
      </c>
      <c r="O210" s="11">
        <f t="shared" si="763"/>
        <v>96</v>
      </c>
      <c r="P210" s="190">
        <f>MEDIAN(AI81:AI84)</f>
        <v>0</v>
      </c>
      <c r="Q210" s="190">
        <f t="shared" ref="Q210:R210" si="803">MEDIAN(AJ81:AJ84)</f>
        <v>35.414999999999999</v>
      </c>
      <c r="R210" s="190">
        <f t="shared" si="803"/>
        <v>16.559999999999999</v>
      </c>
      <c r="S210" s="190">
        <f>MODE(AI81:AI84)</f>
        <v>0</v>
      </c>
      <c r="T210" s="190">
        <f t="shared" ref="T210:U210" si="804">MODE(AJ81:AJ84)</f>
        <v>0</v>
      </c>
      <c r="U210" s="190">
        <f t="shared" si="804"/>
        <v>0</v>
      </c>
      <c r="V210" s="176">
        <f>AVERAGEA(AI81:AI84)</f>
        <v>19.147500000000001</v>
      </c>
      <c r="W210" s="176">
        <f t="shared" ref="W210:X210" si="805">AVERAGEA(AJ81:AJ84)</f>
        <v>54.707499999999996</v>
      </c>
      <c r="X210" s="176">
        <f t="shared" si="805"/>
        <v>32.28</v>
      </c>
      <c r="Y210" s="176">
        <f>STDEVA(AI81:AI84)</f>
        <v>38.295000000000002</v>
      </c>
      <c r="Z210" s="215">
        <f t="shared" ref="Z210:AA210" si="806">STDEVA(AJ81:AJ84)</f>
        <v>70.590950021939776</v>
      </c>
      <c r="AA210" s="215">
        <f t="shared" si="806"/>
        <v>45.258298686539248</v>
      </c>
      <c r="AC210" s="11">
        <f>SUM(AI81:AK84)</f>
        <v>424.54</v>
      </c>
      <c r="AD210" s="11">
        <f>MIN(AI81:AK84)</f>
        <v>0</v>
      </c>
      <c r="AE210" s="11">
        <f>MAX(AI81:AK84)</f>
        <v>148</v>
      </c>
      <c r="AF210" s="11">
        <f t="shared" si="772"/>
        <v>148</v>
      </c>
      <c r="AG210" s="11">
        <f>MEDIAN(AI81:AK84)</f>
        <v>0</v>
      </c>
      <c r="AH210" s="11">
        <f>MODE(AI81:AK84)</f>
        <v>0</v>
      </c>
      <c r="AI210" s="212">
        <f>AVERAGEA(AI81:AK84)</f>
        <v>35.378333333333337</v>
      </c>
      <c r="AJ210" s="176">
        <f>STDEVA(AI81:AK84)</f>
        <v>50.524821772585355</v>
      </c>
      <c r="AP210" s="177" t="s">
        <v>412</v>
      </c>
      <c r="AQ210" s="177">
        <v>0</v>
      </c>
      <c r="AR210" s="177" t="s">
        <v>412</v>
      </c>
      <c r="AS210" s="177">
        <v>0</v>
      </c>
      <c r="AT210" s="177" t="s">
        <v>412</v>
      </c>
      <c r="AU210" s="177">
        <v>0</v>
      </c>
      <c r="AV210" s="6"/>
      <c r="AW210" s="177" t="s">
        <v>412</v>
      </c>
      <c r="AX210" s="177">
        <v>0</v>
      </c>
      <c r="BA210" s="11">
        <v>8083.21</v>
      </c>
      <c r="BB210" s="11">
        <v>8999.16</v>
      </c>
      <c r="BC210" s="11">
        <v>10296.74</v>
      </c>
      <c r="BD210" s="123">
        <f t="shared" si="773"/>
        <v>9.4751961163943542E-3</v>
      </c>
      <c r="BE210" s="123">
        <f t="shared" si="774"/>
        <v>2.4316714004418188E-2</v>
      </c>
      <c r="BF210" s="123">
        <f t="shared" si="775"/>
        <v>1.2539891266556212E-2</v>
      </c>
      <c r="BG210" s="190">
        <f t="shared" si="586"/>
        <v>9126.3700000000008</v>
      </c>
      <c r="BH210" s="123">
        <f>AVERAGEA(CC81:CE84)</f>
        <v>1.5147864385108775E-2</v>
      </c>
      <c r="BI210" s="176">
        <f>STDEVA(CC81:CE84)</f>
        <v>2.1453287537217661E-2</v>
      </c>
      <c r="CT210">
        <v>0</v>
      </c>
      <c r="CV210" s="153"/>
      <c r="DA210" s="153"/>
    </row>
    <row r="211" spans="1:105">
      <c r="A211" t="s">
        <v>42</v>
      </c>
      <c r="B211" s="11">
        <v>92</v>
      </c>
      <c r="C211" s="11">
        <v>92</v>
      </c>
      <c r="D211" s="11">
        <f>SUM(AI85)</f>
        <v>0</v>
      </c>
      <c r="E211" s="11">
        <f t="shared" ref="E211:F211" si="807">SUM(AJ85)</f>
        <v>0</v>
      </c>
      <c r="F211" s="11">
        <f t="shared" si="807"/>
        <v>0</v>
      </c>
      <c r="G211" s="11">
        <v>0</v>
      </c>
      <c r="H211" s="190">
        <v>0</v>
      </c>
      <c r="I211" s="190">
        <v>0</v>
      </c>
      <c r="J211" s="190">
        <v>0</v>
      </c>
      <c r="K211" s="190">
        <v>0</v>
      </c>
      <c r="L211" s="190">
        <v>0</v>
      </c>
      <c r="M211" s="11">
        <f t="shared" si="771"/>
        <v>0</v>
      </c>
      <c r="N211" s="11">
        <f t="shared" si="763"/>
        <v>0</v>
      </c>
      <c r="O211" s="11">
        <f t="shared" si="763"/>
        <v>0</v>
      </c>
      <c r="P211" s="190">
        <v>0</v>
      </c>
      <c r="Q211" s="190">
        <v>0</v>
      </c>
      <c r="R211" s="190">
        <v>0</v>
      </c>
      <c r="S211" s="190" t="s">
        <v>437</v>
      </c>
      <c r="T211" s="190" t="s">
        <v>437</v>
      </c>
      <c r="U211" s="190" t="s">
        <v>437</v>
      </c>
      <c r="V211" s="176">
        <v>0</v>
      </c>
      <c r="W211" s="176">
        <v>0</v>
      </c>
      <c r="X211" s="176">
        <v>0</v>
      </c>
      <c r="Y211" s="176">
        <v>0</v>
      </c>
      <c r="Z211" s="215">
        <v>0</v>
      </c>
      <c r="AA211" s="215">
        <v>0</v>
      </c>
      <c r="AC211" s="11">
        <f>SUM(AI85:AK85)</f>
        <v>0</v>
      </c>
      <c r="AD211" s="11">
        <f>MIN(AI85:AK85)</f>
        <v>0</v>
      </c>
      <c r="AE211" s="11">
        <f>MAX(AI85:AK85)</f>
        <v>0</v>
      </c>
      <c r="AF211" s="11">
        <f t="shared" si="772"/>
        <v>0</v>
      </c>
      <c r="AG211" s="11">
        <f>MEDIAN(AI85:AK85)</f>
        <v>0</v>
      </c>
      <c r="AH211" s="11">
        <f>MODE(AI85:AK85)</f>
        <v>0</v>
      </c>
      <c r="AI211" s="212">
        <f>AVERAGEA(AI85:AK85)</f>
        <v>0</v>
      </c>
      <c r="AJ211" s="176">
        <f>STDEVA(AI85:AK85)</f>
        <v>0</v>
      </c>
      <c r="AP211" s="177" t="s">
        <v>413</v>
      </c>
      <c r="AQ211" s="177">
        <v>2218</v>
      </c>
      <c r="AR211" s="177" t="s">
        <v>413</v>
      </c>
      <c r="AS211" s="177">
        <v>2012</v>
      </c>
      <c r="AT211" s="177" t="s">
        <v>413</v>
      </c>
      <c r="AU211" s="177">
        <v>2044</v>
      </c>
      <c r="AV211" s="6"/>
      <c r="AW211" s="177" t="s">
        <v>413</v>
      </c>
      <c r="AX211" s="177">
        <v>2218</v>
      </c>
      <c r="BA211" s="11">
        <v>547</v>
      </c>
      <c r="BB211" s="11">
        <v>580</v>
      </c>
      <c r="BC211" s="11">
        <v>742</v>
      </c>
      <c r="BD211" s="123">
        <f t="shared" si="773"/>
        <v>0</v>
      </c>
      <c r="BE211" s="123">
        <f t="shared" si="774"/>
        <v>0</v>
      </c>
      <c r="BF211" s="123">
        <f t="shared" si="775"/>
        <v>0</v>
      </c>
      <c r="BG211" s="190">
        <f t="shared" si="586"/>
        <v>623</v>
      </c>
      <c r="BH211" s="123">
        <f>AVERAGEA(CC85:CE85)</f>
        <v>0</v>
      </c>
      <c r="BI211" s="176">
        <f t="shared" si="758"/>
        <v>0</v>
      </c>
      <c r="CT211">
        <v>0</v>
      </c>
      <c r="CV211" s="153"/>
      <c r="DA211" s="153"/>
    </row>
    <row r="212" spans="1:105">
      <c r="A212" t="s">
        <v>43</v>
      </c>
      <c r="B212" s="11">
        <v>105</v>
      </c>
      <c r="C212" s="11">
        <v>105</v>
      </c>
      <c r="D212" s="11">
        <f>SUM(AI86)</f>
        <v>0</v>
      </c>
      <c r="E212" s="11">
        <f t="shared" ref="E212:F212" si="808">SUM(AJ86)</f>
        <v>0</v>
      </c>
      <c r="F212" s="11">
        <f t="shared" si="808"/>
        <v>0</v>
      </c>
      <c r="G212" s="11">
        <v>0</v>
      </c>
      <c r="H212" s="190">
        <v>0</v>
      </c>
      <c r="I212" s="190">
        <v>0</v>
      </c>
      <c r="J212" s="190">
        <v>0</v>
      </c>
      <c r="K212" s="190">
        <v>0</v>
      </c>
      <c r="L212" s="190">
        <v>0</v>
      </c>
      <c r="M212" s="11">
        <f t="shared" si="771"/>
        <v>0</v>
      </c>
      <c r="N212" s="11">
        <f t="shared" si="763"/>
        <v>0</v>
      </c>
      <c r="O212" s="11">
        <f t="shared" si="763"/>
        <v>0</v>
      </c>
      <c r="P212" s="190">
        <v>0</v>
      </c>
      <c r="Q212" s="190">
        <v>0</v>
      </c>
      <c r="R212" s="190">
        <v>0</v>
      </c>
      <c r="S212" s="190" t="s">
        <v>437</v>
      </c>
      <c r="T212" s="190" t="s">
        <v>437</v>
      </c>
      <c r="U212" s="190" t="s">
        <v>437</v>
      </c>
      <c r="V212" s="176">
        <v>0</v>
      </c>
      <c r="W212" s="176">
        <v>0</v>
      </c>
      <c r="X212" s="176">
        <v>0</v>
      </c>
      <c r="Y212" s="176">
        <v>0</v>
      </c>
      <c r="Z212" s="215">
        <v>0</v>
      </c>
      <c r="AA212" s="215">
        <v>0</v>
      </c>
      <c r="AC212" s="11">
        <f>SUM(AI86:AK86)</f>
        <v>0</v>
      </c>
      <c r="AD212" s="11">
        <f>MIN(AI86:AK86)</f>
        <v>0</v>
      </c>
      <c r="AE212" s="11">
        <f>MAX(AI86:AK86)</f>
        <v>0</v>
      </c>
      <c r="AF212" s="11">
        <f t="shared" si="772"/>
        <v>0</v>
      </c>
      <c r="AG212" s="11">
        <f>MEDIAN(AI86:AK86)</f>
        <v>0</v>
      </c>
      <c r="AH212" s="11">
        <f>MODE(AI86:AK86)</f>
        <v>0</v>
      </c>
      <c r="AI212" s="212">
        <f>AVERAGEA(AI86:AK86)</f>
        <v>0</v>
      </c>
      <c r="AJ212" s="176">
        <f>STDEVA(AI86:AK86)</f>
        <v>0</v>
      </c>
      <c r="AP212" s="177" t="s">
        <v>463</v>
      </c>
      <c r="AQ212" s="177">
        <v>14107.012112336011</v>
      </c>
      <c r="AR212" s="177" t="s">
        <v>463</v>
      </c>
      <c r="AS212" s="177">
        <v>16203.736145967623</v>
      </c>
      <c r="AT212" s="177" t="s">
        <v>463</v>
      </c>
      <c r="AU212" s="177">
        <v>15502.796272618214</v>
      </c>
      <c r="AV212" s="6"/>
      <c r="AW212" s="177" t="s">
        <v>463</v>
      </c>
      <c r="AX212" s="177">
        <v>45813.544530921848</v>
      </c>
      <c r="BA212" s="11">
        <v>804</v>
      </c>
      <c r="BB212" s="11">
        <v>873</v>
      </c>
      <c r="BC212" s="11">
        <v>1133</v>
      </c>
      <c r="BD212" s="123">
        <f t="shared" si="773"/>
        <v>0</v>
      </c>
      <c r="BE212" s="123">
        <f t="shared" si="774"/>
        <v>0</v>
      </c>
      <c r="BF212" s="123">
        <f t="shared" si="775"/>
        <v>0</v>
      </c>
      <c r="BG212" s="190">
        <f t="shared" si="586"/>
        <v>936.66666666666663</v>
      </c>
      <c r="BH212" s="123">
        <f t="shared" si="757"/>
        <v>0</v>
      </c>
      <c r="BI212" s="176">
        <f t="shared" si="758"/>
        <v>0</v>
      </c>
      <c r="CT212">
        <v>699</v>
      </c>
      <c r="CV212" s="153"/>
      <c r="DA212" s="153"/>
    </row>
    <row r="213" spans="1:105">
      <c r="A213" t="s">
        <v>44</v>
      </c>
      <c r="B213" s="11">
        <v>1150</v>
      </c>
      <c r="C213" s="11">
        <v>164.28571428571428</v>
      </c>
      <c r="D213" s="11">
        <f>SUM(AI87:AI93)</f>
        <v>1619.9316666666666</v>
      </c>
      <c r="E213" s="11">
        <f t="shared" ref="E213:F213" si="809">SUM(AJ87:AJ93)</f>
        <v>1324.4616666666666</v>
      </c>
      <c r="F213" s="11">
        <f t="shared" si="809"/>
        <v>1621.64</v>
      </c>
      <c r="G213" s="11">
        <f>MIN(AI87:AI93)</f>
        <v>0</v>
      </c>
      <c r="H213" s="190">
        <f t="shared" ref="H213:I213" si="810">MIN(AJ87:AJ93)</f>
        <v>0</v>
      </c>
      <c r="I213" s="190">
        <f t="shared" si="810"/>
        <v>0</v>
      </c>
      <c r="J213" s="190">
        <f>MAX(AI87:AI93)</f>
        <v>575</v>
      </c>
      <c r="K213" s="190">
        <f t="shared" ref="K213:L213" si="811">MAX(AJ87:AJ93)</f>
        <v>550</v>
      </c>
      <c r="L213" s="190">
        <f t="shared" si="811"/>
        <v>676</v>
      </c>
      <c r="M213" s="11">
        <f t="shared" si="771"/>
        <v>575</v>
      </c>
      <c r="N213" s="11">
        <f t="shared" si="763"/>
        <v>550</v>
      </c>
      <c r="O213" s="11">
        <f t="shared" si="763"/>
        <v>676</v>
      </c>
      <c r="P213" s="190">
        <f>MEDIAN(AI87:AI93)</f>
        <v>16.141666666666666</v>
      </c>
      <c r="Q213" s="190">
        <f t="shared" ref="Q213:R213" si="812">MEDIAN(AJ87:AJ93)</f>
        <v>14.17</v>
      </c>
      <c r="R213" s="190">
        <f t="shared" si="812"/>
        <v>44.2</v>
      </c>
      <c r="S213" s="190">
        <f>MODE(AI87:AI93)</f>
        <v>0</v>
      </c>
      <c r="T213" s="190">
        <f t="shared" ref="T213:U213" si="813">MODE(AJ87:AJ93)</f>
        <v>0</v>
      </c>
      <c r="U213" s="190">
        <f t="shared" si="813"/>
        <v>0</v>
      </c>
      <c r="V213" s="176">
        <f>AVERAGEA(AI87:AI93)</f>
        <v>231.41880952380953</v>
      </c>
      <c r="W213" s="176">
        <f t="shared" ref="W213:X213" si="814">AVERAGEA(AJ87:AJ93)</f>
        <v>189.20880952380952</v>
      </c>
      <c r="X213" s="176">
        <f t="shared" si="814"/>
        <v>231.66285714285715</v>
      </c>
      <c r="Y213" s="176">
        <f>STDEVA(AI87:AI93)</f>
        <v>281.20079412312509</v>
      </c>
      <c r="Z213" s="215">
        <f t="shared" ref="Z213:AA213" si="815">STDEVA(AJ87:AJ93)</f>
        <v>236.76461309806453</v>
      </c>
      <c r="AA213" s="215">
        <f t="shared" si="815"/>
        <v>283.43981076025563</v>
      </c>
      <c r="AC213" s="11">
        <f>SUM(AI87:AK93)</f>
        <v>4566.0333333333328</v>
      </c>
      <c r="AD213" s="11">
        <f>MIN(AI87:AK93)</f>
        <v>0</v>
      </c>
      <c r="AE213" s="11">
        <f>MAX(AI87:AK93)</f>
        <v>676</v>
      </c>
      <c r="AF213" s="11">
        <f t="shared" si="772"/>
        <v>676</v>
      </c>
      <c r="AG213" s="11">
        <f>MEDIAN(AI87:AK93)</f>
        <v>16.141666666666666</v>
      </c>
      <c r="AH213" s="11">
        <f>MODE(AI87:AK93)</f>
        <v>0</v>
      </c>
      <c r="AI213" s="212">
        <f>AVERAGEA(AI87:AK93)</f>
        <v>217.43015873015869</v>
      </c>
      <c r="AJ213" s="176">
        <f>STDEVA(AI87:AK93)</f>
        <v>255.06664285747885</v>
      </c>
      <c r="AP213" s="177" t="s">
        <v>464</v>
      </c>
      <c r="AQ213" s="177">
        <v>93</v>
      </c>
      <c r="AR213" s="177" t="s">
        <v>464</v>
      </c>
      <c r="AS213" s="177">
        <v>93</v>
      </c>
      <c r="AT213" s="177" t="s">
        <v>464</v>
      </c>
      <c r="AU213" s="177">
        <v>93</v>
      </c>
      <c r="AV213" s="6"/>
      <c r="AW213" s="177" t="s">
        <v>464</v>
      </c>
      <c r="AX213" s="177">
        <v>279</v>
      </c>
      <c r="BA213" s="11">
        <v>10584.598333333333</v>
      </c>
      <c r="BB213" s="11">
        <v>12332.931666666667</v>
      </c>
      <c r="BC213" s="11">
        <v>12970.705</v>
      </c>
      <c r="BD213" s="123">
        <f t="shared" si="773"/>
        <v>0.15304611622012423</v>
      </c>
      <c r="BE213" s="123">
        <f t="shared" si="774"/>
        <v>0.1073922812891609</v>
      </c>
      <c r="BF213" s="123">
        <f t="shared" si="775"/>
        <v>0.12502327360000864</v>
      </c>
      <c r="BG213" s="190">
        <f t="shared" si="586"/>
        <v>11962.745000000001</v>
      </c>
      <c r="BH213" s="123">
        <f>AVERAGEA(CC87:CE93)</f>
        <v>0.15454789848199221</v>
      </c>
      <c r="BI213" s="176">
        <f>STDEVA(CC87:CE93)</f>
        <v>0.18554935168859202</v>
      </c>
      <c r="CT213">
        <v>150</v>
      </c>
      <c r="CV213" s="153"/>
      <c r="DA213" s="153"/>
    </row>
    <row r="214" spans="1:105">
      <c r="A214" t="s">
        <v>45</v>
      </c>
      <c r="B214" s="11">
        <v>70</v>
      </c>
      <c r="C214" s="11">
        <v>70</v>
      </c>
      <c r="D214" s="11">
        <f>SUM(AI94)</f>
        <v>103.29729729729731</v>
      </c>
      <c r="E214" s="11">
        <f t="shared" ref="E214:F214" si="816">SUM(AJ94)</f>
        <v>105.94594594594595</v>
      </c>
      <c r="F214" s="11">
        <f t="shared" si="816"/>
        <v>97.432432432432435</v>
      </c>
      <c r="G214" s="11">
        <f>MIN(AI94)</f>
        <v>103.29729729729731</v>
      </c>
      <c r="H214" s="190">
        <f t="shared" ref="H214:I214" si="817">MIN(AJ94)</f>
        <v>105.94594594594595</v>
      </c>
      <c r="I214" s="190">
        <f t="shared" si="817"/>
        <v>97.432432432432435</v>
      </c>
      <c r="J214" s="190">
        <f>MAX(AI94)</f>
        <v>103.29729729729731</v>
      </c>
      <c r="K214" s="190">
        <f t="shared" ref="K214:L214" si="818">MAX(AJ94)</f>
        <v>105.94594594594595</v>
      </c>
      <c r="L214" s="190">
        <f t="shared" si="818"/>
        <v>97.432432432432435</v>
      </c>
      <c r="M214" s="11">
        <f t="shared" si="771"/>
        <v>0</v>
      </c>
      <c r="N214" s="11">
        <f t="shared" si="763"/>
        <v>0</v>
      </c>
      <c r="O214" s="11">
        <f t="shared" si="763"/>
        <v>0</v>
      </c>
      <c r="P214" s="190">
        <f>MEDIAN(AI94)</f>
        <v>103.29729729729731</v>
      </c>
      <c r="Q214" s="190">
        <f t="shared" ref="Q214:R214" si="819">MEDIAN(AJ94)</f>
        <v>105.94594594594595</v>
      </c>
      <c r="R214" s="190">
        <f t="shared" si="819"/>
        <v>97.432432432432435</v>
      </c>
      <c r="S214" s="190" t="s">
        <v>437</v>
      </c>
      <c r="T214" s="190" t="s">
        <v>437</v>
      </c>
      <c r="U214" s="190" t="s">
        <v>437</v>
      </c>
      <c r="V214" s="176">
        <f>AVERAGEA(AI94)</f>
        <v>103.29729729729731</v>
      </c>
      <c r="W214" s="176">
        <f t="shared" ref="W214:X214" si="820">AVERAGEA(AJ94)</f>
        <v>105.94594594594595</v>
      </c>
      <c r="X214" s="176">
        <f t="shared" si="820"/>
        <v>97.432432432432435</v>
      </c>
      <c r="Y214" s="176">
        <f>STDEVPA(AI94)</f>
        <v>0</v>
      </c>
      <c r="Z214" s="215">
        <f t="shared" ref="Z214:AA214" si="821">STDEVPA(AJ94)</f>
        <v>0</v>
      </c>
      <c r="AA214" s="215">
        <f t="shared" si="821"/>
        <v>0</v>
      </c>
      <c r="AC214" s="11">
        <f>SUM(AI94:AK94)</f>
        <v>306.67567567567568</v>
      </c>
      <c r="AD214" s="11">
        <f>MIN(AI94:AK94)</f>
        <v>97.432432432432435</v>
      </c>
      <c r="AE214" s="11">
        <f>MAX(AI94:AK94)</f>
        <v>105.94594594594595</v>
      </c>
      <c r="AF214" s="11">
        <f t="shared" si="772"/>
        <v>8.5135135135135158</v>
      </c>
      <c r="AG214" s="11">
        <f>MEDIAN(AI94:AK94)</f>
        <v>103.29729729729731</v>
      </c>
      <c r="AH214" s="11" t="s">
        <v>437</v>
      </c>
      <c r="AI214" s="212">
        <f>AVERAGEA(AI94:AK94)</f>
        <v>102.22522522522523</v>
      </c>
      <c r="AJ214" s="176">
        <f>STDEVA(AI94:AK94)</f>
        <v>4.3568316448976994</v>
      </c>
      <c r="AP214" s="177" t="s">
        <v>485</v>
      </c>
      <c r="AQ214" s="177">
        <v>2218</v>
      </c>
      <c r="AR214" s="177" t="s">
        <v>485</v>
      </c>
      <c r="AS214" s="177">
        <v>2012</v>
      </c>
      <c r="AT214" s="177" t="s">
        <v>485</v>
      </c>
      <c r="AU214" s="177">
        <v>2044</v>
      </c>
      <c r="AV214" s="6"/>
      <c r="AW214" s="177" t="s">
        <v>485</v>
      </c>
      <c r="AX214" s="177">
        <v>2218</v>
      </c>
      <c r="BA214" s="11">
        <v>738.02702702702697</v>
      </c>
      <c r="BB214" s="11">
        <v>651.18918918918916</v>
      </c>
      <c r="BC214" s="11">
        <v>722.70270270270271</v>
      </c>
      <c r="BD214" s="123">
        <f t="shared" si="773"/>
        <v>0.13996411176621382</v>
      </c>
      <c r="BE214" s="123">
        <f t="shared" si="774"/>
        <v>0.16269610691458455</v>
      </c>
      <c r="BF214" s="123">
        <f t="shared" si="775"/>
        <v>0.13481675392670156</v>
      </c>
      <c r="BG214" s="190">
        <f t="shared" si="586"/>
        <v>703.97297297297303</v>
      </c>
      <c r="BH214" s="123">
        <f>AVERAGEA(CC94:CE94)</f>
        <v>0.14582565753583332</v>
      </c>
      <c r="BI214" s="176">
        <f>STDEVA(CC94:CE94)</f>
        <v>1.4835190253675658E-2</v>
      </c>
      <c r="CT214">
        <v>0</v>
      </c>
      <c r="CV214" s="156"/>
      <c r="DA214" s="156"/>
    </row>
    <row r="215" spans="1:105">
      <c r="B215" s="11"/>
      <c r="C215" s="11"/>
      <c r="D215" s="11">
        <f>SUM(D202:D214)</f>
        <v>14107.012112336011</v>
      </c>
      <c r="E215" s="11">
        <f t="shared" ref="E215:F215" si="822">SUM(E202:E214)</f>
        <v>16203.736145967623</v>
      </c>
      <c r="F215" s="11">
        <f t="shared" si="822"/>
        <v>15502.796272618212</v>
      </c>
      <c r="G215" s="11"/>
      <c r="H215" s="190"/>
      <c r="I215" s="190"/>
      <c r="J215" s="190"/>
      <c r="K215" s="11"/>
      <c r="L215" s="11"/>
      <c r="M215" s="11"/>
      <c r="N215" s="190"/>
      <c r="O215" s="190"/>
      <c r="P215" s="190"/>
      <c r="Q215" s="190"/>
      <c r="R215" s="190"/>
      <c r="S215" s="190"/>
      <c r="T215" s="190"/>
      <c r="U215" s="190"/>
      <c r="V215" s="176"/>
      <c r="W215" s="176"/>
      <c r="X215" s="176"/>
      <c r="Y215" s="176"/>
      <c r="Z215" s="176"/>
      <c r="AA215" s="176"/>
      <c r="AC215" s="11">
        <f>SUM(AC202:AC214)</f>
        <v>45813.544530921848</v>
      </c>
      <c r="AD215" s="11"/>
      <c r="AE215" s="11"/>
      <c r="AF215" s="11"/>
      <c r="AG215" s="11"/>
      <c r="AH215" s="11"/>
      <c r="AI215" s="212"/>
      <c r="AJ215" s="176"/>
      <c r="AP215" s="177" t="s">
        <v>486</v>
      </c>
      <c r="AQ215" s="177">
        <v>0</v>
      </c>
      <c r="AR215" s="177" t="s">
        <v>486</v>
      </c>
      <c r="AS215" s="177">
        <v>0</v>
      </c>
      <c r="AT215" s="177" t="s">
        <v>486</v>
      </c>
      <c r="AU215" s="177">
        <v>0</v>
      </c>
      <c r="AV215" s="6"/>
      <c r="AW215" s="177" t="s">
        <v>486</v>
      </c>
      <c r="AX215" s="177">
        <v>0</v>
      </c>
      <c r="AZ215" t="s">
        <v>376</v>
      </c>
      <c r="BA215" s="11">
        <v>104258.65875676264</v>
      </c>
      <c r="BB215" s="11">
        <v>124174.35366917629</v>
      </c>
      <c r="BC215" s="11">
        <v>135852.92946322585</v>
      </c>
      <c r="BD215" s="123">
        <f t="shared" si="773"/>
        <v>0.13530782268404132</v>
      </c>
      <c r="BE215" s="123">
        <f t="shared" si="774"/>
        <v>0.13049180983971465</v>
      </c>
      <c r="BF215" s="123">
        <f t="shared" si="775"/>
        <v>0.11411455265537485</v>
      </c>
      <c r="BG215" s="190"/>
      <c r="BH215" s="123">
        <f>AVERAGEA(CC2:CE94)</f>
        <v>0.13563705210438448</v>
      </c>
      <c r="BI215" s="176">
        <f t="shared" si="758"/>
        <v>1.1109779679083812E-2</v>
      </c>
      <c r="CT215">
        <v>259</v>
      </c>
      <c r="CV215" s="156"/>
      <c r="DA215" s="156"/>
    </row>
    <row r="216" spans="1:105" ht="17" thickBot="1">
      <c r="B216" s="11"/>
      <c r="C216" s="11"/>
      <c r="D216" s="11"/>
      <c r="E216" s="11"/>
      <c r="F216" s="11"/>
      <c r="G216" s="11"/>
      <c r="H216" s="190"/>
      <c r="I216" s="190"/>
      <c r="J216" s="190"/>
      <c r="K216" s="11"/>
      <c r="L216" s="11"/>
      <c r="M216" s="11"/>
      <c r="N216" s="190"/>
      <c r="O216" s="190"/>
      <c r="P216" s="190"/>
      <c r="Q216" s="190"/>
      <c r="R216" s="190"/>
      <c r="S216" s="190"/>
      <c r="T216" s="190"/>
      <c r="U216" s="190"/>
      <c r="V216" s="176"/>
      <c r="W216" s="176"/>
      <c r="X216" s="176"/>
      <c r="Y216" s="176"/>
      <c r="Z216" s="176"/>
      <c r="AA216" s="176"/>
      <c r="AC216" s="11"/>
      <c r="AD216" s="11"/>
      <c r="AE216" s="11"/>
      <c r="AF216" s="11"/>
      <c r="AG216" s="11"/>
      <c r="AH216" s="11"/>
      <c r="AI216" s="212"/>
      <c r="AJ216" s="176"/>
      <c r="AP216" s="193" t="s">
        <v>467</v>
      </c>
      <c r="AQ216" s="193">
        <v>62.024276815674689</v>
      </c>
      <c r="AR216" s="193" t="s">
        <v>467</v>
      </c>
      <c r="AS216" s="193">
        <v>62.75967462873686</v>
      </c>
      <c r="AT216" s="193" t="s">
        <v>467</v>
      </c>
      <c r="AU216" s="193">
        <v>63.536648568591765</v>
      </c>
      <c r="AV216" s="6"/>
      <c r="AW216" s="193" t="s">
        <v>467</v>
      </c>
      <c r="AX216" s="193">
        <v>35.811397073598037</v>
      </c>
      <c r="BG216" s="190"/>
      <c r="BH216" s="123"/>
      <c r="BI216" s="176"/>
      <c r="CT216">
        <v>0</v>
      </c>
      <c r="CV216" s="156"/>
      <c r="DA216" s="156"/>
    </row>
    <row r="217" spans="1:105">
      <c r="A217" t="s">
        <v>494</v>
      </c>
      <c r="B217" s="11"/>
      <c r="C217" s="11"/>
      <c r="D217" s="11"/>
      <c r="E217" s="11"/>
      <c r="F217" s="11"/>
      <c r="G217" s="11"/>
      <c r="H217" s="190"/>
      <c r="I217" s="190"/>
      <c r="J217" s="190"/>
      <c r="K217" s="11"/>
      <c r="L217" s="11"/>
      <c r="M217" s="11"/>
      <c r="N217" s="190"/>
      <c r="O217" s="190"/>
      <c r="P217" s="190"/>
      <c r="Q217" s="190"/>
      <c r="R217" s="190"/>
      <c r="S217" s="190"/>
      <c r="T217" s="190"/>
      <c r="U217" s="190"/>
      <c r="V217" s="176"/>
      <c r="W217" s="176"/>
      <c r="X217" s="176"/>
      <c r="Y217" s="176"/>
      <c r="Z217" s="176"/>
      <c r="AA217" s="176"/>
      <c r="AC217" s="11"/>
      <c r="AD217" s="11"/>
      <c r="AE217" s="11"/>
      <c r="AF217" s="11"/>
      <c r="AG217" s="11"/>
      <c r="AH217" s="11"/>
      <c r="AI217" s="212"/>
      <c r="AJ217" s="176"/>
      <c r="AN217" t="s">
        <v>494</v>
      </c>
      <c r="AP217" s="412" t="s">
        <v>499</v>
      </c>
      <c r="AQ217" s="412"/>
      <c r="AR217" s="412" t="s">
        <v>500</v>
      </c>
      <c r="AS217" s="412"/>
      <c r="AT217" s="412" t="s">
        <v>501</v>
      </c>
      <c r="AU217" s="412"/>
      <c r="AV217" s="6"/>
      <c r="AW217" s="411" t="s">
        <v>376</v>
      </c>
      <c r="AX217" s="411"/>
      <c r="BG217" s="190"/>
      <c r="BH217" s="123"/>
      <c r="BI217" s="176"/>
      <c r="CT217">
        <v>75</v>
      </c>
      <c r="CV217" s="156"/>
      <c r="DA217" s="156"/>
    </row>
    <row r="218" spans="1:105" ht="17" thickBot="1">
      <c r="B218" s="11" t="s">
        <v>376</v>
      </c>
      <c r="C218" s="11" t="s">
        <v>442</v>
      </c>
      <c r="D218" s="11" t="s">
        <v>376</v>
      </c>
      <c r="E218" s="11" t="s">
        <v>376</v>
      </c>
      <c r="F218" s="11" t="s">
        <v>376</v>
      </c>
      <c r="G218" s="11" t="s">
        <v>430</v>
      </c>
      <c r="H218" s="190" t="s">
        <v>430</v>
      </c>
      <c r="I218" s="190" t="s">
        <v>430</v>
      </c>
      <c r="J218" s="190" t="s">
        <v>413</v>
      </c>
      <c r="K218" s="11" t="s">
        <v>413</v>
      </c>
      <c r="L218" s="11" t="s">
        <v>413</v>
      </c>
      <c r="M218" s="11" t="s">
        <v>448</v>
      </c>
      <c r="N218" s="190" t="s">
        <v>448</v>
      </c>
      <c r="O218" s="190" t="s">
        <v>448</v>
      </c>
      <c r="P218" s="190" t="s">
        <v>431</v>
      </c>
      <c r="Q218" s="190" t="s">
        <v>431</v>
      </c>
      <c r="R218" s="190" t="s">
        <v>431</v>
      </c>
      <c r="S218" s="190" t="s">
        <v>410</v>
      </c>
      <c r="T218" s="190" t="s">
        <v>410</v>
      </c>
      <c r="U218" s="190" t="s">
        <v>410</v>
      </c>
      <c r="V218" s="176" t="s">
        <v>449</v>
      </c>
      <c r="W218" s="176" t="s">
        <v>449</v>
      </c>
      <c r="X218" s="176" t="s">
        <v>449</v>
      </c>
      <c r="Y218" s="176" t="s">
        <v>441</v>
      </c>
      <c r="Z218" s="176" t="s">
        <v>441</v>
      </c>
      <c r="AA218" s="176" t="s">
        <v>441</v>
      </c>
      <c r="AC218" s="11" t="s">
        <v>376</v>
      </c>
      <c r="AD218" s="11" t="s">
        <v>430</v>
      </c>
      <c r="AE218" s="11" t="s">
        <v>413</v>
      </c>
      <c r="AF218" s="11" t="s">
        <v>448</v>
      </c>
      <c r="AG218" s="11" t="s">
        <v>431</v>
      </c>
      <c r="AH218" s="11" t="s">
        <v>410</v>
      </c>
      <c r="AI218" s="212" t="s">
        <v>449</v>
      </c>
      <c r="AJ218" s="176" t="s">
        <v>441</v>
      </c>
      <c r="AP218" s="177" t="s">
        <v>455</v>
      </c>
      <c r="AQ218" s="177">
        <v>110.80235453860256</v>
      </c>
      <c r="AR218" s="177" t="s">
        <v>455</v>
      </c>
      <c r="AS218" s="177">
        <v>184.84203373355723</v>
      </c>
      <c r="AT218" s="177" t="s">
        <v>455</v>
      </c>
      <c r="AU218" s="177">
        <v>89.816816736930775</v>
      </c>
      <c r="AV218" s="6"/>
      <c r="AW218" s="177" t="s">
        <v>455</v>
      </c>
      <c r="AX218" s="177">
        <v>128.48706833636354</v>
      </c>
      <c r="AY218" s="6">
        <f>AX218-AX233</f>
        <v>65.239461819536331</v>
      </c>
      <c r="BA218" s="83" t="s">
        <v>535</v>
      </c>
      <c r="BB218" s="83" t="s">
        <v>536</v>
      </c>
      <c r="BC218" s="83" t="s">
        <v>537</v>
      </c>
      <c r="BD218" s="83" t="s">
        <v>532</v>
      </c>
      <c r="BE218" s="83" t="s">
        <v>533</v>
      </c>
      <c r="BF218" s="83" t="s">
        <v>534</v>
      </c>
      <c r="BG218" s="190"/>
      <c r="BH218" s="123"/>
      <c r="BI218" s="6"/>
      <c r="CT218">
        <v>20</v>
      </c>
      <c r="CV218" s="156"/>
      <c r="DA218" s="156"/>
    </row>
    <row r="219" spans="1:105">
      <c r="A219" t="s">
        <v>31</v>
      </c>
      <c r="B219" s="11">
        <v>3621</v>
      </c>
      <c r="C219" s="11">
        <v>278.53846153846155</v>
      </c>
      <c r="D219" s="11">
        <f>SUM(CO2:CO14)</f>
        <v>3530.6999999999989</v>
      </c>
      <c r="E219" s="11">
        <f t="shared" ref="E219:F219" si="823">SUM(CP2:CP14)</f>
        <v>10582.012500000001</v>
      </c>
      <c r="F219" s="11">
        <f t="shared" si="823"/>
        <v>4000.5613636363651</v>
      </c>
      <c r="G219" s="11">
        <f>MIN(CO2:CO14)</f>
        <v>0</v>
      </c>
      <c r="H219" s="190">
        <f t="shared" ref="H219:I219" si="824">MIN(CP2:CP14)</f>
        <v>0</v>
      </c>
      <c r="I219" s="190">
        <f t="shared" si="824"/>
        <v>0</v>
      </c>
      <c r="J219" s="190">
        <f>MAX(CO2:CO14)</f>
        <v>2436.9999999999995</v>
      </c>
      <c r="K219" s="190">
        <f t="shared" ref="K219:L219" si="825">MAX(CP2:CP14)</f>
        <v>6566</v>
      </c>
      <c r="L219" s="190">
        <f t="shared" si="825"/>
        <v>2836.0000000000005</v>
      </c>
      <c r="M219" s="11">
        <f>J219-G219</f>
        <v>2436.9999999999995</v>
      </c>
      <c r="N219" s="11">
        <f t="shared" ref="N219:O231" si="826">K219-H219</f>
        <v>6566</v>
      </c>
      <c r="O219" s="11">
        <f t="shared" si="826"/>
        <v>2836.0000000000005</v>
      </c>
      <c r="P219" s="190">
        <f>MEDIAN(CO2:CO14)</f>
        <v>22.70000000000001</v>
      </c>
      <c r="Q219" s="190">
        <f t="shared" ref="Q219:R219" si="827">MEDIAN(CP2:CP14)</f>
        <v>22.000000000000011</v>
      </c>
      <c r="R219" s="190">
        <f t="shared" si="827"/>
        <v>0.13636363636365728</v>
      </c>
      <c r="S219" s="190">
        <f>MODE(CO2:CO14)</f>
        <v>0</v>
      </c>
      <c r="T219" s="190">
        <f t="shared" ref="T219:U219" si="828">MODE(CP2:CP14)</f>
        <v>0</v>
      </c>
      <c r="U219" s="190">
        <f t="shared" si="828"/>
        <v>0</v>
      </c>
      <c r="V219" s="176">
        <f>AVERAGEA(CO2:CO14)</f>
        <v>271.5923076923076</v>
      </c>
      <c r="W219" s="176">
        <f t="shared" ref="W219:X219" si="829">AVERAGEA(CP2:CP14)</f>
        <v>814.00096153846164</v>
      </c>
      <c r="X219" s="176">
        <f t="shared" si="829"/>
        <v>307.73548951048963</v>
      </c>
      <c r="Y219" s="176">
        <f>STDEVPA(CO2:CO14)</f>
        <v>645.73728459030383</v>
      </c>
      <c r="Z219" s="176">
        <f t="shared" ref="Z219:AA219" si="830">STDEVPA(CP2:CP14)</f>
        <v>1828.135345733129</v>
      </c>
      <c r="AA219" s="176">
        <f t="shared" si="830"/>
        <v>754.91637283490161</v>
      </c>
      <c r="AC219" s="11">
        <f>SUM(CO2:CQ14)</f>
        <v>18113.273863636365</v>
      </c>
      <c r="AD219" s="11">
        <f>MIN(CO2:CQ14)</f>
        <v>0</v>
      </c>
      <c r="AE219" s="11">
        <f>MAX(CO2:CQ14)</f>
        <v>6566</v>
      </c>
      <c r="AF219" s="11">
        <f>AE219-AD219</f>
        <v>6566</v>
      </c>
      <c r="AG219" s="11">
        <f>MEDIAN(CO2:CQ14)</f>
        <v>6.0000000000000053</v>
      </c>
      <c r="AH219" s="11">
        <f>MODE(CO2:CQ14)</f>
        <v>0</v>
      </c>
      <c r="AI219" s="212">
        <f>AVERAGEA(CO2:CQ14)</f>
        <v>464.44291958041958</v>
      </c>
      <c r="AJ219" s="176">
        <f>STDEVA(CO2:CQ14)</f>
        <v>1242.5315519978737</v>
      </c>
      <c r="AP219" s="177" t="s">
        <v>456</v>
      </c>
      <c r="AQ219" s="177">
        <v>41.866555006044877</v>
      </c>
      <c r="AR219" s="177" t="s">
        <v>456</v>
      </c>
      <c r="AS219" s="177">
        <v>80.009342294025373</v>
      </c>
      <c r="AT219" s="177" t="s">
        <v>456</v>
      </c>
      <c r="AU219" s="177">
        <v>33.903829565132099</v>
      </c>
      <c r="AV219" s="6"/>
      <c r="AW219" s="177" t="s">
        <v>456</v>
      </c>
      <c r="AX219" s="177">
        <v>32.129293845877747</v>
      </c>
      <c r="AY219" s="6">
        <f>AX218+AX233</f>
        <v>191.73467485319074</v>
      </c>
      <c r="BA219" s="190">
        <v>30436.919318181819</v>
      </c>
      <c r="BB219" s="190">
        <v>36162.614772727276</v>
      </c>
      <c r="BC219" s="190">
        <v>43778.219318181815</v>
      </c>
      <c r="BD219" s="123">
        <f>D219/BA219</f>
        <v>0.11600057033008913</v>
      </c>
      <c r="BE219" s="123">
        <f t="shared" ref="BE219:BF219" si="831">E219/BB219</f>
        <v>0.29262299107808504</v>
      </c>
      <c r="BF219" s="123">
        <f t="shared" si="831"/>
        <v>9.1382459724095408E-2</v>
      </c>
      <c r="BG219" s="190">
        <f t="shared" si="586"/>
        <v>36792.584469696965</v>
      </c>
      <c r="BH219" s="333">
        <f>AVERAGEA(CK2:CM14)</f>
        <v>0.11818791164748788</v>
      </c>
      <c r="BI219" s="322">
        <f>STDEVA(CK2:CM14)</f>
        <v>0.19692526548505954</v>
      </c>
      <c r="CT219">
        <v>186</v>
      </c>
      <c r="CV219" s="156"/>
      <c r="DA219" s="156"/>
    </row>
    <row r="220" spans="1:105">
      <c r="A220" t="s">
        <v>36</v>
      </c>
      <c r="B220" s="11">
        <v>61</v>
      </c>
      <c r="C220" s="11">
        <v>30.5</v>
      </c>
      <c r="D220" s="11">
        <f>SUM(CO15:CO16)</f>
        <v>55</v>
      </c>
      <c r="E220" s="11">
        <f t="shared" ref="E220:F220" si="832">SUM(CP15:CP16)</f>
        <v>146.00000000000003</v>
      </c>
      <c r="F220" s="11">
        <f t="shared" si="832"/>
        <v>38.000000000000036</v>
      </c>
      <c r="G220" s="11">
        <f>MIN(CO15:CO16)</f>
        <v>0</v>
      </c>
      <c r="H220" s="190">
        <f t="shared" ref="H220:I220" si="833">MIN(CP15:CP16)</f>
        <v>0</v>
      </c>
      <c r="I220" s="190">
        <f t="shared" si="833"/>
        <v>0</v>
      </c>
      <c r="J220" s="190">
        <f>MAX(CO15:CO16)</f>
        <v>55</v>
      </c>
      <c r="K220" s="190">
        <f t="shared" ref="K220:L220" si="834">MAX(CP15:CP16)</f>
        <v>146.00000000000003</v>
      </c>
      <c r="L220" s="190">
        <f t="shared" si="834"/>
        <v>38.000000000000036</v>
      </c>
      <c r="M220" s="11">
        <f t="shared" ref="M220:M231" si="835">J220-G220</f>
        <v>55</v>
      </c>
      <c r="N220" s="11">
        <f t="shared" si="826"/>
        <v>146.00000000000003</v>
      </c>
      <c r="O220" s="11">
        <f t="shared" si="826"/>
        <v>38.000000000000036</v>
      </c>
      <c r="P220" s="190">
        <f>MEDIAN(CO15:CO16)</f>
        <v>27.5</v>
      </c>
      <c r="Q220" s="190">
        <f t="shared" ref="Q220:R220" si="836">MEDIAN(CP15:CP16)</f>
        <v>73.000000000000014</v>
      </c>
      <c r="R220" s="190">
        <f t="shared" si="836"/>
        <v>19.000000000000018</v>
      </c>
      <c r="S220" s="190" t="s">
        <v>437</v>
      </c>
      <c r="T220" s="190" t="s">
        <v>437</v>
      </c>
      <c r="U220" s="190" t="s">
        <v>437</v>
      </c>
      <c r="V220" s="176">
        <f>AVERAGEA(CO15:CO16)</f>
        <v>27.5</v>
      </c>
      <c r="W220" s="176">
        <f t="shared" ref="W220:X220" si="837">AVERAGEA(CP15:CP16)</f>
        <v>73.000000000000014</v>
      </c>
      <c r="X220" s="176">
        <f t="shared" si="837"/>
        <v>19.000000000000018</v>
      </c>
      <c r="Y220" s="176">
        <f>STDEVPA(CO15:CO16)</f>
        <v>27.5</v>
      </c>
      <c r="Z220" s="176">
        <f t="shared" ref="Z220:AA220" si="838">STDEVPA(CP15:CP16)</f>
        <v>73.000000000000014</v>
      </c>
      <c r="AA220" s="176">
        <f t="shared" si="838"/>
        <v>19.000000000000018</v>
      </c>
      <c r="AC220" s="11">
        <f>SUM(CO15:CQ16)</f>
        <v>239.00000000000006</v>
      </c>
      <c r="AD220" s="11">
        <f>MIN(CO15:CQ16)</f>
        <v>0</v>
      </c>
      <c r="AE220" s="11">
        <f>MAX(CO15:CQ16)</f>
        <v>146.00000000000003</v>
      </c>
      <c r="AF220" s="11">
        <f t="shared" ref="AF220:AF231" si="839">AE220-AD220</f>
        <v>146.00000000000003</v>
      </c>
      <c r="AG220" s="11">
        <f>MEDIAN(CO15:CQ16)</f>
        <v>19.000000000000018</v>
      </c>
      <c r="AH220" s="11">
        <f>MODE(CO15:CQ16)</f>
        <v>0</v>
      </c>
      <c r="AI220" s="212">
        <f>AVERAGEA(CO15:CQ16)</f>
        <v>39.833333333333343</v>
      </c>
      <c r="AJ220" s="176">
        <f>STDEVA(CO15:CQ16)</f>
        <v>57.034784707813778</v>
      </c>
      <c r="AP220" s="177" t="s">
        <v>431</v>
      </c>
      <c r="AQ220" s="177">
        <v>4.8957055214723946</v>
      </c>
      <c r="AR220" s="177" t="s">
        <v>431</v>
      </c>
      <c r="AS220" s="177">
        <v>4.0000000000000204</v>
      </c>
      <c r="AT220" s="177" t="s">
        <v>431</v>
      </c>
      <c r="AU220" s="177">
        <v>1.0000000000008247</v>
      </c>
      <c r="AV220" s="6"/>
      <c r="AW220" s="177" t="s">
        <v>431</v>
      </c>
      <c r="AX220" s="177">
        <v>2.9999999999999902</v>
      </c>
      <c r="BA220" s="11">
        <v>269</v>
      </c>
      <c r="BB220" s="11">
        <v>1427</v>
      </c>
      <c r="BC220" s="11">
        <v>1842</v>
      </c>
      <c r="BD220" s="123">
        <f t="shared" ref="BD220:BD232" si="840">D220/BA220</f>
        <v>0.20446096654275092</v>
      </c>
      <c r="BE220" s="123">
        <f t="shared" ref="BE220:BE232" si="841">E220/BB220</f>
        <v>0.10231254379817802</v>
      </c>
      <c r="BF220" s="123">
        <f t="shared" ref="BF220:BF232" si="842">F220/BC220</f>
        <v>2.0629750271444102E-2</v>
      </c>
      <c r="BG220" s="190">
        <f t="shared" si="586"/>
        <v>1179.3333333333333</v>
      </c>
      <c r="BH220" s="325">
        <f>AVERAGEA(CK15:CM16)</f>
        <v>5.6682268173503615E-2</v>
      </c>
      <c r="BI220" s="215">
        <f>STDEVA(CK15:CM16)</f>
        <v>8.7649804726564917E-2</v>
      </c>
      <c r="CT220">
        <v>95</v>
      </c>
      <c r="CV220" s="156"/>
      <c r="DA220" s="156"/>
    </row>
    <row r="221" spans="1:105">
      <c r="A221" t="s">
        <v>46</v>
      </c>
      <c r="B221" s="11">
        <v>21</v>
      </c>
      <c r="C221" s="11">
        <v>21</v>
      </c>
      <c r="D221" s="11">
        <f>SUM(CO17)</f>
        <v>0</v>
      </c>
      <c r="E221" s="11">
        <f t="shared" ref="E221:F221" si="843">SUM(CP17)</f>
        <v>0</v>
      </c>
      <c r="F221" s="11">
        <f t="shared" si="843"/>
        <v>0</v>
      </c>
      <c r="G221" s="11">
        <f>MIN(CO17)</f>
        <v>0</v>
      </c>
      <c r="H221" s="190">
        <f t="shared" ref="H221:I221" si="844">MIN(CP17)</f>
        <v>0</v>
      </c>
      <c r="I221" s="190">
        <f t="shared" si="844"/>
        <v>0</v>
      </c>
      <c r="J221" s="190">
        <f>MAX(CO17)</f>
        <v>0</v>
      </c>
      <c r="K221" s="190">
        <f t="shared" ref="K221:L221" si="845">MAX(CP17)</f>
        <v>0</v>
      </c>
      <c r="L221" s="190">
        <f t="shared" si="845"/>
        <v>0</v>
      </c>
      <c r="M221" s="11">
        <f t="shared" si="835"/>
        <v>0</v>
      </c>
      <c r="N221" s="11">
        <f t="shared" si="826"/>
        <v>0</v>
      </c>
      <c r="O221" s="11">
        <f t="shared" si="826"/>
        <v>0</v>
      </c>
      <c r="P221" s="190">
        <f>MEDIAN(CO17)</f>
        <v>0</v>
      </c>
      <c r="Q221" s="190">
        <f t="shared" ref="Q221:R221" si="846">MEDIAN(CP17)</f>
        <v>0</v>
      </c>
      <c r="R221" s="190">
        <f t="shared" si="846"/>
        <v>0</v>
      </c>
      <c r="S221" s="190" t="s">
        <v>437</v>
      </c>
      <c r="T221" s="190" t="s">
        <v>437</v>
      </c>
      <c r="U221" s="190" t="s">
        <v>437</v>
      </c>
      <c r="V221" s="176">
        <f>AVERAGEA(CO17)</f>
        <v>0</v>
      </c>
      <c r="W221" s="176">
        <f t="shared" ref="W221:X221" si="847">AVERAGEA(CP17)</f>
        <v>0</v>
      </c>
      <c r="X221" s="176">
        <f t="shared" si="847"/>
        <v>0</v>
      </c>
      <c r="Y221" s="176">
        <f>STDEVPA(CO17)</f>
        <v>0</v>
      </c>
      <c r="Z221" s="176">
        <f t="shared" ref="Z221:AA221" si="848">STDEVPA(CP17)</f>
        <v>0</v>
      </c>
      <c r="AA221" s="176">
        <f t="shared" si="848"/>
        <v>0</v>
      </c>
      <c r="AC221" s="11">
        <f>SUM(CO17:CQ17)</f>
        <v>0</v>
      </c>
      <c r="AD221" s="11">
        <f>MIN(CO17:CQ17)</f>
        <v>0</v>
      </c>
      <c r="AE221" s="11">
        <f>MAX(CO17:CQ17)</f>
        <v>0</v>
      </c>
      <c r="AF221" s="11">
        <f t="shared" si="839"/>
        <v>0</v>
      </c>
      <c r="AG221" s="11">
        <f>MEDIAN(CO17:CQ17)</f>
        <v>0</v>
      </c>
      <c r="AH221" s="11">
        <f>MODE(CO17:CQ17)</f>
        <v>0</v>
      </c>
      <c r="AI221" s="212">
        <f>AVERAGEA(CO17:CQ17)</f>
        <v>0</v>
      </c>
      <c r="AJ221" s="176">
        <f>STDEVA(CO17:CQ17)</f>
        <v>0</v>
      </c>
      <c r="AP221" s="177" t="s">
        <v>457</v>
      </c>
      <c r="AQ221" s="177">
        <v>0</v>
      </c>
      <c r="AR221" s="177" t="s">
        <v>457</v>
      </c>
      <c r="AS221" s="177">
        <v>0</v>
      </c>
      <c r="AT221" s="177" t="s">
        <v>457</v>
      </c>
      <c r="AU221" s="177">
        <v>0</v>
      </c>
      <c r="AV221" s="6"/>
      <c r="AW221" s="177" t="s">
        <v>457</v>
      </c>
      <c r="AX221" s="177">
        <v>0</v>
      </c>
      <c r="BA221" s="11">
        <v>115</v>
      </c>
      <c r="BB221" s="11">
        <v>57</v>
      </c>
      <c r="BC221" s="11">
        <v>148</v>
      </c>
      <c r="BD221" s="123">
        <f t="shared" si="840"/>
        <v>0</v>
      </c>
      <c r="BE221" s="123">
        <f t="shared" si="841"/>
        <v>0</v>
      </c>
      <c r="BF221" s="123">
        <f t="shared" si="842"/>
        <v>0</v>
      </c>
      <c r="BG221" s="190">
        <f t="shared" si="586"/>
        <v>106.66666666666667</v>
      </c>
      <c r="BH221" s="325">
        <f>AVERAGEA(CK17:CM17)</f>
        <v>0</v>
      </c>
      <c r="BI221" s="215">
        <f>STDEVA(CK17:CM17)</f>
        <v>0</v>
      </c>
      <c r="CT221">
        <v>0</v>
      </c>
      <c r="CV221" s="156"/>
      <c r="DA221" s="156"/>
    </row>
    <row r="222" spans="1:105">
      <c r="A222" t="s">
        <v>37</v>
      </c>
      <c r="B222" s="11">
        <v>1755</v>
      </c>
      <c r="C222" s="11">
        <v>175.5</v>
      </c>
      <c r="D222" s="11">
        <f>SUM(CO18:CO27)</f>
        <v>211.04523823175248</v>
      </c>
      <c r="E222" s="11">
        <f t="shared" ref="E222:F222" si="849">SUM(CP18:CP27)</f>
        <v>712.43558282208562</v>
      </c>
      <c r="F222" s="11">
        <f t="shared" si="849"/>
        <v>130.75460122699391</v>
      </c>
      <c r="G222" s="11">
        <f>MIN(CO18:CO27)</f>
        <v>0</v>
      </c>
      <c r="H222" s="190">
        <f t="shared" ref="H222:I222" si="850">MIN(CP18:CP27)</f>
        <v>0</v>
      </c>
      <c r="I222" s="190">
        <f t="shared" si="850"/>
        <v>0</v>
      </c>
      <c r="J222" s="190">
        <f>MAX(CO18:CO27)</f>
        <v>79.000000000000014</v>
      </c>
      <c r="K222" s="190">
        <f t="shared" ref="K222:L222" si="851">MAX(CP18:CP27)</f>
        <v>535.99999999999966</v>
      </c>
      <c r="L222" s="190">
        <f t="shared" si="851"/>
        <v>72.999999999999915</v>
      </c>
      <c r="M222" s="11">
        <f t="shared" si="835"/>
        <v>79.000000000000014</v>
      </c>
      <c r="N222" s="11">
        <f t="shared" si="826"/>
        <v>535.99999999999966</v>
      </c>
      <c r="O222" s="11">
        <f t="shared" si="826"/>
        <v>72.999999999999915</v>
      </c>
      <c r="P222" s="190">
        <f>MEDIAN(CO18:CO27)</f>
        <v>2.5226191158763687</v>
      </c>
      <c r="Q222" s="190">
        <f t="shared" ref="Q222:R222" si="852">MEDIAN(CP18:CP27)</f>
        <v>11.717791411042931</v>
      </c>
      <c r="R222" s="190">
        <f t="shared" si="852"/>
        <v>0.49999999999999289</v>
      </c>
      <c r="S222" s="190">
        <f>MODE(CO18:CO27)</f>
        <v>0</v>
      </c>
      <c r="T222" s="190">
        <f t="shared" ref="T222:U222" si="853">MODE(CP18:CP27)</f>
        <v>0</v>
      </c>
      <c r="U222" s="190">
        <f t="shared" si="853"/>
        <v>0</v>
      </c>
      <c r="V222" s="176">
        <f>AVERAGEA(CO18:CO27)</f>
        <v>21.104523823175249</v>
      </c>
      <c r="W222" s="176">
        <f t="shared" ref="W222:X222" si="854">AVERAGEA(CP18:CP27)</f>
        <v>71.243558282208568</v>
      </c>
      <c r="X222" s="176">
        <f t="shared" si="854"/>
        <v>13.075460122699392</v>
      </c>
      <c r="Y222" s="176">
        <f>STDEVPA(CO18:CO27)</f>
        <v>30.463061294877559</v>
      </c>
      <c r="Z222" s="176">
        <f t="shared" ref="Z222:AA222" si="855">STDEVPA(CP18:CP27)</f>
        <v>156.48248541469326</v>
      </c>
      <c r="AA222" s="176">
        <f t="shared" si="855"/>
        <v>22.087354936050172</v>
      </c>
      <c r="AC222" s="11">
        <f>SUM(CO18:CQ27)</f>
        <v>1054.2354222808322</v>
      </c>
      <c r="AD222" s="11">
        <f>MIN(CO18:CQ27)</f>
        <v>0</v>
      </c>
      <c r="AE222" s="11">
        <f>MAX(CO18:CQ27)</f>
        <v>535.99999999999966</v>
      </c>
      <c r="AF222" s="11">
        <f t="shared" si="839"/>
        <v>535.99999999999966</v>
      </c>
      <c r="AG222" s="11">
        <f>MEDIAN(CO18:CQ27)</f>
        <v>2.9478527607361902</v>
      </c>
      <c r="AH222" s="11">
        <f>MODE(CO18:CQ27)</f>
        <v>0</v>
      </c>
      <c r="AI222" s="212">
        <f>AVERAGEA(CO18:CQ27)</f>
        <v>35.141180742694402</v>
      </c>
      <c r="AJ222" s="176">
        <f>STDEVA(CO18:CQ27)</f>
        <v>98.067399449786905</v>
      </c>
      <c r="AP222" s="177" t="s">
        <v>458</v>
      </c>
      <c r="AQ222" s="177">
        <v>403.74643504419811</v>
      </c>
      <c r="AR222" s="177" t="s">
        <v>458</v>
      </c>
      <c r="AS222" s="177">
        <v>771.5821547003236</v>
      </c>
      <c r="AT222" s="177" t="s">
        <v>458</v>
      </c>
      <c r="AU222" s="177">
        <v>326.9566917863616</v>
      </c>
      <c r="AV222" s="6"/>
      <c r="AW222" s="177" t="s">
        <v>458</v>
      </c>
      <c r="AX222" s="177">
        <v>536.6650118339162</v>
      </c>
      <c r="BA222" s="11">
        <v>10595.616679089502</v>
      </c>
      <c r="BB222" s="11">
        <v>14464.064990539533</v>
      </c>
      <c r="BC222" s="11">
        <v>15286.240181182273</v>
      </c>
      <c r="BD222" s="123">
        <f t="shared" si="840"/>
        <v>1.9918164711285869E-2</v>
      </c>
      <c r="BE222" s="123">
        <f t="shared" si="841"/>
        <v>4.9255557361507031E-2</v>
      </c>
      <c r="BF222" s="123">
        <f t="shared" si="842"/>
        <v>8.5537450463427853E-3</v>
      </c>
      <c r="BG222" s="190">
        <f t="shared" si="586"/>
        <v>13448.640616937102</v>
      </c>
      <c r="BH222" s="325">
        <f>AVERAGEA(CK18:CM27)</f>
        <v>4.2825503484934448E-2</v>
      </c>
      <c r="BI222" s="215">
        <f>STDEVA(CK18:CM27)</f>
        <v>7.6385494656714167E-2</v>
      </c>
      <c r="CT222">
        <v>504</v>
      </c>
      <c r="CV222" s="156"/>
      <c r="DA222" s="156"/>
    </row>
    <row r="223" spans="1:105">
      <c r="A223" t="s">
        <v>38</v>
      </c>
      <c r="B223" s="11">
        <v>7329</v>
      </c>
      <c r="C223" s="11">
        <v>155.93617021276594</v>
      </c>
      <c r="D223" s="11">
        <f>SUM(CO28:CO74)</f>
        <v>4403.6511111111104</v>
      </c>
      <c r="E223" s="11">
        <f t="shared" ref="E223:F223" si="856">SUM(CP28:CP74)</f>
        <v>4042.1944444444448</v>
      </c>
      <c r="F223" s="11">
        <f t="shared" si="856"/>
        <v>2429.2222222222222</v>
      </c>
      <c r="G223" s="11">
        <f>MIN(CO28:CO74)</f>
        <v>0</v>
      </c>
      <c r="H223" s="190">
        <f t="shared" ref="H223:I223" si="857">MIN(CP28:CP74)</f>
        <v>0</v>
      </c>
      <c r="I223" s="190">
        <f t="shared" si="857"/>
        <v>0</v>
      </c>
      <c r="J223" s="190">
        <f>MAX(CO28:CO74)</f>
        <v>2873</v>
      </c>
      <c r="K223" s="190">
        <f t="shared" ref="K223:L223" si="858">MAX(CP28:CP74)</f>
        <v>2090</v>
      </c>
      <c r="L223" s="190">
        <f t="shared" si="858"/>
        <v>948.99999999999977</v>
      </c>
      <c r="M223" s="11">
        <f t="shared" si="835"/>
        <v>2873</v>
      </c>
      <c r="N223" s="11">
        <f t="shared" si="826"/>
        <v>2090</v>
      </c>
      <c r="O223" s="11">
        <f t="shared" si="826"/>
        <v>948.99999999999977</v>
      </c>
      <c r="P223" s="190">
        <f>MEDIAN(CO28:CO74)</f>
        <v>3.9999999999999405</v>
      </c>
      <c r="Q223" s="190">
        <f t="shared" ref="Q223:R223" si="859">MEDIAN(CP28:CP74)</f>
        <v>2.0000000000000124</v>
      </c>
      <c r="R223" s="190">
        <f t="shared" si="859"/>
        <v>1.0000000000000284</v>
      </c>
      <c r="S223" s="190">
        <f>MODE(CO28:CO74)</f>
        <v>0</v>
      </c>
      <c r="T223" s="190">
        <f t="shared" ref="T223:U223" si="860">MODE(CP28:CP74)</f>
        <v>0</v>
      </c>
      <c r="U223" s="190">
        <f t="shared" si="860"/>
        <v>0</v>
      </c>
      <c r="V223" s="176">
        <f>AVERAGEA(CO28:CO74)</f>
        <v>93.694704491725759</v>
      </c>
      <c r="W223" s="176">
        <f t="shared" ref="W223:X223" si="861">AVERAGEA(CP28:CP74)</f>
        <v>86.004137115839256</v>
      </c>
      <c r="X223" s="176">
        <f t="shared" si="861"/>
        <v>51.685579196217496</v>
      </c>
      <c r="Y223" s="176">
        <f>STDEVPA(CO28:CP74)</f>
        <v>364.07487314388248</v>
      </c>
      <c r="Z223" s="176">
        <f t="shared" ref="Z223:AA223" si="862">STDEVPA(CP28:CQ74)</f>
        <v>243.08475334283816</v>
      </c>
      <c r="AA223" s="176">
        <f t="shared" si="862"/>
        <v>155.81027156299157</v>
      </c>
      <c r="AC223" s="11">
        <f>SUM(CO28:CQ74)</f>
        <v>10875.067777777778</v>
      </c>
      <c r="AD223" s="11">
        <f>MIN(CO28:CQ74)</f>
        <v>0</v>
      </c>
      <c r="AE223" s="11">
        <f>MAX(CO28:CQ74)</f>
        <v>2873</v>
      </c>
      <c r="AF223" s="11">
        <f t="shared" si="839"/>
        <v>2873</v>
      </c>
      <c r="AG223" s="11">
        <f>MEDIAN(CO28:CQ74)</f>
        <v>2.0000000000000013</v>
      </c>
      <c r="AH223" s="11">
        <f>MODE(CO28:CQ74)</f>
        <v>0</v>
      </c>
      <c r="AI223" s="212">
        <f>AVERAGEA(CO28:CQ74)</f>
        <v>77.128140267927506</v>
      </c>
      <c r="AJ223" s="176">
        <f>STDEVA(CO28:CQ74)</f>
        <v>312.20867673408935</v>
      </c>
      <c r="AP223" s="177" t="s">
        <v>459</v>
      </c>
      <c r="AQ223" s="177">
        <v>163011.18381089889</v>
      </c>
      <c r="AR223" s="177" t="s">
        <v>459</v>
      </c>
      <c r="AS223" s="177">
        <v>595339.02145199408</v>
      </c>
      <c r="AT223" s="177" t="s">
        <v>459</v>
      </c>
      <c r="AU223" s="177">
        <v>106900.67830388185</v>
      </c>
      <c r="AV223" s="6"/>
      <c r="AW223" s="177" t="s">
        <v>459</v>
      </c>
      <c r="AX223" s="177">
        <v>288009.33492669737</v>
      </c>
      <c r="BA223" s="11">
        <v>40432.555555555555</v>
      </c>
      <c r="BB223" s="11">
        <v>46784.662222222221</v>
      </c>
      <c r="BC223" s="11">
        <v>46705.878888888888</v>
      </c>
      <c r="BD223" s="123">
        <f t="shared" si="840"/>
        <v>0.10891349929787052</v>
      </c>
      <c r="BE223" s="123">
        <f t="shared" si="841"/>
        <v>8.6399992058175959E-2</v>
      </c>
      <c r="BF223" s="123">
        <f t="shared" si="842"/>
        <v>5.201105899326354E-2</v>
      </c>
      <c r="BG223" s="190">
        <f t="shared" si="586"/>
        <v>44641.032222222224</v>
      </c>
      <c r="BH223" s="325">
        <f>AVERAGEA(CK28:CM74)</f>
        <v>6.6176389040198055E-2</v>
      </c>
      <c r="BI223" s="215">
        <f>STDEVA(CK28:CM74)</f>
        <v>0.13289804755244694</v>
      </c>
      <c r="CT223">
        <v>431</v>
      </c>
      <c r="CV223" s="156"/>
      <c r="DA223" s="156"/>
    </row>
    <row r="224" spans="1:105">
      <c r="A224" t="s">
        <v>39</v>
      </c>
      <c r="B224" s="11">
        <v>95</v>
      </c>
      <c r="C224" s="11">
        <v>95</v>
      </c>
      <c r="D224" s="11">
        <f>SUM(CO75)</f>
        <v>378</v>
      </c>
      <c r="E224" s="11">
        <f t="shared" ref="E224:F224" si="863">SUM(CP75)</f>
        <v>337.00000000000006</v>
      </c>
      <c r="F224" s="11">
        <f t="shared" si="863"/>
        <v>301</v>
      </c>
      <c r="G224" s="11">
        <f>MIN(CO75)</f>
        <v>378</v>
      </c>
      <c r="H224" s="190">
        <f t="shared" ref="H224:I224" si="864">MIN(CP75)</f>
        <v>337.00000000000006</v>
      </c>
      <c r="I224" s="190">
        <f t="shared" si="864"/>
        <v>301</v>
      </c>
      <c r="J224" s="190">
        <f>MAX(CO75)</f>
        <v>378</v>
      </c>
      <c r="K224" s="190">
        <f t="shared" ref="K224:L224" si="865">MAX(CP75)</f>
        <v>337.00000000000006</v>
      </c>
      <c r="L224" s="190">
        <f t="shared" si="865"/>
        <v>301</v>
      </c>
      <c r="M224" s="11">
        <f t="shared" si="835"/>
        <v>0</v>
      </c>
      <c r="N224" s="11">
        <f t="shared" si="826"/>
        <v>0</v>
      </c>
      <c r="O224" s="11">
        <f t="shared" si="826"/>
        <v>0</v>
      </c>
      <c r="P224" s="190">
        <f>MEDIAN(CO75)</f>
        <v>378</v>
      </c>
      <c r="Q224" s="190">
        <f t="shared" ref="Q224:R224" si="866">MEDIAN(CP75)</f>
        <v>337.00000000000006</v>
      </c>
      <c r="R224" s="190">
        <f t="shared" si="866"/>
        <v>301</v>
      </c>
      <c r="S224" s="190" t="s">
        <v>437</v>
      </c>
      <c r="T224" s="190" t="s">
        <v>437</v>
      </c>
      <c r="U224" s="190" t="s">
        <v>437</v>
      </c>
      <c r="V224" s="176">
        <f>AVERAGEA(CO75)</f>
        <v>378</v>
      </c>
      <c r="W224" s="176">
        <f t="shared" ref="W224:X224" si="867">AVERAGEA(CP75)</f>
        <v>337.00000000000006</v>
      </c>
      <c r="X224" s="176">
        <f t="shared" si="867"/>
        <v>301</v>
      </c>
      <c r="Y224" s="176">
        <f>STDEVPA(CO75)</f>
        <v>0</v>
      </c>
      <c r="Z224" s="176">
        <f t="shared" ref="Z224:AA224" si="868">STDEVPA(CP75)</f>
        <v>0</v>
      </c>
      <c r="AA224" s="176">
        <f t="shared" si="868"/>
        <v>0</v>
      </c>
      <c r="AC224" s="11">
        <f>SUM(CO75:CQ75)</f>
        <v>1016</v>
      </c>
      <c r="AD224" s="11">
        <f>MIN(CO75:CQ75)</f>
        <v>301</v>
      </c>
      <c r="AE224" s="11">
        <f>MAX(CO75:CQ75)</f>
        <v>378</v>
      </c>
      <c r="AF224" s="11">
        <f t="shared" si="839"/>
        <v>77</v>
      </c>
      <c r="AG224" s="11">
        <f>MEDIAN(CO75:CQ75)</f>
        <v>337.00000000000006</v>
      </c>
      <c r="AH224" s="11" t="s">
        <v>437</v>
      </c>
      <c r="AI224" s="212">
        <f>AVERAGEA(CO75:CQ75)</f>
        <v>338.66666666666669</v>
      </c>
      <c r="AJ224" s="176">
        <f>STDEVA(CO75:CQ75)</f>
        <v>38.527046776690959</v>
      </c>
      <c r="AP224" s="177" t="s">
        <v>460</v>
      </c>
      <c r="AQ224" s="177">
        <v>35.281814900412058</v>
      </c>
      <c r="AR224" s="177" t="s">
        <v>460</v>
      </c>
      <c r="AS224" s="177">
        <v>53.413220983060725</v>
      </c>
      <c r="AT224" s="177" t="s">
        <v>460</v>
      </c>
      <c r="AU224" s="177">
        <v>55.449643778153913</v>
      </c>
      <c r="AV224" s="6"/>
      <c r="AW224" s="177" t="s">
        <v>460</v>
      </c>
      <c r="AX224" s="177">
        <v>82.578017376964226</v>
      </c>
      <c r="BA224" s="11">
        <v>461</v>
      </c>
      <c r="BB224" s="11">
        <v>569</v>
      </c>
      <c r="BC224" s="11">
        <v>524</v>
      </c>
      <c r="BD224" s="123">
        <f t="shared" si="840"/>
        <v>0.81995661605206072</v>
      </c>
      <c r="BE224" s="123">
        <f t="shared" si="841"/>
        <v>0.59226713532513187</v>
      </c>
      <c r="BF224" s="123">
        <f t="shared" si="842"/>
        <v>0.57442748091603058</v>
      </c>
      <c r="BG224" s="190">
        <f t="shared" si="586"/>
        <v>518</v>
      </c>
      <c r="BH224" s="325">
        <f>AVERAGEA(CK75:CM75)</f>
        <v>0.66221707743107439</v>
      </c>
      <c r="BI224" s="215">
        <f>STDEVA(CK75:CM75)</f>
        <v>0.13689735151064941</v>
      </c>
      <c r="CT224">
        <v>65</v>
      </c>
      <c r="CV224" s="156"/>
      <c r="DA224" s="156"/>
    </row>
    <row r="225" spans="1:105">
      <c r="A225" t="s">
        <v>40</v>
      </c>
      <c r="B225" s="11">
        <v>50</v>
      </c>
      <c r="C225" s="11">
        <v>50</v>
      </c>
      <c r="D225" s="11">
        <f>SUM(CO76)</f>
        <v>0</v>
      </c>
      <c r="E225" s="11">
        <f t="shared" ref="E225:F225" si="869">SUM(CP76)</f>
        <v>0</v>
      </c>
      <c r="F225" s="11">
        <f t="shared" si="869"/>
        <v>0</v>
      </c>
      <c r="G225" s="11">
        <f>MIN(CO76)</f>
        <v>0</v>
      </c>
      <c r="H225" s="190">
        <f t="shared" ref="H225:I225" si="870">MIN(CP76)</f>
        <v>0</v>
      </c>
      <c r="I225" s="190">
        <f t="shared" si="870"/>
        <v>0</v>
      </c>
      <c r="J225" s="190">
        <f>MAX(CO76)</f>
        <v>0</v>
      </c>
      <c r="K225" s="190">
        <f t="shared" ref="K225:L225" si="871">MAX(CP76)</f>
        <v>0</v>
      </c>
      <c r="L225" s="190">
        <f t="shared" si="871"/>
        <v>0</v>
      </c>
      <c r="M225" s="11">
        <f t="shared" si="835"/>
        <v>0</v>
      </c>
      <c r="N225" s="11">
        <f t="shared" si="826"/>
        <v>0</v>
      </c>
      <c r="O225" s="11">
        <f t="shared" si="826"/>
        <v>0</v>
      </c>
      <c r="P225" s="190">
        <f>MEDIAN(CO76)</f>
        <v>0</v>
      </c>
      <c r="Q225" s="190">
        <f t="shared" ref="Q225:R225" si="872">MEDIAN(CP76)</f>
        <v>0</v>
      </c>
      <c r="R225" s="190">
        <f t="shared" si="872"/>
        <v>0</v>
      </c>
      <c r="S225" s="190" t="s">
        <v>437</v>
      </c>
      <c r="T225" s="190" t="s">
        <v>437</v>
      </c>
      <c r="U225" s="190" t="s">
        <v>437</v>
      </c>
      <c r="V225" s="176">
        <f>AVERAGEA(CO76)</f>
        <v>0</v>
      </c>
      <c r="W225" s="176">
        <f t="shared" ref="W225:X225" si="873">AVERAGEA(CP76)</f>
        <v>0</v>
      </c>
      <c r="X225" s="176">
        <f t="shared" si="873"/>
        <v>0</v>
      </c>
      <c r="Y225" s="176">
        <f>STDEVPA(CO76)</f>
        <v>0</v>
      </c>
      <c r="Z225" s="176">
        <f t="shared" ref="Z225:AA225" si="874">STDEVPA(CP76)</f>
        <v>0</v>
      </c>
      <c r="AA225" s="176">
        <f t="shared" si="874"/>
        <v>0</v>
      </c>
      <c r="AC225" s="11">
        <f>SUM(CO76:CQ76)</f>
        <v>0</v>
      </c>
      <c r="AD225" s="11">
        <f>MIN(CO76:CQ76)</f>
        <v>0</v>
      </c>
      <c r="AE225" s="11">
        <f>MAX(CO76:CQ76)</f>
        <v>0</v>
      </c>
      <c r="AF225" s="11">
        <f t="shared" si="839"/>
        <v>0</v>
      </c>
      <c r="AG225" s="11">
        <f>MEDIAN(CO76:CQ76)</f>
        <v>0</v>
      </c>
      <c r="AH225" s="11" t="s">
        <v>437</v>
      </c>
      <c r="AI225" s="212">
        <f>AVERAGEA(CO76:CQ76)</f>
        <v>0</v>
      </c>
      <c r="AJ225" s="176">
        <f>STDEVA(CO76:CQ76)</f>
        <v>0</v>
      </c>
      <c r="AP225" s="177" t="s">
        <v>461</v>
      </c>
      <c r="AQ225" s="177">
        <v>5.7777670286122964</v>
      </c>
      <c r="AR225" s="177" t="s">
        <v>461</v>
      </c>
      <c r="AS225" s="177">
        <v>6.9380516479306822</v>
      </c>
      <c r="AT225" s="177" t="s">
        <v>461</v>
      </c>
      <c r="AU225" s="177">
        <v>6.9254952832262022</v>
      </c>
      <c r="AV225" s="6"/>
      <c r="AW225" s="177" t="s">
        <v>461</v>
      </c>
      <c r="AX225" s="177">
        <v>8.2102409580602291</v>
      </c>
      <c r="BA225" s="11">
        <v>230</v>
      </c>
      <c r="BB225" s="11">
        <v>163</v>
      </c>
      <c r="BC225" s="11">
        <v>172</v>
      </c>
      <c r="BD225" s="123">
        <f t="shared" si="840"/>
        <v>0</v>
      </c>
      <c r="BE225" s="123">
        <f t="shared" si="841"/>
        <v>0</v>
      </c>
      <c r="BF225" s="123">
        <f t="shared" si="842"/>
        <v>0</v>
      </c>
      <c r="BG225" s="190">
        <f t="shared" si="586"/>
        <v>188.33333333333334</v>
      </c>
      <c r="BH225" s="325">
        <f>AVERAGEA(CO76:CQ76)</f>
        <v>0</v>
      </c>
      <c r="BI225" s="215">
        <f t="shared" si="758"/>
        <v>0</v>
      </c>
      <c r="CT225">
        <v>48</v>
      </c>
      <c r="CV225" s="156"/>
      <c r="DA225" s="156"/>
    </row>
    <row r="226" spans="1:105">
      <c r="A226" t="s">
        <v>41</v>
      </c>
      <c r="B226" s="11">
        <v>221</v>
      </c>
      <c r="C226" s="11">
        <v>55.25</v>
      </c>
      <c r="D226" s="11">
        <f>SUM(CO77:CO80)</f>
        <v>30.578974098527191</v>
      </c>
      <c r="E226" s="11">
        <f t="shared" ref="E226:F226" si="875">SUM(CP77:CP80)</f>
        <v>72.071609954291503</v>
      </c>
      <c r="F226" s="11">
        <f t="shared" si="875"/>
        <v>122.40680548501787</v>
      </c>
      <c r="G226" s="11">
        <f>MIN(CO77:CO80)</f>
        <v>0</v>
      </c>
      <c r="H226" s="190">
        <f t="shared" ref="H226:I226" si="876">MIN(CP77:CP80)</f>
        <v>0</v>
      </c>
      <c r="I226" s="190">
        <f t="shared" si="876"/>
        <v>0</v>
      </c>
      <c r="J226" s="190">
        <f>MAX(CO77:CO80)</f>
        <v>20.578974098527194</v>
      </c>
      <c r="K226" s="190">
        <f t="shared" ref="K226:L226" si="877">MAX(CP77:CP80)</f>
        <v>51.07160995429151</v>
      </c>
      <c r="L226" s="190">
        <f t="shared" si="877"/>
        <v>91</v>
      </c>
      <c r="M226" s="11">
        <f t="shared" si="835"/>
        <v>20.578974098527194</v>
      </c>
      <c r="N226" s="11">
        <f t="shared" si="826"/>
        <v>51.07160995429151</v>
      </c>
      <c r="O226" s="11">
        <f t="shared" si="826"/>
        <v>91</v>
      </c>
      <c r="P226" s="190">
        <f>MEDIAN(CO77:CO80)</f>
        <v>4.9999999999999973</v>
      </c>
      <c r="Q226" s="190">
        <f t="shared" ref="Q226:R226" si="878">MEDIAN(CP77:CP80)</f>
        <v>10.499999999999996</v>
      </c>
      <c r="R226" s="190">
        <f t="shared" si="878"/>
        <v>15.703402742508935</v>
      </c>
      <c r="S226" s="190">
        <f>MODE(CO77:CO80)</f>
        <v>0</v>
      </c>
      <c r="T226" s="190">
        <f t="shared" ref="T226:U226" si="879">MODE(CP77:CP80)</f>
        <v>0</v>
      </c>
      <c r="U226" s="190">
        <f t="shared" si="879"/>
        <v>0</v>
      </c>
      <c r="V226" s="176">
        <f>AVERAGEA(CO77:CO80)</f>
        <v>7.6447435246317976</v>
      </c>
      <c r="W226" s="176">
        <f t="shared" ref="W226:X226" si="880">AVERAGEA(CP77:CP80)</f>
        <v>18.017902488572876</v>
      </c>
      <c r="X226" s="176">
        <f t="shared" si="880"/>
        <v>30.601701371254467</v>
      </c>
      <c r="Y226" s="176">
        <f>STDEVPA(CO77:CO80)</f>
        <v>8.5106662594395885</v>
      </c>
      <c r="Z226" s="176">
        <f t="shared" ref="Z226:AA226" si="881">STDEVPA(CP77:CP80)</f>
        <v>20.920863408165093</v>
      </c>
      <c r="AA226" s="176">
        <f t="shared" si="881"/>
        <v>37.153502269341978</v>
      </c>
      <c r="AC226" s="11">
        <f>SUM(CO77:CQ80)</f>
        <v>225.05738953783657</v>
      </c>
      <c r="AD226" s="11">
        <f>MIN(CO77:CQ80)</f>
        <v>0</v>
      </c>
      <c r="AE226" s="11">
        <f>MAX(CO77:CQ80)</f>
        <v>91</v>
      </c>
      <c r="AF226" s="11">
        <f t="shared" si="839"/>
        <v>91</v>
      </c>
      <c r="AG226" s="11">
        <f>MEDIAN(CO77:CQ80)</f>
        <v>4.9999999999999973</v>
      </c>
      <c r="AH226" s="11">
        <f>MODE(CO77:CQ80)</f>
        <v>0</v>
      </c>
      <c r="AI226" s="212">
        <f>AVERAGEA(CO77:CQ80)</f>
        <v>18.754782461486382</v>
      </c>
      <c r="AJ226" s="176">
        <f>STDEVA(CO77:CQ80)</f>
        <v>27.992350524762305</v>
      </c>
      <c r="AP226" s="177" t="s">
        <v>462</v>
      </c>
      <c r="AQ226" s="177">
        <v>2873</v>
      </c>
      <c r="AR226" s="177" t="s">
        <v>462</v>
      </c>
      <c r="AS226" s="177">
        <v>6566</v>
      </c>
      <c r="AT226" s="177" t="s">
        <v>462</v>
      </c>
      <c r="AU226" s="177">
        <v>2836.0000000000005</v>
      </c>
      <c r="AV226" s="6"/>
      <c r="AW226" s="177" t="s">
        <v>462</v>
      </c>
      <c r="AX226" s="177">
        <v>6566</v>
      </c>
      <c r="BA226" s="11">
        <v>961.73184357541902</v>
      </c>
      <c r="BB226" s="11">
        <v>1110.7308278313865</v>
      </c>
      <c r="BC226" s="11">
        <v>1531.4433722701879</v>
      </c>
      <c r="BD226" s="123">
        <f t="shared" si="840"/>
        <v>3.179573838882583E-2</v>
      </c>
      <c r="BE226" s="123">
        <f t="shared" si="841"/>
        <v>6.4886656738433732E-2</v>
      </c>
      <c r="BF226" s="123">
        <f t="shared" si="842"/>
        <v>7.9929044521942674E-2</v>
      </c>
      <c r="BG226" s="190">
        <f t="shared" si="586"/>
        <v>1201.3020145589978</v>
      </c>
      <c r="BH226" s="325">
        <f>AVERAGEA(CK77:CM80)</f>
        <v>6.287872662174665E-2</v>
      </c>
      <c r="BI226" s="215">
        <f>STDEVA(CK77:CM80)</f>
        <v>0.10047000492529133</v>
      </c>
      <c r="CT226">
        <v>442</v>
      </c>
      <c r="CV226" s="156"/>
      <c r="DA226" s="156"/>
    </row>
    <row r="227" spans="1:105">
      <c r="A227" t="s">
        <v>34</v>
      </c>
      <c r="B227" s="11">
        <v>880</v>
      </c>
      <c r="C227" s="11">
        <v>220</v>
      </c>
      <c r="D227" s="11">
        <f>SUM(CO81:CO84)</f>
        <v>849.52000000000021</v>
      </c>
      <c r="E227" s="11">
        <f t="shared" ref="E227:F227" si="882">SUM(CP81:CP84)</f>
        <v>809.81</v>
      </c>
      <c r="F227" s="11">
        <f t="shared" si="882"/>
        <v>696.77</v>
      </c>
      <c r="G227" s="11">
        <f>MIN(CO81:CO84)</f>
        <v>0</v>
      </c>
      <c r="H227" s="190">
        <f t="shared" ref="H227:I227" si="883">MIN(CP81:CP84)</f>
        <v>0</v>
      </c>
      <c r="I227" s="190">
        <f t="shared" si="883"/>
        <v>0</v>
      </c>
      <c r="J227" s="190">
        <f>MAX(CO81:CO84)</f>
        <v>847</v>
      </c>
      <c r="K227" s="190">
        <f t="shared" ref="K227:L227" si="884">MAX(CP81:CP84)</f>
        <v>809</v>
      </c>
      <c r="L227" s="190">
        <f t="shared" si="884"/>
        <v>691.00000000000011</v>
      </c>
      <c r="M227" s="11">
        <f t="shared" si="835"/>
        <v>847</v>
      </c>
      <c r="N227" s="11">
        <f t="shared" si="826"/>
        <v>809</v>
      </c>
      <c r="O227" s="11">
        <f t="shared" si="826"/>
        <v>691.00000000000011</v>
      </c>
      <c r="P227" s="190">
        <f>MEDIAN(CO81:CO84)</f>
        <v>1.2600000000000848</v>
      </c>
      <c r="Q227" s="190">
        <f t="shared" ref="Q227:R227" si="885">MEDIAN(CP81:CP84)</f>
        <v>0.40499999999995034</v>
      </c>
      <c r="R227" s="190">
        <f t="shared" si="885"/>
        <v>2.88499999999995</v>
      </c>
      <c r="S227" s="190">
        <f>MODE(CO81:CO84)</f>
        <v>0</v>
      </c>
      <c r="T227" s="190">
        <f t="shared" ref="T227" si="886">MODE(CP81:CP84)</f>
        <v>0</v>
      </c>
      <c r="U227" s="190" t="s">
        <v>437</v>
      </c>
      <c r="V227" s="176">
        <f>AVERAGEA(CO81:CO84)</f>
        <v>212.38000000000005</v>
      </c>
      <c r="W227" s="176">
        <f t="shared" ref="W227:X227" si="887">AVERAGEA(CP81:CP84)</f>
        <v>202.45249999999999</v>
      </c>
      <c r="X227" s="176">
        <f t="shared" si="887"/>
        <v>174.1925</v>
      </c>
      <c r="Y227" s="176">
        <f>STDEVPA(CO81:CO84)</f>
        <v>366.39947216119185</v>
      </c>
      <c r="Z227" s="176">
        <f t="shared" ref="Z227:AA227" si="888">STDEVPA(CP81:CP84)</f>
        <v>350.19051853062786</v>
      </c>
      <c r="AA227" s="176">
        <f t="shared" si="888"/>
        <v>298.38425087251181</v>
      </c>
      <c r="AC227" s="11">
        <f>SUM(CO81:CQ84)</f>
        <v>2356.1</v>
      </c>
      <c r="AD227" s="11">
        <f>MIN(CO81:CQ84)</f>
        <v>0</v>
      </c>
      <c r="AE227" s="11">
        <f>MAX(CO81:CQ84)</f>
        <v>847</v>
      </c>
      <c r="AF227" s="11">
        <f t="shared" si="839"/>
        <v>847</v>
      </c>
      <c r="AG227" s="11">
        <f>MEDIAN(CO81:CQ84)</f>
        <v>0.90500000000001224</v>
      </c>
      <c r="AH227" s="11">
        <f>MODE(CO81:CQ84)</f>
        <v>0</v>
      </c>
      <c r="AI227" s="212">
        <f>AVERAGEA(CO81:CQ84)</f>
        <v>196.34166666666667</v>
      </c>
      <c r="AJ227" s="176">
        <f>STDEVA(CO81:CQ84)</f>
        <v>355.06736346356826</v>
      </c>
      <c r="AP227" s="177" t="s">
        <v>412</v>
      </c>
      <c r="AQ227" s="177">
        <v>0</v>
      </c>
      <c r="AR227" s="177" t="s">
        <v>412</v>
      </c>
      <c r="AS227" s="177">
        <v>0</v>
      </c>
      <c r="AT227" s="177" t="s">
        <v>412</v>
      </c>
      <c r="AU227" s="177">
        <v>0</v>
      </c>
      <c r="AV227" s="6"/>
      <c r="AW227" s="177" t="s">
        <v>412</v>
      </c>
      <c r="AX227" s="177">
        <v>0</v>
      </c>
      <c r="BA227" s="11">
        <v>8083.21</v>
      </c>
      <c r="BB227" s="11">
        <v>8999.16</v>
      </c>
      <c r="BC227" s="11">
        <v>10296.74</v>
      </c>
      <c r="BD227" s="123">
        <f t="shared" si="840"/>
        <v>0.10509686127169778</v>
      </c>
      <c r="BE227" s="123">
        <f t="shared" si="841"/>
        <v>8.998728770240777E-2</v>
      </c>
      <c r="BF227" s="123">
        <f t="shared" si="842"/>
        <v>6.7668990379479335E-2</v>
      </c>
      <c r="BG227" s="190">
        <f t="shared" si="586"/>
        <v>9126.3700000000008</v>
      </c>
      <c r="BH227" s="325">
        <f>AVERAGEA(CK81:CM84)</f>
        <v>0.13056128354555066</v>
      </c>
      <c r="BI227" s="215">
        <f>STDEVA(CK81:CM84)</f>
        <v>0.2361990921973012</v>
      </c>
      <c r="CT227">
        <v>0</v>
      </c>
      <c r="CV227" s="156"/>
      <c r="DA227" s="156"/>
    </row>
    <row r="228" spans="1:105">
      <c r="A228" t="s">
        <v>42</v>
      </c>
      <c r="B228" s="11">
        <v>92</v>
      </c>
      <c r="C228" s="11">
        <v>92</v>
      </c>
      <c r="D228" s="11">
        <f>SUM(CO85)</f>
        <v>24.999999999999957</v>
      </c>
      <c r="E228" s="11">
        <f t="shared" ref="E228:F228" si="889">SUM(CP85)</f>
        <v>36.999999999999979</v>
      </c>
      <c r="F228" s="11">
        <f t="shared" si="889"/>
        <v>21.999999999999972</v>
      </c>
      <c r="G228" s="11">
        <f>MIN(CO85)</f>
        <v>24.999999999999957</v>
      </c>
      <c r="H228" s="190">
        <f t="shared" ref="H228:I228" si="890">MIN(CP85)</f>
        <v>36.999999999999979</v>
      </c>
      <c r="I228" s="190">
        <f t="shared" si="890"/>
        <v>21.999999999999972</v>
      </c>
      <c r="J228" s="190">
        <f>MAX(CO85)</f>
        <v>24.999999999999957</v>
      </c>
      <c r="K228" s="190">
        <f t="shared" ref="K228:L228" si="891">MAX(CP85)</f>
        <v>36.999999999999979</v>
      </c>
      <c r="L228" s="190">
        <f t="shared" si="891"/>
        <v>21.999999999999972</v>
      </c>
      <c r="M228" s="11">
        <f t="shared" si="835"/>
        <v>0</v>
      </c>
      <c r="N228" s="11">
        <f t="shared" si="826"/>
        <v>0</v>
      </c>
      <c r="O228" s="11">
        <f t="shared" si="826"/>
        <v>0</v>
      </c>
      <c r="P228" s="190">
        <f>MEDIAN(CO85)</f>
        <v>24.999999999999957</v>
      </c>
      <c r="Q228" s="190">
        <f t="shared" ref="Q228:R228" si="892">MEDIAN(CP85)</f>
        <v>36.999999999999979</v>
      </c>
      <c r="R228" s="190">
        <f t="shared" si="892"/>
        <v>21.999999999999972</v>
      </c>
      <c r="S228" s="190" t="s">
        <v>437</v>
      </c>
      <c r="T228" s="190" t="s">
        <v>437</v>
      </c>
      <c r="U228" s="190" t="s">
        <v>437</v>
      </c>
      <c r="V228" s="176">
        <f>AVERAGEA(CO85)</f>
        <v>24.999999999999957</v>
      </c>
      <c r="W228" s="176">
        <f t="shared" ref="W228:X228" si="893">AVERAGEA(CP85)</f>
        <v>36.999999999999979</v>
      </c>
      <c r="X228" s="176">
        <f t="shared" si="893"/>
        <v>21.999999999999972</v>
      </c>
      <c r="Y228" s="176">
        <f>STDEVPA(CO85)</f>
        <v>0</v>
      </c>
      <c r="Z228" s="176">
        <f t="shared" ref="Z228:AA228" si="894">STDEVPA(CP85)</f>
        <v>0</v>
      </c>
      <c r="AA228" s="176">
        <f t="shared" si="894"/>
        <v>0</v>
      </c>
      <c r="AC228" s="11">
        <f>SUM(CO85:CQ85)</f>
        <v>83.999999999999915</v>
      </c>
      <c r="AD228" s="11">
        <f>MIN(CO85:CQ85)</f>
        <v>21.999999999999972</v>
      </c>
      <c r="AE228" s="11">
        <f>MAX(CO85:CQ85)</f>
        <v>36.999999999999979</v>
      </c>
      <c r="AF228" s="11">
        <f t="shared" si="839"/>
        <v>15.000000000000007</v>
      </c>
      <c r="AG228" s="11">
        <f>MEDIAN(CO85:CQ85)</f>
        <v>24.999999999999957</v>
      </c>
      <c r="AH228" s="11" t="s">
        <v>437</v>
      </c>
      <c r="AI228" s="212">
        <f>AVERAGEA(CO85:CQ85)</f>
        <v>27.999999999999972</v>
      </c>
      <c r="AJ228" s="176">
        <f>STDEVA(CO85:CQ85)</f>
        <v>7.9372539331937721</v>
      </c>
      <c r="AP228" s="177" t="s">
        <v>413</v>
      </c>
      <c r="AQ228" s="177">
        <v>2873</v>
      </c>
      <c r="AR228" s="177" t="s">
        <v>413</v>
      </c>
      <c r="AS228" s="177">
        <v>6566</v>
      </c>
      <c r="AT228" s="177" t="s">
        <v>413</v>
      </c>
      <c r="AU228" s="177">
        <v>2836.0000000000005</v>
      </c>
      <c r="AV228" s="6"/>
      <c r="AW228" s="177" t="s">
        <v>413</v>
      </c>
      <c r="AX228" s="177">
        <v>6566</v>
      </c>
      <c r="BA228" s="11">
        <v>547</v>
      </c>
      <c r="BB228" s="11">
        <v>580</v>
      </c>
      <c r="BC228" s="11">
        <v>742</v>
      </c>
      <c r="BD228" s="123">
        <f t="shared" si="840"/>
        <v>4.5703839122486212E-2</v>
      </c>
      <c r="BE228" s="123">
        <f t="shared" si="841"/>
        <v>6.3793103448275823E-2</v>
      </c>
      <c r="BF228" s="123">
        <f t="shared" si="842"/>
        <v>2.9649595687331498E-2</v>
      </c>
      <c r="BG228" s="190">
        <f t="shared" si="586"/>
        <v>623</v>
      </c>
      <c r="BH228" s="325">
        <f>AVERAGEA(CK85:CM85)</f>
        <v>4.6382179419364511E-2</v>
      </c>
      <c r="BI228" s="215">
        <f>STDEVA(CK85:CM85)</f>
        <v>1.7081858497370622E-2</v>
      </c>
      <c r="CT228" s="11">
        <v>148.77000000000001</v>
      </c>
      <c r="CV228" s="156"/>
      <c r="DA228" s="156"/>
    </row>
    <row r="229" spans="1:105">
      <c r="A229" t="s">
        <v>43</v>
      </c>
      <c r="B229" s="11">
        <v>105</v>
      </c>
      <c r="C229" s="11">
        <v>105</v>
      </c>
      <c r="D229" s="11">
        <f>SUM(CO86)</f>
        <v>117.00000000000003</v>
      </c>
      <c r="E229" s="11">
        <f t="shared" ref="E229:F229" si="895">SUM(CP86)</f>
        <v>59.000000000000078</v>
      </c>
      <c r="F229" s="11">
        <f t="shared" si="895"/>
        <v>112.00000000000006</v>
      </c>
      <c r="G229" s="11">
        <f>MIN(CO86)</f>
        <v>117.00000000000003</v>
      </c>
      <c r="H229" s="190">
        <f t="shared" ref="H229:I229" si="896">MIN(CP86)</f>
        <v>59.000000000000078</v>
      </c>
      <c r="I229" s="190">
        <f t="shared" si="896"/>
        <v>112.00000000000006</v>
      </c>
      <c r="J229" s="190">
        <f>MAX(CO86)</f>
        <v>117.00000000000003</v>
      </c>
      <c r="K229" s="190">
        <f t="shared" ref="K229:L229" si="897">MAX(CP86)</f>
        <v>59.000000000000078</v>
      </c>
      <c r="L229" s="190">
        <f t="shared" si="897"/>
        <v>112.00000000000006</v>
      </c>
      <c r="M229" s="11">
        <f t="shared" si="835"/>
        <v>0</v>
      </c>
      <c r="N229" s="11">
        <f t="shared" si="826"/>
        <v>0</v>
      </c>
      <c r="O229" s="11">
        <f t="shared" si="826"/>
        <v>0</v>
      </c>
      <c r="P229" s="190">
        <f>MEDIAN(CO86)</f>
        <v>117.00000000000003</v>
      </c>
      <c r="Q229" s="190">
        <f t="shared" ref="Q229:R229" si="898">MEDIAN(CP86)</f>
        <v>59.000000000000078</v>
      </c>
      <c r="R229" s="190">
        <f t="shared" si="898"/>
        <v>112.00000000000006</v>
      </c>
      <c r="S229" s="190" t="s">
        <v>437</v>
      </c>
      <c r="T229" s="190" t="s">
        <v>437</v>
      </c>
      <c r="U229" s="190" t="s">
        <v>437</v>
      </c>
      <c r="V229" s="176">
        <f>AVERAGEA(CO86)</f>
        <v>117.00000000000003</v>
      </c>
      <c r="W229" s="176">
        <f t="shared" ref="W229:X229" si="899">AVERAGEA(CP86)</f>
        <v>59.000000000000078</v>
      </c>
      <c r="X229" s="176">
        <f t="shared" si="899"/>
        <v>112.00000000000006</v>
      </c>
      <c r="Y229" s="176">
        <f>STDEVPA(CO86)</f>
        <v>0</v>
      </c>
      <c r="Z229" s="176">
        <f t="shared" ref="Z229:AA229" si="900">STDEVPA(CP86)</f>
        <v>0</v>
      </c>
      <c r="AA229" s="176">
        <f t="shared" si="900"/>
        <v>0</v>
      </c>
      <c r="AC229" s="11">
        <f>SUM(CO86:CQ86)</f>
        <v>288.00000000000017</v>
      </c>
      <c r="AD229" s="11">
        <f>MIN(CO86:CQ86)</f>
        <v>59.000000000000078</v>
      </c>
      <c r="AE229" s="11">
        <f>MAX(CO86:CQ86)</f>
        <v>117.00000000000003</v>
      </c>
      <c r="AF229" s="11">
        <f t="shared" si="839"/>
        <v>57.99999999999995</v>
      </c>
      <c r="AG229" s="11">
        <f>MEDIAN(CO86:CQ86)</f>
        <v>112.00000000000006</v>
      </c>
      <c r="AH229" s="11" t="s">
        <v>437</v>
      </c>
      <c r="AI229" s="212">
        <f>AVERAGEA(CO86:CQ86)</f>
        <v>96.000000000000057</v>
      </c>
      <c r="AJ229" s="176">
        <f>STDEVA(CO86:CQ86)</f>
        <v>32.140317359976365</v>
      </c>
      <c r="AP229" s="177" t="s">
        <v>463</v>
      </c>
      <c r="AQ229" s="177">
        <v>10304.618972090038</v>
      </c>
      <c r="AR229" s="177" t="s">
        <v>463</v>
      </c>
      <c r="AS229" s="177">
        <v>17190.309137220822</v>
      </c>
      <c r="AT229" s="177" t="s">
        <v>463</v>
      </c>
      <c r="AU229" s="177">
        <v>8352.9639565345624</v>
      </c>
      <c r="AV229" s="6"/>
      <c r="AW229" s="177" t="s">
        <v>463</v>
      </c>
      <c r="AX229" s="177">
        <v>35847.892065845423</v>
      </c>
      <c r="BA229" s="11">
        <v>804</v>
      </c>
      <c r="BB229" s="11">
        <v>873</v>
      </c>
      <c r="BC229" s="11">
        <v>1133</v>
      </c>
      <c r="BD229" s="123">
        <f t="shared" si="840"/>
        <v>0.14552238805970152</v>
      </c>
      <c r="BE229" s="123">
        <f t="shared" si="841"/>
        <v>6.7583046964490356E-2</v>
      </c>
      <c r="BF229" s="123">
        <f t="shared" si="842"/>
        <v>9.8852603706972686E-2</v>
      </c>
      <c r="BG229" s="190">
        <f t="shared" ref="BG229:BG231" si="901">AVERAGEA(BA229:BC229)</f>
        <v>936.66666666666663</v>
      </c>
      <c r="BH229" s="325">
        <f>AVERAGEA(CK86:CM86)</f>
        <v>0.10398601291038818</v>
      </c>
      <c r="BI229" s="215">
        <f>STDEVA(CK86:CM86)</f>
        <v>3.9222431593747498E-2</v>
      </c>
      <c r="CT229">
        <v>89</v>
      </c>
      <c r="CV229" s="156"/>
      <c r="DA229" s="156"/>
    </row>
    <row r="230" spans="1:105">
      <c r="A230" t="s">
        <v>44</v>
      </c>
      <c r="B230" s="11">
        <v>1150</v>
      </c>
      <c r="C230" s="11">
        <v>164.28571428571428</v>
      </c>
      <c r="D230" s="11">
        <f>SUM(CO87:CO93)</f>
        <v>701.47499999999968</v>
      </c>
      <c r="E230" s="11">
        <f t="shared" ref="E230:F230" si="902">SUM(CP87:CP93)</f>
        <v>244.78500000000111</v>
      </c>
      <c r="F230" s="11">
        <f t="shared" si="902"/>
        <v>323.95166666666557</v>
      </c>
      <c r="G230" s="11">
        <f>MIN(CO87:CO93)</f>
        <v>0</v>
      </c>
      <c r="H230" s="190">
        <f t="shared" ref="H230:I230" si="903">MIN(CP87:CP93)</f>
        <v>0</v>
      </c>
      <c r="I230" s="190">
        <f t="shared" si="903"/>
        <v>0</v>
      </c>
      <c r="J230" s="190">
        <f>MAX(CO87:CO93)</f>
        <v>614.99999999999966</v>
      </c>
      <c r="K230" s="190">
        <f t="shared" ref="K230:L230" si="904">MAX(CP87:CP93)</f>
        <v>196.00000000000102</v>
      </c>
      <c r="L230" s="190">
        <f t="shared" si="904"/>
        <v>247.99999999999895</v>
      </c>
      <c r="M230" s="11">
        <f t="shared" si="835"/>
        <v>614.99999999999966</v>
      </c>
      <c r="N230" s="11">
        <f t="shared" si="826"/>
        <v>196.00000000000102</v>
      </c>
      <c r="O230" s="11">
        <f t="shared" si="826"/>
        <v>247.99999999999895</v>
      </c>
      <c r="P230" s="190">
        <f>MEDIAN(CO87:CO93)</f>
        <v>12.999999999999998</v>
      </c>
      <c r="Q230" s="190">
        <f t="shared" ref="Q230:R230" si="905">MEDIAN(CP87:CP93)</f>
        <v>0.260000000000013</v>
      </c>
      <c r="R230" s="190">
        <f t="shared" si="905"/>
        <v>7.6916666666666682</v>
      </c>
      <c r="S230" s="190">
        <f>MODE(CO87:CO93)</f>
        <v>0</v>
      </c>
      <c r="T230" s="190">
        <f t="shared" ref="T230:U230" si="906">MODE(CP87:CP93)</f>
        <v>0</v>
      </c>
      <c r="U230" s="190">
        <f t="shared" si="906"/>
        <v>0</v>
      </c>
      <c r="V230" s="176">
        <f>AVERAGEA(CO87:CO93)</f>
        <v>100.21071428571425</v>
      </c>
      <c r="W230" s="176">
        <f t="shared" ref="W230:X230" si="907">AVERAGEA(CP87:CP93)</f>
        <v>34.969285714285874</v>
      </c>
      <c r="X230" s="176">
        <f t="shared" si="907"/>
        <v>46.278809523809365</v>
      </c>
      <c r="Y230" s="176">
        <f>STDEVPA(CO87:CO93)</f>
        <v>211.06260574985401</v>
      </c>
      <c r="Z230" s="176">
        <f t="shared" ref="Z230:AA230" si="908">STDEVPA(CP87:CP93)</f>
        <v>66.653996366554793</v>
      </c>
      <c r="AA230" s="176">
        <f t="shared" si="908"/>
        <v>84.316692009118128</v>
      </c>
      <c r="AC230" s="11">
        <f>SUM(CO87:CQ93)</f>
        <v>1270.2116666666664</v>
      </c>
      <c r="AD230" s="11">
        <f>MIN(CO87:CQ93)</f>
        <v>0</v>
      </c>
      <c r="AE230" s="11">
        <f>MAX(CO87:CQ93)</f>
        <v>614.99999999999966</v>
      </c>
      <c r="AF230" s="11">
        <f t="shared" si="839"/>
        <v>614.99999999999966</v>
      </c>
      <c r="AG230" s="11">
        <f>MEDIAN(CO87:CQ93)</f>
        <v>7.6916666666666682</v>
      </c>
      <c r="AH230" s="11">
        <f>MODE(CO87:CQ93)</f>
        <v>0</v>
      </c>
      <c r="AI230" s="212">
        <f>AVERAGEA(CO87:CQ93)</f>
        <v>60.486269841269824</v>
      </c>
      <c r="AJ230" s="176">
        <f>STDEVA(CO87:CQ93)</f>
        <v>143.12815630765692</v>
      </c>
      <c r="AP230" s="177" t="s">
        <v>464</v>
      </c>
      <c r="AQ230" s="177">
        <v>93</v>
      </c>
      <c r="AR230" s="177" t="s">
        <v>464</v>
      </c>
      <c r="AS230" s="177">
        <v>93</v>
      </c>
      <c r="AT230" s="177" t="s">
        <v>464</v>
      </c>
      <c r="AU230" s="177">
        <v>93</v>
      </c>
      <c r="AV230" s="6"/>
      <c r="AW230" s="177" t="s">
        <v>464</v>
      </c>
      <c r="AX230" s="177">
        <v>279</v>
      </c>
      <c r="BA230" s="11">
        <v>10584.598333333333</v>
      </c>
      <c r="BB230" s="11">
        <v>12332.931666666667</v>
      </c>
      <c r="BC230" s="11">
        <v>12970.705</v>
      </c>
      <c r="BD230" s="123">
        <f t="shared" si="840"/>
        <v>6.6273180890662017E-2</v>
      </c>
      <c r="BE230" s="123">
        <f t="shared" si="841"/>
        <v>1.9848078836081102E-2</v>
      </c>
      <c r="BF230" s="123">
        <f t="shared" si="842"/>
        <v>2.4975640619894261E-2</v>
      </c>
      <c r="BG230" s="190">
        <f t="shared" si="901"/>
        <v>11962.745000000001</v>
      </c>
      <c r="BH230" s="325">
        <f>AVERAGEA(CK87:CM93)</f>
        <v>3.7502206714537065E-2</v>
      </c>
      <c r="BI230" s="215">
        <f>STDEVA(CK87:CM93)</f>
        <v>6.7866711357728871E-2</v>
      </c>
      <c r="CT230">
        <v>0</v>
      </c>
      <c r="CV230" s="156"/>
      <c r="DA230" s="156"/>
    </row>
    <row r="231" spans="1:105">
      <c r="A231" t="s">
        <v>45</v>
      </c>
      <c r="B231" s="11">
        <v>70</v>
      </c>
      <c r="C231" s="11">
        <v>70</v>
      </c>
      <c r="D231" s="11">
        <f>SUM(CO94)</f>
        <v>2.6486486486485732</v>
      </c>
      <c r="E231" s="11">
        <f t="shared" ref="E231:F231" si="909">SUM(CP94)</f>
        <v>0</v>
      </c>
      <c r="F231" s="11">
        <f t="shared" si="909"/>
        <v>89.297297297297362</v>
      </c>
      <c r="G231" s="11">
        <f>MIN(CO94)</f>
        <v>2.6486486486485732</v>
      </c>
      <c r="H231" s="190">
        <f t="shared" ref="H231:I231" si="910">MIN(CP94)</f>
        <v>0</v>
      </c>
      <c r="I231" s="190">
        <f t="shared" si="910"/>
        <v>89.297297297297362</v>
      </c>
      <c r="J231" s="190">
        <f>MAX(CO94)</f>
        <v>2.6486486486485732</v>
      </c>
      <c r="K231" s="190">
        <f t="shared" ref="K231:L231" si="911">MAX(CP94)</f>
        <v>0</v>
      </c>
      <c r="L231" s="190">
        <f t="shared" si="911"/>
        <v>89.297297297297362</v>
      </c>
      <c r="M231" s="11">
        <f t="shared" si="835"/>
        <v>0</v>
      </c>
      <c r="N231" s="11">
        <f t="shared" si="826"/>
        <v>0</v>
      </c>
      <c r="O231" s="11">
        <f t="shared" si="826"/>
        <v>0</v>
      </c>
      <c r="P231" s="190">
        <f>MEDIAN(CO94)</f>
        <v>2.6486486486485732</v>
      </c>
      <c r="Q231" s="190">
        <f t="shared" ref="Q231:R231" si="912">MEDIAN(CP94)</f>
        <v>0</v>
      </c>
      <c r="R231" s="190">
        <f t="shared" si="912"/>
        <v>89.297297297297362</v>
      </c>
      <c r="S231" s="190" t="s">
        <v>437</v>
      </c>
      <c r="T231" s="190" t="s">
        <v>437</v>
      </c>
      <c r="U231" s="190" t="s">
        <v>437</v>
      </c>
      <c r="V231" s="176">
        <f>AVERAGEA(CO94)</f>
        <v>2.6486486486485732</v>
      </c>
      <c r="W231" s="176">
        <f t="shared" ref="W231:X231" si="913">AVERAGEA(CP94)</f>
        <v>0</v>
      </c>
      <c r="X231" s="176">
        <f t="shared" si="913"/>
        <v>89.297297297297362</v>
      </c>
      <c r="Y231" s="176">
        <f>STDEVPA(CO94)</f>
        <v>0</v>
      </c>
      <c r="Z231" s="176">
        <f t="shared" ref="Z231:AA231" si="914">STDEVPA(CP94)</f>
        <v>0</v>
      </c>
      <c r="AA231" s="176">
        <f t="shared" si="914"/>
        <v>0</v>
      </c>
      <c r="AC231" s="11">
        <f>SUM(CO94:CQ94)</f>
        <v>91.945945945945937</v>
      </c>
      <c r="AD231" s="11">
        <f>MIN(CO94:CQ94)</f>
        <v>0</v>
      </c>
      <c r="AE231" s="11">
        <f>MAX(CO94:CQ94)</f>
        <v>89.297297297297362</v>
      </c>
      <c r="AF231" s="11">
        <f t="shared" si="839"/>
        <v>89.297297297297362</v>
      </c>
      <c r="AG231" s="11">
        <f>MEDIAN(CO94:CQ94)</f>
        <v>2.6486486486485732</v>
      </c>
      <c r="AH231" s="11" t="s">
        <v>437</v>
      </c>
      <c r="AI231" s="212">
        <f>AVERAGEA(CO94:CQ94)</f>
        <v>30.648648648648646</v>
      </c>
      <c r="AJ231" s="176">
        <f>STDEVA(CO94:CQ94)</f>
        <v>50.808481832765686</v>
      </c>
      <c r="AP231" s="177" t="s">
        <v>485</v>
      </c>
      <c r="AQ231" s="177">
        <v>2873</v>
      </c>
      <c r="AR231" s="177" t="s">
        <v>485</v>
      </c>
      <c r="AS231" s="177">
        <v>6566</v>
      </c>
      <c r="AT231" s="177" t="s">
        <v>485</v>
      </c>
      <c r="AU231" s="177">
        <v>2836.0000000000005</v>
      </c>
      <c r="AV231" s="6"/>
      <c r="AW231" s="177" t="s">
        <v>485</v>
      </c>
      <c r="AX231" s="177">
        <v>6566</v>
      </c>
      <c r="BA231" s="11">
        <v>738.02702702702697</v>
      </c>
      <c r="BB231" s="11">
        <v>651.18918918918916</v>
      </c>
      <c r="BC231" s="11">
        <v>722.70270270270271</v>
      </c>
      <c r="BD231" s="123">
        <f t="shared" si="840"/>
        <v>3.5888233786207646E-3</v>
      </c>
      <c r="BE231" s="123">
        <f t="shared" si="841"/>
        <v>0</v>
      </c>
      <c r="BF231" s="123">
        <f t="shared" si="842"/>
        <v>0.12356020942408386</v>
      </c>
      <c r="BG231" s="190">
        <f t="shared" si="901"/>
        <v>703.97297297297303</v>
      </c>
      <c r="BH231" s="325">
        <f>AVERAGEA(CK94:CM94)</f>
        <v>4.2383010934234876E-2</v>
      </c>
      <c r="BI231" s="215">
        <f>STDEVA(CK94:CM94)</f>
        <v>7.0324413110284742E-2</v>
      </c>
      <c r="CT231">
        <v>76</v>
      </c>
      <c r="CV231" s="156"/>
      <c r="DA231" s="156"/>
    </row>
    <row r="232" spans="1:105" ht="17" thickBot="1">
      <c r="C232" s="11"/>
      <c r="D232" s="11">
        <f>SUM(D219:D231)</f>
        <v>10304.618972090038</v>
      </c>
      <c r="E232" s="11">
        <f t="shared" ref="E232:F232" si="915">SUM(E219:E231)</f>
        <v>17042.309137220822</v>
      </c>
      <c r="F232" s="11">
        <f t="shared" si="915"/>
        <v>8265.9639565345624</v>
      </c>
      <c r="AC232" s="11">
        <f>SUM(AC219:AC231)</f>
        <v>35612.89206584543</v>
      </c>
      <c r="AD232" s="11"/>
      <c r="AE232" s="11"/>
      <c r="AF232" s="11"/>
      <c r="AG232" s="11"/>
      <c r="AH232" s="11"/>
      <c r="AP232" s="177" t="s">
        <v>486</v>
      </c>
      <c r="AQ232" s="177">
        <v>0</v>
      </c>
      <c r="AR232" s="177" t="s">
        <v>486</v>
      </c>
      <c r="AS232" s="177">
        <v>0</v>
      </c>
      <c r="AT232" s="177" t="s">
        <v>486</v>
      </c>
      <c r="AU232" s="177">
        <v>0</v>
      </c>
      <c r="AV232" s="6"/>
      <c r="AW232" s="177" t="s">
        <v>486</v>
      </c>
      <c r="AX232" s="177">
        <v>0</v>
      </c>
      <c r="AZ232" t="s">
        <v>376</v>
      </c>
      <c r="BA232" s="11">
        <v>104258.65875676264</v>
      </c>
      <c r="BB232" s="11">
        <v>124174.35366917629</v>
      </c>
      <c r="BC232" s="11">
        <v>135852.92946322585</v>
      </c>
      <c r="BD232" s="123">
        <f t="shared" si="840"/>
        <v>9.883705674874356E-2</v>
      </c>
      <c r="BE232" s="123">
        <f t="shared" si="841"/>
        <v>0.13724499974145002</v>
      </c>
      <c r="BF232" s="123">
        <f t="shared" si="842"/>
        <v>6.0844944523423643E-2</v>
      </c>
      <c r="BH232" s="326">
        <f>AVERAGEA(CK2:CM94)</f>
        <v>7.6124693288914122E-2</v>
      </c>
      <c r="BI232" s="323">
        <f>STDEVA(CK2:CM94)</f>
        <v>0.15033474127229227</v>
      </c>
      <c r="CT232">
        <v>106</v>
      </c>
      <c r="CV232" s="156"/>
      <c r="DA232" s="156"/>
    </row>
    <row r="233" spans="1:105" ht="17" thickBot="1">
      <c r="AP233" s="193" t="s">
        <v>467</v>
      </c>
      <c r="AQ233" s="193">
        <v>83.150592035387561</v>
      </c>
      <c r="AR233" s="193" t="s">
        <v>467</v>
      </c>
      <c r="AS233" s="193">
        <v>158.90545995842311</v>
      </c>
      <c r="AT233" s="193" t="s">
        <v>467</v>
      </c>
      <c r="AU233" s="193">
        <v>67.335931991552002</v>
      </c>
      <c r="AV233" s="6"/>
      <c r="AW233" s="193" t="s">
        <v>467</v>
      </c>
      <c r="AX233" s="193">
        <v>63.247606516827197</v>
      </c>
      <c r="CT233">
        <v>27</v>
      </c>
      <c r="CV233" s="156"/>
      <c r="DA233" s="156"/>
    </row>
    <row r="234" spans="1:105">
      <c r="CT234">
        <v>33</v>
      </c>
      <c r="CV234" s="156"/>
      <c r="DA234" s="156"/>
    </row>
    <row r="235" spans="1:105">
      <c r="B235" t="s">
        <v>503</v>
      </c>
      <c r="CT235">
        <v>77</v>
      </c>
      <c r="CV235" s="156"/>
      <c r="DA235" s="156"/>
    </row>
    <row r="236" spans="1:105">
      <c r="B236">
        <v>2015</v>
      </c>
      <c r="C236">
        <v>2016</v>
      </c>
      <c r="D236">
        <v>2017</v>
      </c>
      <c r="E236" t="s">
        <v>527</v>
      </c>
      <c r="F236" t="s">
        <v>528</v>
      </c>
      <c r="G236" t="s">
        <v>529</v>
      </c>
      <c r="H236" s="83" t="s">
        <v>530</v>
      </c>
      <c r="I236" s="83" t="s">
        <v>375</v>
      </c>
      <c r="J236" s="83" t="s">
        <v>441</v>
      </c>
      <c r="K236" t="s">
        <v>531</v>
      </c>
      <c r="N236" s="83" t="s">
        <v>545</v>
      </c>
      <c r="O236" s="83">
        <v>2015</v>
      </c>
      <c r="P236" s="83">
        <v>2016</v>
      </c>
      <c r="Q236" s="83">
        <v>2017</v>
      </c>
      <c r="R236" s="83" t="s">
        <v>527</v>
      </c>
      <c r="S236" s="83" t="s">
        <v>528</v>
      </c>
      <c r="T236" s="83" t="s">
        <v>529</v>
      </c>
      <c r="U236" s="83" t="s">
        <v>530</v>
      </c>
      <c r="V236" s="83" t="s">
        <v>375</v>
      </c>
      <c r="W236" s="83" t="s">
        <v>441</v>
      </c>
      <c r="X236" s="83" t="s">
        <v>531</v>
      </c>
      <c r="CT236">
        <v>48</v>
      </c>
      <c r="CV236" s="156"/>
      <c r="DA236" s="156"/>
    </row>
    <row r="237" spans="1:105">
      <c r="A237" t="s">
        <v>31</v>
      </c>
      <c r="B237">
        <f>SUM(CZ2:CZ14)</f>
        <v>8</v>
      </c>
      <c r="C237">
        <f>SUM(DA2:DA14)</f>
        <v>12</v>
      </c>
      <c r="D237">
        <f>SUM(DB2:DB14)</f>
        <v>13</v>
      </c>
      <c r="E237" s="19">
        <f>B237/$H$237</f>
        <v>0.61538461538461542</v>
      </c>
      <c r="F237" s="19">
        <f t="shared" ref="F237:G237" si="916">C237/$H$237</f>
        <v>0.92307692307692313</v>
      </c>
      <c r="G237" s="19">
        <f t="shared" si="916"/>
        <v>1</v>
      </c>
      <c r="H237" s="83">
        <v>13</v>
      </c>
      <c r="I237" s="190">
        <f>AVERAGEA(B237:D237)</f>
        <v>11</v>
      </c>
      <c r="J237" s="176">
        <f>STDEVA(B237:D237)</f>
        <v>2.6457513110645907</v>
      </c>
      <c r="K237" s="19">
        <f>I237/H237</f>
        <v>0.84615384615384615</v>
      </c>
      <c r="L237" s="19"/>
      <c r="N237" s="83" t="s">
        <v>487</v>
      </c>
      <c r="O237" s="83">
        <v>70</v>
      </c>
      <c r="P237" s="83">
        <v>81</v>
      </c>
      <c r="Q237" s="83">
        <v>85</v>
      </c>
      <c r="R237" s="188">
        <v>0.75268817204301075</v>
      </c>
      <c r="S237" s="188">
        <v>0.87096774193548387</v>
      </c>
      <c r="T237" s="188">
        <v>0.91397849462365588</v>
      </c>
      <c r="U237" s="83">
        <v>93</v>
      </c>
      <c r="V237" s="190">
        <v>78.666666666666671</v>
      </c>
      <c r="W237" s="176">
        <v>7.7674534651540297</v>
      </c>
      <c r="X237" s="188">
        <v>0.84587813620071695</v>
      </c>
      <c r="CT237">
        <v>13</v>
      </c>
      <c r="CV237" s="156"/>
      <c r="DA237" s="156"/>
    </row>
    <row r="238" spans="1:105">
      <c r="A238" t="s">
        <v>36</v>
      </c>
      <c r="B238">
        <f>SUM(CZ15:CZ16)</f>
        <v>1</v>
      </c>
      <c r="C238">
        <f>SUM(DA15:DA16)</f>
        <v>2</v>
      </c>
      <c r="D238">
        <f>SUM(DB15:DB16)</f>
        <v>2</v>
      </c>
      <c r="E238" s="19">
        <f>B238/$H$238</f>
        <v>0.5</v>
      </c>
      <c r="F238" s="19">
        <f t="shared" ref="F238:G238" si="917">C238/$H$238</f>
        <v>1</v>
      </c>
      <c r="G238" s="19">
        <f t="shared" si="917"/>
        <v>1</v>
      </c>
      <c r="H238" s="83">
        <v>2</v>
      </c>
      <c r="I238" s="190">
        <f t="shared" ref="I238:I250" si="918">AVERAGEA(B238:D238)</f>
        <v>1.6666666666666667</v>
      </c>
      <c r="J238" s="176">
        <f t="shared" ref="J238:J250" si="919">STDEVA(B238:D238)</f>
        <v>0.57735026918962551</v>
      </c>
      <c r="K238" s="19">
        <f t="shared" ref="K238:K250" si="920">I238/H238</f>
        <v>0.83333333333333337</v>
      </c>
      <c r="N238" s="83" t="s">
        <v>544</v>
      </c>
      <c r="O238" s="83">
        <v>23</v>
      </c>
      <c r="P238" s="83">
        <v>21</v>
      </c>
      <c r="Q238" s="83">
        <v>20</v>
      </c>
      <c r="R238" s="214">
        <v>0.24731182795698925</v>
      </c>
      <c r="S238" s="214">
        <v>0.22580645161290322</v>
      </c>
      <c r="T238" s="214">
        <v>0.21505376344086022</v>
      </c>
      <c r="U238" s="83">
        <v>93</v>
      </c>
      <c r="V238" s="190">
        <v>21.333333333333332</v>
      </c>
      <c r="W238" s="176">
        <v>1.5275252316519465</v>
      </c>
      <c r="X238" s="214">
        <v>0.22939068100358423</v>
      </c>
      <c r="CT238" s="11">
        <v>88.444444444444457</v>
      </c>
      <c r="CV238" s="328"/>
      <c r="DA238" s="156"/>
    </row>
    <row r="239" spans="1:105">
      <c r="A239" t="s">
        <v>46</v>
      </c>
      <c r="B239">
        <f>SUM(CZ17)</f>
        <v>0</v>
      </c>
      <c r="C239">
        <f>SUM(DA17)</f>
        <v>0</v>
      </c>
      <c r="D239">
        <f>SUM(DB17)</f>
        <v>0</v>
      </c>
      <c r="E239" s="19">
        <f>B239/$H$239</f>
        <v>0</v>
      </c>
      <c r="F239" s="19">
        <f t="shared" ref="F239:G239" si="921">C239/$H$239</f>
        <v>0</v>
      </c>
      <c r="G239" s="19">
        <f t="shared" si="921"/>
        <v>0</v>
      </c>
      <c r="H239" s="83">
        <v>1</v>
      </c>
      <c r="I239" s="190">
        <f t="shared" si="918"/>
        <v>0</v>
      </c>
      <c r="J239" s="176">
        <f t="shared" si="919"/>
        <v>0</v>
      </c>
      <c r="K239" s="19">
        <f t="shared" si="920"/>
        <v>0</v>
      </c>
      <c r="N239" s="83" t="s">
        <v>490</v>
      </c>
      <c r="O239" s="83">
        <v>73</v>
      </c>
      <c r="P239" s="83">
        <v>73</v>
      </c>
      <c r="Q239" s="83">
        <v>74</v>
      </c>
      <c r="R239" s="214">
        <v>0.78494623655913975</v>
      </c>
      <c r="S239" s="214">
        <v>0.78494623655913975</v>
      </c>
      <c r="T239" s="214">
        <v>0.79569892473118276</v>
      </c>
      <c r="U239" s="83">
        <v>93</v>
      </c>
      <c r="V239" s="190">
        <v>73.333333333333329</v>
      </c>
      <c r="W239" s="176">
        <v>0.57735026918962573</v>
      </c>
      <c r="X239" s="214">
        <v>0.78853046594982079</v>
      </c>
      <c r="CT239">
        <v>6</v>
      </c>
      <c r="CV239" s="156"/>
      <c r="DA239" s="156"/>
    </row>
    <row r="240" spans="1:105">
      <c r="A240" t="s">
        <v>37</v>
      </c>
      <c r="B240">
        <f>SUM(CZ18:CZ27)</f>
        <v>8</v>
      </c>
      <c r="C240">
        <f>SUM(DA18:DA27)</f>
        <v>8</v>
      </c>
      <c r="D240">
        <f>SUM(DB18:DB27)</f>
        <v>9</v>
      </c>
      <c r="E240" s="19">
        <f>B240/$H$240</f>
        <v>0.8</v>
      </c>
      <c r="F240" s="19">
        <f t="shared" ref="F240:G240" si="922">C240/$H$240</f>
        <v>0.8</v>
      </c>
      <c r="G240" s="19">
        <f t="shared" si="922"/>
        <v>0.9</v>
      </c>
      <c r="H240" s="83">
        <v>10</v>
      </c>
      <c r="I240" s="190">
        <f t="shared" si="918"/>
        <v>8.3333333333333339</v>
      </c>
      <c r="J240" s="176">
        <f t="shared" si="919"/>
        <v>0.57735026918962573</v>
      </c>
      <c r="K240" s="19">
        <f t="shared" si="920"/>
        <v>0.83333333333333337</v>
      </c>
      <c r="N240" s="83" t="s">
        <v>540</v>
      </c>
      <c r="O240" s="83">
        <v>82</v>
      </c>
      <c r="P240" s="83">
        <v>87</v>
      </c>
      <c r="Q240" s="83">
        <v>86</v>
      </c>
      <c r="R240" s="214">
        <v>0.88172043010752688</v>
      </c>
      <c r="S240" s="214">
        <v>0.93548387096774188</v>
      </c>
      <c r="T240" s="214">
        <v>0.92473118279569888</v>
      </c>
      <c r="U240" s="83">
        <v>93</v>
      </c>
      <c r="V240" s="190">
        <v>85</v>
      </c>
      <c r="W240" s="176">
        <v>2.6457513110645907</v>
      </c>
      <c r="X240" s="214">
        <v>0.91397849462365588</v>
      </c>
      <c r="CT240">
        <v>393</v>
      </c>
      <c r="CV240" s="156"/>
      <c r="DA240" s="156"/>
    </row>
    <row r="241" spans="1:105">
      <c r="A241" t="s">
        <v>38</v>
      </c>
      <c r="B241">
        <f>SUM(CZ28:CZ74)</f>
        <v>37</v>
      </c>
      <c r="C241">
        <f>SUM(DA28:DA74)</f>
        <v>41</v>
      </c>
      <c r="D241">
        <f>SUM(DB28:DB74)</f>
        <v>43</v>
      </c>
      <c r="E241" s="19">
        <f>B241/$H$241</f>
        <v>0.78723404255319152</v>
      </c>
      <c r="F241" s="19">
        <f t="shared" ref="F241:G241" si="923">C241/$H$241</f>
        <v>0.87234042553191493</v>
      </c>
      <c r="G241" s="19">
        <f t="shared" si="923"/>
        <v>0.91489361702127658</v>
      </c>
      <c r="H241" s="83">
        <v>47</v>
      </c>
      <c r="I241" s="190">
        <f t="shared" si="918"/>
        <v>40.333333333333336</v>
      </c>
      <c r="J241" s="176">
        <f t="shared" si="919"/>
        <v>3.0550504633038931</v>
      </c>
      <c r="K241" s="19">
        <f t="shared" si="920"/>
        <v>0.85815602836879434</v>
      </c>
      <c r="N241" s="83" t="s">
        <v>541</v>
      </c>
      <c r="O241" s="83">
        <v>66</v>
      </c>
      <c r="P241" s="83">
        <v>65</v>
      </c>
      <c r="Q241" s="83">
        <v>68</v>
      </c>
      <c r="R241" s="214">
        <v>0.70967741935483875</v>
      </c>
      <c r="S241" s="214">
        <v>0.69892473118279574</v>
      </c>
      <c r="T241" s="214">
        <v>0.73118279569892475</v>
      </c>
      <c r="U241" s="83">
        <v>93</v>
      </c>
      <c r="V241" s="190">
        <v>66.333333333333329</v>
      </c>
      <c r="W241" s="176">
        <v>1.5275252316519468</v>
      </c>
      <c r="X241" s="214">
        <v>0.71326164874551967</v>
      </c>
      <c r="CT241">
        <v>50</v>
      </c>
      <c r="CV241" s="156"/>
      <c r="DA241" s="156"/>
    </row>
    <row r="242" spans="1:105">
      <c r="A242" t="s">
        <v>39</v>
      </c>
      <c r="B242">
        <f t="shared" ref="B242:D243" si="924">SUM(CZ75)</f>
        <v>1</v>
      </c>
      <c r="C242">
        <f t="shared" si="924"/>
        <v>1</v>
      </c>
      <c r="D242">
        <f t="shared" si="924"/>
        <v>1</v>
      </c>
      <c r="E242" s="19">
        <f>B242/$H$242</f>
        <v>1</v>
      </c>
      <c r="F242" s="19">
        <f t="shared" ref="F242:G242" si="925">C242/$H$242</f>
        <v>1</v>
      </c>
      <c r="G242" s="19">
        <f t="shared" si="925"/>
        <v>1</v>
      </c>
      <c r="H242" s="83">
        <v>1</v>
      </c>
      <c r="I242" s="190">
        <f t="shared" si="918"/>
        <v>1</v>
      </c>
      <c r="J242" s="176">
        <f t="shared" si="919"/>
        <v>0</v>
      </c>
      <c r="K242" s="19">
        <f t="shared" si="920"/>
        <v>1</v>
      </c>
      <c r="N242" s="83" t="s">
        <v>542</v>
      </c>
      <c r="O242" s="83">
        <v>58</v>
      </c>
      <c r="P242" s="83">
        <v>63</v>
      </c>
      <c r="Q242" s="83">
        <v>58</v>
      </c>
      <c r="R242" s="214">
        <v>0.62365591397849462</v>
      </c>
      <c r="S242" s="214">
        <v>0.67741935483870963</v>
      </c>
      <c r="T242" s="214">
        <v>0.62365591397849462</v>
      </c>
      <c r="U242" s="83">
        <v>93</v>
      </c>
      <c r="V242" s="190">
        <v>59.666666666666664</v>
      </c>
      <c r="W242" s="176">
        <v>2.8867513459481287</v>
      </c>
      <c r="X242" s="214">
        <v>0.64157706093189959</v>
      </c>
      <c r="CT242">
        <v>207</v>
      </c>
      <c r="CV242" s="156"/>
      <c r="DA242" s="156"/>
    </row>
    <row r="243" spans="1:105">
      <c r="A243" t="s">
        <v>40</v>
      </c>
      <c r="B243">
        <f t="shared" si="924"/>
        <v>0</v>
      </c>
      <c r="C243">
        <f t="shared" si="924"/>
        <v>0</v>
      </c>
      <c r="D243">
        <f t="shared" si="924"/>
        <v>0</v>
      </c>
      <c r="E243" s="19">
        <f>B243/$H$243</f>
        <v>0</v>
      </c>
      <c r="F243" s="19">
        <f t="shared" ref="F243:G243" si="926">C243/$H$243</f>
        <v>0</v>
      </c>
      <c r="G243" s="19">
        <f t="shared" si="926"/>
        <v>0</v>
      </c>
      <c r="H243" s="83">
        <v>1</v>
      </c>
      <c r="I243" s="190">
        <f t="shared" si="918"/>
        <v>0</v>
      </c>
      <c r="J243" s="176">
        <f t="shared" si="919"/>
        <v>0</v>
      </c>
      <c r="K243" s="19">
        <f t="shared" si="920"/>
        <v>0</v>
      </c>
      <c r="N243" s="83" t="s">
        <v>543</v>
      </c>
      <c r="O243" s="83">
        <v>54</v>
      </c>
      <c r="P243" s="83">
        <v>53</v>
      </c>
      <c r="Q243" s="83">
        <v>53</v>
      </c>
      <c r="R243" s="214">
        <v>0.58064516129032262</v>
      </c>
      <c r="S243" s="214">
        <v>0.56989247311827962</v>
      </c>
      <c r="T243" s="214">
        <v>0.56989247311827962</v>
      </c>
      <c r="U243" s="83">
        <v>93</v>
      </c>
      <c r="V243" s="190">
        <v>53.333333333333336</v>
      </c>
      <c r="W243" s="176">
        <v>0.57735026918962584</v>
      </c>
      <c r="X243" s="214">
        <v>0.57347670250896055</v>
      </c>
      <c r="CT243">
        <v>41</v>
      </c>
      <c r="CV243" s="156"/>
      <c r="DA243" s="156"/>
    </row>
    <row r="244" spans="1:105">
      <c r="A244" t="s">
        <v>41</v>
      </c>
      <c r="B244">
        <f>SUM(CZ77:CZ80)</f>
        <v>4</v>
      </c>
      <c r="C244">
        <f>SUM(DA77:DA80)</f>
        <v>4</v>
      </c>
      <c r="D244">
        <f>SUM(DB77:DB80)</f>
        <v>4</v>
      </c>
      <c r="E244" s="19">
        <f>B244/$H$244</f>
        <v>1</v>
      </c>
      <c r="F244" s="19">
        <f t="shared" ref="F244:G244" si="927">C244/$H$244</f>
        <v>1</v>
      </c>
      <c r="G244" s="19">
        <f t="shared" si="927"/>
        <v>1</v>
      </c>
      <c r="H244" s="83">
        <v>4</v>
      </c>
      <c r="I244" s="190">
        <f t="shared" si="918"/>
        <v>4</v>
      </c>
      <c r="J244" s="176">
        <f t="shared" si="919"/>
        <v>0</v>
      </c>
      <c r="K244" s="19">
        <f t="shared" si="920"/>
        <v>1</v>
      </c>
      <c r="CT244">
        <v>0</v>
      </c>
      <c r="CV244" s="156"/>
      <c r="DA244" s="156"/>
    </row>
    <row r="245" spans="1:105">
      <c r="A245" t="s">
        <v>34</v>
      </c>
      <c r="B245">
        <f>SUM(CZ81:CZ84)</f>
        <v>4</v>
      </c>
      <c r="C245">
        <f>SUM(DA81:DA84)</f>
        <v>4</v>
      </c>
      <c r="D245">
        <f>SUM(DB81:DB84)</f>
        <v>4</v>
      </c>
      <c r="E245" s="19">
        <f>B245/$H$245</f>
        <v>1</v>
      </c>
      <c r="F245" s="19">
        <f t="shared" ref="F245:G245" si="928">C245/$H$245</f>
        <v>1</v>
      </c>
      <c r="G245" s="19">
        <f t="shared" si="928"/>
        <v>1</v>
      </c>
      <c r="H245" s="83">
        <v>4</v>
      </c>
      <c r="I245" s="190">
        <f t="shared" si="918"/>
        <v>4</v>
      </c>
      <c r="J245" s="176">
        <f t="shared" si="919"/>
        <v>0</v>
      </c>
      <c r="K245" s="19">
        <f t="shared" si="920"/>
        <v>1</v>
      </c>
      <c r="CT245">
        <v>25</v>
      </c>
      <c r="CV245" s="156"/>
      <c r="DA245" s="156"/>
    </row>
    <row r="246" spans="1:105">
      <c r="A246" t="s">
        <v>42</v>
      </c>
      <c r="B246">
        <f t="shared" ref="B246:D247" si="929">SUM(CZ85)</f>
        <v>1</v>
      </c>
      <c r="C246">
        <f t="shared" si="929"/>
        <v>1</v>
      </c>
      <c r="D246">
        <f t="shared" si="929"/>
        <v>1</v>
      </c>
      <c r="E246" s="19">
        <f>B246/$H$246</f>
        <v>1</v>
      </c>
      <c r="F246" s="19">
        <f t="shared" ref="F246:G246" si="930">C246/$H$246</f>
        <v>1</v>
      </c>
      <c r="G246" s="19">
        <f t="shared" si="930"/>
        <v>1</v>
      </c>
      <c r="H246" s="83">
        <v>1</v>
      </c>
      <c r="I246" s="190">
        <f t="shared" si="918"/>
        <v>1</v>
      </c>
      <c r="J246" s="176">
        <f t="shared" si="919"/>
        <v>0</v>
      </c>
      <c r="K246" s="19">
        <f t="shared" si="920"/>
        <v>1</v>
      </c>
      <c r="CT246">
        <v>112</v>
      </c>
      <c r="CV246" s="156"/>
      <c r="DA246" s="156"/>
    </row>
    <row r="247" spans="1:105">
      <c r="A247" t="s">
        <v>43</v>
      </c>
      <c r="B247">
        <f t="shared" si="929"/>
        <v>1</v>
      </c>
      <c r="C247">
        <f t="shared" si="929"/>
        <v>1</v>
      </c>
      <c r="D247">
        <f t="shared" si="929"/>
        <v>1</v>
      </c>
      <c r="E247" s="19">
        <f>B247/$H$247</f>
        <v>1</v>
      </c>
      <c r="F247" s="19">
        <f t="shared" ref="F247:G247" si="931">C247/$H$247</f>
        <v>1</v>
      </c>
      <c r="G247" s="19">
        <f t="shared" si="931"/>
        <v>1</v>
      </c>
      <c r="H247" s="83">
        <v>1</v>
      </c>
      <c r="I247" s="190">
        <f t="shared" si="918"/>
        <v>1</v>
      </c>
      <c r="J247" s="176">
        <f t="shared" si="919"/>
        <v>0</v>
      </c>
      <c r="K247" s="19">
        <f t="shared" si="920"/>
        <v>1</v>
      </c>
      <c r="CT247">
        <v>63</v>
      </c>
      <c r="CV247" s="156"/>
      <c r="DA247" s="156"/>
    </row>
    <row r="248" spans="1:105">
      <c r="A248" t="s">
        <v>44</v>
      </c>
      <c r="B248">
        <f>SUM(CZ87:CZ93)</f>
        <v>4</v>
      </c>
      <c r="C248">
        <f>SUM(DA87:DA93)</f>
        <v>6</v>
      </c>
      <c r="D248">
        <f>SUM(DB87:DB93)</f>
        <v>6</v>
      </c>
      <c r="E248" s="19">
        <f>B248/$H$248</f>
        <v>0.5714285714285714</v>
      </c>
      <c r="F248" s="19">
        <f t="shared" ref="F248:G248" si="932">C248/$H$248</f>
        <v>0.8571428571428571</v>
      </c>
      <c r="G248" s="19">
        <f t="shared" si="932"/>
        <v>0.8571428571428571</v>
      </c>
      <c r="H248" s="83">
        <v>7</v>
      </c>
      <c r="I248" s="190">
        <f t="shared" si="918"/>
        <v>5.333333333333333</v>
      </c>
      <c r="J248" s="176">
        <f t="shared" si="919"/>
        <v>1.1547005383792526</v>
      </c>
      <c r="K248" s="19">
        <f t="shared" si="920"/>
        <v>0.76190476190476186</v>
      </c>
      <c r="CT248">
        <v>42</v>
      </c>
      <c r="CV248" s="156"/>
      <c r="DA248" s="156"/>
    </row>
    <row r="249" spans="1:105">
      <c r="A249" t="s">
        <v>45</v>
      </c>
      <c r="B249">
        <f>SUM(CZ94)</f>
        <v>1</v>
      </c>
      <c r="C249">
        <f>SUM(DA94)</f>
        <v>1</v>
      </c>
      <c r="D249">
        <f>SUM(DB94)</f>
        <v>1</v>
      </c>
      <c r="E249" s="19">
        <f>B249/$H$249</f>
        <v>1</v>
      </c>
      <c r="F249" s="19">
        <f t="shared" ref="F249:G249" si="933">C249/$H$249</f>
        <v>1</v>
      </c>
      <c r="G249" s="19">
        <f t="shared" si="933"/>
        <v>1</v>
      </c>
      <c r="H249" s="83">
        <v>1</v>
      </c>
      <c r="I249" s="190">
        <f t="shared" si="918"/>
        <v>1</v>
      </c>
      <c r="J249" s="176">
        <f t="shared" si="919"/>
        <v>0</v>
      </c>
      <c r="K249" s="19">
        <f t="shared" si="920"/>
        <v>1</v>
      </c>
      <c r="CT249">
        <v>23</v>
      </c>
      <c r="CV249" s="156"/>
      <c r="DA249" s="156"/>
    </row>
    <row r="250" spans="1:105">
      <c r="A250" t="s">
        <v>376</v>
      </c>
      <c r="B250">
        <f>SUM(B237:B249)</f>
        <v>70</v>
      </c>
      <c r="C250">
        <f t="shared" ref="C250:D250" si="934">SUM(C237:C249)</f>
        <v>81</v>
      </c>
      <c r="D250">
        <f t="shared" si="934"/>
        <v>85</v>
      </c>
      <c r="E250" s="19">
        <f>B250/$H$250</f>
        <v>0.75268817204301075</v>
      </c>
      <c r="F250" s="19">
        <f t="shared" ref="F250:G250" si="935">C250/$H$250</f>
        <v>0.87096774193548387</v>
      </c>
      <c r="G250" s="19">
        <f t="shared" si="935"/>
        <v>0.91397849462365588</v>
      </c>
      <c r="H250" s="83">
        <f>SUM(H237:H249)</f>
        <v>93</v>
      </c>
      <c r="I250" s="190">
        <f t="shared" si="918"/>
        <v>78.666666666666671</v>
      </c>
      <c r="J250" s="176">
        <f t="shared" si="919"/>
        <v>7.7674534651540297</v>
      </c>
      <c r="K250" s="19">
        <f t="shared" si="920"/>
        <v>0.84587813620071695</v>
      </c>
      <c r="CT250">
        <v>11</v>
      </c>
      <c r="CV250" s="156"/>
      <c r="DA250" s="156"/>
    </row>
    <row r="251" spans="1:105">
      <c r="Q251" s="83">
        <f>13723-3094</f>
        <v>10629</v>
      </c>
      <c r="R251" s="83">
        <f>10629/(93*3)</f>
        <v>38.096774193548384</v>
      </c>
      <c r="CT251">
        <v>7</v>
      </c>
      <c r="CV251" s="156"/>
      <c r="DA251" s="156"/>
    </row>
    <row r="252" spans="1:105">
      <c r="B252" t="s">
        <v>489</v>
      </c>
      <c r="CT252">
        <v>0</v>
      </c>
      <c r="CV252" s="156"/>
      <c r="DA252" s="156"/>
    </row>
    <row r="253" spans="1:105" ht="17" thickBot="1">
      <c r="B253">
        <v>2015</v>
      </c>
      <c r="C253">
        <v>2016</v>
      </c>
      <c r="D253">
        <v>2017</v>
      </c>
      <c r="E253" t="s">
        <v>527</v>
      </c>
      <c r="F253" t="s">
        <v>528</v>
      </c>
      <c r="G253" t="s">
        <v>529</v>
      </c>
      <c r="H253" s="83" t="s">
        <v>530</v>
      </c>
      <c r="I253" s="83" t="s">
        <v>375</v>
      </c>
      <c r="J253" s="83" t="s">
        <v>441</v>
      </c>
      <c r="K253" t="s">
        <v>531</v>
      </c>
      <c r="CT253">
        <v>10</v>
      </c>
      <c r="CV253" s="156"/>
      <c r="DA253" s="156"/>
    </row>
    <row r="254" spans="1:105" ht="17" thickBot="1">
      <c r="A254" t="s">
        <v>31</v>
      </c>
      <c r="B254">
        <f>SUM(DC2:DC14)</f>
        <v>4</v>
      </c>
      <c r="C254">
        <f t="shared" ref="C254:D254" si="936">SUM(DD2:DD14)</f>
        <v>3</v>
      </c>
      <c r="D254">
        <f t="shared" si="936"/>
        <v>4</v>
      </c>
      <c r="E254" s="19">
        <f>B254/$H$254</f>
        <v>0.30769230769230771</v>
      </c>
      <c r="F254" s="19">
        <f t="shared" ref="F254:G254" si="937">C254/$H$254</f>
        <v>0.23076923076923078</v>
      </c>
      <c r="G254" s="19">
        <f t="shared" si="937"/>
        <v>0.30769230769230771</v>
      </c>
      <c r="H254" s="83">
        <v>13</v>
      </c>
      <c r="I254" s="190">
        <f>AVERAGEA(B254:D254)</f>
        <v>3.6666666666666665</v>
      </c>
      <c r="J254" s="176">
        <f>STDEVA(B254:D254)</f>
        <v>0.57735026918962473</v>
      </c>
      <c r="K254" s="19">
        <f>I254/H254</f>
        <v>0.28205128205128205</v>
      </c>
      <c r="BC254" s="26"/>
      <c r="BD254" s="26"/>
      <c r="BE254" s="26"/>
      <c r="BG254" s="19"/>
      <c r="BH254" s="19"/>
      <c r="BI254" s="19"/>
      <c r="BJ254" s="19"/>
      <c r="CT254">
        <v>20</v>
      </c>
      <c r="CV254" s="156"/>
      <c r="DA254" s="156"/>
    </row>
    <row r="255" spans="1:105" ht="17" thickBot="1">
      <c r="A255" t="s">
        <v>36</v>
      </c>
      <c r="B255">
        <f>SUM(DC15:DC16)</f>
        <v>0</v>
      </c>
      <c r="C255">
        <f t="shared" ref="C255:D255" si="938">SUM(DD15:DD16)</f>
        <v>1</v>
      </c>
      <c r="D255">
        <f t="shared" si="938"/>
        <v>1</v>
      </c>
      <c r="E255" s="19">
        <f>B255/$H$255</f>
        <v>0</v>
      </c>
      <c r="F255" s="19">
        <f t="shared" ref="F255:G255" si="939">C255/$H$255</f>
        <v>0.5</v>
      </c>
      <c r="G255" s="19">
        <f t="shared" si="939"/>
        <v>0.5</v>
      </c>
      <c r="H255" s="83">
        <v>2</v>
      </c>
      <c r="I255" s="190">
        <f t="shared" ref="I255:I267" si="940">AVERAGEA(B255:D255)</f>
        <v>0.66666666666666663</v>
      </c>
      <c r="J255" s="176">
        <f t="shared" ref="J255:J267" si="941">STDEVA(B255:D255)</f>
        <v>0.57735026918962584</v>
      </c>
      <c r="K255" s="19">
        <f t="shared" ref="K255:K267" si="942">I255/H255</f>
        <v>0.33333333333333331</v>
      </c>
      <c r="BC255" s="200"/>
      <c r="BD255" s="200"/>
      <c r="BE255" s="200"/>
      <c r="BG255" s="19"/>
      <c r="BH255" s="19"/>
      <c r="BI255" s="19"/>
      <c r="BJ255" s="19"/>
      <c r="CT255">
        <v>393</v>
      </c>
      <c r="CV255" s="156"/>
      <c r="DA255" s="156"/>
    </row>
    <row r="256" spans="1:105" ht="17" thickBot="1">
      <c r="A256" t="s">
        <v>46</v>
      </c>
      <c r="B256">
        <f>SUM(DC17)</f>
        <v>0</v>
      </c>
      <c r="C256">
        <f t="shared" ref="C256:D256" si="943">SUM(DD17)</f>
        <v>0</v>
      </c>
      <c r="D256">
        <f t="shared" si="943"/>
        <v>0</v>
      </c>
      <c r="E256" s="19">
        <f>B256/$H$256</f>
        <v>0</v>
      </c>
      <c r="F256" s="19">
        <f t="shared" ref="F256:G256" si="944">C256/$H$256</f>
        <v>0</v>
      </c>
      <c r="G256" s="19">
        <f t="shared" si="944"/>
        <v>0</v>
      </c>
      <c r="H256" s="83">
        <v>1</v>
      </c>
      <c r="I256" s="190">
        <f t="shared" si="940"/>
        <v>0</v>
      </c>
      <c r="J256" s="176">
        <f t="shared" si="941"/>
        <v>0</v>
      </c>
      <c r="K256" s="19">
        <f t="shared" si="942"/>
        <v>0</v>
      </c>
      <c r="BC256" s="201"/>
      <c r="BD256" s="201"/>
      <c r="BE256" s="201"/>
      <c r="BG256" s="19"/>
      <c r="BH256" s="19"/>
      <c r="BI256" s="19"/>
      <c r="BJ256" s="19"/>
      <c r="CT256">
        <v>22</v>
      </c>
      <c r="CV256" s="156"/>
      <c r="DA256" s="156"/>
    </row>
    <row r="257" spans="1:105" ht="17" thickBot="1">
      <c r="A257" t="s">
        <v>37</v>
      </c>
      <c r="B257">
        <f>SUM(DC18:DC27)</f>
        <v>3</v>
      </c>
      <c r="C257">
        <f t="shared" ref="C257:D257" si="945">SUM(DD18:DD27)</f>
        <v>2</v>
      </c>
      <c r="D257">
        <f t="shared" si="945"/>
        <v>2</v>
      </c>
      <c r="E257" s="19">
        <f>B257/$H$257</f>
        <v>0.3</v>
      </c>
      <c r="F257" s="19">
        <f t="shared" ref="F257:G257" si="946">C257/$H$257</f>
        <v>0.2</v>
      </c>
      <c r="G257" s="19">
        <f t="shared" si="946"/>
        <v>0.2</v>
      </c>
      <c r="H257" s="83">
        <v>10</v>
      </c>
      <c r="I257" s="190">
        <f t="shared" si="940"/>
        <v>2.3333333333333335</v>
      </c>
      <c r="J257" s="176">
        <f t="shared" si="941"/>
        <v>0.57735026918962629</v>
      </c>
      <c r="K257" s="19">
        <f t="shared" si="942"/>
        <v>0.23333333333333334</v>
      </c>
      <c r="BC257" s="200"/>
      <c r="BD257" s="200"/>
      <c r="BE257" s="200"/>
      <c r="BG257" s="19"/>
      <c r="BH257" s="19"/>
      <c r="BI257" s="19"/>
      <c r="BJ257" s="19"/>
      <c r="CT257">
        <v>265</v>
      </c>
      <c r="CV257" s="156"/>
      <c r="DA257" s="156"/>
    </row>
    <row r="258" spans="1:105" ht="17" thickBot="1">
      <c r="A258" t="s">
        <v>38</v>
      </c>
      <c r="B258">
        <f>SUM(DC28:DC74)</f>
        <v>11</v>
      </c>
      <c r="C258">
        <f t="shared" ref="C258:D258" si="947">SUM(DD28:DD74)</f>
        <v>9</v>
      </c>
      <c r="D258">
        <f t="shared" si="947"/>
        <v>6</v>
      </c>
      <c r="E258" s="19">
        <f>B258/$H$258</f>
        <v>0.23404255319148937</v>
      </c>
      <c r="F258" s="19">
        <f t="shared" ref="F258:G258" si="948">C258/$H$258</f>
        <v>0.19148936170212766</v>
      </c>
      <c r="G258" s="19">
        <f t="shared" si="948"/>
        <v>0.1276595744680851</v>
      </c>
      <c r="H258" s="83">
        <v>47</v>
      </c>
      <c r="I258" s="190">
        <f t="shared" si="940"/>
        <v>8.6666666666666661</v>
      </c>
      <c r="J258" s="176">
        <f t="shared" si="941"/>
        <v>2.5166114784235822</v>
      </c>
      <c r="K258" s="19">
        <f t="shared" si="942"/>
        <v>0.18439716312056736</v>
      </c>
      <c r="BC258" s="201"/>
      <c r="BD258" s="201"/>
      <c r="BE258" s="201"/>
      <c r="BG258" s="19"/>
      <c r="BH258" s="19"/>
      <c r="BI258" s="19"/>
      <c r="CT258">
        <v>0</v>
      </c>
      <c r="CV258" s="156"/>
      <c r="DA258" s="156"/>
    </row>
    <row r="259" spans="1:105" ht="17" thickBot="1">
      <c r="A259" t="s">
        <v>39</v>
      </c>
      <c r="B259">
        <f>SUM(DC75)</f>
        <v>0</v>
      </c>
      <c r="C259">
        <f t="shared" ref="C259:D259" si="949">SUM(DD75)</f>
        <v>0</v>
      </c>
      <c r="D259">
        <f t="shared" si="949"/>
        <v>0</v>
      </c>
      <c r="E259" s="19">
        <f>B259/$H$259</f>
        <v>0</v>
      </c>
      <c r="F259" s="19">
        <f t="shared" ref="F259:G259" si="950">C259/$H$259</f>
        <v>0</v>
      </c>
      <c r="G259" s="19">
        <f t="shared" si="950"/>
        <v>0</v>
      </c>
      <c r="H259" s="83">
        <v>1</v>
      </c>
      <c r="I259" s="190">
        <f t="shared" si="940"/>
        <v>0</v>
      </c>
      <c r="J259" s="176">
        <f t="shared" si="941"/>
        <v>0</v>
      </c>
      <c r="K259" s="19">
        <f t="shared" si="942"/>
        <v>0</v>
      </c>
      <c r="BC259" s="200"/>
      <c r="BD259" s="200"/>
      <c r="BE259" s="200"/>
      <c r="BG259" s="19"/>
      <c r="BH259" s="19"/>
      <c r="BI259" s="19"/>
      <c r="CT259">
        <v>13</v>
      </c>
      <c r="CV259" s="156"/>
      <c r="DA259" s="156"/>
    </row>
    <row r="260" spans="1:105" ht="17" thickBot="1">
      <c r="A260" t="s">
        <v>40</v>
      </c>
      <c r="B260">
        <f>SUM(DC76)</f>
        <v>0</v>
      </c>
      <c r="C260">
        <f t="shared" ref="C260:D260" si="951">SUM(DD76)</f>
        <v>0</v>
      </c>
      <c r="D260">
        <f t="shared" si="951"/>
        <v>0</v>
      </c>
      <c r="E260" s="19">
        <f>B260/$H$260</f>
        <v>0</v>
      </c>
      <c r="F260" s="19">
        <f t="shared" ref="F260:G260" si="952">C260/$H$260</f>
        <v>0</v>
      </c>
      <c r="G260" s="19">
        <f t="shared" si="952"/>
        <v>0</v>
      </c>
      <c r="H260" s="83">
        <v>1</v>
      </c>
      <c r="I260" s="190">
        <f t="shared" si="940"/>
        <v>0</v>
      </c>
      <c r="J260" s="176">
        <f t="shared" si="941"/>
        <v>0</v>
      </c>
      <c r="K260" s="19">
        <f t="shared" si="942"/>
        <v>0</v>
      </c>
      <c r="BC260" s="201"/>
      <c r="BD260" s="201"/>
      <c r="BE260" s="201"/>
      <c r="BG260" s="19"/>
      <c r="BH260" s="19"/>
      <c r="BI260" s="19"/>
      <c r="CT260">
        <v>43</v>
      </c>
      <c r="CV260" s="156"/>
      <c r="DA260" s="156"/>
    </row>
    <row r="261" spans="1:105" ht="17" thickBot="1">
      <c r="A261" t="s">
        <v>41</v>
      </c>
      <c r="B261">
        <f>SUM(DC77:DC80)</f>
        <v>2</v>
      </c>
      <c r="C261">
        <f t="shared" ref="C261:D261" si="953">SUM(DD77:DD80)</f>
        <v>1</v>
      </c>
      <c r="D261">
        <f t="shared" si="953"/>
        <v>1</v>
      </c>
      <c r="E261" s="19">
        <f>B261/$H$261</f>
        <v>0.5</v>
      </c>
      <c r="F261" s="19">
        <f t="shared" ref="F261:G261" si="954">C261/$H$261</f>
        <v>0.25</v>
      </c>
      <c r="G261" s="19">
        <f t="shared" si="954"/>
        <v>0.25</v>
      </c>
      <c r="H261" s="83">
        <v>4</v>
      </c>
      <c r="I261" s="190">
        <f t="shared" si="940"/>
        <v>1.3333333333333333</v>
      </c>
      <c r="J261" s="176">
        <f t="shared" si="941"/>
        <v>0.57735026918962584</v>
      </c>
      <c r="K261" s="19">
        <f t="shared" si="942"/>
        <v>0.33333333333333331</v>
      </c>
      <c r="BC261" s="200"/>
      <c r="BD261" s="200"/>
      <c r="BE261" s="200"/>
      <c r="BG261" s="19"/>
      <c r="BH261" s="19"/>
      <c r="BI261" s="19"/>
      <c r="CT261">
        <v>0</v>
      </c>
      <c r="CV261" s="101"/>
      <c r="DA261" s="156"/>
    </row>
    <row r="262" spans="1:105" ht="17" thickBot="1">
      <c r="A262" t="s">
        <v>34</v>
      </c>
      <c r="B262">
        <f>SUM(DC81:DC84)</f>
        <v>2</v>
      </c>
      <c r="C262">
        <f t="shared" ref="C262:D262" si="955">SUM(DD81:DD84)</f>
        <v>1</v>
      </c>
      <c r="D262">
        <f t="shared" si="955"/>
        <v>1</v>
      </c>
      <c r="E262" s="19">
        <f>B262/$H$262</f>
        <v>0.5</v>
      </c>
      <c r="F262" s="19">
        <f t="shared" ref="F262:G262" si="956">C262/$H$262</f>
        <v>0.25</v>
      </c>
      <c r="G262" s="19">
        <f t="shared" si="956"/>
        <v>0.25</v>
      </c>
      <c r="H262" s="83">
        <v>4</v>
      </c>
      <c r="I262" s="190">
        <f t="shared" si="940"/>
        <v>1.3333333333333333</v>
      </c>
      <c r="J262" s="176">
        <f t="shared" si="941"/>
        <v>0.57735026918962584</v>
      </c>
      <c r="K262" s="19">
        <f t="shared" si="942"/>
        <v>0.33333333333333331</v>
      </c>
      <c r="BC262" s="201"/>
      <c r="BD262" s="201"/>
      <c r="BE262" s="201"/>
      <c r="BG262" s="19"/>
      <c r="BH262" s="19"/>
      <c r="BI262" s="19"/>
      <c r="CT262">
        <v>62</v>
      </c>
      <c r="CV262" s="161"/>
      <c r="DA262" s="101"/>
    </row>
    <row r="263" spans="1:105" ht="17" thickBot="1">
      <c r="A263" t="s">
        <v>42</v>
      </c>
      <c r="B263">
        <f>SUM(DC85)</f>
        <v>0</v>
      </c>
      <c r="C263">
        <f t="shared" ref="C263:D263" si="957">SUM(DD85)</f>
        <v>0</v>
      </c>
      <c r="D263">
        <f t="shared" si="957"/>
        <v>0</v>
      </c>
      <c r="E263" s="19">
        <f>B263/$H$263</f>
        <v>0</v>
      </c>
      <c r="F263" s="19">
        <f t="shared" ref="F263:G263" si="958">C263/$H$263</f>
        <v>0</v>
      </c>
      <c r="G263" s="19">
        <f t="shared" si="958"/>
        <v>0</v>
      </c>
      <c r="H263" s="83">
        <v>1</v>
      </c>
      <c r="I263" s="190">
        <f t="shared" si="940"/>
        <v>0</v>
      </c>
      <c r="J263" s="176">
        <f t="shared" si="941"/>
        <v>0</v>
      </c>
      <c r="K263" s="19">
        <f t="shared" si="942"/>
        <v>0</v>
      </c>
      <c r="BC263" s="200"/>
      <c r="BD263" s="200"/>
      <c r="BE263" s="200"/>
      <c r="BG263" s="19"/>
      <c r="BH263" s="19"/>
      <c r="BI263" s="19"/>
      <c r="CT263" s="11">
        <v>4.3270695784662268</v>
      </c>
      <c r="CV263" s="329"/>
      <c r="DA263" s="161"/>
    </row>
    <row r="264" spans="1:105" ht="17" thickBot="1">
      <c r="A264" t="s">
        <v>43</v>
      </c>
      <c r="B264">
        <f>SUM(DC86)</f>
        <v>0</v>
      </c>
      <c r="C264">
        <f t="shared" ref="C264:D264" si="959">SUM(DD86)</f>
        <v>0</v>
      </c>
      <c r="D264">
        <f t="shared" si="959"/>
        <v>0</v>
      </c>
      <c r="E264" s="19">
        <f>B264/$H$264</f>
        <v>0</v>
      </c>
      <c r="F264" s="19">
        <f t="shared" ref="F264:G264" si="960">C264/$H$264</f>
        <v>0</v>
      </c>
      <c r="G264" s="19">
        <f t="shared" si="960"/>
        <v>0</v>
      </c>
      <c r="H264" s="83">
        <v>1</v>
      </c>
      <c r="I264" s="190">
        <f t="shared" si="940"/>
        <v>0</v>
      </c>
      <c r="J264" s="176">
        <f t="shared" si="941"/>
        <v>0</v>
      </c>
      <c r="K264" s="19">
        <f t="shared" si="942"/>
        <v>0</v>
      </c>
      <c r="BC264" s="201"/>
      <c r="BD264" s="201"/>
      <c r="BE264" s="201"/>
      <c r="BG264" s="19"/>
      <c r="BH264" s="19"/>
      <c r="BI264" s="19"/>
      <c r="CT264">
        <v>0</v>
      </c>
      <c r="CV264" s="107"/>
      <c r="DA264" s="107"/>
    </row>
    <row r="265" spans="1:105" ht="17" thickBot="1">
      <c r="A265" t="s">
        <v>44</v>
      </c>
      <c r="B265">
        <f>SUM(DC87:DC93)</f>
        <v>3</v>
      </c>
      <c r="C265">
        <f t="shared" ref="C265:D265" si="961">SUM(DD87:DD93)</f>
        <v>3</v>
      </c>
      <c r="D265">
        <f t="shared" si="961"/>
        <v>4</v>
      </c>
      <c r="E265" s="19">
        <f>B265/$H$265</f>
        <v>0.42857142857142855</v>
      </c>
      <c r="F265" s="19">
        <f t="shared" ref="F265:G265" si="962">C265/$H$265</f>
        <v>0.42857142857142855</v>
      </c>
      <c r="G265" s="19">
        <f t="shared" si="962"/>
        <v>0.5714285714285714</v>
      </c>
      <c r="H265" s="83">
        <v>7</v>
      </c>
      <c r="I265" s="190">
        <f t="shared" si="940"/>
        <v>3.3333333333333335</v>
      </c>
      <c r="J265" s="176">
        <f t="shared" si="941"/>
        <v>0.57735026918962473</v>
      </c>
      <c r="K265" s="19">
        <f t="shared" si="942"/>
        <v>0.47619047619047622</v>
      </c>
      <c r="BC265" s="200"/>
      <c r="BD265" s="200"/>
      <c r="BE265" s="200"/>
      <c r="BG265" s="19"/>
      <c r="BH265" s="19"/>
      <c r="BI265" s="19"/>
      <c r="CT265">
        <v>0</v>
      </c>
      <c r="CV265" s="107"/>
      <c r="DA265" s="107"/>
    </row>
    <row r="266" spans="1:105" ht="17" thickBot="1">
      <c r="A266" t="s">
        <v>45</v>
      </c>
      <c r="B266">
        <f>SUM(DC94)</f>
        <v>0</v>
      </c>
      <c r="C266">
        <f t="shared" ref="C266:D266" si="963">SUM(DD94)</f>
        <v>0</v>
      </c>
      <c r="D266">
        <f t="shared" si="963"/>
        <v>0</v>
      </c>
      <c r="E266" s="19">
        <f>B266/$H$266</f>
        <v>0</v>
      </c>
      <c r="F266" s="19">
        <f t="shared" ref="F266:G266" si="964">C266/$H$266</f>
        <v>0</v>
      </c>
      <c r="G266" s="19">
        <f t="shared" si="964"/>
        <v>0</v>
      </c>
      <c r="H266" s="83">
        <v>1</v>
      </c>
      <c r="I266" s="190">
        <f t="shared" si="940"/>
        <v>0</v>
      </c>
      <c r="J266" s="176">
        <f t="shared" si="941"/>
        <v>0</v>
      </c>
      <c r="K266" s="19">
        <f t="shared" si="942"/>
        <v>0</v>
      </c>
      <c r="BC266" s="201"/>
      <c r="BD266" s="201"/>
      <c r="BE266" s="201"/>
      <c r="BG266" s="19"/>
      <c r="BH266" s="19"/>
      <c r="BI266" s="19"/>
      <c r="CT266">
        <v>9</v>
      </c>
      <c r="CV266" s="107"/>
      <c r="DA266" s="107"/>
    </row>
    <row r="267" spans="1:105">
      <c r="A267" t="s">
        <v>376</v>
      </c>
      <c r="B267" s="7">
        <v>23</v>
      </c>
      <c r="C267">
        <f>SUM(C254:C266)</f>
        <v>20</v>
      </c>
      <c r="D267">
        <f>SUM(D254:D266)</f>
        <v>19</v>
      </c>
      <c r="E267" s="19">
        <f>B267/$H$267</f>
        <v>0.24731182795698925</v>
      </c>
      <c r="F267" s="19">
        <f t="shared" ref="F267:G267" si="965">C267/$H$267</f>
        <v>0.21505376344086022</v>
      </c>
      <c r="G267" s="19">
        <f t="shared" si="965"/>
        <v>0.20430107526881722</v>
      </c>
      <c r="H267" s="83">
        <f>SUM(H254:H266)</f>
        <v>93</v>
      </c>
      <c r="I267" s="190">
        <f t="shared" si="940"/>
        <v>20.666666666666668</v>
      </c>
      <c r="J267" s="176">
        <f t="shared" si="941"/>
        <v>2.0816659994661331</v>
      </c>
      <c r="K267" s="19">
        <f t="shared" si="942"/>
        <v>0.22222222222222224</v>
      </c>
      <c r="CT267" s="11">
        <v>48.06</v>
      </c>
      <c r="CV267" s="330"/>
      <c r="DA267" s="107"/>
    </row>
    <row r="268" spans="1:105">
      <c r="CT268">
        <v>0</v>
      </c>
      <c r="CV268" s="102"/>
      <c r="DA268" s="107"/>
    </row>
    <row r="269" spans="1:105">
      <c r="B269" t="s">
        <v>490</v>
      </c>
      <c r="CT269">
        <v>619</v>
      </c>
      <c r="CV269" s="102"/>
      <c r="DA269" s="102"/>
    </row>
    <row r="270" spans="1:105">
      <c r="B270">
        <v>2015</v>
      </c>
      <c r="C270">
        <v>2016</v>
      </c>
      <c r="D270">
        <v>2017</v>
      </c>
      <c r="E270" t="s">
        <v>527</v>
      </c>
      <c r="F270" t="s">
        <v>528</v>
      </c>
      <c r="G270" t="s">
        <v>529</v>
      </c>
      <c r="H270" s="83" t="s">
        <v>530</v>
      </c>
      <c r="I270" s="83" t="s">
        <v>375</v>
      </c>
      <c r="J270" s="83" t="s">
        <v>441</v>
      </c>
      <c r="K270" t="s">
        <v>531</v>
      </c>
      <c r="CT270">
        <v>0</v>
      </c>
      <c r="CV270" s="102"/>
      <c r="DA270" s="102"/>
    </row>
    <row r="271" spans="1:105">
      <c r="A271" t="s">
        <v>31</v>
      </c>
      <c r="B271">
        <f>SUM(DF2:DF14)</f>
        <v>12</v>
      </c>
      <c r="C271">
        <f t="shared" ref="C271:D271" si="966">SUM(DG2:DG14)</f>
        <v>12</v>
      </c>
      <c r="D271">
        <f t="shared" si="966"/>
        <v>12</v>
      </c>
      <c r="E271" s="19">
        <f>B271/$H$271</f>
        <v>0.92307692307692313</v>
      </c>
      <c r="F271" s="19">
        <f t="shared" ref="F271:G271" si="967">C271/$H$271</f>
        <v>0.92307692307692313</v>
      </c>
      <c r="G271" s="19">
        <f t="shared" si="967"/>
        <v>0.92307692307692313</v>
      </c>
      <c r="H271" s="83">
        <v>13</v>
      </c>
      <c r="I271" s="190">
        <f>AVERAGEA(B271:D271)</f>
        <v>12</v>
      </c>
      <c r="J271" s="176">
        <f>STDEVA(B271:D271)</f>
        <v>0</v>
      </c>
      <c r="K271" s="19">
        <f>I271/H271</f>
        <v>0.92307692307692313</v>
      </c>
      <c r="CT271">
        <v>14</v>
      </c>
      <c r="CV271" s="109"/>
      <c r="DA271" s="102"/>
    </row>
    <row r="272" spans="1:105">
      <c r="A272" t="s">
        <v>36</v>
      </c>
      <c r="B272">
        <f>SUM(DF15:DF16)</f>
        <v>1</v>
      </c>
      <c r="C272">
        <f t="shared" ref="C272:D272" si="968">SUM(DG15:DG16)</f>
        <v>1</v>
      </c>
      <c r="D272">
        <f t="shared" si="968"/>
        <v>1</v>
      </c>
      <c r="E272" s="19">
        <f>B272/$H$272</f>
        <v>0.5</v>
      </c>
      <c r="F272" s="19">
        <f t="shared" ref="F272:G272" si="969">C272/$H$272</f>
        <v>0.5</v>
      </c>
      <c r="G272" s="19">
        <f t="shared" si="969"/>
        <v>0.5</v>
      </c>
      <c r="H272" s="83">
        <v>2</v>
      </c>
      <c r="I272" s="190">
        <f t="shared" ref="I272:I284" si="970">AVERAGEA(B272:D272)</f>
        <v>1</v>
      </c>
      <c r="J272" s="176">
        <f t="shared" ref="J272:J284" si="971">STDEVA(B272:D272)</f>
        <v>0</v>
      </c>
      <c r="K272" s="19">
        <f t="shared" ref="K272:K284" si="972">I272/H272</f>
        <v>0.5</v>
      </c>
      <c r="CT272">
        <v>54</v>
      </c>
      <c r="CV272" s="170"/>
      <c r="DA272" s="102"/>
    </row>
    <row r="273" spans="1:105">
      <c r="A273" t="s">
        <v>46</v>
      </c>
      <c r="B273">
        <f>SUM(DF17)</f>
        <v>1</v>
      </c>
      <c r="C273">
        <f t="shared" ref="C273:D273" si="973">SUM(DG17)</f>
        <v>1</v>
      </c>
      <c r="D273">
        <f t="shared" si="973"/>
        <v>1</v>
      </c>
      <c r="E273" s="19">
        <f>B273/$H$273</f>
        <v>1</v>
      </c>
      <c r="F273" s="19">
        <f t="shared" ref="F273:G273" si="974">C273/$H$273</f>
        <v>1</v>
      </c>
      <c r="G273" s="19">
        <f t="shared" si="974"/>
        <v>1</v>
      </c>
      <c r="H273" s="83">
        <v>1</v>
      </c>
      <c r="I273" s="190">
        <f t="shared" si="970"/>
        <v>1</v>
      </c>
      <c r="J273" s="176">
        <f t="shared" si="971"/>
        <v>0</v>
      </c>
      <c r="K273" s="19">
        <f t="shared" si="972"/>
        <v>1</v>
      </c>
      <c r="CT273">
        <v>95</v>
      </c>
      <c r="CV273" s="104"/>
      <c r="DA273" s="109"/>
    </row>
    <row r="274" spans="1:105">
      <c r="A274" t="s">
        <v>37</v>
      </c>
      <c r="B274">
        <f>SUM(DF18:DF27)</f>
        <v>6</v>
      </c>
      <c r="C274">
        <f t="shared" ref="C274:D274" si="975">SUM(DG18:DG27)</f>
        <v>8</v>
      </c>
      <c r="D274">
        <f t="shared" si="975"/>
        <v>7</v>
      </c>
      <c r="E274" s="19">
        <f>B274/$H$274</f>
        <v>0.6</v>
      </c>
      <c r="F274" s="19">
        <f t="shared" ref="F274:G274" si="976">C274/$H$274</f>
        <v>0.8</v>
      </c>
      <c r="G274" s="19">
        <f t="shared" si="976"/>
        <v>0.7</v>
      </c>
      <c r="H274" s="83">
        <v>10</v>
      </c>
      <c r="I274" s="190">
        <f t="shared" si="970"/>
        <v>7</v>
      </c>
      <c r="J274" s="176">
        <f t="shared" si="971"/>
        <v>1</v>
      </c>
      <c r="K274" s="19">
        <f t="shared" si="972"/>
        <v>0.7</v>
      </c>
      <c r="CT274">
        <v>0</v>
      </c>
      <c r="CV274" s="104"/>
      <c r="DA274" s="170"/>
    </row>
    <row r="275" spans="1:105">
      <c r="A275" t="s">
        <v>38</v>
      </c>
      <c r="B275">
        <f>SUM(DF28:DF74)</f>
        <v>38</v>
      </c>
      <c r="C275">
        <f t="shared" ref="C275:D275" si="977">SUM(DG28:DG74)</f>
        <v>37</v>
      </c>
      <c r="D275">
        <f t="shared" si="977"/>
        <v>39</v>
      </c>
      <c r="E275" s="19">
        <f>B275/$H$275</f>
        <v>0.80851063829787229</v>
      </c>
      <c r="F275" s="19">
        <f t="shared" ref="F275:G275" si="978">C275/$H$275</f>
        <v>0.78723404255319152</v>
      </c>
      <c r="G275" s="19">
        <f t="shared" si="978"/>
        <v>0.82978723404255317</v>
      </c>
      <c r="H275" s="83">
        <v>47</v>
      </c>
      <c r="I275" s="190">
        <f t="shared" si="970"/>
        <v>38</v>
      </c>
      <c r="J275" s="176">
        <f t="shared" si="971"/>
        <v>1</v>
      </c>
      <c r="K275" s="19">
        <f t="shared" si="972"/>
        <v>0.80851063829787229</v>
      </c>
      <c r="CT275">
        <v>324</v>
      </c>
      <c r="CV275" s="104"/>
      <c r="DA275" s="104"/>
    </row>
    <row r="276" spans="1:105">
      <c r="A276" t="s">
        <v>39</v>
      </c>
      <c r="B276">
        <f>SUM(DF75)</f>
        <v>0</v>
      </c>
      <c r="C276">
        <f t="shared" ref="C276:D276" si="979">SUM(DG75)</f>
        <v>0</v>
      </c>
      <c r="D276">
        <f t="shared" si="979"/>
        <v>0</v>
      </c>
      <c r="E276" s="19">
        <f>B276/$H$276</f>
        <v>0</v>
      </c>
      <c r="F276" s="19">
        <f t="shared" ref="F276:G276" si="980">C276/$H$276</f>
        <v>0</v>
      </c>
      <c r="G276" s="19">
        <f t="shared" si="980"/>
        <v>0</v>
      </c>
      <c r="H276" s="83">
        <v>1</v>
      </c>
      <c r="I276" s="190">
        <f t="shared" si="970"/>
        <v>0</v>
      </c>
      <c r="J276" s="176">
        <f t="shared" si="971"/>
        <v>0</v>
      </c>
      <c r="K276" s="19">
        <f t="shared" si="972"/>
        <v>0</v>
      </c>
      <c r="CT276" s="11">
        <v>24.57</v>
      </c>
      <c r="CV276" s="331"/>
      <c r="DA276" s="104"/>
    </row>
    <row r="277" spans="1:105">
      <c r="A277" t="s">
        <v>40</v>
      </c>
      <c r="B277">
        <f>SUM(DF76)</f>
        <v>1</v>
      </c>
      <c r="C277">
        <f t="shared" ref="C277:D277" si="981">SUM(DG76)</f>
        <v>1</v>
      </c>
      <c r="D277">
        <f t="shared" si="981"/>
        <v>1</v>
      </c>
      <c r="E277" s="19">
        <f>B277/$H$277</f>
        <v>1</v>
      </c>
      <c r="F277" s="19">
        <f t="shared" ref="F277:G277" si="982">C277/$H$277</f>
        <v>1</v>
      </c>
      <c r="G277" s="19">
        <f t="shared" si="982"/>
        <v>1</v>
      </c>
      <c r="H277" s="83">
        <v>1</v>
      </c>
      <c r="I277" s="190">
        <f t="shared" si="970"/>
        <v>1</v>
      </c>
      <c r="J277" s="176">
        <f t="shared" si="971"/>
        <v>0</v>
      </c>
      <c r="K277" s="19">
        <f t="shared" si="972"/>
        <v>1</v>
      </c>
      <c r="CT277" s="11">
        <v>7.9083333333333341</v>
      </c>
      <c r="CV277" s="331"/>
      <c r="DA277" s="104"/>
    </row>
    <row r="278" spans="1:105">
      <c r="A278" t="s">
        <v>41</v>
      </c>
      <c r="B278">
        <f>SUM(DF77:DF80)</f>
        <v>3</v>
      </c>
      <c r="C278">
        <f t="shared" ref="C278:D278" si="983">SUM(DG77:DG80)</f>
        <v>2</v>
      </c>
      <c r="D278">
        <f t="shared" si="983"/>
        <v>2</v>
      </c>
      <c r="E278" s="19">
        <f>B278/$H$278</f>
        <v>0.75</v>
      </c>
      <c r="F278" s="19">
        <f t="shared" ref="F278:G278" si="984">C278/$H$278</f>
        <v>0.5</v>
      </c>
      <c r="G278" s="19">
        <f t="shared" si="984"/>
        <v>0.5</v>
      </c>
      <c r="H278" s="83">
        <v>4</v>
      </c>
      <c r="I278" s="190">
        <f t="shared" si="970"/>
        <v>2.3333333333333335</v>
      </c>
      <c r="J278" s="176">
        <f t="shared" si="971"/>
        <v>0.57735026918962629</v>
      </c>
      <c r="K278" s="19">
        <f t="shared" si="972"/>
        <v>0.58333333333333337</v>
      </c>
      <c r="CT278">
        <v>67</v>
      </c>
      <c r="CV278" s="104"/>
      <c r="DA278" s="104"/>
    </row>
    <row r="279" spans="1:105">
      <c r="A279" t="s">
        <v>34</v>
      </c>
      <c r="B279">
        <f>SUM(DF81:DF84)</f>
        <v>3</v>
      </c>
      <c r="C279">
        <f t="shared" ref="C279:D279" si="985">SUM(DG81:DG84)</f>
        <v>3</v>
      </c>
      <c r="D279">
        <f t="shared" si="985"/>
        <v>2</v>
      </c>
      <c r="E279" s="19">
        <f>B279/$H$279</f>
        <v>0.75</v>
      </c>
      <c r="F279" s="19">
        <f t="shared" ref="F279:G279" si="986">C279/$H$279</f>
        <v>0.75</v>
      </c>
      <c r="G279" s="19">
        <f t="shared" si="986"/>
        <v>0.5</v>
      </c>
      <c r="H279" s="83">
        <v>4</v>
      </c>
      <c r="I279" s="190">
        <f t="shared" si="970"/>
        <v>2.6666666666666665</v>
      </c>
      <c r="J279" s="176">
        <f t="shared" si="971"/>
        <v>0.57735026918962629</v>
      </c>
      <c r="K279" s="19">
        <f t="shared" si="972"/>
        <v>0.66666666666666663</v>
      </c>
      <c r="CT279">
        <v>25</v>
      </c>
      <c r="CV279" s="104"/>
      <c r="DA279" s="104"/>
    </row>
    <row r="280" spans="1:105">
      <c r="A280" t="s">
        <v>42</v>
      </c>
      <c r="B280">
        <f>SUM(DF85)</f>
        <v>1</v>
      </c>
      <c r="C280">
        <f t="shared" ref="C280:D280" si="987">SUM(DG85)</f>
        <v>1</v>
      </c>
      <c r="D280">
        <f t="shared" si="987"/>
        <v>1</v>
      </c>
      <c r="E280" s="19">
        <f>B280/$H$280</f>
        <v>1</v>
      </c>
      <c r="F280" s="19">
        <f t="shared" ref="F280:G280" si="988">C280/$H$280</f>
        <v>1</v>
      </c>
      <c r="G280" s="19">
        <f t="shared" si="988"/>
        <v>1</v>
      </c>
      <c r="H280" s="83">
        <v>1</v>
      </c>
      <c r="I280" s="190">
        <f t="shared" si="970"/>
        <v>1</v>
      </c>
      <c r="J280" s="176">
        <f t="shared" si="971"/>
        <v>0</v>
      </c>
      <c r="K280" s="19">
        <f t="shared" si="972"/>
        <v>1</v>
      </c>
      <c r="CT280" s="11">
        <v>90.621621621621628</v>
      </c>
      <c r="CV280" s="332"/>
      <c r="DA280" s="104"/>
    </row>
    <row r="281" spans="1:105">
      <c r="A281" t="s">
        <v>43</v>
      </c>
      <c r="B281">
        <f>SUM(DF86)</f>
        <v>1</v>
      </c>
      <c r="C281">
        <f t="shared" ref="C281:D281" si="989">SUM(DG86)</f>
        <v>1</v>
      </c>
      <c r="D281">
        <f t="shared" si="989"/>
        <v>1</v>
      </c>
      <c r="E281" s="19">
        <f>B281/$H$281</f>
        <v>1</v>
      </c>
      <c r="F281" s="19">
        <f t="shared" ref="F281:G281" si="990">C281/$H$281</f>
        <v>1</v>
      </c>
      <c r="G281" s="19">
        <f t="shared" si="990"/>
        <v>1</v>
      </c>
      <c r="H281" s="83">
        <v>1</v>
      </c>
      <c r="I281" s="190">
        <f t="shared" si="970"/>
        <v>1</v>
      </c>
      <c r="J281" s="176">
        <f t="shared" si="971"/>
        <v>0</v>
      </c>
      <c r="K281" s="19">
        <f t="shared" si="972"/>
        <v>1</v>
      </c>
      <c r="DA281" s="104"/>
    </row>
    <row r="282" spans="1:105">
      <c r="A282" t="s">
        <v>44</v>
      </c>
      <c r="B282">
        <f>SUM(DF87:DF93)</f>
        <v>5</v>
      </c>
      <c r="C282">
        <f t="shared" ref="C282:D282" si="991">SUM(DG87:DG93)</f>
        <v>5</v>
      </c>
      <c r="D282">
        <f t="shared" si="991"/>
        <v>6</v>
      </c>
      <c r="E282" s="19">
        <f>B282/$H$282</f>
        <v>0.7142857142857143</v>
      </c>
      <c r="F282" s="19">
        <f t="shared" ref="F282:G282" si="992">C282/$H$282</f>
        <v>0.7142857142857143</v>
      </c>
      <c r="G282" s="19">
        <f t="shared" si="992"/>
        <v>0.8571428571428571</v>
      </c>
      <c r="H282" s="83">
        <v>7</v>
      </c>
      <c r="I282" s="190">
        <f t="shared" si="970"/>
        <v>5.333333333333333</v>
      </c>
      <c r="J282" s="176">
        <f t="shared" si="971"/>
        <v>0.57735026918962584</v>
      </c>
      <c r="K282" s="19">
        <f t="shared" si="972"/>
        <v>0.76190476190476186</v>
      </c>
      <c r="DA282" s="179"/>
    </row>
    <row r="283" spans="1:105">
      <c r="A283" t="s">
        <v>45</v>
      </c>
      <c r="B283">
        <f>SUM(DF94)</f>
        <v>1</v>
      </c>
      <c r="C283">
        <f t="shared" ref="C283:D283" si="993">SUM(DG94)</f>
        <v>1</v>
      </c>
      <c r="D283">
        <f t="shared" si="993"/>
        <v>1</v>
      </c>
      <c r="E283" s="19">
        <f>B283/$H$283</f>
        <v>1</v>
      </c>
      <c r="F283" s="19">
        <f t="shared" ref="F283:G283" si="994">C283/$H$283</f>
        <v>1</v>
      </c>
      <c r="G283" s="19">
        <f t="shared" si="994"/>
        <v>1</v>
      </c>
      <c r="H283" s="83">
        <v>1</v>
      </c>
      <c r="I283" s="190">
        <f t="shared" si="970"/>
        <v>1</v>
      </c>
      <c r="J283" s="176">
        <f t="shared" si="971"/>
        <v>0</v>
      </c>
      <c r="K283" s="19">
        <f t="shared" si="972"/>
        <v>1</v>
      </c>
    </row>
    <row r="284" spans="1:105">
      <c r="A284" t="s">
        <v>376</v>
      </c>
      <c r="B284">
        <f>SUM(B271:B283)</f>
        <v>73</v>
      </c>
      <c r="C284">
        <f t="shared" ref="C284:D284" si="995">SUM(C271:C283)</f>
        <v>73</v>
      </c>
      <c r="D284">
        <f t="shared" si="995"/>
        <v>74</v>
      </c>
      <c r="E284" s="19">
        <f>B284/$H$284</f>
        <v>0.78494623655913975</v>
      </c>
      <c r="F284" s="19">
        <f t="shared" ref="F284:G284" si="996">C284/$H$284</f>
        <v>0.78494623655913975</v>
      </c>
      <c r="G284" s="19">
        <f t="shared" si="996"/>
        <v>0.79569892473118276</v>
      </c>
      <c r="H284" s="83">
        <f t="shared" ref="H284" si="997">SUM(H271:H283)</f>
        <v>93</v>
      </c>
      <c r="I284" s="190">
        <f t="shared" si="970"/>
        <v>73.333333333333329</v>
      </c>
      <c r="J284" s="176">
        <f t="shared" si="971"/>
        <v>0.57735026918962573</v>
      </c>
      <c r="K284" s="19">
        <f t="shared" si="972"/>
        <v>0.78853046594982079</v>
      </c>
    </row>
    <row r="286" spans="1:105">
      <c r="B286" t="s">
        <v>491</v>
      </c>
    </row>
    <row r="287" spans="1:105">
      <c r="B287">
        <v>2015</v>
      </c>
      <c r="C287">
        <v>2016</v>
      </c>
      <c r="D287">
        <v>2017</v>
      </c>
      <c r="E287" t="s">
        <v>527</v>
      </c>
      <c r="F287" t="s">
        <v>528</v>
      </c>
      <c r="G287" t="s">
        <v>529</v>
      </c>
      <c r="H287" s="83" t="s">
        <v>530</v>
      </c>
      <c r="I287" s="83" t="s">
        <v>375</v>
      </c>
      <c r="J287" s="83" t="s">
        <v>441</v>
      </c>
      <c r="K287" t="s">
        <v>531</v>
      </c>
    </row>
    <row r="288" spans="1:105">
      <c r="A288" t="s">
        <v>31</v>
      </c>
      <c r="B288">
        <f>SUM(DI2:DI14)</f>
        <v>13</v>
      </c>
      <c r="C288">
        <f>SUM(DJ2:DJ14)</f>
        <v>13</v>
      </c>
      <c r="D288">
        <f>SUM(DK2:DK14)</f>
        <v>13</v>
      </c>
      <c r="E288" s="19">
        <f>B288/$H$288</f>
        <v>1</v>
      </c>
      <c r="F288" s="19">
        <f t="shared" ref="F288:G288" si="998">C288/$H$288</f>
        <v>1</v>
      </c>
      <c r="G288" s="19">
        <f t="shared" si="998"/>
        <v>1</v>
      </c>
      <c r="H288" s="83">
        <v>13</v>
      </c>
      <c r="I288" s="190">
        <f>AVERAGEA(B288:D288)</f>
        <v>13</v>
      </c>
      <c r="J288" s="176">
        <f>STDEVA(B288:D288)</f>
        <v>0</v>
      </c>
      <c r="K288" s="19">
        <f>I288/H288</f>
        <v>1</v>
      </c>
    </row>
    <row r="289" spans="1:11">
      <c r="A289" t="s">
        <v>36</v>
      </c>
      <c r="B289">
        <f>SUM(DI15:DI16)</f>
        <v>1</v>
      </c>
      <c r="C289">
        <f>SUM(DJ15:DJ16)</f>
        <v>1</v>
      </c>
      <c r="D289">
        <f>SUM(DK15:DK16)</f>
        <v>1</v>
      </c>
      <c r="E289" s="19">
        <f>B289/$H$289</f>
        <v>0.5</v>
      </c>
      <c r="F289" s="19">
        <f t="shared" ref="F289:G289" si="999">C289/$H$289</f>
        <v>0.5</v>
      </c>
      <c r="G289" s="19">
        <f t="shared" si="999"/>
        <v>0.5</v>
      </c>
      <c r="H289" s="83">
        <v>2</v>
      </c>
      <c r="I289" s="190">
        <f t="shared" ref="I289:I301" si="1000">AVERAGEA(B289:D289)</f>
        <v>1</v>
      </c>
      <c r="J289" s="176">
        <f t="shared" ref="J289:J301" si="1001">STDEVA(B289:D289)</f>
        <v>0</v>
      </c>
      <c r="K289" s="19">
        <f t="shared" ref="K289:K301" si="1002">I289/H289</f>
        <v>0.5</v>
      </c>
    </row>
    <row r="290" spans="1:11">
      <c r="A290" t="s">
        <v>46</v>
      </c>
      <c r="B290">
        <f>SUM(DI17)</f>
        <v>0</v>
      </c>
      <c r="C290">
        <f>SUM(DJ17)</f>
        <v>1</v>
      </c>
      <c r="D290">
        <f>SUM(DK17)</f>
        <v>1</v>
      </c>
      <c r="E290" s="19">
        <f>B290/$H$290</f>
        <v>0</v>
      </c>
      <c r="F290" s="19">
        <f t="shared" ref="F290:G290" si="1003">C290/$H$290</f>
        <v>1</v>
      </c>
      <c r="G290" s="19">
        <f t="shared" si="1003"/>
        <v>1</v>
      </c>
      <c r="H290" s="83">
        <v>1</v>
      </c>
      <c r="I290" s="190">
        <f t="shared" si="1000"/>
        <v>0.66666666666666663</v>
      </c>
      <c r="J290" s="176">
        <f t="shared" si="1001"/>
        <v>0.57735026918962584</v>
      </c>
      <c r="K290" s="19">
        <f t="shared" si="1002"/>
        <v>0.66666666666666663</v>
      </c>
    </row>
    <row r="291" spans="1:11">
      <c r="A291" t="s">
        <v>37</v>
      </c>
      <c r="B291">
        <f>SUM(DI18:DI27)</f>
        <v>10</v>
      </c>
      <c r="C291">
        <f>SUM(DJ18:DJ27)</f>
        <v>10</v>
      </c>
      <c r="D291">
        <f>SUM(DK18:DK27)</f>
        <v>10</v>
      </c>
      <c r="E291" s="19">
        <f>B291/$H$291</f>
        <v>1</v>
      </c>
      <c r="F291" s="19">
        <f t="shared" ref="F291:G291" si="1004">C291/$H$291</f>
        <v>1</v>
      </c>
      <c r="G291" s="19">
        <f t="shared" si="1004"/>
        <v>1</v>
      </c>
      <c r="H291" s="83">
        <v>10</v>
      </c>
      <c r="I291" s="190">
        <f t="shared" si="1000"/>
        <v>10</v>
      </c>
      <c r="J291" s="176">
        <f t="shared" si="1001"/>
        <v>0</v>
      </c>
      <c r="K291" s="19">
        <f t="shared" si="1002"/>
        <v>1</v>
      </c>
    </row>
    <row r="292" spans="1:11">
      <c r="A292" t="s">
        <v>38</v>
      </c>
      <c r="B292">
        <f>SUM(DI28:DI74)</f>
        <v>41</v>
      </c>
      <c r="C292">
        <f>SUM(DJ28:DJ74)</f>
        <v>44</v>
      </c>
      <c r="D292">
        <f>SUM(DK28:DK74)</f>
        <v>43</v>
      </c>
      <c r="E292" s="19">
        <f>B292/$H$292</f>
        <v>0.87234042553191493</v>
      </c>
      <c r="F292" s="19">
        <f t="shared" ref="F292:G292" si="1005">C292/$H$292</f>
        <v>0.93617021276595747</v>
      </c>
      <c r="G292" s="19">
        <f t="shared" si="1005"/>
        <v>0.91489361702127658</v>
      </c>
      <c r="H292" s="83">
        <v>47</v>
      </c>
      <c r="I292" s="190">
        <f t="shared" si="1000"/>
        <v>42.666666666666664</v>
      </c>
      <c r="J292" s="176">
        <f t="shared" si="1001"/>
        <v>1.5275252316519465</v>
      </c>
      <c r="K292" s="19">
        <f t="shared" si="1002"/>
        <v>0.90780141843971629</v>
      </c>
    </row>
    <row r="293" spans="1:11">
      <c r="A293" t="s">
        <v>39</v>
      </c>
      <c r="B293">
        <f t="shared" ref="B293:D294" si="1006">SUM(DI75)</f>
        <v>0</v>
      </c>
      <c r="C293">
        <f t="shared" si="1006"/>
        <v>0</v>
      </c>
      <c r="D293">
        <f t="shared" si="1006"/>
        <v>0</v>
      </c>
      <c r="E293" s="19">
        <f>B293/$H$293</f>
        <v>0</v>
      </c>
      <c r="F293" s="19">
        <f t="shared" ref="F293:G293" si="1007">C293/$H$293</f>
        <v>0</v>
      </c>
      <c r="G293" s="19">
        <f t="shared" si="1007"/>
        <v>0</v>
      </c>
      <c r="H293" s="83">
        <v>1</v>
      </c>
      <c r="I293" s="190">
        <f t="shared" si="1000"/>
        <v>0</v>
      </c>
      <c r="J293" s="176">
        <f t="shared" si="1001"/>
        <v>0</v>
      </c>
      <c r="K293" s="19">
        <f t="shared" si="1002"/>
        <v>0</v>
      </c>
    </row>
    <row r="294" spans="1:11">
      <c r="A294" t="s">
        <v>40</v>
      </c>
      <c r="B294">
        <f t="shared" si="1006"/>
        <v>1</v>
      </c>
      <c r="C294">
        <f t="shared" si="1006"/>
        <v>1</v>
      </c>
      <c r="D294">
        <f t="shared" si="1006"/>
        <v>1</v>
      </c>
      <c r="E294" s="19">
        <f>B294/$H$294</f>
        <v>1</v>
      </c>
      <c r="F294" s="19">
        <f t="shared" ref="F294:G294" si="1008">C294/$H$294</f>
        <v>1</v>
      </c>
      <c r="G294" s="19">
        <f t="shared" si="1008"/>
        <v>1</v>
      </c>
      <c r="H294" s="83">
        <v>1</v>
      </c>
      <c r="I294" s="190">
        <f t="shared" si="1000"/>
        <v>1</v>
      </c>
      <c r="J294" s="176">
        <f t="shared" si="1001"/>
        <v>0</v>
      </c>
      <c r="K294" s="19">
        <f t="shared" si="1002"/>
        <v>1</v>
      </c>
    </row>
    <row r="295" spans="1:11">
      <c r="A295" t="s">
        <v>41</v>
      </c>
      <c r="B295">
        <f>SUM(DI77:DI80)</f>
        <v>4</v>
      </c>
      <c r="C295">
        <f>SUM(DJ77:DJ80)</f>
        <v>4</v>
      </c>
      <c r="D295">
        <f>SUM(DK77:DK80)</f>
        <v>4</v>
      </c>
      <c r="E295" s="19">
        <f>B295/$H$295</f>
        <v>1</v>
      </c>
      <c r="F295" s="19">
        <f t="shared" ref="F295:G295" si="1009">C295/$H$295</f>
        <v>1</v>
      </c>
      <c r="G295" s="19">
        <f t="shared" si="1009"/>
        <v>1</v>
      </c>
      <c r="H295" s="83">
        <v>4</v>
      </c>
      <c r="I295" s="190">
        <f t="shared" si="1000"/>
        <v>4</v>
      </c>
      <c r="J295" s="176">
        <f t="shared" si="1001"/>
        <v>0</v>
      </c>
      <c r="K295" s="19">
        <f t="shared" si="1002"/>
        <v>1</v>
      </c>
    </row>
    <row r="296" spans="1:11">
      <c r="A296" t="s">
        <v>34</v>
      </c>
      <c r="B296">
        <f>SUM(DI81:DI84)</f>
        <v>3</v>
      </c>
      <c r="C296">
        <f>SUM(DJ81:DJ84)</f>
        <v>3</v>
      </c>
      <c r="D296">
        <f>SUM(DK81:DK84)</f>
        <v>3</v>
      </c>
      <c r="E296" s="19">
        <f>B296/$H$296</f>
        <v>0.75</v>
      </c>
      <c r="F296" s="19">
        <f t="shared" ref="F296:G296" si="1010">C296/$H$296</f>
        <v>0.75</v>
      </c>
      <c r="G296" s="19">
        <f t="shared" si="1010"/>
        <v>0.75</v>
      </c>
      <c r="H296" s="83">
        <v>4</v>
      </c>
      <c r="I296" s="190">
        <f t="shared" si="1000"/>
        <v>3</v>
      </c>
      <c r="J296" s="176">
        <f t="shared" si="1001"/>
        <v>0</v>
      </c>
      <c r="K296" s="19">
        <f t="shared" si="1002"/>
        <v>0.75</v>
      </c>
    </row>
    <row r="297" spans="1:11">
      <c r="A297" t="s">
        <v>42</v>
      </c>
      <c r="B297">
        <f t="shared" ref="B297:D298" si="1011">SUM(DI85)</f>
        <v>1</v>
      </c>
      <c r="C297">
        <f t="shared" si="1011"/>
        <v>1</v>
      </c>
      <c r="D297">
        <f t="shared" si="1011"/>
        <v>1</v>
      </c>
      <c r="E297" s="19">
        <f>B297/$H$297</f>
        <v>1</v>
      </c>
      <c r="F297" s="19">
        <f t="shared" ref="F297:G297" si="1012">C297/$H$297</f>
        <v>1</v>
      </c>
      <c r="G297" s="19">
        <f t="shared" si="1012"/>
        <v>1</v>
      </c>
      <c r="H297" s="83">
        <v>1</v>
      </c>
      <c r="I297" s="190">
        <f t="shared" si="1000"/>
        <v>1</v>
      </c>
      <c r="J297" s="176">
        <f t="shared" si="1001"/>
        <v>0</v>
      </c>
      <c r="K297" s="19">
        <f t="shared" si="1002"/>
        <v>1</v>
      </c>
    </row>
    <row r="298" spans="1:11">
      <c r="A298" t="s">
        <v>43</v>
      </c>
      <c r="B298">
        <f t="shared" si="1011"/>
        <v>1</v>
      </c>
      <c r="C298">
        <f t="shared" si="1011"/>
        <v>1</v>
      </c>
      <c r="D298">
        <f t="shared" si="1011"/>
        <v>1</v>
      </c>
      <c r="E298" s="19">
        <f>B298/$H$298</f>
        <v>1</v>
      </c>
      <c r="F298" s="19">
        <f t="shared" ref="F298:G298" si="1013">C298/$H$298</f>
        <v>1</v>
      </c>
      <c r="G298" s="19">
        <f t="shared" si="1013"/>
        <v>1</v>
      </c>
      <c r="H298" s="83">
        <v>1</v>
      </c>
      <c r="I298" s="190">
        <f t="shared" si="1000"/>
        <v>1</v>
      </c>
      <c r="J298" s="176">
        <f t="shared" si="1001"/>
        <v>0</v>
      </c>
      <c r="K298" s="19">
        <f t="shared" si="1002"/>
        <v>1</v>
      </c>
    </row>
    <row r="299" spans="1:11">
      <c r="A299" t="s">
        <v>44</v>
      </c>
      <c r="B299">
        <f>SUM(DI87:DI93)</f>
        <v>6</v>
      </c>
      <c r="C299">
        <f>SUM(DJ87:DJ93)</f>
        <v>7</v>
      </c>
      <c r="D299">
        <f>SUM(DK87:DK93)</f>
        <v>7</v>
      </c>
      <c r="E299" s="19">
        <f>B299/$H$299</f>
        <v>0.8571428571428571</v>
      </c>
      <c r="F299" s="19">
        <f t="shared" ref="F299:G299" si="1014">C299/$H$299</f>
        <v>1</v>
      </c>
      <c r="G299" s="19">
        <f t="shared" si="1014"/>
        <v>1</v>
      </c>
      <c r="H299" s="83">
        <v>7</v>
      </c>
      <c r="I299" s="190">
        <f t="shared" si="1000"/>
        <v>6.666666666666667</v>
      </c>
      <c r="J299" s="176">
        <f t="shared" si="1001"/>
        <v>0.57735026918962584</v>
      </c>
      <c r="K299" s="19">
        <f t="shared" si="1002"/>
        <v>0.95238095238095244</v>
      </c>
    </row>
    <row r="300" spans="1:11">
      <c r="A300" t="s">
        <v>45</v>
      </c>
      <c r="B300">
        <f>SUM(DI94)</f>
        <v>1</v>
      </c>
      <c r="C300">
        <f>SUM(DJ94)</f>
        <v>1</v>
      </c>
      <c r="D300">
        <f>SUM(DK94)</f>
        <v>1</v>
      </c>
      <c r="E300" s="19">
        <f>B300/$H$300</f>
        <v>1</v>
      </c>
      <c r="F300" s="19">
        <f t="shared" ref="F300:G300" si="1015">C300/$H$300</f>
        <v>1</v>
      </c>
      <c r="G300" s="19">
        <f t="shared" si="1015"/>
        <v>1</v>
      </c>
      <c r="H300" s="83">
        <v>1</v>
      </c>
      <c r="I300" s="190">
        <f t="shared" si="1000"/>
        <v>1</v>
      </c>
      <c r="J300" s="176">
        <f t="shared" si="1001"/>
        <v>0</v>
      </c>
      <c r="K300" s="19">
        <f t="shared" si="1002"/>
        <v>1</v>
      </c>
    </row>
    <row r="301" spans="1:11">
      <c r="A301" t="s">
        <v>376</v>
      </c>
      <c r="B301">
        <f>SUM(B288:B300)</f>
        <v>82</v>
      </c>
      <c r="C301">
        <f t="shared" ref="C301:D301" si="1016">SUM(C288:C300)</f>
        <v>87</v>
      </c>
      <c r="D301">
        <f t="shared" si="1016"/>
        <v>86</v>
      </c>
      <c r="E301" s="19">
        <f>B301/$H$301</f>
        <v>0.88172043010752688</v>
      </c>
      <c r="F301" s="19">
        <f t="shared" ref="F301:G301" si="1017">C301/$H$301</f>
        <v>0.93548387096774188</v>
      </c>
      <c r="G301" s="19">
        <f t="shared" si="1017"/>
        <v>0.92473118279569888</v>
      </c>
      <c r="H301" s="83">
        <f>SUM(H288:H300)</f>
        <v>93</v>
      </c>
      <c r="I301" s="190">
        <f t="shared" si="1000"/>
        <v>85</v>
      </c>
      <c r="J301" s="176">
        <f t="shared" si="1001"/>
        <v>2.6457513110645907</v>
      </c>
      <c r="K301" s="19">
        <f t="shared" si="1002"/>
        <v>0.91397849462365588</v>
      </c>
    </row>
    <row r="303" spans="1:11">
      <c r="B303" t="s">
        <v>504</v>
      </c>
    </row>
    <row r="304" spans="1:11">
      <c r="B304">
        <v>2015</v>
      </c>
      <c r="C304">
        <v>2016</v>
      </c>
      <c r="D304">
        <v>2017</v>
      </c>
      <c r="E304" t="s">
        <v>527</v>
      </c>
      <c r="F304" t="s">
        <v>528</v>
      </c>
      <c r="G304" t="s">
        <v>529</v>
      </c>
      <c r="H304" s="83" t="s">
        <v>530</v>
      </c>
      <c r="I304" s="83" t="s">
        <v>375</v>
      </c>
      <c r="J304" s="83" t="s">
        <v>441</v>
      </c>
      <c r="K304" t="s">
        <v>531</v>
      </c>
    </row>
    <row r="305" spans="1:11">
      <c r="A305" t="s">
        <v>31</v>
      </c>
      <c r="B305">
        <f>SUM(DL2:DL14)</f>
        <v>7</v>
      </c>
      <c r="C305">
        <f t="shared" ref="C305:D305" si="1018">SUM(DM2:DM14)</f>
        <v>7</v>
      </c>
      <c r="D305">
        <f t="shared" si="1018"/>
        <v>7</v>
      </c>
      <c r="E305" s="19">
        <f>B305/$H$305</f>
        <v>0.53846153846153844</v>
      </c>
      <c r="F305" s="19">
        <f t="shared" ref="F305:G305" si="1019">C305/$H$305</f>
        <v>0.53846153846153844</v>
      </c>
      <c r="G305" s="19">
        <f t="shared" si="1019"/>
        <v>0.53846153846153844</v>
      </c>
      <c r="H305" s="83">
        <v>13</v>
      </c>
      <c r="I305" s="190">
        <f>AVERAGEA(B305:D305)</f>
        <v>7</v>
      </c>
      <c r="J305" s="176">
        <f>STDEVA(B305:D305)</f>
        <v>0</v>
      </c>
      <c r="K305" s="19">
        <f>I305/H305</f>
        <v>0.53846153846153844</v>
      </c>
    </row>
    <row r="306" spans="1:11">
      <c r="A306" t="s">
        <v>36</v>
      </c>
      <c r="B306">
        <f>SUM(DL15:DL16)</f>
        <v>1</v>
      </c>
      <c r="C306">
        <f t="shared" ref="C306:D306" si="1020">SUM(DM15:DM16)</f>
        <v>0</v>
      </c>
      <c r="D306">
        <f t="shared" si="1020"/>
        <v>1</v>
      </c>
      <c r="E306" s="19">
        <f>B306/$H$306</f>
        <v>0.5</v>
      </c>
      <c r="F306" s="19">
        <f t="shared" ref="F306:G306" si="1021">C306/$H$306</f>
        <v>0</v>
      </c>
      <c r="G306" s="19">
        <f t="shared" si="1021"/>
        <v>0.5</v>
      </c>
      <c r="H306" s="83">
        <v>2</v>
      </c>
      <c r="I306" s="190">
        <f t="shared" ref="I306:I318" si="1022">AVERAGEA(B306:D306)</f>
        <v>0.66666666666666663</v>
      </c>
      <c r="J306" s="176">
        <f t="shared" ref="J306:J318" si="1023">STDEVA(B306:D306)</f>
        <v>0.57735026918962584</v>
      </c>
      <c r="K306" s="19">
        <f t="shared" ref="K306:K318" si="1024">I306/H306</f>
        <v>0.33333333333333331</v>
      </c>
    </row>
    <row r="307" spans="1:11">
      <c r="A307" t="s">
        <v>46</v>
      </c>
      <c r="B307">
        <f>SUM(DL17)</f>
        <v>1</v>
      </c>
      <c r="C307">
        <f t="shared" ref="C307:D307" si="1025">SUM(DM17)</f>
        <v>1</v>
      </c>
      <c r="D307">
        <f t="shared" si="1025"/>
        <v>1</v>
      </c>
      <c r="E307" s="19">
        <f>B307/$H$307</f>
        <v>1</v>
      </c>
      <c r="F307" s="19">
        <f t="shared" ref="F307:G307" si="1026">C307/$H$307</f>
        <v>1</v>
      </c>
      <c r="G307" s="19">
        <f t="shared" si="1026"/>
        <v>1</v>
      </c>
      <c r="H307" s="83">
        <v>1</v>
      </c>
      <c r="I307" s="190">
        <f t="shared" si="1022"/>
        <v>1</v>
      </c>
      <c r="J307" s="176">
        <f t="shared" si="1023"/>
        <v>0</v>
      </c>
      <c r="K307" s="19">
        <f t="shared" si="1024"/>
        <v>1</v>
      </c>
    </row>
    <row r="308" spans="1:11">
      <c r="A308" t="s">
        <v>37</v>
      </c>
      <c r="B308">
        <f>SUM(DL18:DL27)</f>
        <v>7</v>
      </c>
      <c r="C308">
        <f t="shared" ref="C308:D308" si="1027">SUM(DM18:DM27)</f>
        <v>8</v>
      </c>
      <c r="D308">
        <f t="shared" si="1027"/>
        <v>8</v>
      </c>
      <c r="E308" s="19">
        <f>B308/$H$308</f>
        <v>0.7</v>
      </c>
      <c r="F308" s="19">
        <f t="shared" ref="F308:G308" si="1028">C308/$H$308</f>
        <v>0.8</v>
      </c>
      <c r="G308" s="19">
        <f t="shared" si="1028"/>
        <v>0.8</v>
      </c>
      <c r="H308" s="83">
        <v>10</v>
      </c>
      <c r="I308" s="190">
        <f t="shared" si="1022"/>
        <v>7.666666666666667</v>
      </c>
      <c r="J308" s="176">
        <f t="shared" si="1023"/>
        <v>0.57735026918962584</v>
      </c>
      <c r="K308" s="19">
        <f t="shared" si="1024"/>
        <v>0.76666666666666672</v>
      </c>
    </row>
    <row r="309" spans="1:11">
      <c r="A309" t="s">
        <v>38</v>
      </c>
      <c r="B309">
        <f>SUM(DL28:DL74)</f>
        <v>36</v>
      </c>
      <c r="C309">
        <f t="shared" ref="C309:D309" si="1029">SUM(DM28:DM74)</f>
        <v>36</v>
      </c>
      <c r="D309">
        <f t="shared" si="1029"/>
        <v>36</v>
      </c>
      <c r="E309" s="19">
        <f>B309/$H$309</f>
        <v>0.76595744680851063</v>
      </c>
      <c r="F309" s="19">
        <f t="shared" ref="F309:G309" si="1030">C309/$H$309</f>
        <v>0.76595744680851063</v>
      </c>
      <c r="G309" s="19">
        <f t="shared" si="1030"/>
        <v>0.76595744680851063</v>
      </c>
      <c r="H309" s="83">
        <v>47</v>
      </c>
      <c r="I309" s="190">
        <f t="shared" si="1022"/>
        <v>36</v>
      </c>
      <c r="J309" s="176">
        <f t="shared" si="1023"/>
        <v>0</v>
      </c>
      <c r="K309" s="19">
        <f t="shared" si="1024"/>
        <v>0.76595744680851063</v>
      </c>
    </row>
    <row r="310" spans="1:11">
      <c r="A310" t="s">
        <v>39</v>
      </c>
      <c r="B310">
        <f>SUM(DL75)</f>
        <v>0</v>
      </c>
      <c r="C310">
        <f t="shared" ref="C310:D310" si="1031">SUM(DM75)</f>
        <v>0</v>
      </c>
      <c r="D310">
        <f t="shared" si="1031"/>
        <v>0</v>
      </c>
      <c r="E310" s="19">
        <f>B310/$H$310</f>
        <v>0</v>
      </c>
      <c r="F310" s="19">
        <f t="shared" ref="F310:G310" si="1032">C310/$H$310</f>
        <v>0</v>
      </c>
      <c r="G310" s="19">
        <f t="shared" si="1032"/>
        <v>0</v>
      </c>
      <c r="H310" s="83">
        <v>1</v>
      </c>
      <c r="I310" s="190">
        <f t="shared" si="1022"/>
        <v>0</v>
      </c>
      <c r="J310" s="176">
        <f t="shared" si="1023"/>
        <v>0</v>
      </c>
      <c r="K310" s="19">
        <f t="shared" si="1024"/>
        <v>0</v>
      </c>
    </row>
    <row r="311" spans="1:11">
      <c r="A311" t="s">
        <v>40</v>
      </c>
      <c r="B311">
        <f>SUM(DL76)</f>
        <v>0</v>
      </c>
      <c r="C311">
        <f t="shared" ref="C311:D311" si="1033">SUM(DM76)</f>
        <v>1</v>
      </c>
      <c r="D311">
        <f t="shared" si="1033"/>
        <v>1</v>
      </c>
      <c r="E311" s="19">
        <f>B311/$H$311</f>
        <v>0</v>
      </c>
      <c r="F311" s="19">
        <f t="shared" ref="F311:G311" si="1034">C311/$H$311</f>
        <v>1</v>
      </c>
      <c r="G311" s="19">
        <f t="shared" si="1034"/>
        <v>1</v>
      </c>
      <c r="H311" s="83">
        <v>1</v>
      </c>
      <c r="I311" s="190">
        <f t="shared" si="1022"/>
        <v>0.66666666666666663</v>
      </c>
      <c r="J311" s="176">
        <f t="shared" si="1023"/>
        <v>0.57735026918962584</v>
      </c>
      <c r="K311" s="19">
        <f t="shared" si="1024"/>
        <v>0.66666666666666663</v>
      </c>
    </row>
    <row r="312" spans="1:11">
      <c r="A312" t="s">
        <v>41</v>
      </c>
      <c r="B312">
        <f>SUM(DL77:DL80)</f>
        <v>3</v>
      </c>
      <c r="C312">
        <f t="shared" ref="C312:D312" si="1035">SUM(DM77:DM80)</f>
        <v>2</v>
      </c>
      <c r="D312">
        <f t="shared" si="1035"/>
        <v>3</v>
      </c>
      <c r="E312" s="19">
        <f>B312/$H$312</f>
        <v>0.75</v>
      </c>
      <c r="F312" s="19">
        <f t="shared" ref="F312:G312" si="1036">C312/$H$312</f>
        <v>0.5</v>
      </c>
      <c r="G312" s="19">
        <f t="shared" si="1036"/>
        <v>0.75</v>
      </c>
      <c r="H312" s="83">
        <v>4</v>
      </c>
      <c r="I312" s="190">
        <f t="shared" si="1022"/>
        <v>2.6666666666666665</v>
      </c>
      <c r="J312" s="176">
        <f t="shared" si="1023"/>
        <v>0.57735026918962629</v>
      </c>
      <c r="K312" s="19">
        <f t="shared" si="1024"/>
        <v>0.66666666666666663</v>
      </c>
    </row>
    <row r="313" spans="1:11">
      <c r="A313" t="s">
        <v>34</v>
      </c>
      <c r="B313">
        <f>SUM(DL81:DL84)</f>
        <v>4</v>
      </c>
      <c r="C313">
        <f t="shared" ref="C313:D313" si="1037">SUM(DM81:DM84)</f>
        <v>3</v>
      </c>
      <c r="D313">
        <f t="shared" si="1037"/>
        <v>4</v>
      </c>
      <c r="E313" s="19">
        <f>B313/$H$313</f>
        <v>1</v>
      </c>
      <c r="F313" s="19">
        <f t="shared" ref="F313:G313" si="1038">C313/$H$313</f>
        <v>0.75</v>
      </c>
      <c r="G313" s="19">
        <f t="shared" si="1038"/>
        <v>1</v>
      </c>
      <c r="H313" s="83">
        <v>4</v>
      </c>
      <c r="I313" s="190">
        <f t="shared" si="1022"/>
        <v>3.6666666666666665</v>
      </c>
      <c r="J313" s="176">
        <f t="shared" si="1023"/>
        <v>0.57735026918962473</v>
      </c>
      <c r="K313" s="19">
        <f t="shared" si="1024"/>
        <v>0.91666666666666663</v>
      </c>
    </row>
    <row r="314" spans="1:11">
      <c r="A314" t="s">
        <v>42</v>
      </c>
      <c r="B314">
        <f>SUM(DI85)</f>
        <v>1</v>
      </c>
      <c r="C314">
        <f t="shared" ref="C314:D314" si="1039">SUM(DJ85)</f>
        <v>1</v>
      </c>
      <c r="D314">
        <f t="shared" si="1039"/>
        <v>1</v>
      </c>
      <c r="E314" s="19">
        <f>B314/$H$314</f>
        <v>1</v>
      </c>
      <c r="F314" s="19">
        <f t="shared" ref="F314:G314" si="1040">C314/$H$314</f>
        <v>1</v>
      </c>
      <c r="G314" s="19">
        <f t="shared" si="1040"/>
        <v>1</v>
      </c>
      <c r="H314" s="83">
        <v>1</v>
      </c>
      <c r="I314" s="190">
        <f t="shared" si="1022"/>
        <v>1</v>
      </c>
      <c r="J314" s="176">
        <f t="shared" si="1023"/>
        <v>0</v>
      </c>
      <c r="K314" s="19">
        <f t="shared" si="1024"/>
        <v>1</v>
      </c>
    </row>
    <row r="315" spans="1:11">
      <c r="A315" t="s">
        <v>43</v>
      </c>
      <c r="B315">
        <f>SUM(DI86)</f>
        <v>1</v>
      </c>
      <c r="C315">
        <f t="shared" ref="C315:D315" si="1041">SUM(DJ86)</f>
        <v>1</v>
      </c>
      <c r="D315">
        <f t="shared" si="1041"/>
        <v>1</v>
      </c>
      <c r="E315" s="19">
        <f>B315/$H$315</f>
        <v>1</v>
      </c>
      <c r="F315" s="19">
        <f t="shared" ref="F315:G315" si="1042">C315/$H$315</f>
        <v>1</v>
      </c>
      <c r="G315" s="19">
        <f t="shared" si="1042"/>
        <v>1</v>
      </c>
      <c r="H315" s="83">
        <v>1</v>
      </c>
      <c r="I315" s="190">
        <f t="shared" si="1022"/>
        <v>1</v>
      </c>
      <c r="J315" s="176">
        <f t="shared" si="1023"/>
        <v>0</v>
      </c>
      <c r="K315" s="19">
        <f t="shared" si="1024"/>
        <v>1</v>
      </c>
    </row>
    <row r="316" spans="1:11">
      <c r="A316" t="s">
        <v>44</v>
      </c>
      <c r="B316">
        <f>SUM(DL87:DL93)</f>
        <v>5</v>
      </c>
      <c r="C316">
        <f t="shared" ref="C316:D316" si="1043">SUM(DM87:DM93)</f>
        <v>5</v>
      </c>
      <c r="D316">
        <f t="shared" si="1043"/>
        <v>5</v>
      </c>
      <c r="E316" s="19">
        <f>B316/$H$316</f>
        <v>0.7142857142857143</v>
      </c>
      <c r="F316" s="19">
        <f t="shared" ref="F316:G316" si="1044">C316/$H$316</f>
        <v>0.7142857142857143</v>
      </c>
      <c r="G316" s="19">
        <f t="shared" si="1044"/>
        <v>0.7142857142857143</v>
      </c>
      <c r="H316" s="83">
        <v>7</v>
      </c>
      <c r="I316" s="190">
        <f t="shared" si="1022"/>
        <v>5</v>
      </c>
      <c r="J316" s="176">
        <f t="shared" si="1023"/>
        <v>0</v>
      </c>
      <c r="K316" s="19">
        <f t="shared" si="1024"/>
        <v>0.7142857142857143</v>
      </c>
    </row>
    <row r="317" spans="1:11">
      <c r="A317" t="s">
        <v>45</v>
      </c>
      <c r="B317">
        <f>SUM(DL94)</f>
        <v>0</v>
      </c>
      <c r="C317">
        <f t="shared" ref="C317:D317" si="1045">SUM(DM94)</f>
        <v>0</v>
      </c>
      <c r="D317">
        <f t="shared" si="1045"/>
        <v>0</v>
      </c>
      <c r="E317" s="19">
        <f>B317/$H$317</f>
        <v>0</v>
      </c>
      <c r="F317" s="19">
        <f t="shared" ref="F317:G317" si="1046">C317/$H$317</f>
        <v>0</v>
      </c>
      <c r="G317" s="19">
        <f t="shared" si="1046"/>
        <v>0</v>
      </c>
      <c r="H317" s="83">
        <v>1</v>
      </c>
      <c r="I317" s="190">
        <f t="shared" si="1022"/>
        <v>0</v>
      </c>
      <c r="J317" s="176">
        <f t="shared" si="1023"/>
        <v>0</v>
      </c>
      <c r="K317" s="19">
        <f t="shared" si="1024"/>
        <v>0</v>
      </c>
    </row>
    <row r="318" spans="1:11">
      <c r="A318" t="s">
        <v>376</v>
      </c>
      <c r="B318">
        <f>SUM(B305:B317)</f>
        <v>66</v>
      </c>
      <c r="C318">
        <f t="shared" ref="C318:D318" si="1047">SUM(C305:C317)</f>
        <v>65</v>
      </c>
      <c r="D318">
        <f t="shared" si="1047"/>
        <v>68</v>
      </c>
      <c r="E318" s="19">
        <f>B318/$H$318</f>
        <v>0.70967741935483875</v>
      </c>
      <c r="F318" s="19">
        <f t="shared" ref="F318:G318" si="1048">C318/$H$318</f>
        <v>0.69892473118279574</v>
      </c>
      <c r="G318" s="19">
        <f t="shared" si="1048"/>
        <v>0.73118279569892475</v>
      </c>
      <c r="H318" s="83">
        <f t="shared" ref="H318" si="1049">SUM(H305:H317)</f>
        <v>93</v>
      </c>
      <c r="I318" s="190">
        <f t="shared" si="1022"/>
        <v>66.333333333333329</v>
      </c>
      <c r="J318" s="176">
        <f t="shared" si="1023"/>
        <v>1.5275252316519468</v>
      </c>
      <c r="K318" s="19">
        <f t="shared" si="1024"/>
        <v>0.71326164874551967</v>
      </c>
    </row>
    <row r="320" spans="1:11">
      <c r="B320" t="s">
        <v>493</v>
      </c>
    </row>
    <row r="321" spans="1:11">
      <c r="B321">
        <v>2015</v>
      </c>
      <c r="C321">
        <v>2016</v>
      </c>
      <c r="D321">
        <v>2017</v>
      </c>
      <c r="E321" t="s">
        <v>527</v>
      </c>
      <c r="F321" t="s">
        <v>528</v>
      </c>
      <c r="G321" t="s">
        <v>529</v>
      </c>
      <c r="H321" s="83" t="s">
        <v>530</v>
      </c>
      <c r="I321" s="83" t="s">
        <v>375</v>
      </c>
      <c r="J321" s="83" t="s">
        <v>441</v>
      </c>
      <c r="K321" t="s">
        <v>531</v>
      </c>
    </row>
    <row r="322" spans="1:11">
      <c r="A322" t="s">
        <v>31</v>
      </c>
      <c r="B322">
        <f>SUM(DO2:DO14)</f>
        <v>9</v>
      </c>
      <c r="C322">
        <f t="shared" ref="C322:D322" si="1050">SUM(DP2:DP14)</f>
        <v>10</v>
      </c>
      <c r="D322">
        <f t="shared" si="1050"/>
        <v>8</v>
      </c>
      <c r="E322" s="19">
        <f>B322/$H$322</f>
        <v>0.69230769230769229</v>
      </c>
      <c r="F322" s="19">
        <f t="shared" ref="F322:G322" si="1051">C322/$H$322</f>
        <v>0.76923076923076927</v>
      </c>
      <c r="G322" s="19">
        <f t="shared" si="1051"/>
        <v>0.61538461538461542</v>
      </c>
      <c r="H322" s="83">
        <v>13</v>
      </c>
      <c r="I322" s="190">
        <f>AVERAGEA(B322:D322)</f>
        <v>9</v>
      </c>
      <c r="J322" s="176">
        <f>STDEVA(B322:D322)</f>
        <v>1</v>
      </c>
      <c r="K322" s="19">
        <f>I322/H322</f>
        <v>0.69230769230769229</v>
      </c>
    </row>
    <row r="323" spans="1:11">
      <c r="A323" t="s">
        <v>36</v>
      </c>
      <c r="B323">
        <f>SUM(DO15:DO16)</f>
        <v>0</v>
      </c>
      <c r="C323">
        <f t="shared" ref="C323:D323" si="1052">SUM(DP15:DP16)</f>
        <v>0</v>
      </c>
      <c r="D323">
        <f t="shared" si="1052"/>
        <v>0</v>
      </c>
      <c r="E323" s="19">
        <f>B323/$H$323</f>
        <v>0</v>
      </c>
      <c r="F323" s="19">
        <f t="shared" ref="F323:G323" si="1053">C323/$H$323</f>
        <v>0</v>
      </c>
      <c r="G323" s="19">
        <f t="shared" si="1053"/>
        <v>0</v>
      </c>
      <c r="H323" s="83">
        <v>2</v>
      </c>
      <c r="I323" s="190">
        <f t="shared" ref="I323:I335" si="1054">AVERAGEA(B323:D323)</f>
        <v>0</v>
      </c>
      <c r="J323" s="176">
        <f t="shared" ref="J323:J335" si="1055">STDEVA(B323:D323)</f>
        <v>0</v>
      </c>
      <c r="K323" s="19">
        <f t="shared" ref="K323:K335" si="1056">I323/H323</f>
        <v>0</v>
      </c>
    </row>
    <row r="324" spans="1:11">
      <c r="A324" t="s">
        <v>46</v>
      </c>
      <c r="B324">
        <f>SUM(DO17)</f>
        <v>0</v>
      </c>
      <c r="C324">
        <f t="shared" ref="C324:D324" si="1057">SUM(DP17)</f>
        <v>0</v>
      </c>
      <c r="D324">
        <f t="shared" si="1057"/>
        <v>0</v>
      </c>
      <c r="E324" s="19">
        <f>B324/$H$324</f>
        <v>0</v>
      </c>
      <c r="F324" s="19">
        <f t="shared" ref="F324:G324" si="1058">C324/$H$324</f>
        <v>0</v>
      </c>
      <c r="G324" s="19">
        <f t="shared" si="1058"/>
        <v>0</v>
      </c>
      <c r="H324" s="83">
        <v>1</v>
      </c>
      <c r="I324" s="190">
        <f t="shared" si="1054"/>
        <v>0</v>
      </c>
      <c r="J324" s="176">
        <f t="shared" si="1055"/>
        <v>0</v>
      </c>
      <c r="K324" s="19">
        <f t="shared" si="1056"/>
        <v>0</v>
      </c>
    </row>
    <row r="325" spans="1:11">
      <c r="A325" t="s">
        <v>37</v>
      </c>
      <c r="B325">
        <f>SUM(DO18:DO27)</f>
        <v>4</v>
      </c>
      <c r="C325">
        <f t="shared" ref="C325:D325" si="1059">SUM(DP18:DP27)</f>
        <v>5</v>
      </c>
      <c r="D325">
        <f t="shared" si="1059"/>
        <v>5</v>
      </c>
      <c r="E325" s="19">
        <f>B325/$H$325</f>
        <v>0.4</v>
      </c>
      <c r="F325" s="19">
        <f t="shared" ref="F325:G325" si="1060">C325/$H$325</f>
        <v>0.5</v>
      </c>
      <c r="G325" s="19">
        <f t="shared" si="1060"/>
        <v>0.5</v>
      </c>
      <c r="H325" s="83">
        <v>10</v>
      </c>
      <c r="I325" s="190">
        <f t="shared" si="1054"/>
        <v>4.666666666666667</v>
      </c>
      <c r="J325" s="176">
        <f t="shared" si="1055"/>
        <v>0.57735026918962784</v>
      </c>
      <c r="K325" s="19">
        <f t="shared" si="1056"/>
        <v>0.46666666666666667</v>
      </c>
    </row>
    <row r="326" spans="1:11">
      <c r="A326" t="s">
        <v>38</v>
      </c>
      <c r="B326">
        <f>SUM(DO28:DO74)</f>
        <v>35</v>
      </c>
      <c r="C326">
        <f t="shared" ref="C326:D326" si="1061">SUM(DP28:DP74)</f>
        <v>37</v>
      </c>
      <c r="D326">
        <f t="shared" si="1061"/>
        <v>35</v>
      </c>
      <c r="E326" s="19">
        <f>B326/$H$326</f>
        <v>0.74468085106382975</v>
      </c>
      <c r="F326" s="19">
        <f t="shared" ref="F326:G326" si="1062">C326/$H$326</f>
        <v>0.78723404255319152</v>
      </c>
      <c r="G326" s="19">
        <f t="shared" si="1062"/>
        <v>0.74468085106382975</v>
      </c>
      <c r="H326" s="83">
        <v>47</v>
      </c>
      <c r="I326" s="190">
        <f t="shared" si="1054"/>
        <v>35.666666666666664</v>
      </c>
      <c r="J326" s="176">
        <f t="shared" si="1055"/>
        <v>1.1547005383792517</v>
      </c>
      <c r="K326" s="19">
        <f t="shared" si="1056"/>
        <v>0.75886524822695034</v>
      </c>
    </row>
    <row r="327" spans="1:11">
      <c r="A327" t="s">
        <v>39</v>
      </c>
      <c r="B327">
        <f>SUM(DO75)</f>
        <v>0</v>
      </c>
      <c r="C327">
        <f t="shared" ref="C327:D327" si="1063">SUM(DP75)</f>
        <v>0</v>
      </c>
      <c r="D327">
        <f t="shared" si="1063"/>
        <v>0</v>
      </c>
      <c r="E327" s="19">
        <f>B327/$H$327</f>
        <v>0</v>
      </c>
      <c r="F327" s="19">
        <f t="shared" ref="F327:G327" si="1064">C327/$H$327</f>
        <v>0</v>
      </c>
      <c r="G327" s="19">
        <f t="shared" si="1064"/>
        <v>0</v>
      </c>
      <c r="H327" s="83">
        <v>1</v>
      </c>
      <c r="I327" s="190">
        <f t="shared" si="1054"/>
        <v>0</v>
      </c>
      <c r="J327" s="176">
        <f t="shared" si="1055"/>
        <v>0</v>
      </c>
      <c r="K327" s="19">
        <f t="shared" si="1056"/>
        <v>0</v>
      </c>
    </row>
    <row r="328" spans="1:11">
      <c r="A328" t="s">
        <v>40</v>
      </c>
      <c r="B328">
        <f>SUM(DO76)</f>
        <v>0</v>
      </c>
      <c r="C328">
        <f t="shared" ref="C328:D328" si="1065">SUM(DP76)</f>
        <v>0</v>
      </c>
      <c r="D328">
        <f t="shared" si="1065"/>
        <v>0</v>
      </c>
      <c r="E328" s="19">
        <f>B328/$H$328</f>
        <v>0</v>
      </c>
      <c r="F328" s="19">
        <f t="shared" ref="F328:G328" si="1066">C328/$H$328</f>
        <v>0</v>
      </c>
      <c r="G328" s="19">
        <f t="shared" si="1066"/>
        <v>0</v>
      </c>
      <c r="H328" s="83">
        <v>1</v>
      </c>
      <c r="I328" s="190">
        <f t="shared" si="1054"/>
        <v>0</v>
      </c>
      <c r="J328" s="176">
        <f t="shared" si="1055"/>
        <v>0</v>
      </c>
      <c r="K328" s="19">
        <f t="shared" si="1056"/>
        <v>0</v>
      </c>
    </row>
    <row r="329" spans="1:11">
      <c r="A329" t="s">
        <v>41</v>
      </c>
      <c r="B329">
        <f>SUM(DO77:DO80)</f>
        <v>3</v>
      </c>
      <c r="C329">
        <f t="shared" ref="C329:D329" si="1067">SUM(DP77:DP80)</f>
        <v>3</v>
      </c>
      <c r="D329">
        <f t="shared" si="1067"/>
        <v>2</v>
      </c>
      <c r="E329" s="19">
        <f>B329/$H$329</f>
        <v>0.75</v>
      </c>
      <c r="F329" s="19">
        <f t="shared" ref="F329:G329" si="1068">C329/$H$329</f>
        <v>0.75</v>
      </c>
      <c r="G329" s="19">
        <f t="shared" si="1068"/>
        <v>0.5</v>
      </c>
      <c r="H329" s="83">
        <v>4</v>
      </c>
      <c r="I329" s="190">
        <f t="shared" si="1054"/>
        <v>2.6666666666666665</v>
      </c>
      <c r="J329" s="176">
        <f t="shared" si="1055"/>
        <v>0.57735026918962629</v>
      </c>
      <c r="K329" s="19">
        <f t="shared" si="1056"/>
        <v>0.66666666666666663</v>
      </c>
    </row>
    <row r="330" spans="1:11">
      <c r="A330" t="s">
        <v>34</v>
      </c>
      <c r="B330">
        <f>SUM(DO81:DO84)</f>
        <v>1</v>
      </c>
      <c r="C330">
        <f t="shared" ref="C330:D330" si="1069">SUM(DP81:DP84)</f>
        <v>2</v>
      </c>
      <c r="D330">
        <f t="shared" si="1069"/>
        <v>2</v>
      </c>
      <c r="E330" s="19">
        <f>B330/$H$330</f>
        <v>0.25</v>
      </c>
      <c r="F330" s="19">
        <f t="shared" ref="F330:G330" si="1070">C330/$H$330</f>
        <v>0.5</v>
      </c>
      <c r="G330" s="19">
        <f t="shared" si="1070"/>
        <v>0.5</v>
      </c>
      <c r="H330" s="83">
        <v>4</v>
      </c>
      <c r="I330" s="190">
        <f t="shared" si="1054"/>
        <v>1.6666666666666667</v>
      </c>
      <c r="J330" s="176">
        <f t="shared" si="1055"/>
        <v>0.57735026918962551</v>
      </c>
      <c r="K330" s="19">
        <f t="shared" si="1056"/>
        <v>0.41666666666666669</v>
      </c>
    </row>
    <row r="331" spans="1:11">
      <c r="A331" t="s">
        <v>42</v>
      </c>
      <c r="B331">
        <f>SUM(DO85)</f>
        <v>0</v>
      </c>
      <c r="C331">
        <f t="shared" ref="C331:D331" si="1071">SUM(DP85)</f>
        <v>0</v>
      </c>
      <c r="D331">
        <f t="shared" si="1071"/>
        <v>0</v>
      </c>
      <c r="E331" s="19">
        <f>B331/$H$331</f>
        <v>0</v>
      </c>
      <c r="F331" s="19">
        <f t="shared" ref="F331:G331" si="1072">C331/$H$331</f>
        <v>0</v>
      </c>
      <c r="G331" s="19">
        <f t="shared" si="1072"/>
        <v>0</v>
      </c>
      <c r="H331" s="83">
        <v>1</v>
      </c>
      <c r="I331" s="190">
        <f t="shared" si="1054"/>
        <v>0</v>
      </c>
      <c r="J331" s="176">
        <f t="shared" si="1055"/>
        <v>0</v>
      </c>
      <c r="K331" s="19">
        <f t="shared" si="1056"/>
        <v>0</v>
      </c>
    </row>
    <row r="332" spans="1:11">
      <c r="A332" t="s">
        <v>43</v>
      </c>
      <c r="B332">
        <f>SUM(DO86)</f>
        <v>0</v>
      </c>
      <c r="C332">
        <f t="shared" ref="C332:D332" si="1073">SUM(DP86)</f>
        <v>0</v>
      </c>
      <c r="D332">
        <f t="shared" si="1073"/>
        <v>0</v>
      </c>
      <c r="E332" s="19">
        <f>B332/$H$332</f>
        <v>0</v>
      </c>
      <c r="F332" s="19">
        <f t="shared" ref="F332:G332" si="1074">C332/$H$332</f>
        <v>0</v>
      </c>
      <c r="G332" s="19">
        <f t="shared" si="1074"/>
        <v>0</v>
      </c>
      <c r="H332" s="83">
        <v>1</v>
      </c>
      <c r="I332" s="190">
        <f t="shared" si="1054"/>
        <v>0</v>
      </c>
      <c r="J332" s="176">
        <f t="shared" si="1055"/>
        <v>0</v>
      </c>
      <c r="K332" s="19">
        <f t="shared" si="1056"/>
        <v>0</v>
      </c>
    </row>
    <row r="333" spans="1:11">
      <c r="A333" t="s">
        <v>44</v>
      </c>
      <c r="B333">
        <f>SUM(DO87:DO93)</f>
        <v>5</v>
      </c>
      <c r="C333">
        <f t="shared" ref="C333:D333" si="1075">SUM(DP87:DP93)</f>
        <v>5</v>
      </c>
      <c r="D333">
        <f t="shared" si="1075"/>
        <v>5</v>
      </c>
      <c r="E333" s="19">
        <f>B333/$H$333</f>
        <v>0.7142857142857143</v>
      </c>
      <c r="F333" s="19">
        <f t="shared" ref="F333:G333" si="1076">C333/$H$333</f>
        <v>0.7142857142857143</v>
      </c>
      <c r="G333" s="19">
        <f t="shared" si="1076"/>
        <v>0.7142857142857143</v>
      </c>
      <c r="H333" s="83">
        <v>7</v>
      </c>
      <c r="I333" s="190">
        <f t="shared" si="1054"/>
        <v>5</v>
      </c>
      <c r="J333" s="176">
        <f t="shared" si="1055"/>
        <v>0</v>
      </c>
      <c r="K333" s="19">
        <f t="shared" si="1056"/>
        <v>0.7142857142857143</v>
      </c>
    </row>
    <row r="334" spans="1:11">
      <c r="A334" t="s">
        <v>45</v>
      </c>
      <c r="B334">
        <f>SUM(DO94)</f>
        <v>1</v>
      </c>
      <c r="C334">
        <f t="shared" ref="C334:D334" si="1077">SUM(DP94)</f>
        <v>1</v>
      </c>
      <c r="D334">
        <f t="shared" si="1077"/>
        <v>1</v>
      </c>
      <c r="E334" s="19">
        <f>B334/$H$334</f>
        <v>1</v>
      </c>
      <c r="F334" s="19">
        <f t="shared" ref="F334:G334" si="1078">C334/$H$334</f>
        <v>1</v>
      </c>
      <c r="G334" s="19">
        <f t="shared" si="1078"/>
        <v>1</v>
      </c>
      <c r="H334" s="83">
        <v>1</v>
      </c>
      <c r="I334" s="190">
        <f t="shared" si="1054"/>
        <v>1</v>
      </c>
      <c r="J334" s="176">
        <f t="shared" si="1055"/>
        <v>0</v>
      </c>
      <c r="K334" s="19">
        <f t="shared" si="1056"/>
        <v>1</v>
      </c>
    </row>
    <row r="335" spans="1:11">
      <c r="A335" t="s">
        <v>376</v>
      </c>
      <c r="B335">
        <f>SUM(B322:B334)</f>
        <v>58</v>
      </c>
      <c r="C335">
        <f t="shared" ref="C335:D335" si="1079">SUM(C322:C334)</f>
        <v>63</v>
      </c>
      <c r="D335">
        <f t="shared" si="1079"/>
        <v>58</v>
      </c>
      <c r="E335" s="19">
        <f>B335/$H$335</f>
        <v>0.62365591397849462</v>
      </c>
      <c r="F335" s="19">
        <f t="shared" ref="F335:G335" si="1080">C335/$H$335</f>
        <v>0.67741935483870963</v>
      </c>
      <c r="G335" s="19">
        <f t="shared" si="1080"/>
        <v>0.62365591397849462</v>
      </c>
      <c r="H335" s="83">
        <f t="shared" ref="H335" si="1081">SUM(H322:H334)</f>
        <v>93</v>
      </c>
      <c r="I335" s="190">
        <f t="shared" si="1054"/>
        <v>59.666666666666664</v>
      </c>
      <c r="J335" s="176">
        <f t="shared" si="1055"/>
        <v>2.8867513459481287</v>
      </c>
      <c r="K335" s="19">
        <f t="shared" si="1056"/>
        <v>0.64157706093189959</v>
      </c>
    </row>
    <row r="337" spans="1:11">
      <c r="B337" t="s">
        <v>505</v>
      </c>
    </row>
    <row r="338" spans="1:11">
      <c r="B338">
        <v>2015</v>
      </c>
      <c r="C338">
        <v>2016</v>
      </c>
      <c r="D338">
        <v>2017</v>
      </c>
      <c r="E338" t="s">
        <v>527</v>
      </c>
      <c r="F338" t="s">
        <v>528</v>
      </c>
      <c r="G338" t="s">
        <v>529</v>
      </c>
      <c r="H338" s="83" t="s">
        <v>530</v>
      </c>
      <c r="I338" s="216" t="s">
        <v>375</v>
      </c>
      <c r="J338" s="216" t="s">
        <v>441</v>
      </c>
      <c r="K338" s="187" t="s">
        <v>531</v>
      </c>
    </row>
    <row r="339" spans="1:11">
      <c r="A339" t="s">
        <v>31</v>
      </c>
      <c r="B339">
        <f>SUM(DR2:DR14)</f>
        <v>8</v>
      </c>
      <c r="C339">
        <f t="shared" ref="C339:D339" si="1082">SUM(DS2:DS14)</f>
        <v>8</v>
      </c>
      <c r="D339">
        <f t="shared" si="1082"/>
        <v>7</v>
      </c>
      <c r="E339" s="19">
        <f>B339/$H$339</f>
        <v>0.61538461538461542</v>
      </c>
      <c r="F339" s="19">
        <f t="shared" ref="F339:G339" si="1083">C339/$H$339</f>
        <v>0.61538461538461542</v>
      </c>
      <c r="G339" s="19">
        <f t="shared" si="1083"/>
        <v>0.53846153846153844</v>
      </c>
      <c r="H339" s="83">
        <v>13</v>
      </c>
      <c r="I339" s="190">
        <f>AVERAGEA(B339:D339)</f>
        <v>7.666666666666667</v>
      </c>
      <c r="J339" s="176">
        <f>STDEVA(B339:D339)</f>
        <v>0.57735026918962584</v>
      </c>
      <c r="K339" s="19">
        <f>I339/H339</f>
        <v>0.58974358974358976</v>
      </c>
    </row>
    <row r="340" spans="1:11">
      <c r="A340" t="s">
        <v>36</v>
      </c>
      <c r="B340">
        <f>SUM(DR15:DR16)</f>
        <v>1</v>
      </c>
      <c r="C340">
        <f t="shared" ref="C340:D340" si="1084">SUM(DS15:DS16)</f>
        <v>1</v>
      </c>
      <c r="D340">
        <f t="shared" si="1084"/>
        <v>1</v>
      </c>
      <c r="E340" s="19">
        <f>B340/$H$340</f>
        <v>0.5</v>
      </c>
      <c r="F340" s="19">
        <f t="shared" ref="F340:G340" si="1085">C340/$H$340</f>
        <v>0.5</v>
      </c>
      <c r="G340" s="19">
        <f t="shared" si="1085"/>
        <v>0.5</v>
      </c>
      <c r="H340" s="83">
        <v>2</v>
      </c>
      <c r="I340" s="190">
        <f t="shared" ref="I340:I352" si="1086">AVERAGEA(B340:D340)</f>
        <v>1</v>
      </c>
      <c r="J340" s="176">
        <f t="shared" ref="J340:J352" si="1087">STDEVA(B340:D340)</f>
        <v>0</v>
      </c>
      <c r="K340" s="19">
        <f t="shared" ref="K340:K352" si="1088">I340/H340</f>
        <v>0.5</v>
      </c>
    </row>
    <row r="341" spans="1:11">
      <c r="A341" t="s">
        <v>46</v>
      </c>
      <c r="B341">
        <f>SUM(DR17)</f>
        <v>0</v>
      </c>
      <c r="C341">
        <f t="shared" ref="C341:D341" si="1089">SUM(DS17)</f>
        <v>0</v>
      </c>
      <c r="D341">
        <f t="shared" si="1089"/>
        <v>0</v>
      </c>
      <c r="E341" s="19">
        <f>B341/$H$341</f>
        <v>0</v>
      </c>
      <c r="F341" s="19">
        <f t="shared" ref="F341:G341" si="1090">C341/$H$341</f>
        <v>0</v>
      </c>
      <c r="G341" s="19">
        <f t="shared" si="1090"/>
        <v>0</v>
      </c>
      <c r="H341" s="83">
        <v>1</v>
      </c>
      <c r="I341" s="190">
        <f t="shared" si="1086"/>
        <v>0</v>
      </c>
      <c r="J341" s="176">
        <f t="shared" si="1087"/>
        <v>0</v>
      </c>
      <c r="K341" s="19">
        <f>I341/H341</f>
        <v>0</v>
      </c>
    </row>
    <row r="342" spans="1:11">
      <c r="A342" t="s">
        <v>37</v>
      </c>
      <c r="B342">
        <f>SUM(DR18:DR27)</f>
        <v>6</v>
      </c>
      <c r="C342">
        <f t="shared" ref="C342:D342" si="1091">SUM(DS18:DS27)</f>
        <v>6</v>
      </c>
      <c r="D342">
        <f t="shared" si="1091"/>
        <v>5</v>
      </c>
      <c r="E342" s="19">
        <f>B342/$H$342</f>
        <v>0.6</v>
      </c>
      <c r="F342" s="19">
        <f t="shared" ref="F342:G342" si="1092">C342/$H$342</f>
        <v>0.6</v>
      </c>
      <c r="G342" s="19">
        <f t="shared" si="1092"/>
        <v>0.5</v>
      </c>
      <c r="H342" s="83">
        <v>10</v>
      </c>
      <c r="I342" s="190">
        <f t="shared" si="1086"/>
        <v>5.666666666666667</v>
      </c>
      <c r="J342" s="176">
        <f t="shared" si="1087"/>
        <v>0.57735026918962584</v>
      </c>
      <c r="K342" s="19">
        <f t="shared" si="1088"/>
        <v>0.56666666666666665</v>
      </c>
    </row>
    <row r="343" spans="1:11">
      <c r="A343" t="s">
        <v>38</v>
      </c>
      <c r="B343">
        <f>SUM(DR28:DR74)</f>
        <v>27</v>
      </c>
      <c r="C343">
        <f t="shared" ref="C343:D343" si="1093">SUM(DS28:DS74)</f>
        <v>26</v>
      </c>
      <c r="D343">
        <f t="shared" si="1093"/>
        <v>25</v>
      </c>
      <c r="E343" s="19">
        <f>B343/$H$343</f>
        <v>0.57446808510638303</v>
      </c>
      <c r="F343" s="19">
        <f t="shared" ref="F343:G343" si="1094">C343/$H$343</f>
        <v>0.55319148936170215</v>
      </c>
      <c r="G343" s="19">
        <f t="shared" si="1094"/>
        <v>0.53191489361702127</v>
      </c>
      <c r="H343" s="83">
        <v>47</v>
      </c>
      <c r="I343" s="190">
        <f t="shared" si="1086"/>
        <v>26</v>
      </c>
      <c r="J343" s="176">
        <f t="shared" si="1087"/>
        <v>1</v>
      </c>
      <c r="K343" s="19">
        <f t="shared" si="1088"/>
        <v>0.55319148936170215</v>
      </c>
    </row>
    <row r="344" spans="1:11">
      <c r="A344" t="s">
        <v>39</v>
      </c>
      <c r="B344">
        <f>SUM(DR75)</f>
        <v>1</v>
      </c>
      <c r="C344">
        <f t="shared" ref="C344:D344" si="1095">SUM(DS75)</f>
        <v>1</v>
      </c>
      <c r="D344">
        <f t="shared" si="1095"/>
        <v>1</v>
      </c>
      <c r="E344" s="19">
        <f>B344/$H$344</f>
        <v>1</v>
      </c>
      <c r="F344" s="19">
        <f t="shared" ref="F344:G344" si="1096">C344/$H$344</f>
        <v>1</v>
      </c>
      <c r="G344" s="19">
        <f t="shared" si="1096"/>
        <v>1</v>
      </c>
      <c r="H344" s="83">
        <v>1</v>
      </c>
      <c r="I344" s="190">
        <f t="shared" si="1086"/>
        <v>1</v>
      </c>
      <c r="J344" s="176">
        <f t="shared" si="1087"/>
        <v>0</v>
      </c>
      <c r="K344" s="19">
        <f t="shared" si="1088"/>
        <v>1</v>
      </c>
    </row>
    <row r="345" spans="1:11">
      <c r="A345" t="s">
        <v>40</v>
      </c>
      <c r="B345">
        <f>SUM(DR76)</f>
        <v>0</v>
      </c>
      <c r="C345">
        <f t="shared" ref="C345:D345" si="1097">SUM(DS76)</f>
        <v>0</v>
      </c>
      <c r="D345">
        <f t="shared" si="1097"/>
        <v>0</v>
      </c>
      <c r="E345" s="19">
        <f>B345/$H$345</f>
        <v>0</v>
      </c>
      <c r="F345" s="19">
        <f t="shared" ref="F345:G345" si="1098">C345/$H$345</f>
        <v>0</v>
      </c>
      <c r="G345" s="19">
        <f t="shared" si="1098"/>
        <v>0</v>
      </c>
      <c r="H345" s="83">
        <v>1</v>
      </c>
      <c r="I345" s="190">
        <f t="shared" si="1086"/>
        <v>0</v>
      </c>
      <c r="J345" s="176">
        <f t="shared" si="1087"/>
        <v>0</v>
      </c>
      <c r="K345" s="19">
        <f t="shared" si="1088"/>
        <v>0</v>
      </c>
    </row>
    <row r="346" spans="1:11">
      <c r="A346" t="s">
        <v>41</v>
      </c>
      <c r="B346">
        <f>SUM(DR77:DR80)</f>
        <v>2</v>
      </c>
      <c r="C346">
        <f t="shared" ref="C346:D346" si="1099">SUM(DS77:DS80)</f>
        <v>2</v>
      </c>
      <c r="D346">
        <f t="shared" si="1099"/>
        <v>2</v>
      </c>
      <c r="E346" s="19">
        <f>B346/$H$346</f>
        <v>0.5</v>
      </c>
      <c r="F346" s="19">
        <f t="shared" ref="F346:G346" si="1100">C346/$H$346</f>
        <v>0.5</v>
      </c>
      <c r="G346" s="19">
        <f t="shared" si="1100"/>
        <v>0.5</v>
      </c>
      <c r="H346" s="83">
        <v>4</v>
      </c>
      <c r="I346" s="190">
        <f t="shared" si="1086"/>
        <v>2</v>
      </c>
      <c r="J346" s="176">
        <f t="shared" si="1087"/>
        <v>0</v>
      </c>
      <c r="K346" s="19">
        <f t="shared" si="1088"/>
        <v>0.5</v>
      </c>
    </row>
    <row r="347" spans="1:11">
      <c r="A347" t="s">
        <v>34</v>
      </c>
      <c r="B347">
        <f>SUM(DR81:DR84)</f>
        <v>2</v>
      </c>
      <c r="C347">
        <f t="shared" ref="C347:D347" si="1101">SUM(DS81:DS84)</f>
        <v>2</v>
      </c>
      <c r="D347">
        <f t="shared" si="1101"/>
        <v>3</v>
      </c>
      <c r="E347" s="19">
        <f>B347/$H$347</f>
        <v>0.5</v>
      </c>
      <c r="F347" s="19">
        <f t="shared" ref="F347:G347" si="1102">C347/$H$347</f>
        <v>0.5</v>
      </c>
      <c r="G347" s="19">
        <f t="shared" si="1102"/>
        <v>0.75</v>
      </c>
      <c r="H347" s="83">
        <v>4</v>
      </c>
      <c r="I347" s="190">
        <f t="shared" si="1086"/>
        <v>2.3333333333333335</v>
      </c>
      <c r="J347" s="176">
        <f t="shared" si="1087"/>
        <v>0.57735026918962629</v>
      </c>
      <c r="K347" s="19">
        <f t="shared" si="1088"/>
        <v>0.58333333333333337</v>
      </c>
    </row>
    <row r="348" spans="1:11">
      <c r="A348" t="s">
        <v>42</v>
      </c>
      <c r="B348">
        <f>SUM(DR85)</f>
        <v>1</v>
      </c>
      <c r="C348">
        <f t="shared" ref="C348:D348" si="1103">SUM(DS85)</f>
        <v>1</v>
      </c>
      <c r="D348">
        <f t="shared" si="1103"/>
        <v>1</v>
      </c>
      <c r="E348" s="19">
        <f>B348/$H$348</f>
        <v>1</v>
      </c>
      <c r="F348" s="19">
        <f t="shared" ref="F348:G348" si="1104">C348/$H$348</f>
        <v>1</v>
      </c>
      <c r="G348" s="19">
        <f t="shared" si="1104"/>
        <v>1</v>
      </c>
      <c r="H348" s="83">
        <v>1</v>
      </c>
      <c r="I348" s="190">
        <f t="shared" si="1086"/>
        <v>1</v>
      </c>
      <c r="J348" s="176">
        <f t="shared" si="1087"/>
        <v>0</v>
      </c>
      <c r="K348" s="19">
        <f t="shared" si="1088"/>
        <v>1</v>
      </c>
    </row>
    <row r="349" spans="1:11">
      <c r="A349" t="s">
        <v>43</v>
      </c>
      <c r="B349">
        <f>SUM(DR86)</f>
        <v>1</v>
      </c>
      <c r="C349">
        <f t="shared" ref="C349:D349" si="1105">SUM(DS86)</f>
        <v>1</v>
      </c>
      <c r="D349">
        <f t="shared" si="1105"/>
        <v>1</v>
      </c>
      <c r="E349" s="19">
        <f>B349/$H$349</f>
        <v>1</v>
      </c>
      <c r="F349" s="19">
        <f t="shared" ref="F349:G349" si="1106">C349/$H$349</f>
        <v>1</v>
      </c>
      <c r="G349" s="19">
        <f t="shared" si="1106"/>
        <v>1</v>
      </c>
      <c r="H349" s="83">
        <v>1</v>
      </c>
      <c r="I349" s="190">
        <f t="shared" si="1086"/>
        <v>1</v>
      </c>
      <c r="J349" s="176">
        <f t="shared" si="1087"/>
        <v>0</v>
      </c>
      <c r="K349" s="19">
        <f t="shared" si="1088"/>
        <v>1</v>
      </c>
    </row>
    <row r="350" spans="1:11">
      <c r="A350" t="s">
        <v>44</v>
      </c>
      <c r="B350">
        <f>SUM(DR87:DR93)</f>
        <v>4</v>
      </c>
      <c r="C350">
        <f t="shared" ref="C350:D350" si="1107">SUM(DS87:DS93)</f>
        <v>4</v>
      </c>
      <c r="D350">
        <f t="shared" si="1107"/>
        <v>5</v>
      </c>
      <c r="E350" s="19">
        <f>B350/$H$350</f>
        <v>0.5714285714285714</v>
      </c>
      <c r="F350" s="19">
        <f t="shared" ref="F350:G350" si="1108">C350/$H$350</f>
        <v>0.5714285714285714</v>
      </c>
      <c r="G350" s="19">
        <f t="shared" si="1108"/>
        <v>0.7142857142857143</v>
      </c>
      <c r="H350" s="83">
        <v>7</v>
      </c>
      <c r="I350" s="190">
        <f t="shared" si="1086"/>
        <v>4.333333333333333</v>
      </c>
      <c r="J350" s="176">
        <f t="shared" si="1087"/>
        <v>0.57735026918962473</v>
      </c>
      <c r="K350" s="19">
        <f t="shared" si="1088"/>
        <v>0.61904761904761896</v>
      </c>
    </row>
    <row r="351" spans="1:11">
      <c r="A351" t="s">
        <v>45</v>
      </c>
      <c r="B351">
        <f>SUM(DR94)</f>
        <v>1</v>
      </c>
      <c r="C351">
        <f t="shared" ref="C351:D351" si="1109">SUM(DS94)</f>
        <v>0</v>
      </c>
      <c r="D351">
        <f t="shared" si="1109"/>
        <v>1</v>
      </c>
      <c r="E351" s="19">
        <f>B351/$H$351</f>
        <v>1</v>
      </c>
      <c r="F351" s="19">
        <f t="shared" ref="F351:G351" si="1110">C351/$H$351</f>
        <v>0</v>
      </c>
      <c r="G351" s="19">
        <f t="shared" si="1110"/>
        <v>1</v>
      </c>
      <c r="H351" s="83">
        <v>1</v>
      </c>
      <c r="I351" s="190">
        <f t="shared" si="1086"/>
        <v>0.66666666666666663</v>
      </c>
      <c r="J351" s="176">
        <f t="shared" si="1087"/>
        <v>0.57735026918962584</v>
      </c>
      <c r="K351" s="19">
        <f t="shared" si="1088"/>
        <v>0.66666666666666663</v>
      </c>
    </row>
    <row r="352" spans="1:11">
      <c r="A352" t="s">
        <v>376</v>
      </c>
      <c r="B352">
        <f>SUM(B339:B351)</f>
        <v>54</v>
      </c>
      <c r="C352">
        <f t="shared" ref="C352:H352" si="1111">SUM(C339:C351)</f>
        <v>52</v>
      </c>
      <c r="D352">
        <f t="shared" si="1111"/>
        <v>52</v>
      </c>
      <c r="E352" s="19">
        <f>B352/$H$352</f>
        <v>0.58064516129032262</v>
      </c>
      <c r="F352" s="19">
        <f t="shared" ref="F352:G352" si="1112">C352/$H$352</f>
        <v>0.55913978494623651</v>
      </c>
      <c r="G352" s="19">
        <f t="shared" si="1112"/>
        <v>0.55913978494623651</v>
      </c>
      <c r="H352" s="83">
        <f t="shared" si="1111"/>
        <v>93</v>
      </c>
      <c r="I352" s="190">
        <f t="shared" si="1086"/>
        <v>52.666666666666664</v>
      </c>
      <c r="J352" s="176">
        <f t="shared" si="1087"/>
        <v>1.1547005383792517</v>
      </c>
      <c r="K352" s="19">
        <f t="shared" si="1088"/>
        <v>0.56630824372759858</v>
      </c>
    </row>
    <row r="356" spans="1:12">
      <c r="A356" t="s">
        <v>560</v>
      </c>
    </row>
    <row r="357" spans="1:12">
      <c r="B357">
        <v>2015</v>
      </c>
      <c r="C357">
        <v>2016</v>
      </c>
      <c r="D357">
        <v>2017</v>
      </c>
      <c r="E357" t="s">
        <v>561</v>
      </c>
      <c r="F357" t="s">
        <v>562</v>
      </c>
    </row>
    <row r="358" spans="1:12">
      <c r="A358" t="s">
        <v>31</v>
      </c>
      <c r="B358" s="15">
        <f>AVERAGEA(CV2:CV14)</f>
        <v>1.4852899877899877</v>
      </c>
      <c r="C358" s="15">
        <f t="shared" ref="C358:D358" si="1113">AVERAGEA(CW2:CW14)</f>
        <v>2.8528430448319111</v>
      </c>
      <c r="D358" s="15">
        <f t="shared" si="1113"/>
        <v>3.7068124205978461</v>
      </c>
      <c r="E358" s="49">
        <v>278.53846153846155</v>
      </c>
      <c r="F358">
        <f>E358*B358</f>
        <v>413.71038813750351</v>
      </c>
      <c r="G358">
        <f t="shared" ref="G358:H358" si="1114">F358*C358</f>
        <v>1180.2508033727872</v>
      </c>
      <c r="H358" s="83">
        <f t="shared" si="1114"/>
        <v>4374.9683373628341</v>
      </c>
      <c r="J358" s="83">
        <v>340.25699300699301</v>
      </c>
      <c r="K358">
        <v>888.44047202797196</v>
      </c>
      <c r="L358">
        <v>1159.5188811188812</v>
      </c>
    </row>
    <row r="359" spans="1:12">
      <c r="A359" t="s">
        <v>36</v>
      </c>
      <c r="B359" s="15">
        <f>AVERAGEA(CV15:CV16)</f>
        <v>0.59090909090909094</v>
      </c>
      <c r="C359" s="15">
        <f t="shared" ref="C359:D359" si="1115">AVERAGEA(CW15:CW16)</f>
        <v>9.4409090909090914</v>
      </c>
      <c r="D359" s="15">
        <f t="shared" si="1115"/>
        <v>11.254545454545456</v>
      </c>
      <c r="E359" s="49">
        <v>30.5</v>
      </c>
      <c r="F359">
        <f t="shared" ref="F359:F371" si="1116">E359*B359</f>
        <v>18.022727272727273</v>
      </c>
      <c r="G359">
        <f t="shared" ref="G359:G371" si="1117">F359*C359</f>
        <v>170.15092975206613</v>
      </c>
      <c r="H359" s="83">
        <f t="shared" ref="H359:H371" si="1118">G359*D359</f>
        <v>1914.971373027799</v>
      </c>
      <c r="J359" s="83">
        <v>6.5</v>
      </c>
      <c r="K359">
        <v>449</v>
      </c>
      <c r="L359">
        <v>545</v>
      </c>
    </row>
    <row r="360" spans="1:12">
      <c r="A360" t="s">
        <v>46</v>
      </c>
      <c r="B360" s="15">
        <f>AVERAGEA(CV17)</f>
        <v>0</v>
      </c>
      <c r="C360" s="15">
        <f t="shared" ref="C360:D360" si="1119">AVERAGEA(CW17)</f>
        <v>0</v>
      </c>
      <c r="D360" s="15">
        <f t="shared" si="1119"/>
        <v>0</v>
      </c>
      <c r="E360" s="27">
        <v>21</v>
      </c>
      <c r="F360">
        <f t="shared" si="1116"/>
        <v>0</v>
      </c>
      <c r="G360">
        <f t="shared" si="1117"/>
        <v>0</v>
      </c>
      <c r="H360" s="83">
        <f t="shared" si="1118"/>
        <v>0</v>
      </c>
      <c r="J360" s="83">
        <v>0</v>
      </c>
      <c r="K360">
        <v>0</v>
      </c>
      <c r="L360">
        <v>0</v>
      </c>
    </row>
    <row r="361" spans="1:12">
      <c r="A361" t="s">
        <v>37</v>
      </c>
      <c r="B361" s="15">
        <f>AVERAGEA(CV18:CV27)</f>
        <v>1.1804920384076953</v>
      </c>
      <c r="C361" s="15">
        <f t="shared" ref="C361:D361" si="1120">AVERAGEA(CW18:CW27)</f>
        <v>1.5148431689825195</v>
      </c>
      <c r="D361" s="15">
        <f t="shared" si="1120"/>
        <v>2.4033697751539438</v>
      </c>
      <c r="E361" s="49">
        <v>175.5</v>
      </c>
      <c r="F361">
        <f t="shared" si="1116"/>
        <v>207.17635274055053</v>
      </c>
      <c r="G361">
        <f t="shared" si="1117"/>
        <v>313.83968272373585</v>
      </c>
      <c r="H361" s="83">
        <f t="shared" si="1118"/>
        <v>754.27280770213008</v>
      </c>
      <c r="J361" s="83">
        <v>307.30644171779142</v>
      </c>
      <c r="K361">
        <v>452.17269938650304</v>
      </c>
      <c r="L361">
        <v>556.06042944785281</v>
      </c>
    </row>
    <row r="362" spans="1:12">
      <c r="A362" t="s">
        <v>38</v>
      </c>
      <c r="B362" s="15">
        <f>AVERAGEA(CV28:CV74)</f>
        <v>1.2738939534213318</v>
      </c>
      <c r="C362" s="15">
        <f t="shared" ref="C362:D362" si="1121">AVERAGEA(CW28:CW74)</f>
        <v>2.0144756675861215</v>
      </c>
      <c r="D362" s="15">
        <f t="shared" si="1121"/>
        <v>2.4161292939897692</v>
      </c>
      <c r="E362" s="49">
        <v>155.93617021276594</v>
      </c>
      <c r="F362">
        <f t="shared" si="1116"/>
        <v>198.64614435372212</v>
      </c>
      <c r="G362">
        <f t="shared" si="1117"/>
        <v>400.16782426037344</v>
      </c>
      <c r="H362" s="83">
        <f t="shared" si="1118"/>
        <v>966.85720270763807</v>
      </c>
      <c r="J362" s="83">
        <v>328.91489361702128</v>
      </c>
      <c r="K362">
        <v>447.87470449172571</v>
      </c>
      <c r="L362">
        <v>535.53900709219852</v>
      </c>
    </row>
    <row r="363" spans="1:12">
      <c r="A363" t="s">
        <v>39</v>
      </c>
      <c r="B363" s="15">
        <f>AVERAGEA(CV75)</f>
        <v>0.87368421052631584</v>
      </c>
      <c r="C363" s="15">
        <f t="shared" ref="C363:D363" si="1122">AVERAGEA(CW75)</f>
        <v>2.4421052631578948</v>
      </c>
      <c r="D363" s="15">
        <f t="shared" si="1122"/>
        <v>2.3473684210526318</v>
      </c>
      <c r="E363" s="49">
        <v>95</v>
      </c>
      <c r="F363">
        <f t="shared" si="1116"/>
        <v>83</v>
      </c>
      <c r="G363">
        <f t="shared" si="1117"/>
        <v>202.69473684210527</v>
      </c>
      <c r="H363" s="83">
        <f t="shared" si="1118"/>
        <v>475.79922437673139</v>
      </c>
      <c r="J363" s="83">
        <v>83</v>
      </c>
      <c r="K363">
        <v>232</v>
      </c>
      <c r="L363">
        <v>223</v>
      </c>
    </row>
    <row r="364" spans="1:12">
      <c r="A364" t="s">
        <v>40</v>
      </c>
      <c r="B364" s="15">
        <f>AVERAGEA(CV76)</f>
        <v>0</v>
      </c>
      <c r="C364" s="15">
        <f t="shared" ref="C364:D364" si="1123">AVERAGEA(CW76)</f>
        <v>0</v>
      </c>
      <c r="D364" s="15">
        <f t="shared" si="1123"/>
        <v>0</v>
      </c>
      <c r="E364" s="27">
        <v>50</v>
      </c>
      <c r="F364">
        <f t="shared" si="1116"/>
        <v>0</v>
      </c>
      <c r="G364">
        <f t="shared" si="1117"/>
        <v>0</v>
      </c>
      <c r="H364" s="83">
        <f t="shared" si="1118"/>
        <v>0</v>
      </c>
      <c r="J364" s="83">
        <v>0</v>
      </c>
      <c r="K364">
        <v>0</v>
      </c>
      <c r="L364">
        <v>0</v>
      </c>
    </row>
    <row r="365" spans="1:12">
      <c r="A365" t="s">
        <v>41</v>
      </c>
      <c r="B365" s="15">
        <f>AVERAGEA(CV77:CV80)</f>
        <v>2.6037584577073671</v>
      </c>
      <c r="C365" s="15">
        <f t="shared" ref="C365:D365" si="1124">AVERAGEA(CW77:CW80)</f>
        <v>3.1517513734388398</v>
      </c>
      <c r="D365" s="15">
        <f t="shared" si="1124"/>
        <v>3.9075291002473826</v>
      </c>
      <c r="E365" s="49">
        <v>55.25</v>
      </c>
      <c r="F365">
        <f t="shared" si="1116"/>
        <v>143.85765478833204</v>
      </c>
      <c r="G365">
        <f t="shared" si="1117"/>
        <v>453.40356105881602</v>
      </c>
      <c r="H365" s="83">
        <f t="shared" si="1118"/>
        <v>1771.6876089931145</v>
      </c>
      <c r="J365" s="83">
        <v>103.86808024377856</v>
      </c>
      <c r="K365">
        <v>138.27704418486542</v>
      </c>
      <c r="L365">
        <v>161.81729304215338</v>
      </c>
    </row>
    <row r="366" spans="1:12">
      <c r="A366" t="s">
        <v>34</v>
      </c>
      <c r="B366" s="15">
        <f>AVERAGEA(CV81:CV84)</f>
        <v>2.7095376984126984</v>
      </c>
      <c r="C366" s="15">
        <f t="shared" ref="C366:D366" si="1125">AVERAGEA(CW81:CW84)</f>
        <v>3.9679325396825398</v>
      </c>
      <c r="D366" s="15">
        <f t="shared" si="1125"/>
        <v>4.77621626984127</v>
      </c>
      <c r="E366" s="27">
        <v>220</v>
      </c>
      <c r="F366">
        <f t="shared" si="1116"/>
        <v>596.09829365079361</v>
      </c>
      <c r="G366">
        <f t="shared" si="1117"/>
        <v>2365.2778162262221</v>
      </c>
      <c r="H366" s="83">
        <f t="shared" si="1118"/>
        <v>11297.078388554311</v>
      </c>
      <c r="J366" s="83">
        <v>697.45749999999998</v>
      </c>
      <c r="K366">
        <v>930.05500000000006</v>
      </c>
      <c r="L366">
        <v>1129.0925</v>
      </c>
    </row>
    <row r="367" spans="1:12">
      <c r="A367" t="s">
        <v>42</v>
      </c>
      <c r="B367" s="15">
        <f>AVERAGEA(CV85)</f>
        <v>1.4782608695652173</v>
      </c>
      <c r="C367" s="15">
        <f t="shared" ref="C367:D367" si="1126">AVERAGEA(CW85)</f>
        <v>2.9130434782608696</v>
      </c>
      <c r="D367" s="15">
        <f t="shared" si="1126"/>
        <v>4.4130434782608692</v>
      </c>
      <c r="E367" s="27">
        <v>92</v>
      </c>
      <c r="F367">
        <f t="shared" si="1116"/>
        <v>136</v>
      </c>
      <c r="G367">
        <f t="shared" si="1117"/>
        <v>396.17391304347825</v>
      </c>
      <c r="H367" s="83">
        <f t="shared" si="1118"/>
        <v>1748.3327032136103</v>
      </c>
      <c r="J367" s="83">
        <v>136</v>
      </c>
      <c r="K367">
        <v>268</v>
      </c>
      <c r="L367">
        <v>406</v>
      </c>
    </row>
    <row r="368" spans="1:12">
      <c r="A368" t="s">
        <v>43</v>
      </c>
      <c r="B368" s="15">
        <f>AVERAGEA(CV86)</f>
        <v>3.4761904761904763</v>
      </c>
      <c r="C368" s="15">
        <f t="shared" ref="C368:D368" si="1127">AVERAGEA(CW86)</f>
        <v>3.2476190476190476</v>
      </c>
      <c r="D368" s="15">
        <f t="shared" si="1127"/>
        <v>6.2285714285714286</v>
      </c>
      <c r="E368" s="27">
        <v>105</v>
      </c>
      <c r="F368">
        <f t="shared" si="1116"/>
        <v>365</v>
      </c>
      <c r="G368">
        <f t="shared" si="1117"/>
        <v>1185.3809523809523</v>
      </c>
      <c r="H368" s="83">
        <f t="shared" si="1118"/>
        <v>7383.229931972789</v>
      </c>
      <c r="J368" s="83">
        <v>365</v>
      </c>
      <c r="K368">
        <v>341</v>
      </c>
      <c r="L368">
        <v>654</v>
      </c>
    </row>
    <row r="369" spans="1:12">
      <c r="A369" t="s">
        <v>44</v>
      </c>
      <c r="B369" s="15">
        <f>AVERAGEA(CV87:CV93)</f>
        <v>3.6220698467166863</v>
      </c>
      <c r="C369" s="15">
        <f t="shared" ref="C369:D369" si="1128">AVERAGEA(CW87:CW93)</f>
        <v>5.4550087531478084</v>
      </c>
      <c r="D369" s="15">
        <f t="shared" si="1128"/>
        <v>6.3687715447394968</v>
      </c>
      <c r="E369" s="49">
        <v>164.28571428571428</v>
      </c>
      <c r="F369">
        <f t="shared" si="1116"/>
        <v>595.05433196059846</v>
      </c>
      <c r="G369">
        <f t="shared" si="1117"/>
        <v>3246.0265894435861</v>
      </c>
      <c r="H369" s="83">
        <f t="shared" si="1118"/>
        <v>20673.201776316109</v>
      </c>
      <c r="J369" s="83">
        <v>713.80714285714282</v>
      </c>
      <c r="K369">
        <v>1010.5021428571429</v>
      </c>
      <c r="L369">
        <v>1086.8361904761905</v>
      </c>
    </row>
    <row r="370" spans="1:12">
      <c r="A370" t="s">
        <v>45</v>
      </c>
      <c r="B370" s="15">
        <f>AVERAGEA(CV94)</f>
        <v>3.5540540540540539</v>
      </c>
      <c r="C370" s="15">
        <f t="shared" ref="C370:D370" si="1129">AVERAGEA(CW94)</f>
        <v>4.3810810810810814</v>
      </c>
      <c r="D370" s="15">
        <f t="shared" si="1129"/>
        <v>4.5621621621621617</v>
      </c>
      <c r="E370" s="27">
        <v>70</v>
      </c>
      <c r="F370">
        <f t="shared" si="1116"/>
        <v>248.78378378378378</v>
      </c>
      <c r="G370">
        <f>F370*C370</f>
        <v>1089.9419284149014</v>
      </c>
      <c r="H370" s="83">
        <f t="shared" si="1118"/>
        <v>4972.4918247685227</v>
      </c>
      <c r="J370" s="83">
        <v>248.78378378378378</v>
      </c>
      <c r="K370">
        <v>306.67567567567568</v>
      </c>
      <c r="L370">
        <v>319.3513513513513</v>
      </c>
    </row>
    <row r="371" spans="1:12">
      <c r="A371" t="s">
        <v>376</v>
      </c>
      <c r="B371" s="15">
        <f>AVERAGEA(CV2:CV94)</f>
        <v>1.5931009395677496</v>
      </c>
      <c r="C371" s="15">
        <f t="shared" ref="C371:D371" si="1130">AVERAGEA(CW2:CW94)</f>
        <v>2.6391958239316664</v>
      </c>
      <c r="D371" s="15">
        <f t="shared" si="1130"/>
        <v>3.2812575777365556</v>
      </c>
      <c r="E371" s="54">
        <v>166.12903225806451</v>
      </c>
      <c r="F371">
        <f t="shared" si="1116"/>
        <v>264.66031737980353</v>
      </c>
      <c r="G371">
        <f t="shared" si="1117"/>
        <v>698.4904043892069</v>
      </c>
      <c r="H371" s="83">
        <f t="shared" si="1118"/>
        <v>2291.926932378356</v>
      </c>
    </row>
  </sheetData>
  <autoFilter ref="A1:BC94" xr:uid="{906BC3CE-B1FA-3546-990B-60280E824C9E}">
    <sortState xmlns:xlrd2="http://schemas.microsoft.com/office/spreadsheetml/2017/richdata2" ref="A2:BC94">
      <sortCondition ref="C1:C94"/>
    </sortState>
  </autoFilter>
  <mergeCells count="45">
    <mergeCell ref="AW149:AX149"/>
    <mergeCell ref="AW183:AX183"/>
    <mergeCell ref="ED115:EF115"/>
    <mergeCell ref="EH109:EJ109"/>
    <mergeCell ref="EH110:EJ110"/>
    <mergeCell ref="EH111:EJ111"/>
    <mergeCell ref="EH112:EJ112"/>
    <mergeCell ref="EH113:EJ113"/>
    <mergeCell ref="EH114:EJ114"/>
    <mergeCell ref="EH115:EJ115"/>
    <mergeCell ref="ED109:EF109"/>
    <mergeCell ref="ED110:EF110"/>
    <mergeCell ref="ED111:EF111"/>
    <mergeCell ref="ED112:EF112"/>
    <mergeCell ref="ED113:EF113"/>
    <mergeCell ref="ED114:EF114"/>
    <mergeCell ref="AP166:AQ166"/>
    <mergeCell ref="AR166:AS166"/>
    <mergeCell ref="AT166:AU166"/>
    <mergeCell ref="AP200:AQ200"/>
    <mergeCell ref="AR200:AS200"/>
    <mergeCell ref="AP217:AQ217"/>
    <mergeCell ref="AR217:AS217"/>
    <mergeCell ref="AT217:AU217"/>
    <mergeCell ref="AW217:AX217"/>
    <mergeCell ref="AP183:AQ183"/>
    <mergeCell ref="AR183:AS183"/>
    <mergeCell ref="AT183:AU183"/>
    <mergeCell ref="AT200:AU200"/>
    <mergeCell ref="AW200:AX200"/>
    <mergeCell ref="AP149:AQ149"/>
    <mergeCell ref="AR149:AS149"/>
    <mergeCell ref="AT149:AU149"/>
    <mergeCell ref="AP132:AQ132"/>
    <mergeCell ref="AR132:AS132"/>
    <mergeCell ref="AT132:AU132"/>
    <mergeCell ref="AW132:AX132"/>
    <mergeCell ref="AW98:AX98"/>
    <mergeCell ref="AP98:AQ98"/>
    <mergeCell ref="AR98:AS98"/>
    <mergeCell ref="AT98:AU98"/>
    <mergeCell ref="AW115:AX115"/>
    <mergeCell ref="AP115:AQ115"/>
    <mergeCell ref="AR115:AS115"/>
    <mergeCell ref="AT115:AU115"/>
  </mergeCells>
  <phoneticPr fontId="3" type="noConversion"/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DDAE-015F-0E41-98CE-DA278C9D70F0}">
  <sheetPr>
    <tabColor rgb="FFD3A2EB"/>
  </sheetPr>
  <dimension ref="A1:EH352"/>
  <sheetViews>
    <sheetView topLeftCell="BR108" zoomScale="75" workbookViewId="0">
      <selection activeCell="AZ119" sqref="AZ119:AZ126"/>
    </sheetView>
  </sheetViews>
  <sheetFormatPr baseColWidth="10" defaultColWidth="11" defaultRowHeight="16"/>
  <cols>
    <col min="1" max="1" width="45.5" bestFit="1" customWidth="1"/>
    <col min="2" max="2" width="16.33203125" bestFit="1" customWidth="1"/>
    <col min="3" max="6" width="27.1640625" bestFit="1" customWidth="1"/>
    <col min="7" max="9" width="15.1640625" bestFit="1" customWidth="1"/>
    <col min="10" max="13" width="27.1640625" bestFit="1" customWidth="1"/>
    <col min="14" max="15" width="15.1640625" bestFit="1" customWidth="1"/>
    <col min="16" max="16" width="14.83203125" bestFit="1" customWidth="1"/>
    <col min="17" max="20" width="27.1640625" bestFit="1" customWidth="1"/>
    <col min="21" max="21" width="15" bestFit="1" customWidth="1"/>
    <col min="22" max="23" width="14.33203125" bestFit="1" customWidth="1"/>
    <col min="24" max="27" width="27.1640625" bestFit="1" customWidth="1"/>
    <col min="28" max="28" width="18.1640625" bestFit="1" customWidth="1"/>
    <col min="29" max="29" width="13.6640625" bestFit="1" customWidth="1"/>
    <col min="30" max="33" width="27.1640625" bestFit="1" customWidth="1"/>
    <col min="34" max="34" width="18" bestFit="1" customWidth="1"/>
    <col min="35" max="35" width="18.1640625" bestFit="1" customWidth="1"/>
    <col min="36" max="39" width="27.1640625" bestFit="1" customWidth="1"/>
    <col min="40" max="40" width="18.33203125" bestFit="1" customWidth="1"/>
    <col min="41" max="41" width="14.6640625" bestFit="1" customWidth="1"/>
    <col min="42" max="45" width="27.1640625" bestFit="1" customWidth="1"/>
    <col min="46" max="47" width="23.1640625" bestFit="1" customWidth="1"/>
    <col min="48" max="51" width="27.1640625" bestFit="1" customWidth="1"/>
    <col min="52" max="53" width="13" bestFit="1" customWidth="1"/>
    <col min="54" max="57" width="27.1640625" bestFit="1" customWidth="1"/>
    <col min="58" max="58" width="13" bestFit="1" customWidth="1"/>
    <col min="60" max="60" width="13" bestFit="1" customWidth="1"/>
    <col min="61" max="61" width="15.6640625" bestFit="1" customWidth="1"/>
    <col min="62" max="62" width="16.1640625" bestFit="1" customWidth="1"/>
    <col min="63" max="63" width="15.6640625" bestFit="1" customWidth="1"/>
    <col min="64" max="64" width="11.33203125" bestFit="1" customWidth="1"/>
    <col min="65" max="65" width="27.1640625" bestFit="1" customWidth="1"/>
    <col min="66" max="66" width="27.1640625" style="183" bestFit="1" customWidth="1"/>
    <col min="67" max="67" width="27.1640625" style="83" bestFit="1" customWidth="1"/>
    <col min="68" max="68" width="27.1640625" style="184" bestFit="1" customWidth="1"/>
    <col min="69" max="69" width="16.6640625" style="183" bestFit="1" customWidth="1"/>
    <col min="70" max="70" width="16.6640625" style="83" bestFit="1" customWidth="1"/>
    <col min="71" max="71" width="27.1640625" style="184" bestFit="1" customWidth="1"/>
    <col min="72" max="72" width="27.1640625" bestFit="1" customWidth="1"/>
    <col min="73" max="73" width="27.1640625" style="183" bestFit="1" customWidth="1"/>
    <col min="74" max="74" width="27.1640625" style="83" bestFit="1" customWidth="1"/>
    <col min="75" max="75" width="16.5" style="184" bestFit="1" customWidth="1"/>
    <col min="76" max="76" width="16.6640625" bestFit="1" customWidth="1"/>
    <col min="77" max="78" width="16.33203125" bestFit="1" customWidth="1"/>
    <col min="79" max="81" width="16.5" bestFit="1" customWidth="1"/>
    <col min="82" max="82" width="16" bestFit="1" customWidth="1"/>
    <col min="83" max="84" width="11" bestFit="1" customWidth="1"/>
    <col min="85" max="87" width="11.6640625" bestFit="1" customWidth="1"/>
    <col min="88" max="88" width="12.6640625" bestFit="1" customWidth="1"/>
    <col min="91" max="91" width="10.83203125" style="186"/>
    <col min="92" max="112" width="11" bestFit="1" customWidth="1"/>
  </cols>
  <sheetData>
    <row r="1" spans="1:138" s="1" customFormat="1" ht="153">
      <c r="A1" s="1" t="s">
        <v>372</v>
      </c>
      <c r="B1" s="1" t="s">
        <v>16</v>
      </c>
      <c r="C1" s="1" t="s">
        <v>23</v>
      </c>
      <c r="D1" s="1" t="s">
        <v>24</v>
      </c>
      <c r="E1" s="1" t="s">
        <v>25</v>
      </c>
      <c r="F1" s="1" t="s">
        <v>30</v>
      </c>
      <c r="G1" s="1" t="s">
        <v>171</v>
      </c>
      <c r="H1" s="1" t="s">
        <v>180</v>
      </c>
      <c r="I1" s="1" t="s">
        <v>232</v>
      </c>
      <c r="J1" s="1" t="s">
        <v>299</v>
      </c>
      <c r="K1" s="1" t="s">
        <v>189</v>
      </c>
      <c r="L1" s="1" t="s">
        <v>241</v>
      </c>
      <c r="M1" s="1" t="s">
        <v>289</v>
      </c>
      <c r="N1" s="1" t="s">
        <v>198</v>
      </c>
      <c r="O1" s="1" t="s">
        <v>250</v>
      </c>
      <c r="P1" s="1" t="s">
        <v>297</v>
      </c>
      <c r="Q1" s="1" t="s">
        <v>206</v>
      </c>
      <c r="R1" s="1" t="s">
        <v>258</v>
      </c>
      <c r="S1" s="1" t="s">
        <v>298</v>
      </c>
      <c r="T1" s="1" t="s">
        <v>207</v>
      </c>
      <c r="U1" s="1" t="s">
        <v>259</v>
      </c>
      <c r="V1" s="1" t="s">
        <v>279</v>
      </c>
      <c r="W1" s="1" t="s">
        <v>208</v>
      </c>
      <c r="X1" s="1" t="s">
        <v>260</v>
      </c>
      <c r="Y1" s="1" t="s">
        <v>287</v>
      </c>
      <c r="Z1" s="1" t="s">
        <v>217</v>
      </c>
      <c r="AA1" s="1" t="s">
        <v>269</v>
      </c>
      <c r="AB1" s="1" t="s">
        <v>288</v>
      </c>
      <c r="AC1" s="1" t="s">
        <v>218</v>
      </c>
      <c r="AD1" s="1" t="s">
        <v>270</v>
      </c>
      <c r="AE1" s="1" t="s">
        <v>275</v>
      </c>
      <c r="AF1" s="1" t="s">
        <v>219</v>
      </c>
      <c r="AG1" s="1" t="s">
        <v>271</v>
      </c>
      <c r="AH1" s="1" t="s">
        <v>276</v>
      </c>
      <c r="AI1" s="1" t="s">
        <v>435</v>
      </c>
      <c r="AJ1" s="1" t="s">
        <v>436</v>
      </c>
      <c r="AK1" s="1" t="s">
        <v>277</v>
      </c>
      <c r="AL1" s="1" t="s">
        <v>221</v>
      </c>
      <c r="AM1" s="1" t="s">
        <v>273</v>
      </c>
      <c r="AN1" s="1" t="s">
        <v>278</v>
      </c>
      <c r="AO1" s="1" t="s">
        <v>222</v>
      </c>
      <c r="AP1" s="1" t="s">
        <v>274</v>
      </c>
      <c r="AS1" s="5" t="s">
        <v>364</v>
      </c>
      <c r="AT1" s="5" t="s">
        <v>365</v>
      </c>
      <c r="AU1" s="5" t="s">
        <v>366</v>
      </c>
      <c r="AV1"/>
      <c r="AW1"/>
      <c r="AX1"/>
      <c r="AY1"/>
      <c r="AZ1" s="13" t="s">
        <v>378</v>
      </c>
      <c r="BA1" s="13" t="s">
        <v>379</v>
      </c>
      <c r="BB1" s="13" t="s">
        <v>380</v>
      </c>
      <c r="BC1"/>
      <c r="BD1" s="13" t="s">
        <v>381</v>
      </c>
      <c r="BE1" s="13" t="s">
        <v>382</v>
      </c>
      <c r="BF1" s="13" t="s">
        <v>383</v>
      </c>
      <c r="BG1"/>
      <c r="BH1" s="13" t="s">
        <v>574</v>
      </c>
      <c r="BJ1" s="1" t="s">
        <v>575</v>
      </c>
      <c r="BL1"/>
      <c r="BN1" s="239" t="s">
        <v>367</v>
      </c>
      <c r="BO1" s="240" t="s">
        <v>368</v>
      </c>
      <c r="BP1" s="241" t="s">
        <v>369</v>
      </c>
      <c r="BQ1" s="239" t="s">
        <v>367</v>
      </c>
      <c r="BR1" s="240" t="s">
        <v>368</v>
      </c>
      <c r="BS1" s="241" t="s">
        <v>369</v>
      </c>
      <c r="BX1" s="139" t="s">
        <v>552</v>
      </c>
      <c r="BY1" s="140" t="s">
        <v>553</v>
      </c>
      <c r="BZ1" s="141" t="s">
        <v>554</v>
      </c>
      <c r="CA1" s="1" t="s">
        <v>555</v>
      </c>
      <c r="CB1" s="1" t="s">
        <v>556</v>
      </c>
      <c r="CC1" s="1" t="s">
        <v>557</v>
      </c>
      <c r="CD1" s="1" t="s">
        <v>547</v>
      </c>
      <c r="CE1" s="1" t="s">
        <v>548</v>
      </c>
      <c r="CF1" s="1" t="s">
        <v>549</v>
      </c>
      <c r="CG1" s="1" t="s">
        <v>558</v>
      </c>
      <c r="CH1" s="1" t="s">
        <v>550</v>
      </c>
      <c r="CI1" s="1" t="s">
        <v>551</v>
      </c>
      <c r="CL1" s="239" t="s">
        <v>578</v>
      </c>
      <c r="CM1" s="185"/>
    </row>
    <row r="2" spans="1:138" s="69" customFormat="1">
      <c r="A2" s="69" t="s">
        <v>48</v>
      </c>
      <c r="B2" s="69">
        <v>50</v>
      </c>
      <c r="C2" s="69" t="s">
        <v>31</v>
      </c>
      <c r="D2" s="69" t="s">
        <v>32</v>
      </c>
      <c r="E2" s="69">
        <v>5</v>
      </c>
      <c r="F2" s="69">
        <v>6</v>
      </c>
      <c r="G2" s="135">
        <v>248</v>
      </c>
      <c r="H2" s="135">
        <v>323</v>
      </c>
      <c r="I2" s="135">
        <v>232</v>
      </c>
      <c r="J2" s="135">
        <v>0</v>
      </c>
      <c r="K2" s="135">
        <v>0</v>
      </c>
      <c r="L2" s="135">
        <v>0</v>
      </c>
      <c r="M2" s="135">
        <v>226</v>
      </c>
      <c r="N2" s="135">
        <v>273</v>
      </c>
      <c r="O2" s="135">
        <v>265</v>
      </c>
      <c r="P2" s="135">
        <v>-22</v>
      </c>
      <c r="Q2" s="135">
        <v>-50</v>
      </c>
      <c r="R2" s="135">
        <v>24</v>
      </c>
      <c r="S2" s="135">
        <v>-22</v>
      </c>
      <c r="T2" s="135">
        <v>-50</v>
      </c>
      <c r="U2" s="135">
        <v>24</v>
      </c>
      <c r="V2" s="135">
        <v>48</v>
      </c>
      <c r="W2" s="135">
        <v>34</v>
      </c>
      <c r="X2" s="135">
        <v>2</v>
      </c>
      <c r="Y2" s="135">
        <v>48</v>
      </c>
      <c r="Z2" s="135">
        <v>34</v>
      </c>
      <c r="AA2" s="135">
        <v>2</v>
      </c>
      <c r="AB2" s="135">
        <v>48</v>
      </c>
      <c r="AC2" s="135">
        <v>34</v>
      </c>
      <c r="AD2" s="135">
        <v>2</v>
      </c>
      <c r="AE2" s="135">
        <v>248</v>
      </c>
      <c r="AF2" s="135">
        <v>323</v>
      </c>
      <c r="AG2" s="135">
        <v>232</v>
      </c>
      <c r="AH2" s="135">
        <v>274</v>
      </c>
      <c r="AI2" s="135">
        <v>307</v>
      </c>
      <c r="AJ2" s="135">
        <v>258</v>
      </c>
      <c r="AK2" s="135">
        <v>26</v>
      </c>
      <c r="AL2" s="135">
        <v>-16</v>
      </c>
      <c r="AM2" s="135">
        <v>26</v>
      </c>
      <c r="AN2" s="135">
        <v>26</v>
      </c>
      <c r="AO2" s="135">
        <v>-16</v>
      </c>
      <c r="AP2" s="135">
        <v>26</v>
      </c>
      <c r="AS2" s="136" t="s">
        <v>437</v>
      </c>
      <c r="AT2" s="136" t="e">
        <f>Z2/K2</f>
        <v>#DIV/0!</v>
      </c>
      <c r="AU2" s="136" t="e">
        <f t="shared" ref="AU2" si="0">AA2/L2</f>
        <v>#DIV/0!</v>
      </c>
      <c r="AV2" s="136">
        <f>AS3</f>
        <v>0.66666666666666663</v>
      </c>
      <c r="AW2" s="136">
        <f>AT3</f>
        <v>1.8947368421052631</v>
      </c>
      <c r="AX2" s="136">
        <f>AU3</f>
        <v>1.32</v>
      </c>
      <c r="AY2" s="136"/>
      <c r="AZ2" s="136">
        <f t="shared" ref="AZ2:AZ33" si="1">AK2/AE2</f>
        <v>0.10483870967741936</v>
      </c>
      <c r="BA2" s="136">
        <f t="shared" ref="BA2:BA33" si="2">AL2/AF2</f>
        <v>-4.9535603715170282E-2</v>
      </c>
      <c r="BB2" s="136">
        <f t="shared" ref="BB2:BB33" si="3">AM2/AG2</f>
        <v>0.11206896551724138</v>
      </c>
      <c r="BC2" s="136"/>
      <c r="BD2" s="136">
        <f t="shared" ref="BD2:BE2" si="4">P2/G2</f>
        <v>-8.8709677419354843E-2</v>
      </c>
      <c r="BE2" s="136">
        <f t="shared" si="4"/>
        <v>-0.15479876160990713</v>
      </c>
      <c r="BF2" s="136">
        <f>R2/I2</f>
        <v>0.10344827586206896</v>
      </c>
      <c r="BG2" s="136"/>
      <c r="BH2" s="136">
        <v>0.10483870967741936</v>
      </c>
      <c r="BI2" s="136"/>
      <c r="BJ2" s="136">
        <v>-8.8709677419354843E-2</v>
      </c>
      <c r="BN2" s="144">
        <f>(Y2/P2)*100</f>
        <v>-218.18181818181816</v>
      </c>
      <c r="BO2" s="145">
        <f t="shared" ref="BO2:BO24" si="5">(Z2/Q2)*100</f>
        <v>-68</v>
      </c>
      <c r="BP2" s="146">
        <f t="shared" ref="BP2:BP24" si="6">(AA2/R2)*100</f>
        <v>8.3333333333333321</v>
      </c>
      <c r="BQ2" s="142">
        <v>-218.18181818181816</v>
      </c>
      <c r="BR2" s="110">
        <v>-68</v>
      </c>
      <c r="BS2" s="143">
        <v>-291.95402298850576</v>
      </c>
      <c r="BT2" s="142">
        <v>-218.18181818181816</v>
      </c>
      <c r="BU2" s="110">
        <v>-68</v>
      </c>
      <c r="BV2" s="143">
        <v>-291.95402298850576</v>
      </c>
      <c r="BX2" s="142">
        <f t="shared" ref="BX2:BX33" si="7">IF(P2&lt;0,1,0)</f>
        <v>1</v>
      </c>
      <c r="BY2" s="142">
        <f t="shared" ref="BY2:BY33" si="8">IF(Q2&lt;0,1,0)</f>
        <v>1</v>
      </c>
      <c r="BZ2" s="142">
        <f t="shared" ref="BZ2:BZ33" si="9">IF(R2&lt;0,1,0)</f>
        <v>0</v>
      </c>
      <c r="CA2" s="69">
        <f t="shared" ref="CA2:CA33" si="10">IF(BN2=0,1,0)</f>
        <v>0</v>
      </c>
      <c r="CB2" s="69">
        <f t="shared" ref="CB2:CB33" si="11">IF(BO2=0,1,0)</f>
        <v>0</v>
      </c>
      <c r="CC2" s="69">
        <f t="shared" ref="CC2:CC33" si="12">IF(BP2=0,1,0)</f>
        <v>0</v>
      </c>
      <c r="CD2" s="69">
        <f t="shared" ref="CD2:CD33" si="13">IF(BN2&gt;0,1,0)</f>
        <v>0</v>
      </c>
      <c r="CE2" s="69">
        <f t="shared" ref="CE2:CE33" si="14">IF(BO2&gt;0,1,0)</f>
        <v>0</v>
      </c>
      <c r="CF2" s="69">
        <f t="shared" ref="CF2:CF33" si="15">IF(BP2&gt;0,1,0)</f>
        <v>1</v>
      </c>
      <c r="CG2" s="69">
        <f t="shared" ref="CG2:CG33" si="16">IF(P2=0,1,0)</f>
        <v>0</v>
      </c>
      <c r="CH2" s="69">
        <f t="shared" ref="CH2:CH33" si="17">IF(Q2=0,1,0)</f>
        <v>0</v>
      </c>
      <c r="CI2" s="69">
        <f t="shared" ref="CI2:CI33" si="18">IF(R2=0,1,0)</f>
        <v>0</v>
      </c>
      <c r="CL2" s="69">
        <v>-218.18181818181816</v>
      </c>
      <c r="CM2" s="69">
        <f>CL2*(-1)</f>
        <v>218.18181818181816</v>
      </c>
      <c r="EC2" s="69">
        <v>0.66666666666666663</v>
      </c>
      <c r="ED2" s="69">
        <v>1.8947368421052631</v>
      </c>
      <c r="EE2" s="69">
        <v>1.32</v>
      </c>
      <c r="EH2" s="69">
        <v>0.66666666666666663</v>
      </c>
    </row>
    <row r="3" spans="1:138" s="69" customFormat="1">
      <c r="A3" s="69" t="s">
        <v>49</v>
      </c>
      <c r="B3" s="69">
        <v>208</v>
      </c>
      <c r="C3" s="69" t="s">
        <v>31</v>
      </c>
      <c r="D3" s="69" t="s">
        <v>32</v>
      </c>
      <c r="E3" s="69">
        <v>4</v>
      </c>
      <c r="F3" s="69">
        <v>4</v>
      </c>
      <c r="G3" s="135">
        <v>723</v>
      </c>
      <c r="H3" s="135">
        <v>742</v>
      </c>
      <c r="I3" s="135">
        <v>846</v>
      </c>
      <c r="J3" s="135">
        <v>21</v>
      </c>
      <c r="K3" s="135">
        <v>19</v>
      </c>
      <c r="L3" s="135">
        <v>25</v>
      </c>
      <c r="M3" s="135">
        <v>668</v>
      </c>
      <c r="N3" s="135">
        <v>672</v>
      </c>
      <c r="O3" s="135">
        <v>1100</v>
      </c>
      <c r="P3" s="135">
        <v>-54</v>
      </c>
      <c r="Q3" s="135">
        <v>-70</v>
      </c>
      <c r="R3" s="135">
        <v>254</v>
      </c>
      <c r="S3" s="135">
        <v>-54</v>
      </c>
      <c r="T3" s="135">
        <v>-70</v>
      </c>
      <c r="U3" s="135">
        <v>254</v>
      </c>
      <c r="V3" s="135">
        <v>36</v>
      </c>
      <c r="W3" s="135">
        <v>55</v>
      </c>
      <c r="X3" s="135">
        <v>59</v>
      </c>
      <c r="Y3" s="135">
        <v>14</v>
      </c>
      <c r="Z3" s="135">
        <v>36</v>
      </c>
      <c r="AA3" s="135">
        <v>33</v>
      </c>
      <c r="AB3" s="135">
        <v>14</v>
      </c>
      <c r="AC3" s="135">
        <v>36</v>
      </c>
      <c r="AD3" s="135">
        <v>33</v>
      </c>
      <c r="AE3" s="135">
        <v>744</v>
      </c>
      <c r="AF3" s="135">
        <v>761</v>
      </c>
      <c r="AG3" s="135">
        <v>871</v>
      </c>
      <c r="AH3" s="135">
        <v>704</v>
      </c>
      <c r="AI3" s="135">
        <v>727</v>
      </c>
      <c r="AJ3" s="135">
        <v>1159</v>
      </c>
      <c r="AK3" s="135">
        <v>-40</v>
      </c>
      <c r="AL3" s="135">
        <v>-34</v>
      </c>
      <c r="AM3" s="135">
        <v>287</v>
      </c>
      <c r="AN3" s="135">
        <v>-40</v>
      </c>
      <c r="AO3" s="135">
        <v>-34</v>
      </c>
      <c r="AP3" s="135">
        <v>287</v>
      </c>
      <c r="AS3" s="136">
        <f>Y3/J3</f>
        <v>0.66666666666666663</v>
      </c>
      <c r="AT3" s="136">
        <f t="shared" ref="AT3:AT66" si="19">Z3/K3</f>
        <v>1.8947368421052631</v>
      </c>
      <c r="AU3" s="136">
        <f t="shared" ref="AU3:AU66" si="20">AA3/L3</f>
        <v>1.32</v>
      </c>
      <c r="AV3" s="136">
        <f>AS6</f>
        <v>0.51398601398601396</v>
      </c>
      <c r="AW3" s="136">
        <f>AT6</f>
        <v>0.44901315789473684</v>
      </c>
      <c r="AX3" s="136">
        <f>AU5</f>
        <v>3.0602409638554215</v>
      </c>
      <c r="AY3" s="136"/>
      <c r="AZ3" s="136">
        <f t="shared" si="1"/>
        <v>-5.3763440860215055E-2</v>
      </c>
      <c r="BA3" s="136">
        <f t="shared" si="2"/>
        <v>-4.4678055190538767E-2</v>
      </c>
      <c r="BB3" s="136">
        <f t="shared" si="3"/>
        <v>0.32950631458094143</v>
      </c>
      <c r="BC3" s="136"/>
      <c r="BD3" s="136">
        <f t="shared" ref="BD3:BD15" si="21">P3/G3</f>
        <v>-7.4688796680497924E-2</v>
      </c>
      <c r="BE3" s="136">
        <f t="shared" ref="BE3:BE15" si="22">Q3/H3</f>
        <v>-9.4339622641509441E-2</v>
      </c>
      <c r="BF3" s="136">
        <f t="shared" ref="BF3:BF14" si="23">R3/I3</f>
        <v>0.30023640661938533</v>
      </c>
      <c r="BG3" s="136"/>
      <c r="BH3" s="136">
        <v>-5.3763440860215055E-2</v>
      </c>
      <c r="BI3" s="136"/>
      <c r="BJ3" s="136">
        <v>-7.4688796680497924E-2</v>
      </c>
      <c r="BN3" s="144">
        <f t="shared" ref="BN3:BN24" si="24">(Y3/P3)*100</f>
        <v>-25.925925925925924</v>
      </c>
      <c r="BO3" s="145">
        <f t="shared" si="5"/>
        <v>-51.428571428571423</v>
      </c>
      <c r="BP3" s="146">
        <f t="shared" si="6"/>
        <v>12.992125984251967</v>
      </c>
      <c r="BQ3" s="142">
        <v>-25.925925925925924</v>
      </c>
      <c r="BR3" s="110">
        <v>-51.428571428571423</v>
      </c>
      <c r="BS3" s="143">
        <v>-114.99999999999999</v>
      </c>
      <c r="BT3" s="142">
        <v>-25.925925925925924</v>
      </c>
      <c r="BU3" s="110">
        <v>-51.428571428571423</v>
      </c>
      <c r="BV3" s="143">
        <v>-114.99999999999999</v>
      </c>
      <c r="BX3" s="142">
        <f t="shared" si="7"/>
        <v>1</v>
      </c>
      <c r="BY3" s="142">
        <f t="shared" si="8"/>
        <v>1</v>
      </c>
      <c r="BZ3" s="142">
        <f t="shared" si="9"/>
        <v>0</v>
      </c>
      <c r="CA3" s="69">
        <f t="shared" si="10"/>
        <v>0</v>
      </c>
      <c r="CB3" s="69">
        <f t="shared" si="11"/>
        <v>0</v>
      </c>
      <c r="CC3" s="69">
        <f t="shared" si="12"/>
        <v>0</v>
      </c>
      <c r="CD3" s="69">
        <f t="shared" si="13"/>
        <v>0</v>
      </c>
      <c r="CE3" s="69">
        <f t="shared" si="14"/>
        <v>0</v>
      </c>
      <c r="CF3" s="69">
        <f t="shared" si="15"/>
        <v>1</v>
      </c>
      <c r="CG3" s="69">
        <f t="shared" si="16"/>
        <v>0</v>
      </c>
      <c r="CH3" s="69">
        <f t="shared" si="17"/>
        <v>0</v>
      </c>
      <c r="CI3" s="69">
        <f t="shared" si="18"/>
        <v>0</v>
      </c>
      <c r="CL3" s="69">
        <v>-25.925925925925924</v>
      </c>
      <c r="CM3" s="69">
        <f t="shared" ref="CM3:CM66" si="25">CL3*(-1)</f>
        <v>25.925925925925924</v>
      </c>
      <c r="EC3" s="69">
        <v>0.51398601398601396</v>
      </c>
      <c r="ED3" s="69">
        <v>0.44901315789473684</v>
      </c>
      <c r="EE3" s="69">
        <v>3.0602409638554215</v>
      </c>
      <c r="EH3" s="69">
        <v>0.51398601398601396</v>
      </c>
    </row>
    <row r="4" spans="1:138" s="69" customFormat="1">
      <c r="A4" s="69" t="s">
        <v>50</v>
      </c>
      <c r="B4" s="69">
        <v>350</v>
      </c>
      <c r="C4" s="69" t="s">
        <v>31</v>
      </c>
      <c r="D4" s="69" t="s">
        <v>33</v>
      </c>
      <c r="E4" s="69">
        <v>7</v>
      </c>
      <c r="F4" s="69">
        <v>7</v>
      </c>
      <c r="G4" s="135">
        <v>5145</v>
      </c>
      <c r="H4" s="135">
        <v>6342</v>
      </c>
      <c r="I4" s="135">
        <v>7889</v>
      </c>
      <c r="J4" s="135">
        <v>0</v>
      </c>
      <c r="K4" s="135">
        <v>0</v>
      </c>
      <c r="L4" s="135">
        <v>0</v>
      </c>
      <c r="M4" s="135">
        <v>5125</v>
      </c>
      <c r="N4" s="135">
        <v>6566</v>
      </c>
      <c r="O4" s="135">
        <v>8734</v>
      </c>
      <c r="P4" s="135">
        <v>0</v>
      </c>
      <c r="Q4" s="135">
        <v>224</v>
      </c>
      <c r="R4" s="135">
        <v>845</v>
      </c>
      <c r="S4" s="135">
        <v>-20</v>
      </c>
      <c r="T4" s="135">
        <v>224</v>
      </c>
      <c r="U4" s="135">
        <v>845</v>
      </c>
      <c r="V4" s="135">
        <v>0</v>
      </c>
      <c r="W4" s="135">
        <v>0</v>
      </c>
      <c r="X4" s="135">
        <v>0</v>
      </c>
      <c r="Y4" s="135">
        <v>0</v>
      </c>
      <c r="Z4" s="135">
        <v>0</v>
      </c>
      <c r="AA4" s="135">
        <v>0</v>
      </c>
      <c r="AB4" s="135">
        <v>0</v>
      </c>
      <c r="AC4" s="135">
        <v>0</v>
      </c>
      <c r="AD4" s="135">
        <v>0</v>
      </c>
      <c r="AE4" s="135">
        <v>5145</v>
      </c>
      <c r="AF4" s="135">
        <v>6342</v>
      </c>
      <c r="AG4" s="135">
        <v>7889</v>
      </c>
      <c r="AH4" s="135">
        <v>5125</v>
      </c>
      <c r="AI4" s="135">
        <v>6566</v>
      </c>
      <c r="AJ4" s="135">
        <v>8734</v>
      </c>
      <c r="AK4" s="135">
        <v>-20</v>
      </c>
      <c r="AL4" s="135">
        <v>224</v>
      </c>
      <c r="AM4" s="135">
        <v>845</v>
      </c>
      <c r="AN4" s="135">
        <v>-20</v>
      </c>
      <c r="AO4" s="135">
        <v>224</v>
      </c>
      <c r="AP4" s="135">
        <v>845</v>
      </c>
      <c r="AS4" s="136" t="s">
        <v>437</v>
      </c>
      <c r="AT4" s="136" t="e">
        <f t="shared" si="19"/>
        <v>#DIV/0!</v>
      </c>
      <c r="AU4" s="136" t="e">
        <f t="shared" si="20"/>
        <v>#DIV/0!</v>
      </c>
      <c r="AV4" s="136">
        <f>AS8</f>
        <v>1.3173803526448362</v>
      </c>
      <c r="AW4" s="136">
        <f>AT8</f>
        <v>0.62525050100200397</v>
      </c>
      <c r="AX4" s="136">
        <f>AU6</f>
        <v>0.65853658536585369</v>
      </c>
      <c r="AY4" s="136"/>
      <c r="AZ4" s="136">
        <f t="shared" si="1"/>
        <v>-3.8872691933916422E-3</v>
      </c>
      <c r="BA4" s="136">
        <f t="shared" si="2"/>
        <v>3.5320088300220751E-2</v>
      </c>
      <c r="BB4" s="136">
        <f t="shared" si="3"/>
        <v>0.1071111674483458</v>
      </c>
      <c r="BC4" s="136"/>
      <c r="BD4" s="136">
        <f t="shared" si="21"/>
        <v>0</v>
      </c>
      <c r="BE4" s="136">
        <f t="shared" si="22"/>
        <v>3.5320088300220751E-2</v>
      </c>
      <c r="BF4" s="136">
        <f t="shared" si="23"/>
        <v>0.1071111674483458</v>
      </c>
      <c r="BG4" s="136"/>
      <c r="BH4" s="136">
        <v>-3.8872691933916422E-3</v>
      </c>
      <c r="BI4" s="136"/>
      <c r="BJ4" s="136">
        <v>0</v>
      </c>
      <c r="BN4" s="144" t="e">
        <f t="shared" si="24"/>
        <v>#DIV/0!</v>
      </c>
      <c r="BO4" s="145">
        <f t="shared" si="5"/>
        <v>0</v>
      </c>
      <c r="BP4" s="146">
        <f t="shared" si="6"/>
        <v>0</v>
      </c>
      <c r="BQ4" s="142">
        <v>-147</v>
      </c>
      <c r="BR4" s="110">
        <v>-97.637795275590548</v>
      </c>
      <c r="BS4" s="143">
        <v>-23.745318352059925</v>
      </c>
      <c r="BT4" s="142">
        <v>-147</v>
      </c>
      <c r="BU4" s="110">
        <v>-97.637795275590548</v>
      </c>
      <c r="BV4" s="143">
        <v>-23.745318352059925</v>
      </c>
      <c r="BX4" s="142">
        <f t="shared" si="7"/>
        <v>0</v>
      </c>
      <c r="BY4" s="142">
        <f t="shared" si="8"/>
        <v>0</v>
      </c>
      <c r="BZ4" s="142">
        <f t="shared" si="9"/>
        <v>0</v>
      </c>
      <c r="CA4" s="69" t="e">
        <f t="shared" si="10"/>
        <v>#DIV/0!</v>
      </c>
      <c r="CB4" s="69">
        <f t="shared" si="11"/>
        <v>1</v>
      </c>
      <c r="CC4" s="69">
        <f t="shared" si="12"/>
        <v>1</v>
      </c>
      <c r="CD4" s="69" t="e">
        <f t="shared" si="13"/>
        <v>#DIV/0!</v>
      </c>
      <c r="CE4" s="69">
        <f t="shared" si="14"/>
        <v>0</v>
      </c>
      <c r="CF4" s="69">
        <f t="shared" si="15"/>
        <v>0</v>
      </c>
      <c r="CG4" s="69">
        <f t="shared" si="16"/>
        <v>1</v>
      </c>
      <c r="CH4" s="69">
        <f t="shared" si="17"/>
        <v>0</v>
      </c>
      <c r="CI4" s="69">
        <f t="shared" si="18"/>
        <v>0</v>
      </c>
      <c r="CL4" s="69">
        <v>-147</v>
      </c>
      <c r="CM4" s="69">
        <f t="shared" si="25"/>
        <v>147</v>
      </c>
      <c r="EC4" s="69">
        <v>1.3173803526448362</v>
      </c>
      <c r="ED4" s="69">
        <v>0.62525050100200397</v>
      </c>
      <c r="EE4" s="69">
        <v>0.65853658536585369</v>
      </c>
      <c r="EH4" s="69">
        <v>1.3173803526448362</v>
      </c>
    </row>
    <row r="5" spans="1:138" s="69" customFormat="1">
      <c r="A5" s="69" t="s">
        <v>51</v>
      </c>
      <c r="B5" s="69">
        <v>570</v>
      </c>
      <c r="C5" s="69" t="s">
        <v>31</v>
      </c>
      <c r="D5" s="69" t="s">
        <v>33</v>
      </c>
      <c r="E5" s="69">
        <v>5</v>
      </c>
      <c r="F5" s="69">
        <v>6</v>
      </c>
      <c r="G5" s="135">
        <v>3773</v>
      </c>
      <c r="H5" s="135">
        <v>4337</v>
      </c>
      <c r="I5" s="135">
        <v>5708</v>
      </c>
      <c r="J5" s="135">
        <v>0</v>
      </c>
      <c r="K5" s="135">
        <v>0</v>
      </c>
      <c r="L5" s="135">
        <v>83</v>
      </c>
      <c r="M5" s="135">
        <v>4040</v>
      </c>
      <c r="N5" s="135">
        <v>4083</v>
      </c>
      <c r="O5" s="135">
        <v>5621</v>
      </c>
      <c r="P5" s="135">
        <v>267</v>
      </c>
      <c r="Q5" s="135">
        <v>-254</v>
      </c>
      <c r="R5" s="135">
        <v>-87</v>
      </c>
      <c r="S5" s="135">
        <v>267</v>
      </c>
      <c r="T5" s="135">
        <v>-254</v>
      </c>
      <c r="U5" s="135">
        <v>-87</v>
      </c>
      <c r="V5" s="135">
        <v>0</v>
      </c>
      <c r="W5" s="135">
        <v>248</v>
      </c>
      <c r="X5" s="135">
        <v>337</v>
      </c>
      <c r="Y5" s="135">
        <v>0</v>
      </c>
      <c r="Z5" s="135">
        <v>248</v>
      </c>
      <c r="AA5" s="135">
        <v>254</v>
      </c>
      <c r="AB5" s="135">
        <v>0</v>
      </c>
      <c r="AC5" s="135">
        <v>248</v>
      </c>
      <c r="AD5" s="135">
        <v>254</v>
      </c>
      <c r="AE5" s="135">
        <v>3773</v>
      </c>
      <c r="AF5" s="135">
        <v>4337</v>
      </c>
      <c r="AG5" s="135">
        <v>5791</v>
      </c>
      <c r="AH5" s="135">
        <v>4040</v>
      </c>
      <c r="AI5" s="135">
        <v>4331</v>
      </c>
      <c r="AJ5" s="135">
        <v>5958</v>
      </c>
      <c r="AK5" s="135">
        <v>267</v>
      </c>
      <c r="AL5" s="135">
        <v>-6</v>
      </c>
      <c r="AM5" s="135">
        <v>167</v>
      </c>
      <c r="AN5" s="135">
        <v>267</v>
      </c>
      <c r="AO5" s="135">
        <v>-6</v>
      </c>
      <c r="AP5" s="135">
        <v>167</v>
      </c>
      <c r="AS5" s="136" t="s">
        <v>437</v>
      </c>
      <c r="AT5" s="136" t="e">
        <f t="shared" si="19"/>
        <v>#DIV/0!</v>
      </c>
      <c r="AU5" s="136">
        <f t="shared" si="20"/>
        <v>3.0602409638554215</v>
      </c>
      <c r="AV5" s="136">
        <f>AS9</f>
        <v>0.13946759259259259</v>
      </c>
      <c r="AW5" s="136">
        <f t="shared" ref="AW5:AW6" si="26">AT9</f>
        <v>0.29820788530465953</v>
      </c>
      <c r="AX5" s="136">
        <f>AU8</f>
        <v>1.0454545454545454</v>
      </c>
      <c r="AY5" s="136"/>
      <c r="AZ5" s="136">
        <f t="shared" si="1"/>
        <v>7.0765968725152395E-2</v>
      </c>
      <c r="BA5" s="136">
        <f t="shared" si="2"/>
        <v>-1.3834447774959649E-3</v>
      </c>
      <c r="BB5" s="136">
        <f t="shared" si="3"/>
        <v>2.883785183906061E-2</v>
      </c>
      <c r="BC5" s="136"/>
      <c r="BD5" s="136">
        <f t="shared" si="21"/>
        <v>7.0765968725152395E-2</v>
      </c>
      <c r="BE5" s="136">
        <f t="shared" si="22"/>
        <v>-5.8565828913995852E-2</v>
      </c>
      <c r="BF5" s="136">
        <f t="shared" si="23"/>
        <v>-1.5241765942536791E-2</v>
      </c>
      <c r="BG5" s="136"/>
      <c r="BH5" s="136">
        <v>7.0765968725152395E-2</v>
      </c>
      <c r="BI5" s="136"/>
      <c r="BJ5" s="136">
        <v>7.0765968725152395E-2</v>
      </c>
      <c r="BN5" s="144">
        <f t="shared" si="24"/>
        <v>0</v>
      </c>
      <c r="BO5" s="145">
        <f t="shared" si="5"/>
        <v>-97.637795275590548</v>
      </c>
      <c r="BP5" s="146">
        <f t="shared" si="6"/>
        <v>-291.95402298850576</v>
      </c>
      <c r="BQ5" s="142">
        <v>-313.17365269461078</v>
      </c>
      <c r="BR5" s="110">
        <v>-46.666666666666664</v>
      </c>
      <c r="BS5" s="143">
        <v>-136.80000000000001</v>
      </c>
      <c r="BT5" s="142">
        <v>-313.17365269461078</v>
      </c>
      <c r="BU5" s="110">
        <v>-46.666666666666664</v>
      </c>
      <c r="BV5" s="143">
        <v>-136.80000000000001</v>
      </c>
      <c r="BX5" s="142">
        <f t="shared" si="7"/>
        <v>0</v>
      </c>
      <c r="BY5" s="142">
        <f t="shared" si="8"/>
        <v>1</v>
      </c>
      <c r="BZ5" s="142">
        <f t="shared" si="9"/>
        <v>1</v>
      </c>
      <c r="CA5" s="69">
        <f t="shared" si="10"/>
        <v>1</v>
      </c>
      <c r="CB5" s="69">
        <f t="shared" si="11"/>
        <v>0</v>
      </c>
      <c r="CC5" s="69">
        <f t="shared" si="12"/>
        <v>0</v>
      </c>
      <c r="CD5" s="69">
        <f t="shared" si="13"/>
        <v>0</v>
      </c>
      <c r="CE5" s="69">
        <f t="shared" si="14"/>
        <v>0</v>
      </c>
      <c r="CF5" s="69">
        <f t="shared" si="15"/>
        <v>0</v>
      </c>
      <c r="CG5" s="69">
        <f t="shared" si="16"/>
        <v>0</v>
      </c>
      <c r="CH5" s="69">
        <f t="shared" si="17"/>
        <v>0</v>
      </c>
      <c r="CI5" s="69">
        <f t="shared" si="18"/>
        <v>0</v>
      </c>
      <c r="CL5" s="69">
        <v>-313.17365269461078</v>
      </c>
      <c r="CM5" s="69">
        <f t="shared" si="25"/>
        <v>313.17365269461078</v>
      </c>
      <c r="EC5" s="69">
        <v>0.13946759259259259</v>
      </c>
      <c r="ED5" s="69">
        <v>0.29820788530465953</v>
      </c>
      <c r="EE5" s="69">
        <v>1.0454545454545454</v>
      </c>
      <c r="EH5" s="69">
        <v>0.13946759259259259</v>
      </c>
    </row>
    <row r="6" spans="1:138" s="69" customFormat="1">
      <c r="A6" s="69" t="s">
        <v>52</v>
      </c>
      <c r="B6" s="69">
        <v>450</v>
      </c>
      <c r="C6" s="69" t="s">
        <v>31</v>
      </c>
      <c r="D6" s="69" t="s">
        <v>33</v>
      </c>
      <c r="E6" s="69">
        <v>3</v>
      </c>
      <c r="F6" s="69">
        <v>3</v>
      </c>
      <c r="G6" s="135">
        <v>5835</v>
      </c>
      <c r="H6" s="135">
        <v>7169</v>
      </c>
      <c r="I6" s="135">
        <v>7198</v>
      </c>
      <c r="J6" s="135">
        <v>572</v>
      </c>
      <c r="K6" s="135">
        <v>608</v>
      </c>
      <c r="L6" s="135">
        <v>451</v>
      </c>
      <c r="M6" s="135">
        <v>5634</v>
      </c>
      <c r="N6" s="135">
        <v>6584</v>
      </c>
      <c r="O6" s="135">
        <v>7481</v>
      </c>
      <c r="P6" s="135">
        <v>-200</v>
      </c>
      <c r="Q6" s="135">
        <v>-585</v>
      </c>
      <c r="R6" s="135">
        <v>283</v>
      </c>
      <c r="S6" s="135">
        <v>-200</v>
      </c>
      <c r="T6" s="135">
        <v>-585</v>
      </c>
      <c r="U6" s="135">
        <v>283</v>
      </c>
      <c r="V6" s="135">
        <v>865</v>
      </c>
      <c r="W6" s="135">
        <v>881</v>
      </c>
      <c r="X6" s="135">
        <v>748</v>
      </c>
      <c r="Y6" s="135">
        <v>294</v>
      </c>
      <c r="Z6" s="135">
        <v>273</v>
      </c>
      <c r="AA6" s="135">
        <v>297</v>
      </c>
      <c r="AB6" s="135">
        <v>294</v>
      </c>
      <c r="AC6" s="135">
        <v>273</v>
      </c>
      <c r="AD6" s="135">
        <v>297</v>
      </c>
      <c r="AE6" s="135">
        <v>6407</v>
      </c>
      <c r="AF6" s="135">
        <v>7777</v>
      </c>
      <c r="AG6" s="135">
        <v>7649</v>
      </c>
      <c r="AH6" s="135">
        <v>6499</v>
      </c>
      <c r="AI6" s="135">
        <v>7465</v>
      </c>
      <c r="AJ6" s="135">
        <v>8229</v>
      </c>
      <c r="AK6" s="135">
        <v>92</v>
      </c>
      <c r="AL6" s="135">
        <v>-312</v>
      </c>
      <c r="AM6" s="135">
        <v>580</v>
      </c>
      <c r="AN6" s="135">
        <v>94</v>
      </c>
      <c r="AO6" s="135">
        <v>-312</v>
      </c>
      <c r="AP6" s="135">
        <v>580</v>
      </c>
      <c r="AS6" s="136">
        <f t="shared" ref="AS6:AS66" si="27">Y6/J6</f>
        <v>0.51398601398601396</v>
      </c>
      <c r="AT6" s="136">
        <f t="shared" si="19"/>
        <v>0.44901315789473684</v>
      </c>
      <c r="AU6" s="136">
        <f t="shared" si="20"/>
        <v>0.65853658536585369</v>
      </c>
      <c r="AV6" s="136">
        <f>AS10</f>
        <v>0.91743119266055051</v>
      </c>
      <c r="AW6" s="136">
        <f t="shared" si="26"/>
        <v>0.13573407202216067</v>
      </c>
      <c r="AX6" s="136">
        <f t="shared" ref="AX6:AX7" si="28">AU9</f>
        <v>0.18021603183627061</v>
      </c>
      <c r="AY6" s="136"/>
      <c r="AZ6" s="136">
        <f t="shared" si="1"/>
        <v>1.4359294521616982E-2</v>
      </c>
      <c r="BA6" s="136">
        <f t="shared" si="2"/>
        <v>-4.0118297544040116E-2</v>
      </c>
      <c r="BB6" s="136">
        <f t="shared" si="3"/>
        <v>7.582690547784024E-2</v>
      </c>
      <c r="BC6" s="136"/>
      <c r="BD6" s="136">
        <f t="shared" si="21"/>
        <v>-3.4275921165381321E-2</v>
      </c>
      <c r="BE6" s="136">
        <f t="shared" si="22"/>
        <v>-8.1601339098898037E-2</v>
      </c>
      <c r="BF6" s="136">
        <f t="shared" si="23"/>
        <v>3.9316476799110864E-2</v>
      </c>
      <c r="BG6" s="136"/>
      <c r="BH6" s="136">
        <v>1.4359294521616982E-2</v>
      </c>
      <c r="BI6" s="136"/>
      <c r="BJ6" s="136">
        <v>-3.4275921165381321E-2</v>
      </c>
      <c r="BN6" s="144">
        <f t="shared" si="24"/>
        <v>-147</v>
      </c>
      <c r="BO6" s="145">
        <f t="shared" si="5"/>
        <v>-46.666666666666664</v>
      </c>
      <c r="BP6" s="146">
        <f t="shared" si="6"/>
        <v>104.94699646643109</v>
      </c>
      <c r="BQ6" s="142">
        <v>-11.193683232698561</v>
      </c>
      <c r="BR6" s="110">
        <v>-1418.1818181818182</v>
      </c>
      <c r="BS6" s="143"/>
      <c r="BT6" s="142">
        <v>-11.193683232698561</v>
      </c>
      <c r="BU6" s="110">
        <v>-1418.1818181818182</v>
      </c>
      <c r="BV6" s="154">
        <v>-0.28653295128939826</v>
      </c>
      <c r="BX6" s="142">
        <f t="shared" si="7"/>
        <v>1</v>
      </c>
      <c r="BY6" s="142">
        <f t="shared" si="8"/>
        <v>1</v>
      </c>
      <c r="BZ6" s="142">
        <f t="shared" si="9"/>
        <v>0</v>
      </c>
      <c r="CA6" s="69">
        <f t="shared" si="10"/>
        <v>0</v>
      </c>
      <c r="CB6" s="69">
        <f t="shared" si="11"/>
        <v>0</v>
      </c>
      <c r="CC6" s="69">
        <f t="shared" si="12"/>
        <v>0</v>
      </c>
      <c r="CD6" s="69">
        <f t="shared" si="13"/>
        <v>0</v>
      </c>
      <c r="CE6" s="69">
        <f t="shared" si="14"/>
        <v>0</v>
      </c>
      <c r="CF6" s="69">
        <f t="shared" si="15"/>
        <v>1</v>
      </c>
      <c r="CG6" s="69">
        <f t="shared" si="16"/>
        <v>0</v>
      </c>
      <c r="CH6" s="69">
        <f t="shared" si="17"/>
        <v>0</v>
      </c>
      <c r="CI6" s="69">
        <f t="shared" si="18"/>
        <v>0</v>
      </c>
      <c r="CL6" s="69">
        <v>-11.193683232698561</v>
      </c>
      <c r="CM6" s="69">
        <f t="shared" si="25"/>
        <v>11.193683232698561</v>
      </c>
      <c r="EC6" s="69">
        <v>0.91743119266055051</v>
      </c>
      <c r="ED6" s="69">
        <v>0.13573407202216067</v>
      </c>
      <c r="EE6" s="69">
        <v>0.18021603183627061</v>
      </c>
      <c r="EH6" s="69">
        <v>0.91743119266055051</v>
      </c>
    </row>
    <row r="7" spans="1:138" s="69" customFormat="1">
      <c r="A7" s="69" t="s">
        <v>92</v>
      </c>
      <c r="B7" s="69">
        <v>385</v>
      </c>
      <c r="C7" s="69" t="s">
        <v>31</v>
      </c>
      <c r="D7" s="69" t="s">
        <v>33</v>
      </c>
      <c r="E7" s="69">
        <v>6</v>
      </c>
      <c r="F7" s="69">
        <v>6</v>
      </c>
      <c r="G7" s="135">
        <v>1422</v>
      </c>
      <c r="H7" s="135">
        <v>1832</v>
      </c>
      <c r="I7" s="135">
        <v>2480</v>
      </c>
      <c r="J7" s="135">
        <v>0</v>
      </c>
      <c r="K7" s="135">
        <v>0</v>
      </c>
      <c r="L7" s="135">
        <v>0</v>
      </c>
      <c r="M7" s="135">
        <v>1351</v>
      </c>
      <c r="N7" s="135">
        <v>1820</v>
      </c>
      <c r="O7" s="135">
        <v>2494</v>
      </c>
      <c r="P7" s="135">
        <v>-71</v>
      </c>
      <c r="Q7" s="135">
        <v>12</v>
      </c>
      <c r="R7" s="135">
        <v>14</v>
      </c>
      <c r="S7" s="135">
        <v>-71</v>
      </c>
      <c r="T7" s="135">
        <v>12</v>
      </c>
      <c r="U7" s="135">
        <v>14</v>
      </c>
      <c r="V7" s="135">
        <v>0</v>
      </c>
      <c r="W7" s="135">
        <v>0</v>
      </c>
      <c r="X7" s="135">
        <v>0</v>
      </c>
      <c r="Y7" s="135">
        <v>0</v>
      </c>
      <c r="Z7" s="135">
        <v>0</v>
      </c>
      <c r="AA7" s="135">
        <v>0</v>
      </c>
      <c r="AB7" s="135">
        <v>0</v>
      </c>
      <c r="AC7" s="135">
        <v>0</v>
      </c>
      <c r="AD7" s="135">
        <v>0</v>
      </c>
      <c r="AE7" s="135">
        <v>1422</v>
      </c>
      <c r="AF7" s="135">
        <v>1832</v>
      </c>
      <c r="AG7" s="135">
        <v>2480</v>
      </c>
      <c r="AH7" s="135">
        <v>1351</v>
      </c>
      <c r="AI7" s="135">
        <v>1820</v>
      </c>
      <c r="AJ7" s="135">
        <v>2494</v>
      </c>
      <c r="AK7" s="135">
        <v>-71</v>
      </c>
      <c r="AL7" s="135">
        <v>-12</v>
      </c>
      <c r="AM7" s="135">
        <v>14</v>
      </c>
      <c r="AN7" s="135">
        <v>-71</v>
      </c>
      <c r="AO7" s="135">
        <v>12</v>
      </c>
      <c r="AP7" s="135">
        <v>14</v>
      </c>
      <c r="AS7" s="136" t="s">
        <v>437</v>
      </c>
      <c r="AT7" s="136" t="e">
        <f t="shared" si="19"/>
        <v>#DIV/0!</v>
      </c>
      <c r="AU7" s="136" t="e">
        <f t="shared" si="20"/>
        <v>#DIV/0!</v>
      </c>
      <c r="AV7" s="136">
        <f>AS13</f>
        <v>0.30303030303030304</v>
      </c>
      <c r="AW7" s="136">
        <f>AT13</f>
        <v>0.3733905579399141</v>
      </c>
      <c r="AX7" s="136">
        <f t="shared" si="28"/>
        <v>0.70661157024793386</v>
      </c>
      <c r="AY7" s="136"/>
      <c r="AZ7" s="136">
        <f t="shared" si="1"/>
        <v>-4.9929676511954992E-2</v>
      </c>
      <c r="BA7" s="136">
        <f t="shared" si="2"/>
        <v>-6.5502183406113534E-3</v>
      </c>
      <c r="BB7" s="136">
        <f t="shared" si="3"/>
        <v>5.6451612903225803E-3</v>
      </c>
      <c r="BC7" s="136"/>
      <c r="BD7" s="136">
        <f t="shared" si="21"/>
        <v>-4.9929676511954992E-2</v>
      </c>
      <c r="BE7" s="136">
        <f t="shared" si="22"/>
        <v>6.5502183406113534E-3</v>
      </c>
      <c r="BF7" s="136">
        <f t="shared" si="23"/>
        <v>5.6451612903225803E-3</v>
      </c>
      <c r="BG7" s="136"/>
      <c r="BH7" s="136">
        <v>-4.9929676511954992E-2</v>
      </c>
      <c r="BI7" s="136"/>
      <c r="BJ7" s="136">
        <v>-4.9929676511954992E-2</v>
      </c>
      <c r="BN7" s="144">
        <f t="shared" si="24"/>
        <v>0</v>
      </c>
      <c r="BO7" s="145">
        <f t="shared" si="5"/>
        <v>0</v>
      </c>
      <c r="BP7" s="146">
        <f t="shared" si="6"/>
        <v>0</v>
      </c>
      <c r="BQ7" s="142">
        <v>-129.03225806451613</v>
      </c>
      <c r="BR7" s="110">
        <v>-111.52815013404826</v>
      </c>
      <c r="BS7" s="143"/>
      <c r="BT7" s="142">
        <v>-129.03225806451613</v>
      </c>
      <c r="BU7" s="110">
        <v>-111.52815013404826</v>
      </c>
      <c r="BV7" s="154">
        <v>-170.45454545454547</v>
      </c>
      <c r="BX7" s="142">
        <f t="shared" si="7"/>
        <v>1</v>
      </c>
      <c r="BY7" s="142">
        <f t="shared" si="8"/>
        <v>0</v>
      </c>
      <c r="BZ7" s="142">
        <f t="shared" si="9"/>
        <v>0</v>
      </c>
      <c r="CA7" s="69">
        <f t="shared" si="10"/>
        <v>1</v>
      </c>
      <c r="CB7" s="69">
        <f t="shared" si="11"/>
        <v>1</v>
      </c>
      <c r="CC7" s="69">
        <f t="shared" si="12"/>
        <v>1</v>
      </c>
      <c r="CD7" s="69">
        <f t="shared" si="13"/>
        <v>0</v>
      </c>
      <c r="CE7" s="69">
        <f t="shared" si="14"/>
        <v>0</v>
      </c>
      <c r="CF7" s="69">
        <f t="shared" si="15"/>
        <v>0</v>
      </c>
      <c r="CG7" s="69">
        <f t="shared" si="16"/>
        <v>0</v>
      </c>
      <c r="CH7" s="69">
        <f t="shared" si="17"/>
        <v>0</v>
      </c>
      <c r="CI7" s="69">
        <f t="shared" si="18"/>
        <v>0</v>
      </c>
      <c r="CL7" s="69">
        <v>-129.03225806451613</v>
      </c>
      <c r="CM7" s="69">
        <f t="shared" si="25"/>
        <v>129.03225806451613</v>
      </c>
      <c r="EC7" s="69">
        <v>0.30303030303030304</v>
      </c>
      <c r="ED7" s="69">
        <v>0.3733905579399141</v>
      </c>
      <c r="EE7" s="69">
        <v>0.70661157024793386</v>
      </c>
      <c r="EH7" s="69">
        <v>0.30303030303030304</v>
      </c>
    </row>
    <row r="8" spans="1:138" s="69" customFormat="1">
      <c r="A8" s="69" t="s">
        <v>93</v>
      </c>
      <c r="B8" s="69">
        <v>260</v>
      </c>
      <c r="C8" s="69" t="s">
        <v>31</v>
      </c>
      <c r="D8" s="69" t="s">
        <v>32</v>
      </c>
      <c r="E8" s="69">
        <v>4</v>
      </c>
      <c r="F8" s="69">
        <v>6</v>
      </c>
      <c r="G8" s="135">
        <v>3562</v>
      </c>
      <c r="H8" s="135">
        <v>4108</v>
      </c>
      <c r="I8" s="135">
        <v>5480</v>
      </c>
      <c r="J8" s="135">
        <v>397</v>
      </c>
      <c r="K8" s="135">
        <v>499</v>
      </c>
      <c r="L8" s="135">
        <v>396</v>
      </c>
      <c r="M8" s="135">
        <v>3395</v>
      </c>
      <c r="N8" s="135">
        <v>4086</v>
      </c>
      <c r="O8" s="135">
        <v>5120</v>
      </c>
      <c r="P8" s="135">
        <v>-167</v>
      </c>
      <c r="Q8" s="135">
        <v>-22</v>
      </c>
      <c r="R8" s="135">
        <v>-360</v>
      </c>
      <c r="S8" s="135">
        <v>-167</v>
      </c>
      <c r="T8" s="135">
        <v>-22</v>
      </c>
      <c r="U8" s="135">
        <v>-360</v>
      </c>
      <c r="V8" s="135">
        <v>920</v>
      </c>
      <c r="W8" s="135">
        <v>796</v>
      </c>
      <c r="X8" s="135">
        <v>788</v>
      </c>
      <c r="Y8" s="135">
        <v>523</v>
      </c>
      <c r="Z8" s="135">
        <v>312</v>
      </c>
      <c r="AA8" s="135">
        <v>414</v>
      </c>
      <c r="AB8" s="135">
        <v>479</v>
      </c>
      <c r="AC8" s="135">
        <v>297</v>
      </c>
      <c r="AD8" s="135">
        <v>392</v>
      </c>
      <c r="AE8" s="135">
        <v>3959</v>
      </c>
      <c r="AF8" s="135">
        <v>4607</v>
      </c>
      <c r="AG8" s="135">
        <v>5876</v>
      </c>
      <c r="AH8" s="135">
        <v>4315</v>
      </c>
      <c r="AI8" s="135">
        <v>4882</v>
      </c>
      <c r="AJ8" s="135">
        <v>5908</v>
      </c>
      <c r="AK8" s="135">
        <v>356</v>
      </c>
      <c r="AL8" s="135">
        <v>275</v>
      </c>
      <c r="AM8" s="135">
        <v>32</v>
      </c>
      <c r="AN8" s="135">
        <v>312</v>
      </c>
      <c r="AO8" s="135">
        <v>275</v>
      </c>
      <c r="AP8" s="135">
        <v>32</v>
      </c>
      <c r="AS8" s="136">
        <f t="shared" si="27"/>
        <v>1.3173803526448362</v>
      </c>
      <c r="AT8" s="136">
        <f t="shared" si="19"/>
        <v>0.62525050100200397</v>
      </c>
      <c r="AU8" s="136">
        <f t="shared" si="20"/>
        <v>1.0454545454545454</v>
      </c>
      <c r="AV8" s="136"/>
      <c r="AW8" s="136"/>
      <c r="AX8" s="136">
        <f>AU13</f>
        <v>-0.15686274509803921</v>
      </c>
      <c r="AY8" s="136"/>
      <c r="AZ8" s="136">
        <f t="shared" si="1"/>
        <v>8.9921697398332917E-2</v>
      </c>
      <c r="BA8" s="136">
        <f t="shared" si="2"/>
        <v>5.9691773388322121E-2</v>
      </c>
      <c r="BB8" s="136">
        <f t="shared" si="3"/>
        <v>5.445881552076242E-3</v>
      </c>
      <c r="BC8" s="136"/>
      <c r="BD8" s="136">
        <f t="shared" si="21"/>
        <v>-4.6883773161145427E-2</v>
      </c>
      <c r="BE8" s="136">
        <f t="shared" si="22"/>
        <v>-5.3554040895813044E-3</v>
      </c>
      <c r="BF8" s="136">
        <f t="shared" si="23"/>
        <v>-6.569343065693431E-2</v>
      </c>
      <c r="BG8" s="136"/>
      <c r="BH8" s="136">
        <v>8.9921697398332917E-2</v>
      </c>
      <c r="BI8" s="136"/>
      <c r="BJ8" s="136">
        <v>-4.6883773161145427E-2</v>
      </c>
      <c r="BN8" s="144">
        <f t="shared" si="24"/>
        <v>-313.17365269461078</v>
      </c>
      <c r="BO8" s="145">
        <f t="shared" si="5"/>
        <v>-1418.1818181818182</v>
      </c>
      <c r="BP8" s="146">
        <f t="shared" si="6"/>
        <v>-114.99999999999999</v>
      </c>
      <c r="BQ8" s="142">
        <v>-16.701461377870565</v>
      </c>
      <c r="BR8" s="110">
        <v>-16.723549488054605</v>
      </c>
      <c r="BS8" s="143"/>
      <c r="BT8" s="142">
        <v>-16.701461377870565</v>
      </c>
      <c r="BU8" s="110">
        <v>-16.723549488054605</v>
      </c>
      <c r="BV8" s="154">
        <v>-1183.3333333333335</v>
      </c>
      <c r="BX8" s="142">
        <f t="shared" si="7"/>
        <v>1</v>
      </c>
      <c r="BY8" s="142">
        <f t="shared" si="8"/>
        <v>1</v>
      </c>
      <c r="BZ8" s="142">
        <f t="shared" si="9"/>
        <v>1</v>
      </c>
      <c r="CA8" s="69">
        <f t="shared" si="10"/>
        <v>0</v>
      </c>
      <c r="CB8" s="69">
        <f t="shared" si="11"/>
        <v>0</v>
      </c>
      <c r="CC8" s="69">
        <f t="shared" si="12"/>
        <v>0</v>
      </c>
      <c r="CD8" s="69">
        <f t="shared" si="13"/>
        <v>0</v>
      </c>
      <c r="CE8" s="69">
        <f t="shared" si="14"/>
        <v>0</v>
      </c>
      <c r="CF8" s="69">
        <f t="shared" si="15"/>
        <v>0</v>
      </c>
      <c r="CG8" s="69">
        <f t="shared" si="16"/>
        <v>0</v>
      </c>
      <c r="CH8" s="69">
        <f t="shared" si="17"/>
        <v>0</v>
      </c>
      <c r="CI8" s="69">
        <f t="shared" si="18"/>
        <v>0</v>
      </c>
      <c r="CL8" s="69">
        <v>-16.701461377870565</v>
      </c>
      <c r="CM8" s="69">
        <f t="shared" si="25"/>
        <v>16.701461377870565</v>
      </c>
      <c r="EC8" s="132">
        <v>3.6219512195121952</v>
      </c>
      <c r="ED8" s="132">
        <v>-0.02</v>
      </c>
      <c r="EE8" s="69">
        <v>-0.15686274509803921</v>
      </c>
      <c r="EH8" s="69">
        <v>1.8947368421052631</v>
      </c>
    </row>
    <row r="9" spans="1:138" s="69" customFormat="1">
      <c r="A9" s="69" t="s">
        <v>100</v>
      </c>
      <c r="B9" s="69">
        <v>10</v>
      </c>
      <c r="C9" s="69" t="s">
        <v>31</v>
      </c>
      <c r="D9" s="69" t="s">
        <v>33</v>
      </c>
      <c r="E9" s="69">
        <v>3</v>
      </c>
      <c r="F9" s="69">
        <v>5</v>
      </c>
      <c r="G9" s="135">
        <f>(CN9/800)*10</f>
        <v>140.03749999999999</v>
      </c>
      <c r="H9" s="135">
        <f t="shared" ref="H9:AP9" si="29">(CO9/800)*10</f>
        <v>149.16249999999999</v>
      </c>
      <c r="I9" s="135">
        <f t="shared" si="29"/>
        <v>131.77500000000001</v>
      </c>
      <c r="J9" s="135">
        <f t="shared" si="29"/>
        <v>21.6</v>
      </c>
      <c r="K9" s="135">
        <f t="shared" si="29"/>
        <v>17.4375</v>
      </c>
      <c r="L9" s="135">
        <f t="shared" si="29"/>
        <v>21.987500000000001</v>
      </c>
      <c r="M9" s="135">
        <f t="shared" si="29"/>
        <v>113.125</v>
      </c>
      <c r="N9" s="135">
        <f t="shared" si="29"/>
        <v>144.5</v>
      </c>
      <c r="O9" s="135">
        <f t="shared" si="29"/>
        <v>115.08749999999999</v>
      </c>
      <c r="P9" s="135">
        <f t="shared" si="29"/>
        <v>-26.912500000000001</v>
      </c>
      <c r="Q9" s="135">
        <f t="shared" si="29"/>
        <v>-4.6624999999999996</v>
      </c>
      <c r="R9" s="135">
        <f t="shared" si="29"/>
        <v>-16.6875</v>
      </c>
      <c r="S9" s="135">
        <f t="shared" si="29"/>
        <v>-26.912500000000001</v>
      </c>
      <c r="T9" s="135">
        <f t="shared" si="29"/>
        <v>-4.6624999999999996</v>
      </c>
      <c r="U9" s="135">
        <f t="shared" si="29"/>
        <v>-16.6875</v>
      </c>
      <c r="V9" s="135">
        <f t="shared" si="29"/>
        <v>24.612500000000001</v>
      </c>
      <c r="W9" s="135">
        <f t="shared" si="29"/>
        <v>22.637499999999999</v>
      </c>
      <c r="X9" s="135">
        <f t="shared" si="29"/>
        <v>25.950000000000003</v>
      </c>
      <c r="Y9" s="135">
        <f t="shared" si="29"/>
        <v>3.0125000000000002</v>
      </c>
      <c r="Z9" s="135">
        <f t="shared" si="29"/>
        <v>5.2</v>
      </c>
      <c r="AA9" s="135">
        <f t="shared" si="29"/>
        <v>3.9624999999999999</v>
      </c>
      <c r="AB9" s="135">
        <f t="shared" si="29"/>
        <v>3.0125000000000002</v>
      </c>
      <c r="AC9" s="135">
        <f t="shared" si="29"/>
        <v>5.2</v>
      </c>
      <c r="AD9" s="135">
        <f t="shared" si="29"/>
        <v>3.9624999999999999</v>
      </c>
      <c r="AE9" s="135">
        <f t="shared" si="29"/>
        <v>161.63749999999999</v>
      </c>
      <c r="AF9" s="135">
        <f t="shared" si="29"/>
        <v>166.6</v>
      </c>
      <c r="AG9" s="135">
        <f t="shared" si="29"/>
        <v>153.76250000000002</v>
      </c>
      <c r="AH9" s="135">
        <f t="shared" si="29"/>
        <v>137.73750000000001</v>
      </c>
      <c r="AI9" s="135">
        <f t="shared" si="29"/>
        <v>167.13750000000002</v>
      </c>
      <c r="AJ9" s="135">
        <f t="shared" si="29"/>
        <v>141.03749999999999</v>
      </c>
      <c r="AK9" s="135">
        <f t="shared" si="29"/>
        <v>-23.900000000000002</v>
      </c>
      <c r="AL9" s="135">
        <f t="shared" si="29"/>
        <v>0.53749999999999998</v>
      </c>
      <c r="AM9" s="135">
        <f t="shared" si="29"/>
        <v>-12.725</v>
      </c>
      <c r="AN9" s="135">
        <f t="shared" si="29"/>
        <v>-23.900000000000002</v>
      </c>
      <c r="AO9" s="135">
        <f t="shared" si="29"/>
        <v>0.53749999999999998</v>
      </c>
      <c r="AP9" s="135">
        <f t="shared" si="29"/>
        <v>-12.725</v>
      </c>
      <c r="AS9" s="136">
        <f t="shared" si="27"/>
        <v>0.13946759259259259</v>
      </c>
      <c r="AT9" s="136">
        <f t="shared" si="19"/>
        <v>0.29820788530465953</v>
      </c>
      <c r="AU9" s="136">
        <f t="shared" si="20"/>
        <v>0.18021603183627061</v>
      </c>
      <c r="AV9" s="136"/>
      <c r="AW9" s="136"/>
      <c r="AX9" s="136"/>
      <c r="AY9" s="136"/>
      <c r="AZ9" s="136">
        <f t="shared" si="1"/>
        <v>-0.1478617276312737</v>
      </c>
      <c r="BA9" s="136">
        <f t="shared" si="2"/>
        <v>3.2262905162064827E-3</v>
      </c>
      <c r="BB9" s="136">
        <f t="shared" si="3"/>
        <v>-8.2757499390293462E-2</v>
      </c>
      <c r="BC9" s="136"/>
      <c r="BD9" s="136">
        <f t="shared" si="21"/>
        <v>-0.19218066589306437</v>
      </c>
      <c r="BE9" s="136">
        <f t="shared" si="22"/>
        <v>-3.1257856364702921E-2</v>
      </c>
      <c r="BF9" s="136">
        <f t="shared" si="23"/>
        <v>-0.12663631189527602</v>
      </c>
      <c r="BG9" s="136"/>
      <c r="BH9" s="136">
        <v>-0.1478617276312737</v>
      </c>
      <c r="BI9" s="136"/>
      <c r="BJ9" s="136">
        <v>-0.19218066589306437</v>
      </c>
      <c r="BN9" s="144">
        <f t="shared" si="24"/>
        <v>-11.193683232698561</v>
      </c>
      <c r="BO9" s="145">
        <f t="shared" si="5"/>
        <v>-111.52815013404826</v>
      </c>
      <c r="BP9" s="146">
        <f t="shared" si="6"/>
        <v>-23.745318352059925</v>
      </c>
      <c r="BQ9" s="142"/>
      <c r="BR9" s="110"/>
      <c r="BS9" s="143"/>
      <c r="BT9" s="152">
        <v>-45.343511450381676</v>
      </c>
      <c r="BU9" s="153">
        <v>-610.20408163265313</v>
      </c>
      <c r="BV9" s="154">
        <v>-52.820512820512825</v>
      </c>
      <c r="BX9" s="142">
        <f t="shared" si="7"/>
        <v>1</v>
      </c>
      <c r="BY9" s="142">
        <f t="shared" si="8"/>
        <v>1</v>
      </c>
      <c r="BZ9" s="142">
        <f t="shared" si="9"/>
        <v>1</v>
      </c>
      <c r="CA9" s="69">
        <f t="shared" si="10"/>
        <v>0</v>
      </c>
      <c r="CB9" s="69">
        <f t="shared" si="11"/>
        <v>0</v>
      </c>
      <c r="CC9" s="69">
        <f t="shared" si="12"/>
        <v>0</v>
      </c>
      <c r="CD9" s="69">
        <f t="shared" si="13"/>
        <v>0</v>
      </c>
      <c r="CE9" s="69">
        <f t="shared" si="14"/>
        <v>0</v>
      </c>
      <c r="CF9" s="69">
        <f t="shared" si="15"/>
        <v>0</v>
      </c>
      <c r="CG9" s="69">
        <f t="shared" si="16"/>
        <v>0</v>
      </c>
      <c r="CH9" s="69">
        <f t="shared" si="17"/>
        <v>0</v>
      </c>
      <c r="CI9" s="69">
        <f t="shared" si="18"/>
        <v>0</v>
      </c>
      <c r="CL9" s="69">
        <v>-68</v>
      </c>
      <c r="CM9" s="69">
        <f t="shared" si="25"/>
        <v>68</v>
      </c>
      <c r="CN9" s="69">
        <v>11203</v>
      </c>
      <c r="CO9" s="69">
        <v>11933</v>
      </c>
      <c r="CP9" s="69">
        <v>10542</v>
      </c>
      <c r="CQ9" s="69">
        <v>1728</v>
      </c>
      <c r="CR9" s="69">
        <v>1395</v>
      </c>
      <c r="CS9" s="69">
        <v>1759</v>
      </c>
      <c r="CT9" s="69">
        <v>9050</v>
      </c>
      <c r="CU9" s="69">
        <v>11560</v>
      </c>
      <c r="CV9" s="69">
        <v>9207</v>
      </c>
      <c r="CW9" s="69">
        <v>-2153</v>
      </c>
      <c r="CX9" s="69">
        <v>-373</v>
      </c>
      <c r="CY9" s="69">
        <v>-1335</v>
      </c>
      <c r="CZ9" s="69">
        <v>-2153</v>
      </c>
      <c r="DA9" s="69">
        <v>-373</v>
      </c>
      <c r="DB9" s="69">
        <v>-1335</v>
      </c>
      <c r="DC9" s="69">
        <v>1969</v>
      </c>
      <c r="DD9" s="69">
        <v>1811</v>
      </c>
      <c r="DE9" s="69">
        <v>2076</v>
      </c>
      <c r="DF9" s="69">
        <v>241</v>
      </c>
      <c r="DG9" s="69">
        <v>416</v>
      </c>
      <c r="DH9" s="69">
        <v>317</v>
      </c>
      <c r="DI9" s="69">
        <v>241</v>
      </c>
      <c r="DJ9" s="69">
        <v>416</v>
      </c>
      <c r="DK9" s="69">
        <v>317</v>
      </c>
      <c r="DL9" s="69">
        <v>12931</v>
      </c>
      <c r="DM9" s="69">
        <v>13328</v>
      </c>
      <c r="DN9" s="69">
        <v>12301</v>
      </c>
      <c r="DO9" s="69">
        <v>11019</v>
      </c>
      <c r="DP9" s="69">
        <v>13371</v>
      </c>
      <c r="DQ9" s="69">
        <v>11283</v>
      </c>
      <c r="DR9" s="69">
        <v>-1912</v>
      </c>
      <c r="DS9" s="69">
        <v>43</v>
      </c>
      <c r="DT9" s="69">
        <v>-1018</v>
      </c>
      <c r="DU9" s="69">
        <v>-1912</v>
      </c>
      <c r="DV9" s="69">
        <v>43</v>
      </c>
      <c r="DW9" s="69">
        <v>-1018</v>
      </c>
      <c r="EC9" s="132">
        <v>2</v>
      </c>
      <c r="ED9" s="132">
        <v>19.933333333333337</v>
      </c>
      <c r="EE9" s="132">
        <v>1.282051282051282E-2</v>
      </c>
      <c r="EH9" s="69">
        <v>0.44901315789473684</v>
      </c>
    </row>
    <row r="10" spans="1:138" s="69" customFormat="1">
      <c r="A10" s="69" t="s">
        <v>101</v>
      </c>
      <c r="B10" s="69">
        <v>176</v>
      </c>
      <c r="C10" s="69" t="s">
        <v>31</v>
      </c>
      <c r="D10" s="69" t="s">
        <v>32</v>
      </c>
      <c r="E10" s="69">
        <v>6</v>
      </c>
      <c r="F10" s="69">
        <v>6</v>
      </c>
      <c r="G10" s="135">
        <v>1695</v>
      </c>
      <c r="H10" s="135">
        <v>2103</v>
      </c>
      <c r="I10" s="135">
        <v>1850</v>
      </c>
      <c r="J10" s="135">
        <v>218</v>
      </c>
      <c r="K10" s="135">
        <v>361</v>
      </c>
      <c r="L10" s="135">
        <v>242</v>
      </c>
      <c r="M10" s="135">
        <v>1540</v>
      </c>
      <c r="N10" s="135">
        <v>1810</v>
      </c>
      <c r="O10" s="135">
        <v>1725</v>
      </c>
      <c r="P10" s="135">
        <v>-155</v>
      </c>
      <c r="Q10" s="135">
        <v>-293</v>
      </c>
      <c r="R10" s="135">
        <v>-125</v>
      </c>
      <c r="S10" s="135">
        <v>-155</v>
      </c>
      <c r="T10" s="135">
        <v>-293</v>
      </c>
      <c r="U10" s="135">
        <v>-125</v>
      </c>
      <c r="V10" s="135">
        <v>418</v>
      </c>
      <c r="W10" s="135">
        <v>410</v>
      </c>
      <c r="X10" s="135">
        <v>413</v>
      </c>
      <c r="Y10" s="135">
        <v>200</v>
      </c>
      <c r="Z10" s="135">
        <v>49</v>
      </c>
      <c r="AA10" s="135">
        <v>171</v>
      </c>
      <c r="AB10" s="135">
        <v>200</v>
      </c>
      <c r="AC10" s="135">
        <v>49</v>
      </c>
      <c r="AD10" s="135">
        <v>171</v>
      </c>
      <c r="AE10" s="135">
        <v>1913</v>
      </c>
      <c r="AF10" s="135">
        <v>2464</v>
      </c>
      <c r="AG10" s="135">
        <v>2092</v>
      </c>
      <c r="AH10" s="135">
        <v>1958</v>
      </c>
      <c r="AI10" s="135">
        <v>2220</v>
      </c>
      <c r="AJ10" s="135">
        <v>2138</v>
      </c>
      <c r="AK10" s="135">
        <v>45</v>
      </c>
      <c r="AL10" s="135">
        <v>-244</v>
      </c>
      <c r="AM10" s="135">
        <v>46</v>
      </c>
      <c r="AN10" s="135">
        <v>45</v>
      </c>
      <c r="AO10" s="135">
        <v>-244</v>
      </c>
      <c r="AP10" s="135">
        <v>46</v>
      </c>
      <c r="AS10" s="136">
        <f t="shared" si="27"/>
        <v>0.91743119266055051</v>
      </c>
      <c r="AT10" s="136">
        <f t="shared" si="19"/>
        <v>0.13573407202216067</v>
      </c>
      <c r="AU10" s="136">
        <f t="shared" si="20"/>
        <v>0.70661157024793386</v>
      </c>
      <c r="AV10" s="136"/>
      <c r="AW10" s="136"/>
      <c r="AX10" s="136"/>
      <c r="AY10" s="136"/>
      <c r="AZ10" s="136">
        <f t="shared" si="1"/>
        <v>2.3523261892315735E-2</v>
      </c>
      <c r="BA10" s="136">
        <f t="shared" si="2"/>
        <v>-9.9025974025974031E-2</v>
      </c>
      <c r="BB10" s="136">
        <f t="shared" si="3"/>
        <v>2.1988527724665391E-2</v>
      </c>
      <c r="BC10" s="136"/>
      <c r="BD10" s="136">
        <f t="shared" si="21"/>
        <v>-9.1445427728613568E-2</v>
      </c>
      <c r="BE10" s="136">
        <f t="shared" si="22"/>
        <v>-0.1393247741321921</v>
      </c>
      <c r="BF10" s="136">
        <f t="shared" si="23"/>
        <v>-6.7567567567567571E-2</v>
      </c>
      <c r="BG10" s="136"/>
      <c r="BH10" s="136">
        <v>2.3523261892315735E-2</v>
      </c>
      <c r="BI10" s="136"/>
      <c r="BJ10" s="136">
        <v>-9.1445427728613568E-2</v>
      </c>
      <c r="BN10" s="144">
        <f t="shared" si="24"/>
        <v>-129.03225806451613</v>
      </c>
      <c r="BO10" s="145">
        <f t="shared" si="5"/>
        <v>-16.723549488054605</v>
      </c>
      <c r="BP10" s="146">
        <f t="shared" si="6"/>
        <v>-136.80000000000001</v>
      </c>
      <c r="BQ10" s="142"/>
      <c r="BR10" s="110"/>
      <c r="BS10" s="143"/>
      <c r="BT10" s="152">
        <v>-420</v>
      </c>
      <c r="BU10" s="153">
        <v>-198.16513761467891</v>
      </c>
      <c r="BV10" s="157">
        <v>-49.333333333333336</v>
      </c>
      <c r="BX10" s="142">
        <f t="shared" si="7"/>
        <v>1</v>
      </c>
      <c r="BY10" s="142">
        <f t="shared" si="8"/>
        <v>1</v>
      </c>
      <c r="BZ10" s="142">
        <f t="shared" si="9"/>
        <v>1</v>
      </c>
      <c r="CA10" s="69">
        <f t="shared" si="10"/>
        <v>0</v>
      </c>
      <c r="CB10" s="69">
        <f t="shared" si="11"/>
        <v>0</v>
      </c>
      <c r="CC10" s="69">
        <f t="shared" si="12"/>
        <v>0</v>
      </c>
      <c r="CD10" s="69">
        <f t="shared" si="13"/>
        <v>0</v>
      </c>
      <c r="CE10" s="69">
        <f t="shared" si="14"/>
        <v>0</v>
      </c>
      <c r="CF10" s="69">
        <f t="shared" si="15"/>
        <v>0</v>
      </c>
      <c r="CG10" s="69">
        <f t="shared" si="16"/>
        <v>0</v>
      </c>
      <c r="CH10" s="69">
        <f t="shared" si="17"/>
        <v>0</v>
      </c>
      <c r="CI10" s="69">
        <f t="shared" si="18"/>
        <v>0</v>
      </c>
      <c r="CL10" s="69">
        <v>-51.428571428571423</v>
      </c>
      <c r="CM10" s="69">
        <f t="shared" si="25"/>
        <v>51.428571428571423</v>
      </c>
      <c r="EC10" s="63">
        <v>7.2380952380952381</v>
      </c>
      <c r="ED10" s="132">
        <v>3.2481203007518795</v>
      </c>
      <c r="EE10" s="132">
        <v>149.99999999999997</v>
      </c>
      <c r="EH10" s="69">
        <v>0.62525050100200397</v>
      </c>
    </row>
    <row r="11" spans="1:138" s="69" customFormat="1">
      <c r="A11" s="69" t="s">
        <v>102</v>
      </c>
      <c r="B11" s="69">
        <v>117</v>
      </c>
      <c r="C11" s="69" t="s">
        <v>31</v>
      </c>
      <c r="D11" s="69" t="s">
        <v>35</v>
      </c>
      <c r="E11" s="69">
        <v>2</v>
      </c>
      <c r="F11" s="69">
        <v>5</v>
      </c>
      <c r="G11" s="135">
        <v>111</v>
      </c>
      <c r="H11" s="135">
        <v>111</v>
      </c>
      <c r="I11" s="135">
        <v>158</v>
      </c>
      <c r="J11" s="135">
        <v>0</v>
      </c>
      <c r="K11" s="135">
        <v>0</v>
      </c>
      <c r="L11" s="135">
        <v>0</v>
      </c>
      <c r="M11" s="135">
        <v>111</v>
      </c>
      <c r="N11" s="135">
        <v>111</v>
      </c>
      <c r="O11" s="135">
        <v>158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5">
        <v>0</v>
      </c>
      <c r="Y11" s="135">
        <v>0</v>
      </c>
      <c r="Z11" s="135">
        <v>0</v>
      </c>
      <c r="AA11" s="135">
        <v>0</v>
      </c>
      <c r="AB11" s="135">
        <v>0</v>
      </c>
      <c r="AC11" s="135">
        <v>0</v>
      </c>
      <c r="AD11" s="135">
        <v>0</v>
      </c>
      <c r="AE11" s="135">
        <v>111</v>
      </c>
      <c r="AF11" s="135">
        <v>111</v>
      </c>
      <c r="AG11" s="135">
        <v>158</v>
      </c>
      <c r="AH11" s="135">
        <v>111</v>
      </c>
      <c r="AI11" s="135">
        <v>111</v>
      </c>
      <c r="AJ11" s="135">
        <v>158</v>
      </c>
      <c r="AK11" s="135">
        <v>0</v>
      </c>
      <c r="AL11" s="135">
        <v>0</v>
      </c>
      <c r="AM11" s="135">
        <v>0</v>
      </c>
      <c r="AN11" s="135">
        <v>0</v>
      </c>
      <c r="AO11" s="135">
        <v>0</v>
      </c>
      <c r="AP11" s="135">
        <v>0</v>
      </c>
      <c r="AS11" s="136" t="s">
        <v>437</v>
      </c>
      <c r="AT11" s="136" t="e">
        <f t="shared" si="19"/>
        <v>#DIV/0!</v>
      </c>
      <c r="AU11" s="136" t="e">
        <f t="shared" si="20"/>
        <v>#DIV/0!</v>
      </c>
      <c r="AV11" s="136"/>
      <c r="AW11" s="136"/>
      <c r="AX11" s="136"/>
      <c r="AY11" s="136"/>
      <c r="AZ11" s="136">
        <f t="shared" si="1"/>
        <v>0</v>
      </c>
      <c r="BA11" s="136">
        <f t="shared" si="2"/>
        <v>0</v>
      </c>
      <c r="BB11" s="136">
        <f t="shared" si="3"/>
        <v>0</v>
      </c>
      <c r="BC11" s="136"/>
      <c r="BD11" s="136">
        <f t="shared" si="21"/>
        <v>0</v>
      </c>
      <c r="BE11" s="136">
        <f t="shared" si="22"/>
        <v>0</v>
      </c>
      <c r="BF11" s="136">
        <f t="shared" si="23"/>
        <v>0</v>
      </c>
      <c r="BG11" s="136"/>
      <c r="BH11" s="136">
        <v>0</v>
      </c>
      <c r="BI11" s="136"/>
      <c r="BJ11" s="136">
        <v>0</v>
      </c>
      <c r="BN11" s="144" t="e">
        <f t="shared" si="24"/>
        <v>#DIV/0!</v>
      </c>
      <c r="BO11" s="145" t="e">
        <f t="shared" si="5"/>
        <v>#DIV/0!</v>
      </c>
      <c r="BP11" s="146" t="e">
        <f t="shared" si="6"/>
        <v>#DIV/0!</v>
      </c>
      <c r="BQ11" s="142"/>
      <c r="BR11" s="110"/>
      <c r="BS11" s="143"/>
      <c r="BT11" s="152">
        <v>-19.49685534591195</v>
      </c>
      <c r="BU11" s="153">
        <v>-69.892473118279568</v>
      </c>
      <c r="BV11" s="157">
        <v>-116.02564102564104</v>
      </c>
      <c r="BX11" s="142">
        <f t="shared" si="7"/>
        <v>0</v>
      </c>
      <c r="BY11" s="142">
        <f t="shared" si="8"/>
        <v>0</v>
      </c>
      <c r="BZ11" s="142">
        <f t="shared" si="9"/>
        <v>0</v>
      </c>
      <c r="CA11" s="69" t="e">
        <f t="shared" si="10"/>
        <v>#DIV/0!</v>
      </c>
      <c r="CB11" s="69" t="e">
        <f t="shared" si="11"/>
        <v>#DIV/0!</v>
      </c>
      <c r="CC11" s="69" t="e">
        <f t="shared" si="12"/>
        <v>#DIV/0!</v>
      </c>
      <c r="CD11" s="69" t="e">
        <f t="shared" si="13"/>
        <v>#DIV/0!</v>
      </c>
      <c r="CE11" s="69" t="e">
        <f t="shared" si="14"/>
        <v>#DIV/0!</v>
      </c>
      <c r="CF11" s="69" t="e">
        <f t="shared" si="15"/>
        <v>#DIV/0!</v>
      </c>
      <c r="CG11" s="69">
        <f t="shared" si="16"/>
        <v>1</v>
      </c>
      <c r="CH11" s="69">
        <f t="shared" si="17"/>
        <v>1</v>
      </c>
      <c r="CI11" s="69">
        <f t="shared" si="18"/>
        <v>1</v>
      </c>
      <c r="CL11" s="69">
        <v>-97.637795275590548</v>
      </c>
      <c r="CM11" s="69">
        <f t="shared" si="25"/>
        <v>97.637795275590548</v>
      </c>
      <c r="EC11" s="63">
        <v>1.425531914893617</v>
      </c>
      <c r="ED11" s="132">
        <v>6.4516129032258063E-2</v>
      </c>
      <c r="EE11" s="132">
        <v>1.518716577540107</v>
      </c>
      <c r="EH11" s="69">
        <v>0.29820788530465953</v>
      </c>
    </row>
    <row r="12" spans="1:138" s="69" customFormat="1">
      <c r="A12" s="69" t="s">
        <v>103</v>
      </c>
      <c r="B12" s="69">
        <v>720</v>
      </c>
      <c r="C12" s="69" t="s">
        <v>31</v>
      </c>
      <c r="D12" s="69" t="s">
        <v>32</v>
      </c>
      <c r="E12" s="69">
        <v>2</v>
      </c>
      <c r="F12" s="69">
        <v>7</v>
      </c>
      <c r="G12" s="135">
        <v>2297</v>
      </c>
      <c r="H12" s="135">
        <v>2513</v>
      </c>
      <c r="I12" s="135">
        <v>2502</v>
      </c>
      <c r="J12" s="135">
        <v>0</v>
      </c>
      <c r="K12" s="135">
        <v>0</v>
      </c>
      <c r="L12" s="135">
        <v>0</v>
      </c>
      <c r="M12" s="135">
        <v>2879</v>
      </c>
      <c r="N12" s="135">
        <v>3696</v>
      </c>
      <c r="O12" s="135">
        <v>4188</v>
      </c>
      <c r="P12" s="135">
        <v>582</v>
      </c>
      <c r="Q12" s="135">
        <v>1183</v>
      </c>
      <c r="R12" s="135">
        <v>1686</v>
      </c>
      <c r="S12" s="135">
        <v>582</v>
      </c>
      <c r="T12" s="135">
        <v>1183</v>
      </c>
      <c r="U12" s="135">
        <v>1686</v>
      </c>
      <c r="V12" s="135">
        <v>5</v>
      </c>
      <c r="W12" s="135">
        <v>10</v>
      </c>
      <c r="X12" s="135">
        <v>0</v>
      </c>
      <c r="Y12" s="135">
        <v>5</v>
      </c>
      <c r="Z12" s="135">
        <v>10</v>
      </c>
      <c r="AA12" s="135">
        <v>0</v>
      </c>
      <c r="AB12" s="135">
        <v>5</v>
      </c>
      <c r="AC12" s="135">
        <v>10</v>
      </c>
      <c r="AD12" s="135">
        <v>0</v>
      </c>
      <c r="AE12" s="135">
        <v>2297</v>
      </c>
      <c r="AF12" s="135">
        <v>2513</v>
      </c>
      <c r="AG12" s="135">
        <v>2502</v>
      </c>
      <c r="AH12" s="135">
        <v>2884</v>
      </c>
      <c r="AI12" s="135">
        <v>3706</v>
      </c>
      <c r="AJ12" s="135">
        <v>4188</v>
      </c>
      <c r="AK12" s="135">
        <v>587</v>
      </c>
      <c r="AL12" s="135">
        <v>1193</v>
      </c>
      <c r="AM12" s="135">
        <v>1686</v>
      </c>
      <c r="AN12" s="135">
        <v>587</v>
      </c>
      <c r="AO12" s="135">
        <v>1193</v>
      </c>
      <c r="AP12" s="135">
        <v>1686</v>
      </c>
      <c r="AS12" s="136" t="s">
        <v>437</v>
      </c>
      <c r="AT12" s="136" t="e">
        <f t="shared" si="19"/>
        <v>#DIV/0!</v>
      </c>
      <c r="AU12" s="136" t="e">
        <f t="shared" si="20"/>
        <v>#DIV/0!</v>
      </c>
      <c r="AV12" s="136"/>
      <c r="AW12" s="136"/>
      <c r="AX12" s="136"/>
      <c r="AY12" s="136"/>
      <c r="AZ12" s="136">
        <f t="shared" si="1"/>
        <v>0.25555071832825427</v>
      </c>
      <c r="BA12" s="136">
        <f t="shared" si="2"/>
        <v>0.47473139673696779</v>
      </c>
      <c r="BB12" s="136">
        <f t="shared" si="3"/>
        <v>0.67386091127098324</v>
      </c>
      <c r="BC12" s="136"/>
      <c r="BD12" s="136">
        <f t="shared" si="21"/>
        <v>0.25337396604266432</v>
      </c>
      <c r="BE12" s="136">
        <f t="shared" si="22"/>
        <v>0.47075208913649025</v>
      </c>
      <c r="BF12" s="136">
        <f t="shared" si="23"/>
        <v>0.67386091127098324</v>
      </c>
      <c r="BG12" s="136"/>
      <c r="BH12" s="136">
        <v>0.25555071832825427</v>
      </c>
      <c r="BI12" s="136"/>
      <c r="BJ12" s="136">
        <v>0.25337396604266432</v>
      </c>
      <c r="BN12" s="144">
        <f t="shared" si="24"/>
        <v>0.85910652920962205</v>
      </c>
      <c r="BO12" s="145">
        <f t="shared" si="5"/>
        <v>0.84530853761623004</v>
      </c>
      <c r="BP12" s="146">
        <f t="shared" si="6"/>
        <v>0</v>
      </c>
      <c r="BQ12" s="142"/>
      <c r="BR12" s="110"/>
      <c r="BS12" s="143"/>
      <c r="BT12" s="155">
        <v>-37.209302325581397</v>
      </c>
      <c r="BU12" s="153">
        <v>-2.2988505747126435</v>
      </c>
      <c r="BV12" s="157">
        <v>-165.90038314176246</v>
      </c>
      <c r="BX12" s="142">
        <f t="shared" si="7"/>
        <v>0</v>
      </c>
      <c r="BY12" s="142">
        <f t="shared" si="8"/>
        <v>0</v>
      </c>
      <c r="BZ12" s="142">
        <f t="shared" si="9"/>
        <v>0</v>
      </c>
      <c r="CA12" s="69">
        <f t="shared" si="10"/>
        <v>0</v>
      </c>
      <c r="CB12" s="69">
        <f t="shared" si="11"/>
        <v>0</v>
      </c>
      <c r="CC12" s="69">
        <f t="shared" si="12"/>
        <v>1</v>
      </c>
      <c r="CD12" s="69">
        <f t="shared" si="13"/>
        <v>1</v>
      </c>
      <c r="CE12" s="69">
        <f t="shared" si="14"/>
        <v>1</v>
      </c>
      <c r="CF12" s="69">
        <f t="shared" si="15"/>
        <v>0</v>
      </c>
      <c r="CG12" s="69">
        <f t="shared" si="16"/>
        <v>0</v>
      </c>
      <c r="CH12" s="69">
        <f t="shared" si="17"/>
        <v>0</v>
      </c>
      <c r="CI12" s="69">
        <f t="shared" si="18"/>
        <v>0</v>
      </c>
      <c r="CL12" s="69">
        <v>-46.666666666666664</v>
      </c>
      <c r="CM12" s="69">
        <f t="shared" si="25"/>
        <v>46.666666666666664</v>
      </c>
      <c r="EC12" s="63">
        <v>0.21335268505079827</v>
      </c>
      <c r="ED12" s="132">
        <v>6.4516129032258063E-2</v>
      </c>
      <c r="EE12" s="132">
        <v>34.333333333333329</v>
      </c>
      <c r="EH12" s="69">
        <v>0.13573407202216067</v>
      </c>
    </row>
    <row r="13" spans="1:138" s="69" customFormat="1">
      <c r="A13" s="69" t="s">
        <v>104</v>
      </c>
      <c r="B13" s="69">
        <v>25</v>
      </c>
      <c r="C13" s="69" t="s">
        <v>31</v>
      </c>
      <c r="D13" s="69" t="s">
        <v>33</v>
      </c>
      <c r="E13" s="69">
        <v>2</v>
      </c>
      <c r="F13" s="69">
        <v>5</v>
      </c>
      <c r="G13" s="135">
        <f>(CN13/1100)*25</f>
        <v>157.25</v>
      </c>
      <c r="H13" s="135">
        <f t="shared" ref="H13:AP13" si="30">(CO13/1100)*25</f>
        <v>142.22727272727275</v>
      </c>
      <c r="I13" s="135">
        <f t="shared" si="30"/>
        <v>173.43181818181819</v>
      </c>
      <c r="J13" s="135">
        <f t="shared" si="30"/>
        <v>6</v>
      </c>
      <c r="K13" s="135">
        <f t="shared" si="30"/>
        <v>5.2954545454545459</v>
      </c>
      <c r="L13" s="135">
        <f t="shared" si="30"/>
        <v>11.59090909090909</v>
      </c>
      <c r="M13" s="135">
        <f t="shared" si="30"/>
        <v>146.36363636363637</v>
      </c>
      <c r="N13" s="135">
        <f t="shared" si="30"/>
        <v>147.20454545454544</v>
      </c>
      <c r="O13" s="135">
        <f t="shared" si="30"/>
        <v>215.40909090909093</v>
      </c>
      <c r="P13" s="135">
        <f t="shared" si="30"/>
        <v>-10.886363636363635</v>
      </c>
      <c r="Q13" s="135">
        <f t="shared" si="30"/>
        <v>4.9772727272727275</v>
      </c>
      <c r="R13" s="135">
        <f t="shared" si="30"/>
        <v>41.977272727272727</v>
      </c>
      <c r="S13" s="135">
        <f t="shared" si="30"/>
        <v>-11.886363636363637</v>
      </c>
      <c r="T13" s="135">
        <f t="shared" si="30"/>
        <v>4.2727272727272725</v>
      </c>
      <c r="U13" s="135">
        <f t="shared" si="30"/>
        <v>41.022727272727273</v>
      </c>
      <c r="V13" s="135">
        <f t="shared" si="30"/>
        <v>7.8181818181818183</v>
      </c>
      <c r="W13" s="135">
        <f t="shared" si="30"/>
        <v>7.2727272727272725</v>
      </c>
      <c r="X13" s="135">
        <f t="shared" si="30"/>
        <v>9.7727272727272734</v>
      </c>
      <c r="Y13" s="135">
        <f t="shared" si="30"/>
        <v>1.8181818181818181</v>
      </c>
      <c r="Z13" s="135">
        <f t="shared" si="30"/>
        <v>1.9772727272727271</v>
      </c>
      <c r="AA13" s="135">
        <f t="shared" si="30"/>
        <v>-1.8181818181818181</v>
      </c>
      <c r="AB13" s="135">
        <f t="shared" si="30"/>
        <v>1.6363636363636365</v>
      </c>
      <c r="AC13" s="135">
        <f t="shared" si="30"/>
        <v>1.9772727272727271</v>
      </c>
      <c r="AD13" s="135">
        <f t="shared" si="30"/>
        <v>-1.8181818181818181</v>
      </c>
      <c r="AE13" s="135">
        <f t="shared" si="30"/>
        <v>163.25</v>
      </c>
      <c r="AF13" s="135">
        <f t="shared" si="30"/>
        <v>147.52272727272728</v>
      </c>
      <c r="AG13" s="135">
        <f t="shared" si="30"/>
        <v>185.02272727272728</v>
      </c>
      <c r="AH13" s="135">
        <f t="shared" si="30"/>
        <v>154.18181818181819</v>
      </c>
      <c r="AI13" s="135">
        <f t="shared" si="30"/>
        <v>154.47727272727272</v>
      </c>
      <c r="AJ13" s="135">
        <f t="shared" si="30"/>
        <v>225.18181818181819</v>
      </c>
      <c r="AK13" s="135">
        <f t="shared" si="30"/>
        <v>-9.0681818181818183</v>
      </c>
      <c r="AL13" s="135">
        <f t="shared" si="30"/>
        <v>6.954545454545455</v>
      </c>
      <c r="AM13" s="135">
        <f t="shared" si="30"/>
        <v>40.159090909090914</v>
      </c>
      <c r="AN13" s="135">
        <f t="shared" si="30"/>
        <v>-10.25</v>
      </c>
      <c r="AO13" s="135">
        <f t="shared" si="30"/>
        <v>6.25</v>
      </c>
      <c r="AP13" s="135">
        <f t="shared" si="30"/>
        <v>39.204545454545453</v>
      </c>
      <c r="AS13" s="136">
        <f t="shared" si="27"/>
        <v>0.30303030303030304</v>
      </c>
      <c r="AT13" s="136">
        <f t="shared" si="19"/>
        <v>0.3733905579399141</v>
      </c>
      <c r="AU13" s="136">
        <f t="shared" si="20"/>
        <v>-0.15686274509803921</v>
      </c>
      <c r="AV13" s="136"/>
      <c r="AW13" s="136"/>
      <c r="AX13" s="136"/>
      <c r="AY13" s="136"/>
      <c r="AZ13" s="136">
        <f t="shared" si="1"/>
        <v>-5.5547821244605319E-2</v>
      </c>
      <c r="BA13" s="136">
        <f t="shared" si="2"/>
        <v>4.7142196887998769E-2</v>
      </c>
      <c r="BB13" s="136">
        <f t="shared" si="3"/>
        <v>0.21704950251811819</v>
      </c>
      <c r="BC13" s="136"/>
      <c r="BD13" s="136">
        <f t="shared" si="21"/>
        <v>-6.9229657464951577E-2</v>
      </c>
      <c r="BE13" s="136">
        <f t="shared" si="22"/>
        <v>3.4995206136145728E-2</v>
      </c>
      <c r="BF13" s="136">
        <f t="shared" si="23"/>
        <v>0.2420390512383698</v>
      </c>
      <c r="BG13" s="136"/>
      <c r="BH13" s="136">
        <v>-5.5547821244605319E-2</v>
      </c>
      <c r="BI13" s="136"/>
      <c r="BJ13" s="136">
        <v>-6.9229657464951577E-2</v>
      </c>
      <c r="BN13" s="144">
        <f t="shared" si="24"/>
        <v>-16.701461377870565</v>
      </c>
      <c r="BO13" s="145">
        <f t="shared" si="5"/>
        <v>39.726027397260268</v>
      </c>
      <c r="BP13" s="146">
        <f t="shared" si="6"/>
        <v>-4.3313481321061182</v>
      </c>
      <c r="BQ13" s="142"/>
      <c r="BR13" s="110"/>
      <c r="BS13" s="143"/>
      <c r="BT13" s="155">
        <v>-209.52380952380955</v>
      </c>
      <c r="BU13" s="156">
        <v>-57.324840764331206</v>
      </c>
      <c r="BV13" s="157">
        <v>-92.131979695431482</v>
      </c>
      <c r="BX13" s="142">
        <f t="shared" si="7"/>
        <v>1</v>
      </c>
      <c r="BY13" s="142">
        <f t="shared" si="8"/>
        <v>0</v>
      </c>
      <c r="BZ13" s="142">
        <f t="shared" si="9"/>
        <v>0</v>
      </c>
      <c r="CA13" s="69">
        <f t="shared" si="10"/>
        <v>0</v>
      </c>
      <c r="CB13" s="69">
        <f t="shared" si="11"/>
        <v>0</v>
      </c>
      <c r="CC13" s="69">
        <f t="shared" si="12"/>
        <v>0</v>
      </c>
      <c r="CD13" s="69">
        <f t="shared" si="13"/>
        <v>0</v>
      </c>
      <c r="CE13" s="69">
        <f t="shared" si="14"/>
        <v>1</v>
      </c>
      <c r="CF13" s="69">
        <f t="shared" si="15"/>
        <v>0</v>
      </c>
      <c r="CG13" s="69">
        <f t="shared" si="16"/>
        <v>0</v>
      </c>
      <c r="CH13" s="69">
        <f t="shared" si="17"/>
        <v>0</v>
      </c>
      <c r="CI13" s="69">
        <f t="shared" si="18"/>
        <v>0</v>
      </c>
      <c r="CL13" s="69">
        <v>-1418.1818181818182</v>
      </c>
      <c r="CM13" s="69">
        <f t="shared" si="25"/>
        <v>1418.1818181818182</v>
      </c>
      <c r="CN13" s="69">
        <v>6919</v>
      </c>
      <c r="CO13" s="69">
        <v>6258</v>
      </c>
      <c r="CP13" s="69">
        <v>7631</v>
      </c>
      <c r="CQ13" s="69">
        <v>264</v>
      </c>
      <c r="CR13" s="69">
        <v>233</v>
      </c>
      <c r="CS13" s="69">
        <v>510</v>
      </c>
      <c r="CT13" s="69">
        <v>6440</v>
      </c>
      <c r="CU13" s="69">
        <v>6477</v>
      </c>
      <c r="CV13" s="69">
        <v>9478</v>
      </c>
      <c r="CW13" s="69">
        <v>-479</v>
      </c>
      <c r="CX13" s="69">
        <v>219</v>
      </c>
      <c r="CY13" s="69">
        <v>1847</v>
      </c>
      <c r="CZ13" s="69">
        <v>-523</v>
      </c>
      <c r="DA13" s="69">
        <v>188</v>
      </c>
      <c r="DB13" s="69">
        <v>1805</v>
      </c>
      <c r="DC13" s="69">
        <v>344</v>
      </c>
      <c r="DD13" s="69">
        <v>320</v>
      </c>
      <c r="DE13" s="69">
        <v>430</v>
      </c>
      <c r="DF13" s="69">
        <v>80</v>
      </c>
      <c r="DG13" s="69">
        <v>87</v>
      </c>
      <c r="DH13" s="69">
        <v>-80</v>
      </c>
      <c r="DI13" s="69">
        <v>72</v>
      </c>
      <c r="DJ13" s="69">
        <v>87</v>
      </c>
      <c r="DK13" s="69">
        <v>-80</v>
      </c>
      <c r="DL13" s="69">
        <v>7183</v>
      </c>
      <c r="DM13" s="69">
        <v>6491</v>
      </c>
      <c r="DN13" s="69">
        <v>8141</v>
      </c>
      <c r="DO13" s="69">
        <v>6784</v>
      </c>
      <c r="DP13" s="69">
        <v>6797</v>
      </c>
      <c r="DQ13" s="69">
        <v>9908</v>
      </c>
      <c r="DR13" s="69">
        <v>-399</v>
      </c>
      <c r="DS13" s="69">
        <v>306</v>
      </c>
      <c r="DT13" s="69">
        <v>1767</v>
      </c>
      <c r="DU13" s="69">
        <v>-451</v>
      </c>
      <c r="DV13" s="69">
        <v>275</v>
      </c>
      <c r="DW13" s="69">
        <v>1725</v>
      </c>
      <c r="EC13" s="63">
        <v>0.79772079772079774</v>
      </c>
      <c r="ED13" s="63">
        <v>4.5324675324675328</v>
      </c>
      <c r="EE13" s="63">
        <v>6.6615384615384619</v>
      </c>
      <c r="EH13" s="69">
        <v>0.3733905579399141</v>
      </c>
    </row>
    <row r="14" spans="1:138" s="69" customFormat="1">
      <c r="A14" s="69" t="s">
        <v>134</v>
      </c>
      <c r="B14" s="69">
        <v>300</v>
      </c>
      <c r="C14" s="69" t="s">
        <v>31</v>
      </c>
      <c r="D14" s="69" t="s">
        <v>35</v>
      </c>
      <c r="E14" s="69">
        <v>5</v>
      </c>
      <c r="F14" s="69">
        <v>6</v>
      </c>
      <c r="G14" s="135">
        <v>2297</v>
      </c>
      <c r="H14" s="135">
        <v>2513</v>
      </c>
      <c r="I14" s="135">
        <v>2502</v>
      </c>
      <c r="J14" s="135">
        <v>0</v>
      </c>
      <c r="K14" s="135">
        <v>0</v>
      </c>
      <c r="L14" s="135">
        <v>0</v>
      </c>
      <c r="M14" s="135">
        <v>2879</v>
      </c>
      <c r="N14" s="135">
        <v>3696</v>
      </c>
      <c r="O14" s="135">
        <v>4188</v>
      </c>
      <c r="P14" s="135">
        <v>582</v>
      </c>
      <c r="Q14" s="135">
        <v>1183</v>
      </c>
      <c r="R14" s="135">
        <v>1686</v>
      </c>
      <c r="S14" s="135">
        <v>582</v>
      </c>
      <c r="T14" s="135">
        <v>1183</v>
      </c>
      <c r="U14" s="135">
        <v>1686</v>
      </c>
      <c r="V14" s="135">
        <v>5</v>
      </c>
      <c r="W14" s="135">
        <v>10</v>
      </c>
      <c r="X14" s="135">
        <v>0</v>
      </c>
      <c r="Y14" s="135">
        <v>5</v>
      </c>
      <c r="Z14" s="135">
        <v>10</v>
      </c>
      <c r="AA14" s="135">
        <v>0</v>
      </c>
      <c r="AB14" s="135">
        <v>5</v>
      </c>
      <c r="AC14" s="135">
        <v>10</v>
      </c>
      <c r="AD14" s="135">
        <v>0</v>
      </c>
      <c r="AE14" s="135">
        <v>2297</v>
      </c>
      <c r="AF14" s="135">
        <v>2513</v>
      </c>
      <c r="AG14" s="135">
        <v>2502</v>
      </c>
      <c r="AH14" s="135">
        <v>2884</v>
      </c>
      <c r="AI14" s="135">
        <v>3706</v>
      </c>
      <c r="AJ14" s="135">
        <v>4188</v>
      </c>
      <c r="AK14" s="135">
        <v>587</v>
      </c>
      <c r="AL14" s="135">
        <v>1193</v>
      </c>
      <c r="AM14" s="135">
        <v>1686</v>
      </c>
      <c r="AN14" s="135">
        <v>587</v>
      </c>
      <c r="AO14" s="135">
        <v>1193</v>
      </c>
      <c r="AP14" s="135">
        <v>1686</v>
      </c>
      <c r="AS14" s="136" t="s">
        <v>437</v>
      </c>
      <c r="AT14" s="136" t="s">
        <v>437</v>
      </c>
      <c r="AU14" s="136" t="s">
        <v>437</v>
      </c>
      <c r="AV14" s="136"/>
      <c r="AW14" s="136"/>
      <c r="AX14" s="136"/>
      <c r="AY14" s="136"/>
      <c r="AZ14" s="136">
        <f t="shared" si="1"/>
        <v>0.25555071832825427</v>
      </c>
      <c r="BA14" s="136">
        <f t="shared" si="2"/>
        <v>0.47473139673696779</v>
      </c>
      <c r="BB14" s="136">
        <f t="shared" si="3"/>
        <v>0.67386091127098324</v>
      </c>
      <c r="BC14" s="136"/>
      <c r="BD14" s="136">
        <f t="shared" si="21"/>
        <v>0.25337396604266432</v>
      </c>
      <c r="BE14" s="136">
        <f t="shared" si="22"/>
        <v>0.47075208913649025</v>
      </c>
      <c r="BF14" s="136">
        <f t="shared" si="23"/>
        <v>0.67386091127098324</v>
      </c>
      <c r="BG14" s="136"/>
      <c r="BH14" s="136">
        <v>0.25555071832825427</v>
      </c>
      <c r="BI14" s="136"/>
      <c r="BJ14" s="69">
        <v>0.25337396604266432</v>
      </c>
      <c r="BN14" s="144">
        <f t="shared" si="24"/>
        <v>0.85910652920962205</v>
      </c>
      <c r="BO14" s="145">
        <f t="shared" si="5"/>
        <v>0.84530853761623004</v>
      </c>
      <c r="BP14" s="146">
        <f t="shared" si="6"/>
        <v>0</v>
      </c>
      <c r="BQ14" s="142"/>
      <c r="BR14" s="110"/>
      <c r="BS14" s="143"/>
      <c r="BT14" s="155">
        <v>-110.14492753623189</v>
      </c>
      <c r="BU14" s="156">
        <v>-71.264367816091962</v>
      </c>
      <c r="BV14" s="157">
        <v>-130.05464480874315</v>
      </c>
      <c r="BX14" s="142">
        <f t="shared" si="7"/>
        <v>0</v>
      </c>
      <c r="BY14" s="142">
        <f t="shared" si="8"/>
        <v>0</v>
      </c>
      <c r="BZ14" s="142">
        <f t="shared" si="9"/>
        <v>0</v>
      </c>
      <c r="CA14" s="69">
        <f t="shared" si="10"/>
        <v>0</v>
      </c>
      <c r="CB14" s="69">
        <f t="shared" si="11"/>
        <v>0</v>
      </c>
      <c r="CC14" s="69">
        <f t="shared" si="12"/>
        <v>1</v>
      </c>
      <c r="CD14" s="69">
        <f t="shared" si="13"/>
        <v>1</v>
      </c>
      <c r="CE14" s="69">
        <f t="shared" si="14"/>
        <v>1</v>
      </c>
      <c r="CF14" s="69">
        <f t="shared" si="15"/>
        <v>0</v>
      </c>
      <c r="CG14" s="69">
        <f t="shared" si="16"/>
        <v>0</v>
      </c>
      <c r="CH14" s="69">
        <f t="shared" si="17"/>
        <v>0</v>
      </c>
      <c r="CI14" s="69">
        <f t="shared" si="18"/>
        <v>0</v>
      </c>
      <c r="CL14" s="69">
        <v>-111.52815013404826</v>
      </c>
      <c r="CM14" s="69">
        <f t="shared" si="25"/>
        <v>111.52815013404826</v>
      </c>
      <c r="EC14" s="63">
        <v>1.53125</v>
      </c>
      <c r="ED14" s="63">
        <v>0.39473684210526316</v>
      </c>
      <c r="EE14" s="63">
        <v>1.5238095238095237</v>
      </c>
      <c r="EH14" s="69">
        <v>1.32</v>
      </c>
    </row>
    <row r="15" spans="1:138" s="30" customFormat="1">
      <c r="A15" s="30" t="s">
        <v>54</v>
      </c>
      <c r="B15" s="30">
        <v>11</v>
      </c>
      <c r="C15" s="30" t="s">
        <v>36</v>
      </c>
      <c r="D15" s="30" t="s">
        <v>35</v>
      </c>
      <c r="E15" s="30">
        <v>1</v>
      </c>
      <c r="F15" s="30">
        <v>2</v>
      </c>
      <c r="G15" s="30">
        <v>15</v>
      </c>
      <c r="H15" s="30">
        <v>24</v>
      </c>
      <c r="I15" s="30">
        <v>12</v>
      </c>
      <c r="J15" s="30">
        <v>0</v>
      </c>
      <c r="K15" s="30">
        <v>0</v>
      </c>
      <c r="L15" s="30">
        <v>0</v>
      </c>
      <c r="M15" s="30">
        <v>14</v>
      </c>
      <c r="N15" s="30">
        <v>18</v>
      </c>
      <c r="O15" s="30">
        <v>14</v>
      </c>
      <c r="P15" s="30">
        <v>-2</v>
      </c>
      <c r="Q15" s="30">
        <v>-6</v>
      </c>
      <c r="R15" s="30">
        <v>2</v>
      </c>
      <c r="S15" s="30">
        <v>-2</v>
      </c>
      <c r="T15" s="30">
        <v>-6</v>
      </c>
      <c r="U15" s="30">
        <v>2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15</v>
      </c>
      <c r="AF15" s="30">
        <v>24</v>
      </c>
      <c r="AG15" s="30">
        <v>12</v>
      </c>
      <c r="AH15" s="30">
        <v>14</v>
      </c>
      <c r="AI15" s="30">
        <v>18</v>
      </c>
      <c r="AJ15" s="30">
        <v>14</v>
      </c>
      <c r="AK15" s="30">
        <v>-1</v>
      </c>
      <c r="AL15" s="30">
        <v>-6</v>
      </c>
      <c r="AM15" s="30">
        <v>2</v>
      </c>
      <c r="AN15" s="30">
        <v>-2</v>
      </c>
      <c r="AO15" s="30">
        <v>-6</v>
      </c>
      <c r="AP15" s="30">
        <v>2</v>
      </c>
      <c r="AS15" s="30" t="e">
        <f t="shared" si="27"/>
        <v>#DIV/0!</v>
      </c>
      <c r="AT15" s="30" t="e">
        <f t="shared" si="19"/>
        <v>#DIV/0!</v>
      </c>
      <c r="AU15" s="30" t="e">
        <f t="shared" si="20"/>
        <v>#DIV/0!</v>
      </c>
      <c r="AZ15" s="30">
        <f t="shared" si="1"/>
        <v>-6.6666666666666666E-2</v>
      </c>
      <c r="BA15" s="30">
        <f t="shared" si="2"/>
        <v>-0.25</v>
      </c>
      <c r="BB15" s="30">
        <f t="shared" si="3"/>
        <v>0.16666666666666666</v>
      </c>
      <c r="BD15" s="30">
        <f t="shared" si="21"/>
        <v>-0.13333333333333333</v>
      </c>
      <c r="BE15" s="30">
        <f t="shared" si="22"/>
        <v>-0.25</v>
      </c>
      <c r="BF15" s="30">
        <f t="shared" ref="BF15:BF46" si="31">R15/I15</f>
        <v>0.16666666666666666</v>
      </c>
      <c r="BH15" s="136">
        <v>-4.9535603715170282E-2</v>
      </c>
      <c r="BJ15" s="69">
        <v>-0.15479876160990713</v>
      </c>
      <c r="BN15" s="147">
        <f t="shared" si="24"/>
        <v>0</v>
      </c>
      <c r="BO15" s="100">
        <f t="shared" si="5"/>
        <v>0</v>
      </c>
      <c r="BP15" s="148">
        <f t="shared" si="6"/>
        <v>0</v>
      </c>
      <c r="BQ15" s="147"/>
      <c r="BR15" s="100"/>
      <c r="BS15" s="148"/>
      <c r="BT15" s="155">
        <v>-375</v>
      </c>
      <c r="BU15" s="156">
        <v>-102.94985250737463</v>
      </c>
      <c r="BV15" s="157">
        <v>-122.22222222222223</v>
      </c>
      <c r="BX15" s="142">
        <f t="shared" si="7"/>
        <v>1</v>
      </c>
      <c r="BY15" s="142">
        <f t="shared" si="8"/>
        <v>1</v>
      </c>
      <c r="BZ15" s="142">
        <f t="shared" si="9"/>
        <v>0</v>
      </c>
      <c r="CA15" s="30">
        <f t="shared" si="10"/>
        <v>1</v>
      </c>
      <c r="CB15" s="30">
        <f t="shared" si="11"/>
        <v>1</v>
      </c>
      <c r="CC15" s="30">
        <f t="shared" si="12"/>
        <v>1</v>
      </c>
      <c r="CD15" s="30">
        <f t="shared" si="13"/>
        <v>0</v>
      </c>
      <c r="CE15" s="30">
        <f t="shared" si="14"/>
        <v>0</v>
      </c>
      <c r="CF15" s="30">
        <f t="shared" si="15"/>
        <v>0</v>
      </c>
      <c r="CG15" s="30">
        <f t="shared" si="16"/>
        <v>0</v>
      </c>
      <c r="CH15" s="30">
        <f t="shared" si="17"/>
        <v>0</v>
      </c>
      <c r="CI15" s="30">
        <f t="shared" si="18"/>
        <v>0</v>
      </c>
      <c r="CL15" s="69">
        <v>-16.723549488054605</v>
      </c>
      <c r="CM15" s="69">
        <f t="shared" si="25"/>
        <v>16.723549488054605</v>
      </c>
      <c r="EC15" s="63">
        <v>0.14137931034482759</v>
      </c>
      <c r="ED15" s="63">
        <v>-6.0642092746730082E-2</v>
      </c>
      <c r="EE15" s="63">
        <v>0</v>
      </c>
      <c r="EH15" s="69">
        <v>3.0602409638554215</v>
      </c>
    </row>
    <row r="16" spans="1:138" s="30" customFormat="1">
      <c r="A16" s="30" t="s">
        <v>94</v>
      </c>
      <c r="B16" s="30">
        <v>50</v>
      </c>
      <c r="C16" s="30" t="s">
        <v>36</v>
      </c>
      <c r="D16" s="30" t="s">
        <v>32</v>
      </c>
      <c r="E16" s="30">
        <v>3</v>
      </c>
      <c r="F16" s="30">
        <v>5</v>
      </c>
      <c r="G16" s="30">
        <v>969</v>
      </c>
      <c r="H16" s="30">
        <v>1637</v>
      </c>
      <c r="I16" s="30">
        <v>2009</v>
      </c>
      <c r="J16" s="30">
        <v>0</v>
      </c>
      <c r="K16" s="30">
        <v>0</v>
      </c>
      <c r="L16" s="30">
        <v>0</v>
      </c>
      <c r="M16" s="30">
        <v>255</v>
      </c>
      <c r="N16" s="30">
        <v>1409</v>
      </c>
      <c r="O16" s="30">
        <v>1828</v>
      </c>
      <c r="P16" s="30">
        <v>-714</v>
      </c>
      <c r="Q16" s="30">
        <v>-227</v>
      </c>
      <c r="R16" s="30">
        <v>-181</v>
      </c>
      <c r="S16" s="30">
        <v>-714</v>
      </c>
      <c r="T16" s="30">
        <v>-227</v>
      </c>
      <c r="U16" s="30">
        <v>-181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969</v>
      </c>
      <c r="AF16" s="30">
        <v>1637</v>
      </c>
      <c r="AG16" s="30">
        <v>2009</v>
      </c>
      <c r="AH16" s="30">
        <v>255</v>
      </c>
      <c r="AI16" s="30">
        <v>1409</v>
      </c>
      <c r="AJ16" s="30">
        <v>1828</v>
      </c>
      <c r="AK16" s="30">
        <v>-714</v>
      </c>
      <c r="AL16" s="30">
        <v>-228</v>
      </c>
      <c r="AM16" s="30">
        <v>-181</v>
      </c>
      <c r="AN16" s="30">
        <v>-714</v>
      </c>
      <c r="AO16" s="30">
        <v>-227</v>
      </c>
      <c r="AP16" s="30">
        <v>-181</v>
      </c>
      <c r="AS16" s="30" t="e">
        <f t="shared" si="27"/>
        <v>#DIV/0!</v>
      </c>
      <c r="AT16" s="30" t="e">
        <f t="shared" si="19"/>
        <v>#DIV/0!</v>
      </c>
      <c r="AU16" s="30" t="e">
        <f t="shared" si="20"/>
        <v>#DIV/0!</v>
      </c>
      <c r="AZ16" s="30">
        <f t="shared" si="1"/>
        <v>-0.73684210526315785</v>
      </c>
      <c r="BA16" s="30">
        <f t="shared" si="2"/>
        <v>-0.13927916921197311</v>
      </c>
      <c r="BB16" s="30">
        <f t="shared" si="3"/>
        <v>-9.0094574415131912E-2</v>
      </c>
      <c r="BD16" s="30">
        <f t="shared" ref="BD16:BD17" si="32">P16/G16</f>
        <v>-0.73684210526315785</v>
      </c>
      <c r="BE16" s="30">
        <f t="shared" ref="BE16:BE17" si="33">Q16/H16</f>
        <v>-0.13866829566279781</v>
      </c>
      <c r="BF16" s="30">
        <f t="shared" si="31"/>
        <v>-9.0094574415131912E-2</v>
      </c>
      <c r="BH16" s="136">
        <v>-4.4678055190538767E-2</v>
      </c>
      <c r="BJ16" s="69">
        <v>-9.4339622641509441E-2</v>
      </c>
      <c r="BN16" s="147">
        <f t="shared" si="24"/>
        <v>0</v>
      </c>
      <c r="BO16" s="100">
        <f t="shared" si="5"/>
        <v>0</v>
      </c>
      <c r="BP16" s="148">
        <f t="shared" si="6"/>
        <v>0</v>
      </c>
      <c r="BQ16" s="147"/>
      <c r="BR16" s="100"/>
      <c r="BS16" s="148"/>
      <c r="BT16" s="155">
        <v>-343.58974358974359</v>
      </c>
      <c r="BU16" s="156">
        <v>-287.2093023255814</v>
      </c>
      <c r="BV16" s="157">
        <v>-108.17843866171005</v>
      </c>
      <c r="BX16" s="142">
        <f t="shared" si="7"/>
        <v>1</v>
      </c>
      <c r="BY16" s="142">
        <f t="shared" si="8"/>
        <v>1</v>
      </c>
      <c r="BZ16" s="142">
        <f t="shared" si="9"/>
        <v>1</v>
      </c>
      <c r="CA16" s="30">
        <f t="shared" si="10"/>
        <v>1</v>
      </c>
      <c r="CB16" s="30">
        <f t="shared" si="11"/>
        <v>1</v>
      </c>
      <c r="CC16" s="30">
        <f t="shared" si="12"/>
        <v>1</v>
      </c>
      <c r="CD16" s="30">
        <f t="shared" si="13"/>
        <v>0</v>
      </c>
      <c r="CE16" s="30">
        <f t="shared" si="14"/>
        <v>0</v>
      </c>
      <c r="CF16" s="30">
        <f t="shared" si="15"/>
        <v>0</v>
      </c>
      <c r="CG16" s="30">
        <f t="shared" si="16"/>
        <v>0</v>
      </c>
      <c r="CH16" s="30">
        <f t="shared" si="17"/>
        <v>0</v>
      </c>
      <c r="CI16" s="30">
        <f t="shared" si="18"/>
        <v>0</v>
      </c>
      <c r="CL16" s="69">
        <v>-291.95402298850576</v>
      </c>
      <c r="CM16" s="69">
        <f t="shared" si="25"/>
        <v>291.95402298850576</v>
      </c>
      <c r="EC16" s="63">
        <v>0.86297376093294464</v>
      </c>
      <c r="ED16" s="63">
        <v>0.82333333333333336</v>
      </c>
      <c r="EE16" s="63">
        <v>1.5316455696202531</v>
      </c>
      <c r="EH16" s="69">
        <v>0.65853658536585369</v>
      </c>
    </row>
    <row r="17" spans="1:138" s="28" customFormat="1">
      <c r="A17" s="28" t="s">
        <v>105</v>
      </c>
      <c r="B17" s="28">
        <v>21</v>
      </c>
      <c r="C17" s="28" t="s">
        <v>46</v>
      </c>
      <c r="D17" s="28" t="s">
        <v>35</v>
      </c>
      <c r="E17" s="28">
        <v>3</v>
      </c>
      <c r="F17" s="28">
        <v>5</v>
      </c>
      <c r="G17" s="28">
        <v>71</v>
      </c>
      <c r="H17" s="28">
        <v>120</v>
      </c>
      <c r="I17" s="28">
        <v>95</v>
      </c>
      <c r="J17" s="28">
        <v>0</v>
      </c>
      <c r="K17" s="28">
        <v>0</v>
      </c>
      <c r="L17" s="28">
        <v>0</v>
      </c>
      <c r="M17" s="28">
        <v>115</v>
      </c>
      <c r="N17" s="28">
        <v>57</v>
      </c>
      <c r="O17" s="28">
        <v>148</v>
      </c>
      <c r="P17" s="28">
        <v>44</v>
      </c>
      <c r="Q17" s="28">
        <v>-63</v>
      </c>
      <c r="R17" s="28">
        <v>53</v>
      </c>
      <c r="S17" s="28">
        <v>44</v>
      </c>
      <c r="T17" s="28">
        <v>-63</v>
      </c>
      <c r="U17" s="28">
        <v>53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71</v>
      </c>
      <c r="AF17" s="28">
        <v>120</v>
      </c>
      <c r="AG17" s="28">
        <v>95</v>
      </c>
      <c r="AH17" s="28">
        <v>115</v>
      </c>
      <c r="AI17" s="28">
        <v>57</v>
      </c>
      <c r="AJ17" s="28">
        <v>148</v>
      </c>
      <c r="AK17" s="28">
        <v>44</v>
      </c>
      <c r="AL17" s="28">
        <v>-63</v>
      </c>
      <c r="AM17" s="28">
        <v>53</v>
      </c>
      <c r="AN17" s="28">
        <v>44</v>
      </c>
      <c r="AO17" s="28">
        <v>-63</v>
      </c>
      <c r="AP17" s="28">
        <v>53</v>
      </c>
      <c r="AS17" s="28" t="e">
        <f t="shared" si="27"/>
        <v>#DIV/0!</v>
      </c>
      <c r="AT17" s="28" t="e">
        <f t="shared" si="19"/>
        <v>#DIV/0!</v>
      </c>
      <c r="AU17" s="28" t="e">
        <f t="shared" si="20"/>
        <v>#DIV/0!</v>
      </c>
      <c r="AZ17" s="28">
        <f t="shared" si="1"/>
        <v>0.61971830985915488</v>
      </c>
      <c r="BA17" s="28">
        <f t="shared" si="2"/>
        <v>-0.52500000000000002</v>
      </c>
      <c r="BB17" s="28">
        <f t="shared" si="3"/>
        <v>0.55789473684210522</v>
      </c>
      <c r="BD17" s="28">
        <f t="shared" si="32"/>
        <v>0.61971830985915488</v>
      </c>
      <c r="BE17" s="28">
        <f t="shared" si="33"/>
        <v>-0.52500000000000002</v>
      </c>
      <c r="BF17" s="28">
        <f t="shared" si="31"/>
        <v>0.55789473684210522</v>
      </c>
      <c r="BH17" s="136">
        <v>3.5320088300220751E-2</v>
      </c>
      <c r="BJ17" s="69">
        <v>3.5320088300220751E-2</v>
      </c>
      <c r="BN17" s="149">
        <f t="shared" si="24"/>
        <v>0</v>
      </c>
      <c r="BO17" s="150">
        <f t="shared" si="5"/>
        <v>0</v>
      </c>
      <c r="BP17" s="151">
        <f t="shared" si="6"/>
        <v>0</v>
      </c>
      <c r="BQ17" s="149"/>
      <c r="BR17" s="150"/>
      <c r="BS17" s="151"/>
      <c r="BT17" s="155">
        <v>-84</v>
      </c>
      <c r="BU17" s="156">
        <v>-105.88235294117648</v>
      </c>
      <c r="BV17" s="157">
        <v>-18.181818181818183</v>
      </c>
      <c r="BX17" s="142">
        <f t="shared" si="7"/>
        <v>0</v>
      </c>
      <c r="BY17" s="142">
        <f t="shared" si="8"/>
        <v>1</v>
      </c>
      <c r="BZ17" s="142">
        <f t="shared" si="9"/>
        <v>0</v>
      </c>
      <c r="CA17" s="28">
        <f t="shared" si="10"/>
        <v>1</v>
      </c>
      <c r="CB17" s="28">
        <f t="shared" si="11"/>
        <v>1</v>
      </c>
      <c r="CC17" s="28">
        <f t="shared" si="12"/>
        <v>1</v>
      </c>
      <c r="CD17" s="28">
        <f t="shared" si="13"/>
        <v>0</v>
      </c>
      <c r="CE17" s="28">
        <f t="shared" si="14"/>
        <v>0</v>
      </c>
      <c r="CF17" s="28">
        <f t="shared" si="15"/>
        <v>0</v>
      </c>
      <c r="CG17" s="28">
        <f t="shared" si="16"/>
        <v>0</v>
      </c>
      <c r="CH17" s="28">
        <f t="shared" si="17"/>
        <v>0</v>
      </c>
      <c r="CI17" s="28">
        <f t="shared" si="18"/>
        <v>0</v>
      </c>
      <c r="CL17" s="69">
        <v>-114.99999999999999</v>
      </c>
      <c r="CM17" s="69">
        <f t="shared" si="25"/>
        <v>114.99999999999999</v>
      </c>
      <c r="EC17" s="63">
        <v>1.5</v>
      </c>
      <c r="ED17" s="63">
        <v>1.0588235294117647</v>
      </c>
      <c r="EE17" s="63">
        <v>0</v>
      </c>
      <c r="EH17" s="69">
        <v>1.0454545454545454</v>
      </c>
    </row>
    <row r="18" spans="1:138" s="132" customFormat="1">
      <c r="A18" s="132" t="s">
        <v>55</v>
      </c>
      <c r="B18" s="132">
        <v>450</v>
      </c>
      <c r="C18" s="132" t="s">
        <v>37</v>
      </c>
      <c r="D18" s="132" t="s">
        <v>33</v>
      </c>
      <c r="E18" s="132">
        <v>2</v>
      </c>
      <c r="F18" s="132">
        <v>4</v>
      </c>
      <c r="G18" s="132">
        <v>4481</v>
      </c>
      <c r="H18" s="132">
        <v>6426</v>
      </c>
      <c r="I18" s="132">
        <v>5859</v>
      </c>
      <c r="J18" s="132">
        <v>0</v>
      </c>
      <c r="K18" s="132">
        <v>250</v>
      </c>
      <c r="L18" s="132">
        <v>78</v>
      </c>
      <c r="M18" s="132">
        <v>4397</v>
      </c>
      <c r="N18" s="132">
        <v>6040</v>
      </c>
      <c r="O18" s="132">
        <v>5510</v>
      </c>
      <c r="P18" s="132">
        <v>-85</v>
      </c>
      <c r="Q18" s="132">
        <v>-386</v>
      </c>
      <c r="R18" s="132">
        <v>-349</v>
      </c>
      <c r="S18" s="132">
        <v>-85</v>
      </c>
      <c r="T18" s="132">
        <v>-386</v>
      </c>
      <c r="U18" s="132">
        <v>-349</v>
      </c>
      <c r="V18" s="132">
        <v>0</v>
      </c>
      <c r="W18" s="132">
        <v>245</v>
      </c>
      <c r="X18" s="132">
        <v>79</v>
      </c>
      <c r="Y18" s="132">
        <v>0</v>
      </c>
      <c r="Z18" s="132">
        <v>-5</v>
      </c>
      <c r="AA18" s="132">
        <v>1</v>
      </c>
      <c r="AB18" s="132">
        <v>0</v>
      </c>
      <c r="AC18" s="132">
        <v>-5</v>
      </c>
      <c r="AD18" s="132">
        <v>1</v>
      </c>
      <c r="AE18" s="132">
        <v>4481</v>
      </c>
      <c r="AF18" s="132">
        <v>6676</v>
      </c>
      <c r="AG18" s="132">
        <v>5937</v>
      </c>
      <c r="AH18" s="132">
        <v>4397</v>
      </c>
      <c r="AI18" s="132">
        <v>6285</v>
      </c>
      <c r="AJ18" s="132">
        <v>5589</v>
      </c>
      <c r="AK18" s="132">
        <v>-84</v>
      </c>
      <c r="AL18" s="132">
        <v>-391</v>
      </c>
      <c r="AM18" s="132">
        <v>-348</v>
      </c>
      <c r="AN18" s="132">
        <v>-85</v>
      </c>
      <c r="AO18" s="132">
        <v>-391</v>
      </c>
      <c r="AP18" s="132">
        <v>-348</v>
      </c>
      <c r="AS18" s="132" t="e">
        <f t="shared" si="27"/>
        <v>#DIV/0!</v>
      </c>
      <c r="AT18" s="132">
        <f t="shared" si="19"/>
        <v>-0.02</v>
      </c>
      <c r="AU18" s="132">
        <f t="shared" si="20"/>
        <v>1.282051282051282E-2</v>
      </c>
      <c r="AV18" s="132">
        <f>AS20</f>
        <v>3.6219512195121952</v>
      </c>
      <c r="AW18" s="132">
        <f>AT18</f>
        <v>-0.02</v>
      </c>
      <c r="AX18" s="132">
        <f>AU18</f>
        <v>1.282051282051282E-2</v>
      </c>
      <c r="AZ18" s="132">
        <f t="shared" si="1"/>
        <v>-1.874581566614595E-2</v>
      </c>
      <c r="BA18" s="132">
        <f t="shared" si="2"/>
        <v>-5.8568004793289392E-2</v>
      </c>
      <c r="BB18" s="132">
        <f t="shared" si="3"/>
        <v>-5.8615462354724611E-2</v>
      </c>
      <c r="BD18" s="132">
        <f t="shared" ref="BD18:BD49" si="34">P18/G18</f>
        <v>-1.8968980138361971E-2</v>
      </c>
      <c r="BE18" s="132">
        <f t="shared" ref="BE18:BE49" si="35">Q18/H18</f>
        <v>-6.0068471833177713E-2</v>
      </c>
      <c r="BF18" s="132">
        <f t="shared" si="31"/>
        <v>-5.9566478921317632E-2</v>
      </c>
      <c r="BH18" s="136">
        <v>-1.3834447774959649E-3</v>
      </c>
      <c r="BJ18" s="69">
        <v>-5.8565828913995852E-2</v>
      </c>
      <c r="BN18" s="152">
        <f t="shared" si="24"/>
        <v>0</v>
      </c>
      <c r="BO18" s="153">
        <f t="shared" si="5"/>
        <v>1.2953367875647668</v>
      </c>
      <c r="BP18" s="154">
        <f t="shared" si="6"/>
        <v>-0.28653295128939826</v>
      </c>
      <c r="BQ18" s="152">
        <v>-45.343511450381676</v>
      </c>
      <c r="BR18" s="153">
        <v>-610.20408163265313</v>
      </c>
      <c r="BS18" s="154">
        <v>-0.28653295128939826</v>
      </c>
      <c r="BT18" s="155">
        <v>-137.93103448275863</v>
      </c>
      <c r="BU18" s="156">
        <v>-84</v>
      </c>
      <c r="BV18" s="157">
        <v>-82.234042553191472</v>
      </c>
      <c r="BX18" s="142">
        <f t="shared" si="7"/>
        <v>1</v>
      </c>
      <c r="BY18" s="142">
        <f t="shared" si="8"/>
        <v>1</v>
      </c>
      <c r="BZ18" s="142">
        <f t="shared" si="9"/>
        <v>1</v>
      </c>
      <c r="CA18" s="132">
        <f t="shared" si="10"/>
        <v>1</v>
      </c>
      <c r="CB18" s="132">
        <f t="shared" si="11"/>
        <v>0</v>
      </c>
      <c r="CC18" s="132">
        <f t="shared" si="12"/>
        <v>0</v>
      </c>
      <c r="CD18" s="132">
        <f t="shared" si="13"/>
        <v>0</v>
      </c>
      <c r="CE18" s="132">
        <f t="shared" si="14"/>
        <v>1</v>
      </c>
      <c r="CF18" s="132">
        <f t="shared" si="15"/>
        <v>0</v>
      </c>
      <c r="CG18" s="132">
        <f t="shared" si="16"/>
        <v>0</v>
      </c>
      <c r="CH18" s="132">
        <f t="shared" si="17"/>
        <v>0</v>
      </c>
      <c r="CI18" s="132">
        <f t="shared" si="18"/>
        <v>0</v>
      </c>
      <c r="CL18" s="69">
        <v>-23.745318352059925</v>
      </c>
      <c r="CM18" s="69">
        <f t="shared" si="25"/>
        <v>23.745318352059925</v>
      </c>
      <c r="EC18" s="63">
        <v>4.7301587301587302</v>
      </c>
      <c r="ED18" s="63">
        <v>0.23675310033821872</v>
      </c>
      <c r="EE18" s="63">
        <v>2.7958993476234855E-2</v>
      </c>
      <c r="EH18" s="69">
        <v>0.18021603183627061</v>
      </c>
    </row>
    <row r="19" spans="1:138" s="132" customFormat="1">
      <c r="A19" s="132" t="s">
        <v>56</v>
      </c>
      <c r="B19" s="132">
        <v>80</v>
      </c>
      <c r="C19" s="132" t="s">
        <v>37</v>
      </c>
      <c r="D19" s="132" t="s">
        <v>32</v>
      </c>
      <c r="E19" s="132">
        <v>7</v>
      </c>
      <c r="F19" s="132">
        <v>7</v>
      </c>
      <c r="G19" s="132">
        <f>(CN19/535)*80</f>
        <v>479.25233644859816</v>
      </c>
      <c r="H19" s="132">
        <f t="shared" ref="H19:AP19" si="36">(CO19/535)*80</f>
        <v>540.41121495327104</v>
      </c>
      <c r="I19" s="132">
        <f t="shared" si="36"/>
        <v>618.01869158878503</v>
      </c>
      <c r="J19" s="132">
        <f t="shared" si="36"/>
        <v>0</v>
      </c>
      <c r="K19" s="132">
        <f t="shared" si="36"/>
        <v>2.2429906542056073</v>
      </c>
      <c r="L19" s="132">
        <f t="shared" si="36"/>
        <v>0.2990654205607477</v>
      </c>
      <c r="M19" s="132">
        <f t="shared" si="36"/>
        <v>449.34579439252337</v>
      </c>
      <c r="N19" s="132">
        <f t="shared" si="36"/>
        <v>533.08411214953276</v>
      </c>
      <c r="O19" s="132">
        <f t="shared" si="36"/>
        <v>591.70093457943926</v>
      </c>
      <c r="P19" s="132">
        <f t="shared" si="36"/>
        <v>-29.906542056074766</v>
      </c>
      <c r="Q19" s="132">
        <f t="shared" si="36"/>
        <v>-7.3271028037383177</v>
      </c>
      <c r="R19" s="132">
        <f t="shared" si="36"/>
        <v>-26.317757009345794</v>
      </c>
      <c r="S19" s="132">
        <f t="shared" si="36"/>
        <v>-29.906542056074766</v>
      </c>
      <c r="T19" s="132">
        <f t="shared" si="36"/>
        <v>-7.3271028037383177</v>
      </c>
      <c r="U19" s="132">
        <f t="shared" si="36"/>
        <v>-26.317757009345794</v>
      </c>
      <c r="V19" s="132">
        <f t="shared" si="36"/>
        <v>44.261682242990652</v>
      </c>
      <c r="W19" s="132">
        <f t="shared" si="36"/>
        <v>46.953271028037385</v>
      </c>
      <c r="X19" s="132">
        <f t="shared" si="36"/>
        <v>45.158878504672899</v>
      </c>
      <c r="Y19" s="132">
        <f t="shared" si="36"/>
        <v>0</v>
      </c>
      <c r="Z19" s="132">
        <f t="shared" si="36"/>
        <v>44.710280373831779</v>
      </c>
      <c r="AA19" s="132">
        <f t="shared" si="36"/>
        <v>44.859813084112147</v>
      </c>
      <c r="AB19" s="132">
        <f t="shared" si="36"/>
        <v>0</v>
      </c>
      <c r="AC19" s="132">
        <f t="shared" si="36"/>
        <v>44.710280373831779</v>
      </c>
      <c r="AD19" s="132">
        <f t="shared" si="36"/>
        <v>44.859813084112147</v>
      </c>
      <c r="AE19" s="132">
        <f t="shared" si="36"/>
        <v>479.25233644859816</v>
      </c>
      <c r="AF19" s="132">
        <f t="shared" si="36"/>
        <v>542.65420560747668</v>
      </c>
      <c r="AG19" s="132">
        <f t="shared" si="36"/>
        <v>618.31775700934577</v>
      </c>
      <c r="AH19" s="132">
        <f t="shared" si="36"/>
        <v>493.60747663551399</v>
      </c>
      <c r="AI19" s="132">
        <f t="shared" si="36"/>
        <v>580.03738317757006</v>
      </c>
      <c r="AJ19" s="132">
        <f t="shared" si="36"/>
        <v>636.85981308411215</v>
      </c>
      <c r="AK19" s="132">
        <f t="shared" si="36"/>
        <v>14.355140186915886</v>
      </c>
      <c r="AL19" s="132">
        <f t="shared" si="36"/>
        <v>37.383177570093459</v>
      </c>
      <c r="AM19" s="132">
        <f t="shared" si="36"/>
        <v>18.542056074766357</v>
      </c>
      <c r="AN19" s="132">
        <f t="shared" si="36"/>
        <v>-29.906542056074766</v>
      </c>
      <c r="AO19" s="132">
        <f t="shared" si="36"/>
        <v>37.383177570093459</v>
      </c>
      <c r="AP19" s="132">
        <f t="shared" si="36"/>
        <v>18.542056074766357</v>
      </c>
      <c r="AS19" s="132" t="e">
        <f t="shared" si="27"/>
        <v>#DIV/0!</v>
      </c>
      <c r="AT19" s="132">
        <f t="shared" si="19"/>
        <v>19.933333333333337</v>
      </c>
      <c r="AU19" s="132">
        <f>AA19/L19</f>
        <v>149.99999999999997</v>
      </c>
      <c r="AV19" s="132">
        <f>AS27</f>
        <v>2</v>
      </c>
      <c r="AW19" s="132">
        <f t="shared" ref="AW19:AW20" si="37">AT19</f>
        <v>19.933333333333337</v>
      </c>
      <c r="AX19" s="132">
        <f t="shared" ref="AX19:AX20" si="38">AU19</f>
        <v>149.99999999999997</v>
      </c>
      <c r="AZ19" s="132">
        <f t="shared" si="1"/>
        <v>2.9953198127925112E-2</v>
      </c>
      <c r="BA19" s="132">
        <f t="shared" si="2"/>
        <v>6.8889501240011017E-2</v>
      </c>
      <c r="BB19" s="132">
        <f t="shared" si="3"/>
        <v>2.9987908101571953E-2</v>
      </c>
      <c r="BD19" s="132">
        <f t="shared" si="34"/>
        <v>-6.2402496099843989E-2</v>
      </c>
      <c r="BE19" s="132">
        <f t="shared" si="35"/>
        <v>-1.3558384061981184E-2</v>
      </c>
      <c r="BF19" s="132">
        <f t="shared" si="31"/>
        <v>-4.2584079361238807E-2</v>
      </c>
      <c r="BH19" s="69">
        <v>-4.0118297544040116E-2</v>
      </c>
      <c r="BJ19" s="69">
        <v>-8.1601339098898037E-2</v>
      </c>
      <c r="BN19" s="152">
        <f t="shared" si="24"/>
        <v>0</v>
      </c>
      <c r="BO19" s="153">
        <f t="shared" si="5"/>
        <v>-610.20408163265313</v>
      </c>
      <c r="BP19" s="154">
        <f t="shared" si="6"/>
        <v>-170.45454545454547</v>
      </c>
      <c r="BQ19" s="152">
        <v>-420</v>
      </c>
      <c r="BR19" s="153">
        <v>-198.16513761467891</v>
      </c>
      <c r="BS19" s="154">
        <v>-170.45454545454547</v>
      </c>
      <c r="BT19" s="155">
        <v>-163.33333333333334</v>
      </c>
      <c r="BU19" s="156">
        <v>-31.072210065645518</v>
      </c>
      <c r="BV19" s="157">
        <v>-60</v>
      </c>
      <c r="BX19" s="142">
        <f t="shared" si="7"/>
        <v>1</v>
      </c>
      <c r="BY19" s="142">
        <f t="shared" si="8"/>
        <v>1</v>
      </c>
      <c r="BZ19" s="142">
        <f t="shared" si="9"/>
        <v>1</v>
      </c>
      <c r="CA19" s="132">
        <f t="shared" si="10"/>
        <v>1</v>
      </c>
      <c r="CB19" s="132">
        <f t="shared" si="11"/>
        <v>0</v>
      </c>
      <c r="CC19" s="132">
        <f t="shared" si="12"/>
        <v>0</v>
      </c>
      <c r="CD19" s="132">
        <f t="shared" si="13"/>
        <v>0</v>
      </c>
      <c r="CE19" s="132">
        <f t="shared" si="14"/>
        <v>0</v>
      </c>
      <c r="CF19" s="132">
        <f t="shared" si="15"/>
        <v>0</v>
      </c>
      <c r="CG19" s="132">
        <f t="shared" si="16"/>
        <v>0</v>
      </c>
      <c r="CH19" s="132">
        <f t="shared" si="17"/>
        <v>0</v>
      </c>
      <c r="CI19" s="132">
        <f t="shared" si="18"/>
        <v>0</v>
      </c>
      <c r="CL19" s="69">
        <v>-136.80000000000001</v>
      </c>
      <c r="CM19" s="69">
        <f t="shared" si="25"/>
        <v>136.80000000000001</v>
      </c>
      <c r="CN19" s="132">
        <v>3205</v>
      </c>
      <c r="CO19" s="132">
        <v>3614</v>
      </c>
      <c r="CP19" s="132">
        <v>4133</v>
      </c>
      <c r="CQ19" s="132">
        <v>0</v>
      </c>
      <c r="CR19" s="132">
        <v>15</v>
      </c>
      <c r="CS19" s="132">
        <v>2</v>
      </c>
      <c r="CT19" s="132">
        <v>3005</v>
      </c>
      <c r="CU19" s="132">
        <v>3565</v>
      </c>
      <c r="CV19" s="132">
        <v>3957</v>
      </c>
      <c r="CW19" s="132">
        <v>-200</v>
      </c>
      <c r="CX19" s="132">
        <v>-49</v>
      </c>
      <c r="CY19" s="132">
        <v>-176</v>
      </c>
      <c r="CZ19" s="132">
        <v>-200</v>
      </c>
      <c r="DA19" s="132">
        <v>-49</v>
      </c>
      <c r="DB19" s="132">
        <v>-176</v>
      </c>
      <c r="DC19" s="132">
        <v>296</v>
      </c>
      <c r="DD19" s="132">
        <v>314</v>
      </c>
      <c r="DE19" s="132">
        <v>302</v>
      </c>
      <c r="DF19" s="132">
        <v>0</v>
      </c>
      <c r="DG19" s="132">
        <v>299</v>
      </c>
      <c r="DH19" s="132">
        <v>300</v>
      </c>
      <c r="DI19" s="132">
        <v>0</v>
      </c>
      <c r="DJ19" s="132">
        <v>299</v>
      </c>
      <c r="DK19" s="132">
        <v>300</v>
      </c>
      <c r="DL19" s="132">
        <v>3205</v>
      </c>
      <c r="DM19" s="132">
        <v>3629</v>
      </c>
      <c r="DN19" s="132">
        <v>4135</v>
      </c>
      <c r="DO19" s="132">
        <v>3301</v>
      </c>
      <c r="DP19" s="132">
        <v>3879</v>
      </c>
      <c r="DQ19" s="132">
        <v>4259</v>
      </c>
      <c r="DR19" s="132">
        <v>96</v>
      </c>
      <c r="DS19" s="132">
        <v>250</v>
      </c>
      <c r="DT19" s="132">
        <v>124</v>
      </c>
      <c r="DU19" s="132">
        <v>-200</v>
      </c>
      <c r="DV19" s="132">
        <v>250</v>
      </c>
      <c r="DW19" s="132">
        <v>124</v>
      </c>
      <c r="EC19" s="63">
        <v>7.5714285714285712</v>
      </c>
      <c r="ED19" s="63">
        <v>0.21289355322338829</v>
      </c>
      <c r="EE19" s="63">
        <v>0.38325281803542671</v>
      </c>
      <c r="EH19" s="69">
        <v>0.70661157024793386</v>
      </c>
    </row>
    <row r="20" spans="1:138" s="132" customFormat="1">
      <c r="A20" s="132" t="s">
        <v>57</v>
      </c>
      <c r="B20" s="132">
        <v>366</v>
      </c>
      <c r="C20" s="132" t="s">
        <v>37</v>
      </c>
      <c r="D20" s="132" t="s">
        <v>32</v>
      </c>
      <c r="E20" s="132">
        <v>3</v>
      </c>
      <c r="F20" s="132">
        <v>5</v>
      </c>
      <c r="G20" s="132">
        <v>2272</v>
      </c>
      <c r="H20" s="132">
        <v>2298</v>
      </c>
      <c r="I20" s="132">
        <v>1976</v>
      </c>
      <c r="J20" s="132">
        <v>82</v>
      </c>
      <c r="K20" s="132">
        <v>133</v>
      </c>
      <c r="L20" s="132">
        <v>187</v>
      </c>
      <c r="M20" s="132">
        <v>1617</v>
      </c>
      <c r="N20" s="132">
        <v>2080</v>
      </c>
      <c r="O20" s="132">
        <v>1952</v>
      </c>
      <c r="P20" s="132">
        <v>-655</v>
      </c>
      <c r="Q20" s="132">
        <v>-218</v>
      </c>
      <c r="R20" s="132">
        <v>-24</v>
      </c>
      <c r="S20" s="132">
        <v>-655</v>
      </c>
      <c r="T20" s="132">
        <v>-218</v>
      </c>
      <c r="U20" s="132">
        <v>-24</v>
      </c>
      <c r="V20" s="132">
        <v>379</v>
      </c>
      <c r="W20" s="132">
        <v>540</v>
      </c>
      <c r="X20" s="132">
        <v>471</v>
      </c>
      <c r="Y20" s="132">
        <v>297</v>
      </c>
      <c r="Z20" s="132">
        <v>432</v>
      </c>
      <c r="AA20" s="132">
        <v>284</v>
      </c>
      <c r="AB20" s="132">
        <v>297</v>
      </c>
      <c r="AC20" s="132">
        <v>407</v>
      </c>
      <c r="AD20" s="132">
        <v>284</v>
      </c>
      <c r="AE20" s="132">
        <v>2354</v>
      </c>
      <c r="AF20" s="132">
        <v>2431</v>
      </c>
      <c r="AG20" s="132">
        <v>2163</v>
      </c>
      <c r="AH20" s="132">
        <v>1996</v>
      </c>
      <c r="AI20" s="132">
        <v>2620</v>
      </c>
      <c r="AJ20" s="132">
        <v>2423</v>
      </c>
      <c r="AK20" s="132">
        <v>-358</v>
      </c>
      <c r="AL20" s="132">
        <v>189</v>
      </c>
      <c r="AM20" s="132">
        <v>260</v>
      </c>
      <c r="AN20" s="132">
        <v>-358</v>
      </c>
      <c r="AO20" s="132">
        <v>189</v>
      </c>
      <c r="AP20" s="132">
        <v>260</v>
      </c>
      <c r="AS20" s="132">
        <f t="shared" si="27"/>
        <v>3.6219512195121952</v>
      </c>
      <c r="AT20" s="132">
        <f t="shared" si="19"/>
        <v>3.2481203007518795</v>
      </c>
      <c r="AU20" s="132">
        <f t="shared" si="20"/>
        <v>1.518716577540107</v>
      </c>
      <c r="AW20" s="132">
        <f t="shared" si="37"/>
        <v>3.2481203007518795</v>
      </c>
      <c r="AX20" s="132">
        <f t="shared" si="38"/>
        <v>1.518716577540107</v>
      </c>
      <c r="AZ20" s="132">
        <f t="shared" si="1"/>
        <v>-0.15208156329651656</v>
      </c>
      <c r="BA20" s="132">
        <f t="shared" si="2"/>
        <v>7.7745783628136569E-2</v>
      </c>
      <c r="BB20" s="132">
        <f t="shared" si="3"/>
        <v>0.12020342117429496</v>
      </c>
      <c r="BD20" s="132">
        <f t="shared" si="34"/>
        <v>-0.28829225352112675</v>
      </c>
      <c r="BE20" s="132">
        <f t="shared" si="35"/>
        <v>-9.4865100087032209E-2</v>
      </c>
      <c r="BF20" s="132">
        <f t="shared" si="31"/>
        <v>-1.2145748987854251E-2</v>
      </c>
      <c r="BH20" s="69">
        <v>-6.5502183406113534E-3</v>
      </c>
      <c r="BJ20" s="136">
        <v>6.5502183406113534E-3</v>
      </c>
      <c r="BN20" s="152">
        <f t="shared" si="24"/>
        <v>-45.343511450381676</v>
      </c>
      <c r="BO20" s="153">
        <f t="shared" si="5"/>
        <v>-198.16513761467891</v>
      </c>
      <c r="BP20" s="154">
        <f t="shared" si="6"/>
        <v>-1183.3333333333335</v>
      </c>
      <c r="BQ20" s="152">
        <v>-19.49685534591195</v>
      </c>
      <c r="BR20" s="153">
        <v>-69.892473118279568</v>
      </c>
      <c r="BS20" s="154">
        <v>-1183.3333333333335</v>
      </c>
      <c r="BT20" s="155">
        <v>-37.61467889908257</v>
      </c>
      <c r="BU20" s="156">
        <v>-4300</v>
      </c>
      <c r="BV20" s="157">
        <v>-88.652482269503537</v>
      </c>
      <c r="BX20" s="142">
        <f t="shared" si="7"/>
        <v>1</v>
      </c>
      <c r="BY20" s="142">
        <f t="shared" si="8"/>
        <v>1</v>
      </c>
      <c r="BZ20" s="142">
        <f t="shared" si="9"/>
        <v>1</v>
      </c>
      <c r="CA20" s="132">
        <f t="shared" si="10"/>
        <v>0</v>
      </c>
      <c r="CB20" s="132">
        <f t="shared" si="11"/>
        <v>0</v>
      </c>
      <c r="CC20" s="132">
        <f t="shared" si="12"/>
        <v>0</v>
      </c>
      <c r="CD20" s="132">
        <f t="shared" si="13"/>
        <v>0</v>
      </c>
      <c r="CE20" s="132">
        <f t="shared" si="14"/>
        <v>0</v>
      </c>
      <c r="CF20" s="132">
        <f t="shared" si="15"/>
        <v>0</v>
      </c>
      <c r="CG20" s="132">
        <f t="shared" si="16"/>
        <v>0</v>
      </c>
      <c r="CH20" s="132">
        <f t="shared" si="17"/>
        <v>0</v>
      </c>
      <c r="CI20" s="132">
        <f t="shared" si="18"/>
        <v>0</v>
      </c>
      <c r="CL20" s="132">
        <v>-45.343511450381676</v>
      </c>
      <c r="CM20" s="69">
        <f t="shared" si="25"/>
        <v>45.343511450381676</v>
      </c>
      <c r="EC20" s="63">
        <v>0.18421052631578946</v>
      </c>
      <c r="ED20" s="63">
        <v>5.375</v>
      </c>
      <c r="EE20" s="63">
        <v>3.6666666666666665</v>
      </c>
      <c r="EH20" s="69">
        <v>-0.15686274509803921</v>
      </c>
    </row>
    <row r="21" spans="1:138" s="132" customFormat="1">
      <c r="A21" s="132" t="s">
        <v>58</v>
      </c>
      <c r="B21" s="132">
        <v>200</v>
      </c>
      <c r="C21" s="132" t="s">
        <v>37</v>
      </c>
      <c r="D21" s="132" t="s">
        <v>32</v>
      </c>
      <c r="E21" s="132">
        <v>5</v>
      </c>
      <c r="F21" s="132">
        <v>6</v>
      </c>
      <c r="G21" s="132">
        <v>897</v>
      </c>
      <c r="H21" s="132">
        <v>1125</v>
      </c>
      <c r="I21" s="132">
        <v>1414</v>
      </c>
      <c r="J21" s="132">
        <v>0</v>
      </c>
      <c r="K21" s="132">
        <v>0</v>
      </c>
      <c r="L21" s="132">
        <v>0</v>
      </c>
      <c r="M21" s="132">
        <v>872</v>
      </c>
      <c r="N21" s="132">
        <v>1139</v>
      </c>
      <c r="O21" s="132">
        <v>1504</v>
      </c>
      <c r="P21" s="132">
        <v>-25</v>
      </c>
      <c r="Q21" s="132">
        <v>14</v>
      </c>
      <c r="R21" s="132">
        <v>89</v>
      </c>
      <c r="S21" s="132">
        <v>-25</v>
      </c>
      <c r="T21" s="132">
        <v>14</v>
      </c>
      <c r="U21" s="132">
        <v>89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2">
        <v>0</v>
      </c>
      <c r="AE21" s="132">
        <v>897</v>
      </c>
      <c r="AF21" s="132">
        <v>1125</v>
      </c>
      <c r="AG21" s="132">
        <v>1414</v>
      </c>
      <c r="AH21" s="132">
        <v>872</v>
      </c>
      <c r="AI21" s="132">
        <v>1139</v>
      </c>
      <c r="AJ21" s="132">
        <v>1504</v>
      </c>
      <c r="AK21" s="132">
        <v>-25</v>
      </c>
      <c r="AL21" s="132">
        <v>14</v>
      </c>
      <c r="AM21" s="132">
        <v>90</v>
      </c>
      <c r="AN21" s="132">
        <v>-25</v>
      </c>
      <c r="AO21" s="132">
        <v>14</v>
      </c>
      <c r="AP21" s="132">
        <v>89</v>
      </c>
      <c r="AS21" s="132" t="e">
        <f t="shared" si="27"/>
        <v>#DIV/0!</v>
      </c>
      <c r="AT21" s="132" t="e">
        <f t="shared" si="19"/>
        <v>#DIV/0!</v>
      </c>
      <c r="AU21" s="132" t="e">
        <f t="shared" si="20"/>
        <v>#DIV/0!</v>
      </c>
      <c r="AW21" s="132">
        <f>AT27</f>
        <v>6.4516129032258063E-2</v>
      </c>
      <c r="AX21" s="132">
        <f>AU23</f>
        <v>34.333333333333329</v>
      </c>
      <c r="AZ21" s="132">
        <f t="shared" si="1"/>
        <v>-2.7870680044593088E-2</v>
      </c>
      <c r="BA21" s="132">
        <f t="shared" si="2"/>
        <v>1.2444444444444444E-2</v>
      </c>
      <c r="BB21" s="132">
        <f t="shared" si="3"/>
        <v>6.3649222065063654E-2</v>
      </c>
      <c r="BD21" s="132">
        <f t="shared" si="34"/>
        <v>-2.7870680044593088E-2</v>
      </c>
      <c r="BE21" s="132">
        <f t="shared" si="35"/>
        <v>1.2444444444444444E-2</v>
      </c>
      <c r="BF21" s="132">
        <f t="shared" si="31"/>
        <v>6.2942008486562936E-2</v>
      </c>
      <c r="BH21" s="69">
        <v>5.9691773388322121E-2</v>
      </c>
      <c r="BJ21" s="136">
        <v>-5.3554040895813044E-3</v>
      </c>
      <c r="BN21" s="152">
        <f t="shared" si="24"/>
        <v>0</v>
      </c>
      <c r="BO21" s="153">
        <f t="shared" si="5"/>
        <v>0</v>
      </c>
      <c r="BP21" s="154">
        <f t="shared" si="6"/>
        <v>0</v>
      </c>
      <c r="BQ21" s="152"/>
      <c r="BR21" s="153">
        <v>-2.2988505747126435</v>
      </c>
      <c r="BS21" s="154">
        <v>-52.820512820512825</v>
      </c>
      <c r="BT21" s="155">
        <v>-27.407407407407408</v>
      </c>
      <c r="BU21" s="156">
        <v>-87.784090909090907</v>
      </c>
      <c r="BV21" s="157">
        <v>-67.195767195767203</v>
      </c>
      <c r="BX21" s="142">
        <f t="shared" si="7"/>
        <v>1</v>
      </c>
      <c r="BY21" s="142">
        <f t="shared" si="8"/>
        <v>0</v>
      </c>
      <c r="BZ21" s="142">
        <f t="shared" si="9"/>
        <v>0</v>
      </c>
      <c r="CA21" s="132">
        <f t="shared" si="10"/>
        <v>1</v>
      </c>
      <c r="CB21" s="132">
        <f t="shared" si="11"/>
        <v>1</v>
      </c>
      <c r="CC21" s="132">
        <f t="shared" si="12"/>
        <v>1</v>
      </c>
      <c r="CD21" s="132">
        <f t="shared" si="13"/>
        <v>0</v>
      </c>
      <c r="CE21" s="132">
        <f t="shared" si="14"/>
        <v>0</v>
      </c>
      <c r="CF21" s="132">
        <f t="shared" si="15"/>
        <v>0</v>
      </c>
      <c r="CG21" s="132">
        <f t="shared" si="16"/>
        <v>0</v>
      </c>
      <c r="CH21" s="132">
        <f t="shared" si="17"/>
        <v>0</v>
      </c>
      <c r="CI21" s="132">
        <f t="shared" si="18"/>
        <v>0</v>
      </c>
      <c r="CL21" s="132">
        <v>-420</v>
      </c>
      <c r="CM21" s="69">
        <f t="shared" si="25"/>
        <v>420</v>
      </c>
      <c r="EC21" s="63">
        <v>0.78947368421052633</v>
      </c>
      <c r="ED21" s="63">
        <v>5.3275862068965516</v>
      </c>
      <c r="EE21" s="63">
        <v>4.2794117647058822</v>
      </c>
      <c r="EH21" s="132">
        <v>3.6219512195121952</v>
      </c>
    </row>
    <row r="22" spans="1:138" s="132" customFormat="1">
      <c r="A22" s="132" t="s">
        <v>82</v>
      </c>
      <c r="B22" s="132">
        <v>30</v>
      </c>
      <c r="C22" s="132" t="s">
        <v>37</v>
      </c>
      <c r="D22" s="132" t="s">
        <v>32</v>
      </c>
      <c r="E22" s="132">
        <v>4</v>
      </c>
      <c r="F22" s="132">
        <v>7</v>
      </c>
      <c r="G22" s="132">
        <v>30</v>
      </c>
      <c r="H22" s="132">
        <v>108</v>
      </c>
      <c r="I22" s="132">
        <v>260</v>
      </c>
      <c r="J22" s="132">
        <v>0</v>
      </c>
      <c r="K22" s="132">
        <v>0</v>
      </c>
      <c r="L22" s="132">
        <v>0</v>
      </c>
      <c r="M22" s="132">
        <v>65</v>
      </c>
      <c r="N22" s="132">
        <v>163</v>
      </c>
      <c r="O22" s="132">
        <v>350</v>
      </c>
      <c r="P22" s="132">
        <v>35</v>
      </c>
      <c r="Q22" s="132">
        <v>55</v>
      </c>
      <c r="R22" s="132">
        <v>90</v>
      </c>
      <c r="S22" s="132">
        <v>35</v>
      </c>
      <c r="T22" s="132">
        <v>55</v>
      </c>
      <c r="U22" s="132">
        <v>90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2">
        <v>0</v>
      </c>
      <c r="AE22" s="132">
        <v>30</v>
      </c>
      <c r="AF22" s="132">
        <v>108</v>
      </c>
      <c r="AG22" s="132">
        <v>260</v>
      </c>
      <c r="AH22" s="132">
        <v>65</v>
      </c>
      <c r="AI22" s="132">
        <v>163</v>
      </c>
      <c r="AJ22" s="132">
        <v>350</v>
      </c>
      <c r="AK22" s="132">
        <v>35</v>
      </c>
      <c r="AL22" s="132">
        <v>55</v>
      </c>
      <c r="AM22" s="132">
        <v>90</v>
      </c>
      <c r="AN22" s="132">
        <v>35</v>
      </c>
      <c r="AO22" s="132">
        <v>55</v>
      </c>
      <c r="AP22" s="132">
        <v>90</v>
      </c>
      <c r="AS22" s="132" t="e">
        <f t="shared" si="27"/>
        <v>#DIV/0!</v>
      </c>
      <c r="AT22" s="132" t="e">
        <f t="shared" si="19"/>
        <v>#DIV/0!</v>
      </c>
      <c r="AU22" s="132" t="e">
        <f t="shared" si="20"/>
        <v>#DIV/0!</v>
      </c>
      <c r="AW22" s="132">
        <v>6.4516129032258063E-2</v>
      </c>
      <c r="AZ22" s="132">
        <f t="shared" si="1"/>
        <v>1.1666666666666667</v>
      </c>
      <c r="BA22" s="132">
        <f t="shared" si="2"/>
        <v>0.5092592592592593</v>
      </c>
      <c r="BB22" s="132">
        <f t="shared" si="3"/>
        <v>0.34615384615384615</v>
      </c>
      <c r="BD22" s="132">
        <f t="shared" si="34"/>
        <v>1.1666666666666667</v>
      </c>
      <c r="BE22" s="132">
        <f t="shared" si="35"/>
        <v>0.5092592592592593</v>
      </c>
      <c r="BF22" s="132">
        <f t="shared" si="31"/>
        <v>0.34615384615384615</v>
      </c>
      <c r="BH22" s="69">
        <v>3.2262905162064827E-3</v>
      </c>
      <c r="BJ22" s="136">
        <v>-3.1257856364702921E-2</v>
      </c>
      <c r="BN22" s="152">
        <f t="shared" si="24"/>
        <v>0</v>
      </c>
      <c r="BO22" s="153">
        <f t="shared" si="5"/>
        <v>0</v>
      </c>
      <c r="BP22" s="154">
        <f t="shared" si="6"/>
        <v>0</v>
      </c>
      <c r="BQ22" s="152"/>
      <c r="BR22" s="153"/>
      <c r="BS22" s="154"/>
      <c r="BT22" s="155">
        <v>-31.578947368421051</v>
      </c>
      <c r="BU22" s="156">
        <v>-14.634146341463413</v>
      </c>
      <c r="BV22" s="157">
        <v>-179.06066536203522</v>
      </c>
      <c r="BX22" s="142">
        <f t="shared" si="7"/>
        <v>0</v>
      </c>
      <c r="BY22" s="142">
        <f t="shared" si="8"/>
        <v>0</v>
      </c>
      <c r="BZ22" s="142">
        <f t="shared" si="9"/>
        <v>0</v>
      </c>
      <c r="CA22" s="132">
        <f t="shared" si="10"/>
        <v>1</v>
      </c>
      <c r="CB22" s="132">
        <f t="shared" si="11"/>
        <v>1</v>
      </c>
      <c r="CC22" s="132">
        <f t="shared" si="12"/>
        <v>1</v>
      </c>
      <c r="CD22" s="132">
        <f t="shared" si="13"/>
        <v>0</v>
      </c>
      <c r="CE22" s="132">
        <f t="shared" si="14"/>
        <v>0</v>
      </c>
      <c r="CF22" s="132">
        <f t="shared" si="15"/>
        <v>0</v>
      </c>
      <c r="CG22" s="132">
        <f t="shared" si="16"/>
        <v>0</v>
      </c>
      <c r="CH22" s="132">
        <f t="shared" si="17"/>
        <v>0</v>
      </c>
      <c r="CI22" s="132">
        <f t="shared" si="18"/>
        <v>0</v>
      </c>
      <c r="CL22" s="132">
        <v>-19.49685534591195</v>
      </c>
      <c r="CM22" s="69">
        <f t="shared" si="25"/>
        <v>19.49685534591195</v>
      </c>
      <c r="EC22" s="63">
        <v>1.4921348314606742</v>
      </c>
      <c r="ED22" s="63">
        <v>0.27272727272727271</v>
      </c>
      <c r="EE22" s="63">
        <v>1.1428571428571428</v>
      </c>
      <c r="EH22" s="132">
        <v>2</v>
      </c>
    </row>
    <row r="23" spans="1:138" s="132" customFormat="1">
      <c r="A23" s="132" t="s">
        <v>106</v>
      </c>
      <c r="B23" s="132">
        <v>19</v>
      </c>
      <c r="C23" s="132" t="s">
        <v>37</v>
      </c>
      <c r="D23" s="132" t="s">
        <v>35</v>
      </c>
      <c r="E23" s="132">
        <v>5</v>
      </c>
      <c r="F23" s="132">
        <v>5</v>
      </c>
      <c r="G23" s="132">
        <f>(CN23/326)*19</f>
        <v>35.144171779141104</v>
      </c>
      <c r="H23" s="132">
        <f t="shared" ref="H23:AP23" si="39">(CO23/326)*19</f>
        <v>55.659509202453989</v>
      </c>
      <c r="I23" s="132">
        <f t="shared" si="39"/>
        <v>65.567484662576689</v>
      </c>
      <c r="J23" s="132">
        <f t="shared" si="39"/>
        <v>0</v>
      </c>
      <c r="K23" s="132">
        <f t="shared" si="39"/>
        <v>0</v>
      </c>
      <c r="L23" s="132">
        <f t="shared" si="39"/>
        <v>0.17484662576687118</v>
      </c>
      <c r="M23" s="132">
        <f t="shared" si="39"/>
        <v>34.561349693251529</v>
      </c>
      <c r="N23" s="132">
        <f t="shared" si="39"/>
        <v>50.239263803680977</v>
      </c>
      <c r="O23" s="132">
        <f t="shared" si="39"/>
        <v>54.20245398773006</v>
      </c>
      <c r="P23" s="132">
        <f t="shared" si="39"/>
        <v>-0.58282208588957052</v>
      </c>
      <c r="Q23" s="132">
        <f t="shared" si="39"/>
        <v>-5.4202453987730062</v>
      </c>
      <c r="R23" s="132">
        <f t="shared" si="39"/>
        <v>-11.365030674846626</v>
      </c>
      <c r="S23" s="132">
        <f t="shared" si="39"/>
        <v>-0.58282208588957052</v>
      </c>
      <c r="T23" s="132">
        <f t="shared" si="39"/>
        <v>-5.4202453987730062</v>
      </c>
      <c r="U23" s="132">
        <f t="shared" si="39"/>
        <v>-11.365030674846626</v>
      </c>
      <c r="V23" s="132">
        <f t="shared" si="39"/>
        <v>2.4478527607361964</v>
      </c>
      <c r="W23" s="132">
        <f t="shared" si="39"/>
        <v>3.7883435582822083</v>
      </c>
      <c r="X23" s="132">
        <f t="shared" si="39"/>
        <v>6.1779141104294482</v>
      </c>
      <c r="Y23" s="132">
        <f t="shared" si="39"/>
        <v>2.4478527607361964</v>
      </c>
      <c r="Z23" s="132">
        <f t="shared" si="39"/>
        <v>3.7883435582822083</v>
      </c>
      <c r="AA23" s="132">
        <f t="shared" si="39"/>
        <v>6.0030674846625764</v>
      </c>
      <c r="AB23" s="132">
        <f t="shared" si="39"/>
        <v>2.4478527607361964</v>
      </c>
      <c r="AC23" s="132">
        <f t="shared" si="39"/>
        <v>3.7883435582822083</v>
      </c>
      <c r="AD23" s="132">
        <f t="shared" si="39"/>
        <v>6.0030674846625764</v>
      </c>
      <c r="AE23" s="132">
        <f t="shared" si="39"/>
        <v>35.144171779141104</v>
      </c>
      <c r="AF23" s="132">
        <f t="shared" si="39"/>
        <v>55.659509202453989</v>
      </c>
      <c r="AG23" s="132">
        <f t="shared" si="39"/>
        <v>65.742331288343564</v>
      </c>
      <c r="AH23" s="132">
        <f t="shared" si="39"/>
        <v>37.009202453987733</v>
      </c>
      <c r="AI23" s="132">
        <f t="shared" si="39"/>
        <v>54.027607361963184</v>
      </c>
      <c r="AJ23" s="132">
        <f t="shared" si="39"/>
        <v>60.380368098159508</v>
      </c>
      <c r="AK23" s="132">
        <f t="shared" si="39"/>
        <v>1.8650306748466259</v>
      </c>
      <c r="AL23" s="132">
        <f t="shared" si="39"/>
        <v>-1.6319018404907977</v>
      </c>
      <c r="AM23" s="132">
        <f t="shared" si="39"/>
        <v>-5.3619631901840483</v>
      </c>
      <c r="AN23" s="132">
        <f t="shared" si="39"/>
        <v>1.8650306748466259</v>
      </c>
      <c r="AO23" s="132">
        <f t="shared" si="39"/>
        <v>-1.6319018404907977</v>
      </c>
      <c r="AP23" s="132">
        <f t="shared" si="39"/>
        <v>-5.3619631901840483</v>
      </c>
      <c r="AS23" s="132" t="e">
        <f t="shared" si="27"/>
        <v>#DIV/0!</v>
      </c>
      <c r="AT23" s="132" t="e">
        <f t="shared" si="19"/>
        <v>#DIV/0!</v>
      </c>
      <c r="AU23" s="132">
        <f t="shared" si="20"/>
        <v>34.333333333333329</v>
      </c>
      <c r="AZ23" s="132">
        <f t="shared" si="1"/>
        <v>5.306799336650083E-2</v>
      </c>
      <c r="BA23" s="132">
        <f t="shared" si="2"/>
        <v>-2.9319371727748691E-2</v>
      </c>
      <c r="BB23" s="132">
        <f t="shared" si="3"/>
        <v>-8.1560283687943241E-2</v>
      </c>
      <c r="BD23" s="132">
        <f t="shared" si="34"/>
        <v>-1.658374792703151E-2</v>
      </c>
      <c r="BE23" s="132">
        <f t="shared" si="35"/>
        <v>-9.7382198952879584E-2</v>
      </c>
      <c r="BF23" s="132">
        <f t="shared" si="31"/>
        <v>-0.17333333333333334</v>
      </c>
      <c r="BH23" s="69">
        <v>-9.9025974025974031E-2</v>
      </c>
      <c r="BJ23" s="136">
        <v>-0.1393247741321921</v>
      </c>
      <c r="BN23" s="152">
        <f t="shared" si="24"/>
        <v>-420</v>
      </c>
      <c r="BO23" s="153">
        <f t="shared" si="5"/>
        <v>-69.892473118279568</v>
      </c>
      <c r="BP23" s="154">
        <f t="shared" si="6"/>
        <v>-52.820512820512825</v>
      </c>
      <c r="BQ23" s="152"/>
      <c r="BR23" s="153"/>
      <c r="BS23" s="154"/>
      <c r="BT23" s="155">
        <v>-49.666666666666664</v>
      </c>
      <c r="BU23" s="156">
        <v>-114.28571428571428</v>
      </c>
      <c r="BV23" s="157">
        <v>-27.397260273972606</v>
      </c>
      <c r="BX23" s="142">
        <f t="shared" si="7"/>
        <v>1</v>
      </c>
      <c r="BY23" s="142">
        <f t="shared" si="8"/>
        <v>1</v>
      </c>
      <c r="BZ23" s="142">
        <f t="shared" si="9"/>
        <v>1</v>
      </c>
      <c r="CA23" s="132">
        <f t="shared" si="10"/>
        <v>0</v>
      </c>
      <c r="CB23" s="132">
        <f t="shared" si="11"/>
        <v>0</v>
      </c>
      <c r="CC23" s="132">
        <f t="shared" si="12"/>
        <v>0</v>
      </c>
      <c r="CD23" s="132">
        <f t="shared" si="13"/>
        <v>0</v>
      </c>
      <c r="CE23" s="132">
        <f t="shared" si="14"/>
        <v>0</v>
      </c>
      <c r="CF23" s="132">
        <f t="shared" si="15"/>
        <v>0</v>
      </c>
      <c r="CG23" s="132">
        <f t="shared" si="16"/>
        <v>0</v>
      </c>
      <c r="CH23" s="132">
        <f t="shared" si="17"/>
        <v>0</v>
      </c>
      <c r="CI23" s="132">
        <f t="shared" si="18"/>
        <v>0</v>
      </c>
      <c r="CL23" s="132">
        <v>-610.20408163265313</v>
      </c>
      <c r="CM23" s="69">
        <f t="shared" si="25"/>
        <v>610.20408163265313</v>
      </c>
      <c r="CN23" s="132">
        <v>603</v>
      </c>
      <c r="CO23" s="132">
        <v>955</v>
      </c>
      <c r="CP23" s="132">
        <v>1125</v>
      </c>
      <c r="CQ23" s="132">
        <v>0</v>
      </c>
      <c r="CR23" s="132">
        <v>0</v>
      </c>
      <c r="CS23" s="132">
        <v>3</v>
      </c>
      <c r="CT23" s="132">
        <v>593</v>
      </c>
      <c r="CU23" s="132">
        <v>862</v>
      </c>
      <c r="CV23" s="132">
        <v>930</v>
      </c>
      <c r="CW23" s="132">
        <v>-10</v>
      </c>
      <c r="CX23" s="132">
        <v>-93</v>
      </c>
      <c r="CY23" s="132">
        <v>-195</v>
      </c>
      <c r="CZ23" s="132">
        <v>-10</v>
      </c>
      <c r="DA23" s="132">
        <v>-93</v>
      </c>
      <c r="DB23" s="132">
        <v>-195</v>
      </c>
      <c r="DC23" s="132">
        <v>42</v>
      </c>
      <c r="DD23" s="132">
        <v>65</v>
      </c>
      <c r="DE23" s="132">
        <v>106</v>
      </c>
      <c r="DF23" s="132">
        <v>42</v>
      </c>
      <c r="DG23" s="132">
        <v>65</v>
      </c>
      <c r="DH23" s="132">
        <v>103</v>
      </c>
      <c r="DI23" s="132">
        <v>42</v>
      </c>
      <c r="DJ23" s="132">
        <v>65</v>
      </c>
      <c r="DK23" s="132">
        <v>103</v>
      </c>
      <c r="DL23" s="132">
        <v>603</v>
      </c>
      <c r="DM23" s="132">
        <v>955</v>
      </c>
      <c r="DN23" s="132">
        <v>1128</v>
      </c>
      <c r="DO23" s="132">
        <v>635</v>
      </c>
      <c r="DP23" s="132">
        <v>927</v>
      </c>
      <c r="DQ23" s="132">
        <v>1036</v>
      </c>
      <c r="DR23" s="132">
        <v>32</v>
      </c>
      <c r="DS23" s="132">
        <v>-28</v>
      </c>
      <c r="DT23" s="132">
        <v>-92</v>
      </c>
      <c r="DU23" s="132">
        <v>32</v>
      </c>
      <c r="DV23" s="132">
        <v>-28</v>
      </c>
      <c r="DW23" s="132">
        <v>-92</v>
      </c>
      <c r="EC23" s="63">
        <v>1.4921348314606742</v>
      </c>
      <c r="ED23" s="63">
        <v>16.071428571428569</v>
      </c>
      <c r="EE23" s="63">
        <v>20.891891891891891</v>
      </c>
      <c r="EH23" s="132">
        <v>-0.02</v>
      </c>
    </row>
    <row r="24" spans="1:138" s="132" customFormat="1">
      <c r="A24" s="132" t="s">
        <v>107</v>
      </c>
      <c r="B24" s="132">
        <v>70</v>
      </c>
      <c r="C24" s="132" t="s">
        <v>37</v>
      </c>
      <c r="D24" s="132" t="s">
        <v>33</v>
      </c>
      <c r="E24" s="132">
        <v>4</v>
      </c>
      <c r="F24" s="132">
        <v>4</v>
      </c>
      <c r="G24" s="132">
        <v>393</v>
      </c>
      <c r="H24" s="132">
        <v>471</v>
      </c>
      <c r="I24" s="132">
        <v>992</v>
      </c>
      <c r="J24" s="132">
        <v>0</v>
      </c>
      <c r="K24" s="132">
        <v>0</v>
      </c>
      <c r="L24" s="132">
        <v>0</v>
      </c>
      <c r="M24" s="132">
        <v>275</v>
      </c>
      <c r="N24" s="132">
        <v>559</v>
      </c>
      <c r="O24" s="132">
        <v>1082</v>
      </c>
      <c r="P24" s="132">
        <v>-118</v>
      </c>
      <c r="Q24" s="132">
        <v>88</v>
      </c>
      <c r="R24" s="132">
        <v>90</v>
      </c>
      <c r="S24" s="132">
        <v>-118</v>
      </c>
      <c r="T24" s="132">
        <v>88</v>
      </c>
      <c r="U24" s="132">
        <v>90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2">
        <v>0</v>
      </c>
      <c r="AE24" s="132">
        <v>393</v>
      </c>
      <c r="AF24" s="132">
        <v>471</v>
      </c>
      <c r="AG24" s="132">
        <v>992</v>
      </c>
      <c r="AH24" s="132">
        <v>275</v>
      </c>
      <c r="AI24" s="132">
        <v>559</v>
      </c>
      <c r="AJ24" s="132">
        <v>1082</v>
      </c>
      <c r="AK24" s="132">
        <v>-118</v>
      </c>
      <c r="AL24" s="132">
        <v>88</v>
      </c>
      <c r="AM24" s="132">
        <v>90</v>
      </c>
      <c r="AN24" s="132">
        <v>-118</v>
      </c>
      <c r="AO24" s="132">
        <v>88</v>
      </c>
      <c r="AP24" s="132">
        <v>90</v>
      </c>
      <c r="AS24" s="132" t="e">
        <f t="shared" si="27"/>
        <v>#DIV/0!</v>
      </c>
      <c r="AT24" s="132" t="e">
        <f t="shared" si="19"/>
        <v>#DIV/0!</v>
      </c>
      <c r="AU24" s="132" t="e">
        <f t="shared" si="20"/>
        <v>#DIV/0!</v>
      </c>
      <c r="AZ24" s="132">
        <f t="shared" si="1"/>
        <v>-0.30025445292620867</v>
      </c>
      <c r="BA24" s="132">
        <f t="shared" si="2"/>
        <v>0.18683651804670912</v>
      </c>
      <c r="BB24" s="132">
        <f t="shared" si="3"/>
        <v>9.0725806451612906E-2</v>
      </c>
      <c r="BD24" s="132">
        <f t="shared" si="34"/>
        <v>-0.30025445292620867</v>
      </c>
      <c r="BE24" s="132">
        <f t="shared" si="35"/>
        <v>0.18683651804670912</v>
      </c>
      <c r="BF24" s="132">
        <f t="shared" si="31"/>
        <v>9.0725806451612906E-2</v>
      </c>
      <c r="BH24" s="69">
        <v>0</v>
      </c>
      <c r="BJ24" s="136">
        <v>0</v>
      </c>
      <c r="BN24" s="152">
        <f t="shared" si="24"/>
        <v>0</v>
      </c>
      <c r="BO24" s="153">
        <f t="shared" si="5"/>
        <v>0</v>
      </c>
      <c r="BP24" s="154">
        <f t="shared" si="6"/>
        <v>0</v>
      </c>
      <c r="BQ24" s="152"/>
      <c r="BR24" s="153"/>
      <c r="BS24" s="154"/>
      <c r="BT24" s="155">
        <v>-89.125560538116602</v>
      </c>
      <c r="BU24" s="156">
        <v>-872.97297297297303</v>
      </c>
      <c r="BV24" s="157">
        <v>-198.36065573770492</v>
      </c>
      <c r="BX24" s="142">
        <f t="shared" si="7"/>
        <v>1</v>
      </c>
      <c r="BY24" s="142">
        <f t="shared" si="8"/>
        <v>0</v>
      </c>
      <c r="BZ24" s="142">
        <f t="shared" si="9"/>
        <v>0</v>
      </c>
      <c r="CA24" s="132">
        <f t="shared" si="10"/>
        <v>1</v>
      </c>
      <c r="CB24" s="132">
        <f t="shared" si="11"/>
        <v>1</v>
      </c>
      <c r="CC24" s="132">
        <f t="shared" si="12"/>
        <v>1</v>
      </c>
      <c r="CD24" s="132">
        <f t="shared" si="13"/>
        <v>0</v>
      </c>
      <c r="CE24" s="132">
        <f t="shared" si="14"/>
        <v>0</v>
      </c>
      <c r="CF24" s="132">
        <f t="shared" si="15"/>
        <v>0</v>
      </c>
      <c r="CG24" s="132">
        <f t="shared" si="16"/>
        <v>0</v>
      </c>
      <c r="CH24" s="132">
        <f t="shared" si="17"/>
        <v>0</v>
      </c>
      <c r="CI24" s="132">
        <f t="shared" si="18"/>
        <v>0</v>
      </c>
      <c r="CL24" s="132">
        <v>-198.16513761467891</v>
      </c>
      <c r="CM24" s="69">
        <f t="shared" si="25"/>
        <v>198.16513761467891</v>
      </c>
      <c r="EC24" s="63">
        <v>0.4539954625661709</v>
      </c>
      <c r="ED24" s="63">
        <v>0.45714285714285713</v>
      </c>
      <c r="EE24" s="63">
        <v>0.4</v>
      </c>
      <c r="EH24" s="132">
        <v>19.933333333333337</v>
      </c>
    </row>
    <row r="25" spans="1:138" s="132" customFormat="1">
      <c r="A25" s="132" t="s">
        <v>108</v>
      </c>
      <c r="B25" s="132">
        <v>160</v>
      </c>
      <c r="C25" s="132" t="s">
        <v>37</v>
      </c>
      <c r="D25" s="132" t="s">
        <v>35</v>
      </c>
      <c r="E25" s="132">
        <v>4</v>
      </c>
      <c r="F25" s="132">
        <v>6</v>
      </c>
      <c r="G25" s="132">
        <v>346</v>
      </c>
      <c r="H25" s="132">
        <v>405</v>
      </c>
      <c r="I25" s="132">
        <v>485</v>
      </c>
      <c r="J25" s="132">
        <v>0</v>
      </c>
      <c r="K25" s="132">
        <v>0</v>
      </c>
      <c r="L25" s="132">
        <v>0</v>
      </c>
      <c r="M25" s="132">
        <v>424</v>
      </c>
      <c r="N25" s="132">
        <v>415</v>
      </c>
      <c r="O25" s="132">
        <v>485</v>
      </c>
      <c r="P25" s="132">
        <v>78</v>
      </c>
      <c r="Q25" s="132">
        <v>10</v>
      </c>
      <c r="R25" s="132">
        <v>0</v>
      </c>
      <c r="S25" s="132">
        <v>78</v>
      </c>
      <c r="T25" s="132">
        <v>10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B25" s="132">
        <v>0</v>
      </c>
      <c r="AC25" s="132">
        <v>0</v>
      </c>
      <c r="AD25" s="132">
        <v>0</v>
      </c>
      <c r="AE25" s="132">
        <v>346</v>
      </c>
      <c r="AF25" s="132">
        <v>405</v>
      </c>
      <c r="AG25" s="132">
        <v>485</v>
      </c>
      <c r="AH25" s="132">
        <v>424</v>
      </c>
      <c r="AI25" s="132">
        <v>415</v>
      </c>
      <c r="AJ25" s="132">
        <v>485</v>
      </c>
      <c r="AK25" s="132">
        <v>78</v>
      </c>
      <c r="AL25" s="132">
        <v>10</v>
      </c>
      <c r="AM25" s="132">
        <v>0</v>
      </c>
      <c r="AN25" s="132">
        <v>78</v>
      </c>
      <c r="AO25" s="132">
        <v>10</v>
      </c>
      <c r="AP25" s="132">
        <v>0</v>
      </c>
      <c r="AS25" s="132" t="e">
        <f t="shared" si="27"/>
        <v>#DIV/0!</v>
      </c>
      <c r="AT25" s="132" t="e">
        <f t="shared" si="19"/>
        <v>#DIV/0!</v>
      </c>
      <c r="AU25" s="132" t="e">
        <f>BI205/L25</f>
        <v>#DIV/0!</v>
      </c>
      <c r="AZ25" s="132">
        <f t="shared" si="1"/>
        <v>0.22543352601156069</v>
      </c>
      <c r="BA25" s="132">
        <f t="shared" si="2"/>
        <v>2.4691358024691357E-2</v>
      </c>
      <c r="BB25" s="132">
        <f t="shared" si="3"/>
        <v>0</v>
      </c>
      <c r="BD25" s="132">
        <f t="shared" si="34"/>
        <v>0.22543352601156069</v>
      </c>
      <c r="BE25" s="132">
        <f t="shared" si="35"/>
        <v>2.4691358024691357E-2</v>
      </c>
      <c r="BF25" s="132">
        <f t="shared" si="31"/>
        <v>0</v>
      </c>
      <c r="BH25" s="69">
        <v>0.47473139673696779</v>
      </c>
      <c r="BJ25" s="136">
        <v>0.47075208913649025</v>
      </c>
      <c r="BN25" s="152">
        <f t="shared" ref="BN25:BN56" si="40">(Y25/P25)*100</f>
        <v>0</v>
      </c>
      <c r="BO25" s="153">
        <f t="shared" ref="BO25:BO56" si="41">(Z25/Q25)*100</f>
        <v>0</v>
      </c>
      <c r="BP25" s="154" t="e">
        <f>(BI205/R25)*100</f>
        <v>#DIV/0!</v>
      </c>
      <c r="BQ25" s="152"/>
      <c r="BR25" s="153"/>
      <c r="BS25" s="154"/>
      <c r="BT25" s="155">
        <v>-72.093023255813947</v>
      </c>
      <c r="BU25" s="156">
        <v>-7.0707070707070701</v>
      </c>
      <c r="BV25" s="157">
        <v>-317.33333333333331</v>
      </c>
      <c r="BX25" s="142">
        <f t="shared" si="7"/>
        <v>0</v>
      </c>
      <c r="BY25" s="142">
        <f t="shared" si="8"/>
        <v>0</v>
      </c>
      <c r="BZ25" s="142">
        <f t="shared" si="9"/>
        <v>0</v>
      </c>
      <c r="CA25" s="132">
        <f t="shared" si="10"/>
        <v>1</v>
      </c>
      <c r="CB25" s="132">
        <f t="shared" si="11"/>
        <v>1</v>
      </c>
      <c r="CC25" s="132" t="e">
        <f t="shared" si="12"/>
        <v>#DIV/0!</v>
      </c>
      <c r="CD25" s="132">
        <f t="shared" si="13"/>
        <v>0</v>
      </c>
      <c r="CE25" s="132">
        <f t="shared" si="14"/>
        <v>0</v>
      </c>
      <c r="CF25" s="132" t="e">
        <f t="shared" si="15"/>
        <v>#DIV/0!</v>
      </c>
      <c r="CG25" s="132">
        <f t="shared" si="16"/>
        <v>0</v>
      </c>
      <c r="CH25" s="132">
        <f t="shared" si="17"/>
        <v>0</v>
      </c>
      <c r="CI25" s="132">
        <f t="shared" si="18"/>
        <v>1</v>
      </c>
      <c r="CL25" s="132">
        <v>-69.892473118279568</v>
      </c>
      <c r="CM25" s="69">
        <f t="shared" si="25"/>
        <v>69.892473118279568</v>
      </c>
      <c r="EC25" s="63">
        <v>0.52577319587628868</v>
      </c>
      <c r="ED25" s="63">
        <v>1</v>
      </c>
      <c r="EE25" s="63">
        <v>0.80769230769230771</v>
      </c>
      <c r="EH25" s="132">
        <v>3.2481203007518795</v>
      </c>
    </row>
    <row r="26" spans="1:138" s="132" customFormat="1">
      <c r="A26" s="132" t="s">
        <v>109</v>
      </c>
      <c r="B26" s="132">
        <v>150</v>
      </c>
      <c r="C26" s="132" t="s">
        <v>37</v>
      </c>
      <c r="D26" s="132" t="s">
        <v>32</v>
      </c>
      <c r="E26" s="132">
        <v>1</v>
      </c>
      <c r="F26" s="132">
        <v>1</v>
      </c>
      <c r="G26" s="132">
        <v>449</v>
      </c>
      <c r="H26" s="132">
        <v>864</v>
      </c>
      <c r="I26" s="132">
        <v>948</v>
      </c>
      <c r="J26" s="132">
        <v>0</v>
      </c>
      <c r="K26" s="132">
        <v>0</v>
      </c>
      <c r="L26" s="132">
        <v>0</v>
      </c>
      <c r="M26" s="132">
        <v>554</v>
      </c>
      <c r="N26" s="132">
        <v>880</v>
      </c>
      <c r="O26" s="132">
        <v>1113</v>
      </c>
      <c r="P26" s="132">
        <v>105</v>
      </c>
      <c r="Q26" s="132">
        <v>16</v>
      </c>
      <c r="R26" s="132">
        <v>165</v>
      </c>
      <c r="S26" s="132">
        <v>105</v>
      </c>
      <c r="T26" s="132">
        <v>16</v>
      </c>
      <c r="U26" s="132">
        <v>165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2">
        <v>0</v>
      </c>
      <c r="AE26" s="132">
        <v>449</v>
      </c>
      <c r="AF26" s="132">
        <v>864</v>
      </c>
      <c r="AG26" s="132">
        <v>948</v>
      </c>
      <c r="AH26" s="132">
        <v>554</v>
      </c>
      <c r="AI26" s="132">
        <v>880</v>
      </c>
      <c r="AJ26" s="132">
        <v>1113</v>
      </c>
      <c r="AK26" s="132">
        <v>105</v>
      </c>
      <c r="AL26" s="132">
        <v>16</v>
      </c>
      <c r="AM26" s="132">
        <v>165</v>
      </c>
      <c r="AN26" s="132">
        <v>105</v>
      </c>
      <c r="AO26" s="132">
        <v>16</v>
      </c>
      <c r="AP26" s="132">
        <v>165</v>
      </c>
      <c r="AS26" s="132" t="e">
        <f t="shared" si="27"/>
        <v>#DIV/0!</v>
      </c>
      <c r="AT26" s="132" t="e">
        <f t="shared" si="19"/>
        <v>#DIV/0!</v>
      </c>
      <c r="AU26" s="132" t="e">
        <f t="shared" si="20"/>
        <v>#DIV/0!</v>
      </c>
      <c r="AZ26" s="132">
        <f t="shared" si="1"/>
        <v>0.23385300668151449</v>
      </c>
      <c r="BA26" s="132">
        <f t="shared" si="2"/>
        <v>1.8518518518518517E-2</v>
      </c>
      <c r="BB26" s="132">
        <f t="shared" si="3"/>
        <v>0.17405063291139242</v>
      </c>
      <c r="BD26" s="132">
        <f t="shared" si="34"/>
        <v>0.23385300668151449</v>
      </c>
      <c r="BE26" s="132">
        <f t="shared" si="35"/>
        <v>1.8518518518518517E-2</v>
      </c>
      <c r="BF26" s="132">
        <f t="shared" si="31"/>
        <v>0.17405063291139242</v>
      </c>
      <c r="BH26" s="69">
        <v>4.7142196887998769E-2</v>
      </c>
      <c r="BJ26" s="136">
        <v>3.4995206136145728E-2</v>
      </c>
      <c r="BN26" s="152">
        <f t="shared" si="40"/>
        <v>0</v>
      </c>
      <c r="BO26" s="153">
        <f t="shared" si="41"/>
        <v>0</v>
      </c>
      <c r="BP26" s="154">
        <f t="shared" ref="BP26:BP57" si="42">(AA26/R26)*100</f>
        <v>0</v>
      </c>
      <c r="BQ26" s="152"/>
      <c r="BR26" s="153"/>
      <c r="BS26" s="154"/>
      <c r="BT26" s="155">
        <v>-103.44827586206897</v>
      </c>
      <c r="BU26" s="156">
        <v>-207.93650793650795</v>
      </c>
      <c r="BV26" s="157">
        <v>-40</v>
      </c>
      <c r="BX26" s="142">
        <f t="shared" si="7"/>
        <v>0</v>
      </c>
      <c r="BY26" s="142">
        <f t="shared" si="8"/>
        <v>0</v>
      </c>
      <c r="BZ26" s="142">
        <f t="shared" si="9"/>
        <v>0</v>
      </c>
      <c r="CA26" s="132">
        <f t="shared" si="10"/>
        <v>1</v>
      </c>
      <c r="CB26" s="132">
        <f t="shared" si="11"/>
        <v>1</v>
      </c>
      <c r="CC26" s="132">
        <f t="shared" si="12"/>
        <v>1</v>
      </c>
      <c r="CD26" s="132">
        <f t="shared" si="13"/>
        <v>0</v>
      </c>
      <c r="CE26" s="132">
        <f t="shared" si="14"/>
        <v>0</v>
      </c>
      <c r="CF26" s="132">
        <f t="shared" si="15"/>
        <v>0</v>
      </c>
      <c r="CG26" s="132">
        <f t="shared" si="16"/>
        <v>0</v>
      </c>
      <c r="CH26" s="132">
        <f t="shared" si="17"/>
        <v>0</v>
      </c>
      <c r="CI26" s="132">
        <f t="shared" si="18"/>
        <v>0</v>
      </c>
      <c r="CL26" s="132">
        <v>-2.2988505747126435</v>
      </c>
      <c r="CM26" s="69">
        <f t="shared" si="25"/>
        <v>2.2988505747126435</v>
      </c>
      <c r="EC26" s="63">
        <v>1.1428571428571428</v>
      </c>
      <c r="ED26" s="63">
        <v>1.0339302544769087</v>
      </c>
      <c r="EE26" s="63">
        <v>0.7343499197431782</v>
      </c>
      <c r="EH26" s="132">
        <v>6.4516129032258063E-2</v>
      </c>
    </row>
    <row r="27" spans="1:138" s="132" customFormat="1">
      <c r="A27" s="132" t="s">
        <v>136</v>
      </c>
      <c r="B27" s="132">
        <v>230</v>
      </c>
      <c r="C27" s="132" t="s">
        <v>37</v>
      </c>
      <c r="D27" s="132" t="s">
        <v>32</v>
      </c>
      <c r="E27" s="132">
        <v>4</v>
      </c>
      <c r="F27" s="132">
        <v>5</v>
      </c>
      <c r="G27" s="132">
        <v>1707</v>
      </c>
      <c r="H27" s="132">
        <v>1823</v>
      </c>
      <c r="I27" s="132">
        <v>1841</v>
      </c>
      <c r="J27" s="132">
        <v>31</v>
      </c>
      <c r="K27" s="132">
        <v>31</v>
      </c>
      <c r="L27" s="132">
        <v>0</v>
      </c>
      <c r="M27" s="132">
        <v>1389</v>
      </c>
      <c r="N27" s="132">
        <v>1736</v>
      </c>
      <c r="O27" s="132">
        <v>1853</v>
      </c>
      <c r="P27" s="132">
        <v>-318</v>
      </c>
      <c r="Q27" s="132">
        <v>-87</v>
      </c>
      <c r="R27" s="132">
        <v>12</v>
      </c>
      <c r="S27" s="132">
        <v>-318</v>
      </c>
      <c r="T27" s="132">
        <v>-87</v>
      </c>
      <c r="U27" s="132">
        <v>12</v>
      </c>
      <c r="V27" s="132">
        <v>93</v>
      </c>
      <c r="W27" s="132">
        <v>33</v>
      </c>
      <c r="X27" s="132">
        <v>190</v>
      </c>
      <c r="Y27" s="132">
        <v>62</v>
      </c>
      <c r="Z27" s="132">
        <v>2</v>
      </c>
      <c r="AA27" s="132">
        <v>190</v>
      </c>
      <c r="AB27" s="132">
        <v>62</v>
      </c>
      <c r="AC27" s="132">
        <v>2</v>
      </c>
      <c r="AD27" s="132">
        <v>190</v>
      </c>
      <c r="AE27" s="132">
        <v>1738</v>
      </c>
      <c r="AF27" s="132">
        <v>1854</v>
      </c>
      <c r="AG27" s="132">
        <v>1841</v>
      </c>
      <c r="AH27" s="132">
        <v>1482</v>
      </c>
      <c r="AI27" s="132">
        <v>1769</v>
      </c>
      <c r="AJ27" s="132">
        <v>2043</v>
      </c>
      <c r="AK27" s="132">
        <v>-256</v>
      </c>
      <c r="AL27" s="132">
        <v>-85</v>
      </c>
      <c r="AM27" s="132">
        <v>202</v>
      </c>
      <c r="AN27" s="132">
        <v>-256</v>
      </c>
      <c r="AO27" s="132">
        <v>-85</v>
      </c>
      <c r="AP27" s="132">
        <v>202</v>
      </c>
      <c r="AS27" s="132">
        <f>Y27/J27</f>
        <v>2</v>
      </c>
      <c r="AT27" s="132">
        <f t="shared" si="19"/>
        <v>6.4516129032258063E-2</v>
      </c>
      <c r="AU27" s="132" t="e">
        <f t="shared" si="20"/>
        <v>#DIV/0!</v>
      </c>
      <c r="AZ27" s="132">
        <f t="shared" si="1"/>
        <v>-0.14729574223245109</v>
      </c>
      <c r="BA27" s="132">
        <f t="shared" si="2"/>
        <v>-4.5846817691477887E-2</v>
      </c>
      <c r="BB27" s="132">
        <f t="shared" si="3"/>
        <v>0.10972297664312873</v>
      </c>
      <c r="BD27" s="132">
        <f t="shared" si="34"/>
        <v>-0.18629173989455183</v>
      </c>
      <c r="BE27" s="132">
        <f t="shared" si="35"/>
        <v>-4.7723532638507954E-2</v>
      </c>
      <c r="BF27" s="132">
        <f t="shared" si="31"/>
        <v>6.5181966322650732E-3</v>
      </c>
      <c r="BH27" s="69">
        <v>0.47473139673696779</v>
      </c>
      <c r="BJ27" s="136">
        <v>0.47075208913649025</v>
      </c>
      <c r="BN27" s="152">
        <f t="shared" si="40"/>
        <v>-19.49685534591195</v>
      </c>
      <c r="BO27" s="153">
        <f t="shared" si="41"/>
        <v>-2.2988505747126435</v>
      </c>
      <c r="BP27" s="154">
        <f t="shared" si="42"/>
        <v>1583.3333333333335</v>
      </c>
      <c r="BQ27" s="152"/>
      <c r="BR27" s="153"/>
      <c r="BS27" s="154"/>
      <c r="BT27" s="155">
        <v>-100</v>
      </c>
      <c r="BU27" s="156">
        <v>-462.86919831223628</v>
      </c>
      <c r="BV27" s="157">
        <v>-229.6875</v>
      </c>
      <c r="BX27" s="142">
        <f t="shared" si="7"/>
        <v>1</v>
      </c>
      <c r="BY27" s="142">
        <f t="shared" si="8"/>
        <v>1</v>
      </c>
      <c r="BZ27" s="142">
        <f t="shared" si="9"/>
        <v>0</v>
      </c>
      <c r="CA27" s="132">
        <f t="shared" si="10"/>
        <v>0</v>
      </c>
      <c r="CB27" s="132">
        <f t="shared" si="11"/>
        <v>0</v>
      </c>
      <c r="CC27" s="132">
        <f t="shared" si="12"/>
        <v>0</v>
      </c>
      <c r="CD27" s="132">
        <f t="shared" si="13"/>
        <v>0</v>
      </c>
      <c r="CE27" s="132">
        <f t="shared" si="14"/>
        <v>0</v>
      </c>
      <c r="CF27" s="132">
        <f t="shared" si="15"/>
        <v>1</v>
      </c>
      <c r="CG27" s="132">
        <f t="shared" si="16"/>
        <v>0</v>
      </c>
      <c r="CH27" s="132">
        <f t="shared" si="17"/>
        <v>0</v>
      </c>
      <c r="CI27" s="132">
        <f t="shared" si="18"/>
        <v>0</v>
      </c>
      <c r="CL27" s="132">
        <v>-0.28653295128939826</v>
      </c>
      <c r="CM27" s="69">
        <f t="shared" si="25"/>
        <v>0.28653295128939826</v>
      </c>
      <c r="EC27" s="63">
        <v>0.17041800643086816</v>
      </c>
      <c r="ED27" s="63">
        <v>1.0339302544769087</v>
      </c>
      <c r="EE27" s="63">
        <v>0.7343499197431782</v>
      </c>
      <c r="EH27" s="132">
        <v>6.4516129032258063E-2</v>
      </c>
    </row>
    <row r="28" spans="1:138" s="63" customFormat="1">
      <c r="A28" s="63" t="s">
        <v>59</v>
      </c>
      <c r="B28" s="63">
        <v>121</v>
      </c>
      <c r="C28" s="63" t="s">
        <v>38</v>
      </c>
      <c r="D28" s="63" t="s">
        <v>35</v>
      </c>
      <c r="E28" s="63">
        <v>3</v>
      </c>
      <c r="F28" s="63">
        <v>4</v>
      </c>
      <c r="G28" s="63">
        <v>317</v>
      </c>
      <c r="H28" s="63">
        <v>399</v>
      </c>
      <c r="I28" s="63">
        <v>349</v>
      </c>
      <c r="J28" s="63">
        <v>0</v>
      </c>
      <c r="K28" s="63">
        <v>0</v>
      </c>
      <c r="L28" s="63">
        <v>0</v>
      </c>
      <c r="M28" s="63">
        <v>231</v>
      </c>
      <c r="N28" s="63">
        <v>242</v>
      </c>
      <c r="O28" s="63">
        <v>199</v>
      </c>
      <c r="P28" s="63">
        <v>-86</v>
      </c>
      <c r="Q28" s="63">
        <v>-157</v>
      </c>
      <c r="R28" s="63">
        <v>-150</v>
      </c>
      <c r="S28" s="63">
        <v>-86</v>
      </c>
      <c r="T28" s="63">
        <v>-157</v>
      </c>
      <c r="U28" s="63">
        <v>-150</v>
      </c>
      <c r="V28" s="63">
        <v>32</v>
      </c>
      <c r="W28" s="63">
        <v>90</v>
      </c>
      <c r="X28" s="63">
        <v>74</v>
      </c>
      <c r="Y28" s="63">
        <v>32</v>
      </c>
      <c r="Z28" s="63">
        <v>90</v>
      </c>
      <c r="AA28" s="63">
        <v>74</v>
      </c>
      <c r="AB28" s="63">
        <v>32</v>
      </c>
      <c r="AC28" s="63">
        <v>90</v>
      </c>
      <c r="AD28" s="63">
        <v>74</v>
      </c>
      <c r="AE28" s="63">
        <v>317</v>
      </c>
      <c r="AF28" s="63">
        <v>399</v>
      </c>
      <c r="AG28" s="63">
        <v>349</v>
      </c>
      <c r="AH28" s="63">
        <v>263</v>
      </c>
      <c r="AI28" s="63">
        <v>332</v>
      </c>
      <c r="AJ28" s="63">
        <v>273</v>
      </c>
      <c r="AK28" s="63">
        <v>-54</v>
      </c>
      <c r="AL28" s="63">
        <v>-67</v>
      </c>
      <c r="AM28" s="63">
        <v>-76</v>
      </c>
      <c r="AN28" s="63">
        <v>-54</v>
      </c>
      <c r="AO28" s="63">
        <v>-67</v>
      </c>
      <c r="AP28" s="63">
        <v>-76</v>
      </c>
      <c r="AS28" s="63" t="e">
        <f t="shared" si="27"/>
        <v>#DIV/0!</v>
      </c>
      <c r="AT28" s="63" t="e">
        <f t="shared" si="19"/>
        <v>#DIV/0!</v>
      </c>
      <c r="AU28" s="63" t="e">
        <f t="shared" si="20"/>
        <v>#DIV/0!</v>
      </c>
      <c r="AV28" s="63">
        <v>7.2380952380952381</v>
      </c>
      <c r="AW28" s="63">
        <v>4.5324675324675328</v>
      </c>
      <c r="AX28" s="63">
        <v>6.6615384615384619</v>
      </c>
      <c r="AZ28" s="63">
        <f t="shared" si="1"/>
        <v>-0.17034700315457413</v>
      </c>
      <c r="BA28" s="63">
        <f t="shared" si="2"/>
        <v>-0.16791979949874686</v>
      </c>
      <c r="BB28" s="63">
        <f t="shared" si="3"/>
        <v>-0.2177650429799427</v>
      </c>
      <c r="BD28" s="63">
        <f t="shared" si="34"/>
        <v>-0.27129337539432175</v>
      </c>
      <c r="BE28" s="63">
        <f t="shared" si="35"/>
        <v>-0.39348370927318294</v>
      </c>
      <c r="BF28" s="63">
        <f t="shared" si="31"/>
        <v>-0.42979942693409739</v>
      </c>
      <c r="BH28" s="69">
        <v>0.11206896551724138</v>
      </c>
      <c r="BJ28" s="69">
        <v>0.10344827586206896</v>
      </c>
      <c r="BN28" s="155">
        <f t="shared" si="40"/>
        <v>-37.209302325581397</v>
      </c>
      <c r="BO28" s="156">
        <f t="shared" si="41"/>
        <v>-57.324840764331206</v>
      </c>
      <c r="BP28" s="157">
        <f t="shared" si="42"/>
        <v>-49.333333333333336</v>
      </c>
      <c r="BQ28" s="155">
        <v>-37.209302325581397</v>
      </c>
      <c r="BR28" s="156">
        <v>-57.324840764331206</v>
      </c>
      <c r="BS28" s="157">
        <v>-49.333333333333336</v>
      </c>
      <c r="BT28" s="155">
        <v>-175.66137566137564</v>
      </c>
      <c r="BU28" s="156">
        <v>-81.25</v>
      </c>
      <c r="BV28" s="157">
        <v>-60.775862068965516</v>
      </c>
      <c r="BX28" s="142">
        <f t="shared" si="7"/>
        <v>1</v>
      </c>
      <c r="BY28" s="142">
        <f t="shared" si="8"/>
        <v>1</v>
      </c>
      <c r="BZ28" s="142">
        <f t="shared" si="9"/>
        <v>1</v>
      </c>
      <c r="CA28" s="63">
        <f t="shared" si="10"/>
        <v>0</v>
      </c>
      <c r="CB28" s="63">
        <f t="shared" si="11"/>
        <v>0</v>
      </c>
      <c r="CC28" s="63">
        <f t="shared" si="12"/>
        <v>0</v>
      </c>
      <c r="CD28" s="63">
        <f t="shared" si="13"/>
        <v>0</v>
      </c>
      <c r="CE28" s="63">
        <f t="shared" si="14"/>
        <v>0</v>
      </c>
      <c r="CF28" s="63">
        <f t="shared" si="15"/>
        <v>0</v>
      </c>
      <c r="CG28" s="63">
        <f t="shared" si="16"/>
        <v>0</v>
      </c>
      <c r="CH28" s="63">
        <f t="shared" si="17"/>
        <v>0</v>
      </c>
      <c r="CI28" s="63">
        <f t="shared" si="18"/>
        <v>0</v>
      </c>
      <c r="CL28" s="132">
        <v>-170.45454545454547</v>
      </c>
      <c r="CM28" s="69">
        <f t="shared" si="25"/>
        <v>170.45454545454547</v>
      </c>
      <c r="EC28" s="63">
        <v>14.666666666666666</v>
      </c>
      <c r="ED28" s="63">
        <v>0.33193740357064144</v>
      </c>
      <c r="EE28" s="63">
        <v>0.22922636103151864</v>
      </c>
      <c r="EH28" s="132">
        <v>1.282051282051282E-2</v>
      </c>
    </row>
    <row r="29" spans="1:138" s="63" customFormat="1">
      <c r="A29" s="63" t="s">
        <v>60</v>
      </c>
      <c r="B29" s="63">
        <v>105</v>
      </c>
      <c r="C29" s="63" t="s">
        <v>38</v>
      </c>
      <c r="D29" s="63" t="s">
        <v>32</v>
      </c>
      <c r="E29" s="63">
        <v>1</v>
      </c>
      <c r="F29" s="63">
        <v>1</v>
      </c>
      <c r="G29" s="63">
        <v>422</v>
      </c>
      <c r="H29" s="63">
        <v>905</v>
      </c>
      <c r="I29" s="63">
        <v>1087</v>
      </c>
      <c r="J29" s="63">
        <v>0</v>
      </c>
      <c r="K29" s="63">
        <v>0</v>
      </c>
      <c r="L29" s="63">
        <v>0</v>
      </c>
      <c r="M29" s="63">
        <v>338</v>
      </c>
      <c r="N29" s="63">
        <v>644</v>
      </c>
      <c r="O29" s="63">
        <v>931</v>
      </c>
      <c r="P29" s="63">
        <v>-84</v>
      </c>
      <c r="Q29" s="63">
        <v>-261</v>
      </c>
      <c r="R29" s="63">
        <v>-156</v>
      </c>
      <c r="S29" s="63">
        <v>-84</v>
      </c>
      <c r="T29" s="63">
        <v>-261</v>
      </c>
      <c r="U29" s="63">
        <v>-156</v>
      </c>
      <c r="V29" s="63">
        <v>176</v>
      </c>
      <c r="W29" s="63">
        <v>186</v>
      </c>
      <c r="X29" s="63">
        <v>181</v>
      </c>
      <c r="Y29" s="63">
        <v>176</v>
      </c>
      <c r="Z29" s="63">
        <v>186</v>
      </c>
      <c r="AA29" s="63">
        <v>181</v>
      </c>
      <c r="AB29" s="63">
        <v>176</v>
      </c>
      <c r="AC29" s="63">
        <v>186</v>
      </c>
      <c r="AD29" s="63">
        <v>181</v>
      </c>
      <c r="AE29" s="63">
        <v>422</v>
      </c>
      <c r="AF29" s="63">
        <v>905</v>
      </c>
      <c r="AG29" s="63">
        <v>1087</v>
      </c>
      <c r="AH29" s="63">
        <v>514</v>
      </c>
      <c r="AI29" s="63">
        <v>830</v>
      </c>
      <c r="AJ29" s="63">
        <v>1112</v>
      </c>
      <c r="AK29" s="63">
        <v>92</v>
      </c>
      <c r="AL29" s="63">
        <v>-75</v>
      </c>
      <c r="AM29" s="63">
        <v>25</v>
      </c>
      <c r="AN29" s="63">
        <v>92</v>
      </c>
      <c r="AO29" s="63">
        <v>-75</v>
      </c>
      <c r="AP29" s="63">
        <v>25</v>
      </c>
      <c r="AS29" s="63" t="e">
        <f t="shared" si="27"/>
        <v>#DIV/0!</v>
      </c>
      <c r="AT29" s="63" t="e">
        <f t="shared" si="19"/>
        <v>#DIV/0!</v>
      </c>
      <c r="AU29" s="63" t="e">
        <f t="shared" si="20"/>
        <v>#DIV/0!</v>
      </c>
      <c r="AV29" s="63">
        <v>1.425531914893617</v>
      </c>
      <c r="AW29" s="63">
        <v>0.39473684210526316</v>
      </c>
      <c r="AX29" s="63">
        <v>1.5238095238095237</v>
      </c>
      <c r="AZ29" s="63">
        <f t="shared" si="1"/>
        <v>0.21800947867298578</v>
      </c>
      <c r="BA29" s="63">
        <f t="shared" si="2"/>
        <v>-8.2872928176795577E-2</v>
      </c>
      <c r="BB29" s="63">
        <f t="shared" si="3"/>
        <v>2.2999080036798528E-2</v>
      </c>
      <c r="BD29" s="63">
        <f t="shared" si="34"/>
        <v>-0.1990521327014218</v>
      </c>
      <c r="BE29" s="63">
        <f t="shared" si="35"/>
        <v>-0.28839779005524863</v>
      </c>
      <c r="BF29" s="63">
        <f t="shared" si="31"/>
        <v>-0.14351425942962281</v>
      </c>
      <c r="BH29" s="69">
        <v>0.32950631458094143</v>
      </c>
      <c r="BJ29" s="69">
        <v>0.30023640661938533</v>
      </c>
      <c r="BN29" s="155">
        <f t="shared" si="40"/>
        <v>-209.52380952380955</v>
      </c>
      <c r="BO29" s="156">
        <f t="shared" si="41"/>
        <v>-71.264367816091962</v>
      </c>
      <c r="BP29" s="157">
        <f t="shared" si="42"/>
        <v>-116.02564102564104</v>
      </c>
      <c r="BQ29" s="155">
        <v>-209.52380952380955</v>
      </c>
      <c r="BR29" s="156">
        <v>-71.264367816091962</v>
      </c>
      <c r="BS29" s="157">
        <v>-116.02564102564104</v>
      </c>
      <c r="BT29" s="155">
        <v>-358.05168986083498</v>
      </c>
      <c r="BU29" s="156">
        <v>-100</v>
      </c>
      <c r="BV29" s="157">
        <v>-195.32710280373834</v>
      </c>
      <c r="BX29" s="142">
        <f t="shared" si="7"/>
        <v>1</v>
      </c>
      <c r="BY29" s="142">
        <f t="shared" si="8"/>
        <v>1</v>
      </c>
      <c r="BZ29" s="142">
        <f t="shared" si="9"/>
        <v>1</v>
      </c>
      <c r="CA29" s="63">
        <f t="shared" si="10"/>
        <v>0</v>
      </c>
      <c r="CB29" s="63">
        <f t="shared" si="11"/>
        <v>0</v>
      </c>
      <c r="CC29" s="63">
        <f t="shared" si="12"/>
        <v>0</v>
      </c>
      <c r="CD29" s="63">
        <f t="shared" si="13"/>
        <v>0</v>
      </c>
      <c r="CE29" s="63">
        <f t="shared" si="14"/>
        <v>0</v>
      </c>
      <c r="CF29" s="63">
        <f t="shared" si="15"/>
        <v>0</v>
      </c>
      <c r="CG29" s="63">
        <f t="shared" si="16"/>
        <v>0</v>
      </c>
      <c r="CH29" s="63">
        <f t="shared" si="17"/>
        <v>0</v>
      </c>
      <c r="CI29" s="63">
        <f t="shared" si="18"/>
        <v>0</v>
      </c>
      <c r="CL29" s="132">
        <v>-1183.3333333333335</v>
      </c>
      <c r="CM29" s="69">
        <f t="shared" si="25"/>
        <v>1183.3333333333335</v>
      </c>
      <c r="EC29" s="63">
        <v>0.16477272727272727</v>
      </c>
      <c r="ED29" s="63">
        <v>5.416666666666667</v>
      </c>
      <c r="EE29" s="63">
        <v>3.5</v>
      </c>
      <c r="EH29" s="132">
        <v>149.99999999999997</v>
      </c>
    </row>
    <row r="30" spans="1:138" s="63" customFormat="1">
      <c r="A30" s="63" t="s">
        <v>61</v>
      </c>
      <c r="B30" s="63">
        <v>180</v>
      </c>
      <c r="C30" s="63" t="s">
        <v>38</v>
      </c>
      <c r="D30" s="63" t="s">
        <v>33</v>
      </c>
      <c r="E30" s="63">
        <v>4</v>
      </c>
      <c r="F30" s="63">
        <v>7</v>
      </c>
      <c r="G30" s="63">
        <v>610</v>
      </c>
      <c r="H30" s="63">
        <v>900</v>
      </c>
      <c r="I30" s="63">
        <v>992</v>
      </c>
      <c r="J30" s="63">
        <v>21</v>
      </c>
      <c r="K30" s="63">
        <v>77</v>
      </c>
      <c r="L30" s="63">
        <v>65</v>
      </c>
      <c r="M30" s="63">
        <v>472</v>
      </c>
      <c r="N30" s="63">
        <v>561</v>
      </c>
      <c r="O30" s="63">
        <v>731</v>
      </c>
      <c r="P30" s="63">
        <v>-138</v>
      </c>
      <c r="Q30" s="63">
        <v>-339</v>
      </c>
      <c r="R30" s="63">
        <v>-261</v>
      </c>
      <c r="S30" s="63">
        <v>-138</v>
      </c>
      <c r="T30" s="63">
        <v>-339</v>
      </c>
      <c r="U30" s="63">
        <v>-261</v>
      </c>
      <c r="V30" s="63">
        <v>173</v>
      </c>
      <c r="W30" s="63">
        <v>426</v>
      </c>
      <c r="X30" s="63">
        <v>473</v>
      </c>
      <c r="Y30" s="63">
        <v>152</v>
      </c>
      <c r="Z30" s="63">
        <v>349</v>
      </c>
      <c r="AA30" s="63">
        <v>433</v>
      </c>
      <c r="AB30" s="63">
        <v>152</v>
      </c>
      <c r="AC30" s="63">
        <v>340</v>
      </c>
      <c r="AD30" s="63">
        <v>408</v>
      </c>
      <c r="AE30" s="63">
        <v>631</v>
      </c>
      <c r="AF30" s="63">
        <v>977</v>
      </c>
      <c r="AG30" s="63">
        <v>1057</v>
      </c>
      <c r="AH30" s="63">
        <v>645</v>
      </c>
      <c r="AI30" s="63">
        <v>987</v>
      </c>
      <c r="AJ30" s="63">
        <v>1204</v>
      </c>
      <c r="AK30" s="63">
        <v>14</v>
      </c>
      <c r="AL30" s="63">
        <v>10</v>
      </c>
      <c r="AM30" s="63">
        <v>147</v>
      </c>
      <c r="AN30" s="63">
        <v>14</v>
      </c>
      <c r="AO30" s="63">
        <v>1</v>
      </c>
      <c r="AP30" s="63">
        <v>147</v>
      </c>
      <c r="AS30" s="63">
        <f t="shared" si="27"/>
        <v>7.2380952380952381</v>
      </c>
      <c r="AT30" s="63">
        <f t="shared" si="19"/>
        <v>4.5324675324675328</v>
      </c>
      <c r="AU30" s="63">
        <f t="shared" si="20"/>
        <v>6.6615384615384619</v>
      </c>
      <c r="AV30" s="63">
        <v>0.21335268505079827</v>
      </c>
      <c r="AW30" s="63">
        <v>-6.0642092746730082E-2</v>
      </c>
      <c r="AX30" s="63">
        <v>0</v>
      </c>
      <c r="AZ30" s="63">
        <f t="shared" si="1"/>
        <v>2.2187004754358162E-2</v>
      </c>
      <c r="BA30" s="63">
        <f t="shared" si="2"/>
        <v>1.0235414534288639E-2</v>
      </c>
      <c r="BB30" s="63">
        <f t="shared" si="3"/>
        <v>0.13907284768211919</v>
      </c>
      <c r="BD30" s="63">
        <f t="shared" si="34"/>
        <v>-0.2262295081967213</v>
      </c>
      <c r="BE30" s="63">
        <f t="shared" si="35"/>
        <v>-0.37666666666666665</v>
      </c>
      <c r="BF30" s="63">
        <f t="shared" si="31"/>
        <v>-0.26310483870967744</v>
      </c>
      <c r="BH30" s="69">
        <v>0.1071111674483458</v>
      </c>
      <c r="BJ30" s="69">
        <v>0.1071111674483458</v>
      </c>
      <c r="BN30" s="155">
        <f t="shared" si="40"/>
        <v>-110.14492753623189</v>
      </c>
      <c r="BO30" s="156">
        <f t="shared" si="41"/>
        <v>-102.94985250737463</v>
      </c>
      <c r="BP30" s="157">
        <f t="shared" si="42"/>
        <v>-165.90038314176246</v>
      </c>
      <c r="BQ30" s="155">
        <v>-110.14492753623189</v>
      </c>
      <c r="BR30" s="156">
        <v>-102.94985250737463</v>
      </c>
      <c r="BS30" s="157">
        <v>-165.90038314176246</v>
      </c>
      <c r="BT30" s="155">
        <v>-5600</v>
      </c>
      <c r="BU30" s="156">
        <v>-242.10526315789474</v>
      </c>
      <c r="BV30" s="157">
        <v>-244.44444444444446</v>
      </c>
      <c r="BX30" s="142">
        <f t="shared" si="7"/>
        <v>1</v>
      </c>
      <c r="BY30" s="142">
        <f t="shared" si="8"/>
        <v>1</v>
      </c>
      <c r="BZ30" s="142">
        <f t="shared" si="9"/>
        <v>1</v>
      </c>
      <c r="CA30" s="63">
        <f t="shared" si="10"/>
        <v>0</v>
      </c>
      <c r="CB30" s="63">
        <f t="shared" si="11"/>
        <v>0</v>
      </c>
      <c r="CC30" s="63">
        <f t="shared" si="12"/>
        <v>0</v>
      </c>
      <c r="CD30" s="63">
        <f t="shared" si="13"/>
        <v>0</v>
      </c>
      <c r="CE30" s="63">
        <f t="shared" si="14"/>
        <v>0</v>
      </c>
      <c r="CF30" s="63">
        <f t="shared" si="15"/>
        <v>0</v>
      </c>
      <c r="CG30" s="63">
        <f t="shared" si="16"/>
        <v>0</v>
      </c>
      <c r="CH30" s="63">
        <f t="shared" si="17"/>
        <v>0</v>
      </c>
      <c r="CI30" s="63">
        <f t="shared" si="18"/>
        <v>0</v>
      </c>
      <c r="CL30" s="132">
        <v>-52.820512820512825</v>
      </c>
      <c r="CM30" s="69">
        <f t="shared" si="25"/>
        <v>52.820512820512825</v>
      </c>
      <c r="EC30" s="63">
        <v>1.2210526315789474</v>
      </c>
      <c r="ED30" s="63">
        <v>0</v>
      </c>
      <c r="EE30" s="63">
        <v>-1.932367149758454E-2</v>
      </c>
      <c r="EH30" s="132">
        <v>1.518716577540107</v>
      </c>
    </row>
    <row r="31" spans="1:138" s="63" customFormat="1">
      <c r="A31" s="63" t="s">
        <v>62</v>
      </c>
      <c r="B31" s="63">
        <v>296</v>
      </c>
      <c r="C31" s="63" t="s">
        <v>38</v>
      </c>
      <c r="D31" s="63" t="s">
        <v>32</v>
      </c>
      <c r="E31" s="63">
        <v>1</v>
      </c>
      <c r="F31" s="63">
        <v>2</v>
      </c>
      <c r="G31" s="63">
        <v>656</v>
      </c>
      <c r="H31" s="63">
        <v>813</v>
      </c>
      <c r="I31" s="63">
        <v>1154</v>
      </c>
      <c r="J31" s="63">
        <v>0</v>
      </c>
      <c r="K31" s="63">
        <v>0</v>
      </c>
      <c r="L31" s="63">
        <v>0</v>
      </c>
      <c r="M31" s="63">
        <v>652</v>
      </c>
      <c r="N31" s="63">
        <v>824</v>
      </c>
      <c r="O31" s="63">
        <v>1223</v>
      </c>
      <c r="P31" s="63">
        <v>-4</v>
      </c>
      <c r="Q31" s="63">
        <v>11</v>
      </c>
      <c r="R31" s="63">
        <v>69</v>
      </c>
      <c r="S31" s="63">
        <v>-4</v>
      </c>
      <c r="T31" s="63">
        <v>11</v>
      </c>
      <c r="U31" s="63">
        <v>69</v>
      </c>
      <c r="V31" s="63">
        <v>15</v>
      </c>
      <c r="W31" s="63">
        <v>21</v>
      </c>
      <c r="X31" s="63">
        <v>0</v>
      </c>
      <c r="Y31" s="63">
        <v>15</v>
      </c>
      <c r="Z31" s="63">
        <v>21</v>
      </c>
      <c r="AA31" s="63">
        <v>0</v>
      </c>
      <c r="AB31" s="63">
        <v>15</v>
      </c>
      <c r="AC31" s="63">
        <v>21</v>
      </c>
      <c r="AD31" s="63">
        <v>0</v>
      </c>
      <c r="AE31" s="63">
        <v>656</v>
      </c>
      <c r="AF31" s="63">
        <v>813</v>
      </c>
      <c r="AG31" s="63">
        <v>1154</v>
      </c>
      <c r="AH31" s="63">
        <v>667</v>
      </c>
      <c r="AI31" s="63">
        <v>845</v>
      </c>
      <c r="AJ31" s="63">
        <v>1223</v>
      </c>
      <c r="AK31" s="63">
        <v>11</v>
      </c>
      <c r="AL31" s="63">
        <v>32</v>
      </c>
      <c r="AM31" s="63">
        <v>69</v>
      </c>
      <c r="AN31" s="63">
        <v>11</v>
      </c>
      <c r="AO31" s="63">
        <v>32</v>
      </c>
      <c r="AP31" s="63">
        <v>69</v>
      </c>
      <c r="AS31" s="63" t="e">
        <f t="shared" si="27"/>
        <v>#DIV/0!</v>
      </c>
      <c r="AT31" s="63" t="e">
        <f t="shared" si="19"/>
        <v>#DIV/0!</v>
      </c>
      <c r="AU31" s="63" t="e">
        <f t="shared" si="20"/>
        <v>#DIV/0!</v>
      </c>
      <c r="AV31" s="63">
        <v>0.79772079772079774</v>
      </c>
      <c r="AW31" s="63">
        <v>0.82333333333333336</v>
      </c>
      <c r="AX31" s="63">
        <v>1.5316455696202531</v>
      </c>
      <c r="AZ31" s="63">
        <f t="shared" si="1"/>
        <v>1.676829268292683E-2</v>
      </c>
      <c r="BA31" s="63">
        <f t="shared" si="2"/>
        <v>3.9360393603936041E-2</v>
      </c>
      <c r="BB31" s="63">
        <f t="shared" si="3"/>
        <v>5.9792027729636051E-2</v>
      </c>
      <c r="BD31" s="63">
        <f t="shared" si="34"/>
        <v>-6.0975609756097563E-3</v>
      </c>
      <c r="BE31" s="63">
        <f t="shared" si="35"/>
        <v>1.3530135301353014E-2</v>
      </c>
      <c r="BF31" s="63">
        <f t="shared" si="31"/>
        <v>5.9792027729636051E-2</v>
      </c>
      <c r="BH31" s="69">
        <v>2.883785183906061E-2</v>
      </c>
      <c r="BJ31" s="69">
        <v>-1.5241765942536791E-2</v>
      </c>
      <c r="BN31" s="155">
        <f t="shared" si="40"/>
        <v>-375</v>
      </c>
      <c r="BO31" s="156">
        <f t="shared" si="41"/>
        <v>190.90909090909091</v>
      </c>
      <c r="BP31" s="157">
        <f t="shared" si="42"/>
        <v>0</v>
      </c>
      <c r="BQ31" s="155">
        <v>-375</v>
      </c>
      <c r="BR31" s="156">
        <v>-287.2093023255814</v>
      </c>
      <c r="BS31" s="157">
        <v>-92.131979695431482</v>
      </c>
      <c r="BT31" s="155">
        <v>-278.9473684210526</v>
      </c>
      <c r="BU31" s="156">
        <v>-218.00000000000003</v>
      </c>
      <c r="BV31" s="157">
        <v>-558.33333333333326</v>
      </c>
      <c r="BX31" s="142">
        <f t="shared" si="7"/>
        <v>1</v>
      </c>
      <c r="BY31" s="142">
        <f t="shared" si="8"/>
        <v>0</v>
      </c>
      <c r="BZ31" s="142">
        <f t="shared" si="9"/>
        <v>0</v>
      </c>
      <c r="CA31" s="63">
        <f t="shared" si="10"/>
        <v>0</v>
      </c>
      <c r="CB31" s="63">
        <f t="shared" si="11"/>
        <v>0</v>
      </c>
      <c r="CC31" s="63">
        <f t="shared" si="12"/>
        <v>1</v>
      </c>
      <c r="CD31" s="63">
        <f t="shared" si="13"/>
        <v>0</v>
      </c>
      <c r="CE31" s="63">
        <f t="shared" si="14"/>
        <v>1</v>
      </c>
      <c r="CF31" s="63">
        <f t="shared" si="15"/>
        <v>0</v>
      </c>
      <c r="CG31" s="63">
        <f t="shared" si="16"/>
        <v>0</v>
      </c>
      <c r="CH31" s="63">
        <f t="shared" si="17"/>
        <v>0</v>
      </c>
      <c r="CI31" s="63">
        <f t="shared" si="18"/>
        <v>0</v>
      </c>
      <c r="CL31" s="63">
        <v>-37.209302325581397</v>
      </c>
      <c r="CM31" s="69">
        <f t="shared" si="25"/>
        <v>37.209302325581397</v>
      </c>
      <c r="EC31" s="63">
        <v>0.96644295302013428</v>
      </c>
      <c r="ED31" s="63">
        <v>2.7878787878787881</v>
      </c>
      <c r="EE31" s="63">
        <v>8.0666666666666664</v>
      </c>
      <c r="EH31" s="132">
        <v>34.333333333333329</v>
      </c>
    </row>
    <row r="32" spans="1:138" s="63" customFormat="1">
      <c r="A32" s="63" t="s">
        <v>63</v>
      </c>
      <c r="B32" s="63">
        <v>79</v>
      </c>
      <c r="C32" s="63" t="s">
        <v>38</v>
      </c>
      <c r="D32" s="63" t="s">
        <v>32</v>
      </c>
      <c r="E32" s="63">
        <v>5</v>
      </c>
      <c r="F32" s="63">
        <v>4</v>
      </c>
      <c r="G32" s="63">
        <v>304</v>
      </c>
      <c r="H32" s="63">
        <v>327</v>
      </c>
      <c r="I32" s="63">
        <v>292</v>
      </c>
      <c r="J32" s="63">
        <v>94</v>
      </c>
      <c r="K32" s="63">
        <v>38</v>
      </c>
      <c r="L32" s="63">
        <v>21</v>
      </c>
      <c r="M32" s="63">
        <v>265</v>
      </c>
      <c r="N32" s="63">
        <v>422</v>
      </c>
      <c r="O32" s="63">
        <v>322</v>
      </c>
      <c r="P32" s="63">
        <v>-39</v>
      </c>
      <c r="Q32" s="63">
        <v>95</v>
      </c>
      <c r="R32" s="63">
        <v>30</v>
      </c>
      <c r="S32" s="63">
        <v>-39</v>
      </c>
      <c r="T32" s="63">
        <v>95</v>
      </c>
      <c r="U32" s="63">
        <v>30</v>
      </c>
      <c r="V32" s="63">
        <v>228</v>
      </c>
      <c r="W32" s="63">
        <v>16</v>
      </c>
      <c r="X32" s="63">
        <v>53</v>
      </c>
      <c r="Y32" s="63">
        <v>134</v>
      </c>
      <c r="Z32" s="63">
        <v>15</v>
      </c>
      <c r="AA32" s="63">
        <v>32</v>
      </c>
      <c r="AB32" s="63">
        <v>134</v>
      </c>
      <c r="AC32" s="63">
        <v>15</v>
      </c>
      <c r="AD32" s="63">
        <v>32</v>
      </c>
      <c r="AE32" s="63">
        <v>398</v>
      </c>
      <c r="AF32" s="63">
        <v>365</v>
      </c>
      <c r="AG32" s="63">
        <v>313</v>
      </c>
      <c r="AH32" s="63">
        <v>493</v>
      </c>
      <c r="AI32" s="63">
        <v>438</v>
      </c>
      <c r="AJ32" s="63">
        <v>375</v>
      </c>
      <c r="AK32" s="63">
        <v>95</v>
      </c>
      <c r="AL32" s="63">
        <v>73</v>
      </c>
      <c r="AM32" s="63">
        <v>62</v>
      </c>
      <c r="AN32" s="63">
        <v>95</v>
      </c>
      <c r="AO32" s="63">
        <v>110</v>
      </c>
      <c r="AP32" s="63">
        <v>62</v>
      </c>
      <c r="AS32" s="63">
        <f t="shared" si="27"/>
        <v>1.425531914893617</v>
      </c>
      <c r="AT32" s="63">
        <f t="shared" si="19"/>
        <v>0.39473684210526316</v>
      </c>
      <c r="AU32" s="63">
        <f t="shared" si="20"/>
        <v>1.5238095238095237</v>
      </c>
      <c r="AV32" s="63">
        <v>1.53125</v>
      </c>
      <c r="AW32" s="63">
        <v>1.0588235294117647</v>
      </c>
      <c r="AX32" s="63">
        <v>0</v>
      </c>
      <c r="AZ32" s="63">
        <f t="shared" si="1"/>
        <v>0.23869346733668342</v>
      </c>
      <c r="BA32" s="63">
        <f t="shared" si="2"/>
        <v>0.2</v>
      </c>
      <c r="BB32" s="63">
        <f t="shared" si="3"/>
        <v>0.19808306709265175</v>
      </c>
      <c r="BD32" s="63">
        <f t="shared" si="34"/>
        <v>-0.12828947368421054</v>
      </c>
      <c r="BE32" s="63">
        <f t="shared" si="35"/>
        <v>0.29051987767584098</v>
      </c>
      <c r="BF32" s="63">
        <f t="shared" si="31"/>
        <v>0.10273972602739725</v>
      </c>
      <c r="BH32" s="69">
        <v>7.582690547784024E-2</v>
      </c>
      <c r="BJ32" s="69">
        <v>3.9316476799110864E-2</v>
      </c>
      <c r="BN32" s="155">
        <f t="shared" si="40"/>
        <v>-343.58974358974359</v>
      </c>
      <c r="BO32" s="156">
        <f t="shared" si="41"/>
        <v>15.789473684210526</v>
      </c>
      <c r="BP32" s="157">
        <f t="shared" si="42"/>
        <v>106.66666666666667</v>
      </c>
      <c r="BQ32" s="155">
        <v>-343.58974358974359</v>
      </c>
      <c r="BR32" s="156">
        <v>-105.88235294117648</v>
      </c>
      <c r="BS32" s="157">
        <v>-130.05464480874315</v>
      </c>
      <c r="BT32" s="155">
        <v>-157.14285714285714</v>
      </c>
      <c r="BU32" s="156">
        <v>-259.64912280701753</v>
      </c>
      <c r="BV32" s="164">
        <v>-740.47983665135268</v>
      </c>
      <c r="BX32" s="142">
        <f t="shared" si="7"/>
        <v>1</v>
      </c>
      <c r="BY32" s="142">
        <f t="shared" si="8"/>
        <v>0</v>
      </c>
      <c r="BZ32" s="142">
        <f t="shared" si="9"/>
        <v>0</v>
      </c>
      <c r="CA32" s="63">
        <f t="shared" si="10"/>
        <v>0</v>
      </c>
      <c r="CB32" s="63">
        <f t="shared" si="11"/>
        <v>0</v>
      </c>
      <c r="CC32" s="63">
        <f t="shared" si="12"/>
        <v>0</v>
      </c>
      <c r="CD32" s="63">
        <f t="shared" si="13"/>
        <v>0</v>
      </c>
      <c r="CE32" s="63">
        <f t="shared" si="14"/>
        <v>1</v>
      </c>
      <c r="CF32" s="63">
        <f t="shared" si="15"/>
        <v>1</v>
      </c>
      <c r="CG32" s="63">
        <f t="shared" si="16"/>
        <v>0</v>
      </c>
      <c r="CH32" s="63">
        <f t="shared" si="17"/>
        <v>0</v>
      </c>
      <c r="CI32" s="63">
        <f t="shared" si="18"/>
        <v>0</v>
      </c>
      <c r="CL32" s="63">
        <v>-209.52380952380955</v>
      </c>
      <c r="CM32" s="69">
        <f t="shared" si="25"/>
        <v>209.52380952380955</v>
      </c>
      <c r="EC32" s="63">
        <v>0.4434389140271493</v>
      </c>
      <c r="ED32" s="63">
        <v>3.3057851239669422E-2</v>
      </c>
      <c r="EE32" s="63">
        <v>2.8985507246376812E-2</v>
      </c>
      <c r="EH32" s="45">
        <v>0.14690026954177898</v>
      </c>
    </row>
    <row r="33" spans="1:138" s="63" customFormat="1">
      <c r="A33" s="63" t="s">
        <v>64</v>
      </c>
      <c r="B33" s="63">
        <v>250</v>
      </c>
      <c r="C33" s="63" t="s">
        <v>38</v>
      </c>
      <c r="D33" s="63" t="s">
        <v>32</v>
      </c>
      <c r="E33" s="63">
        <v>3</v>
      </c>
      <c r="F33" s="63">
        <v>1</v>
      </c>
      <c r="G33" s="63">
        <v>1695</v>
      </c>
      <c r="H33" s="63">
        <v>3233</v>
      </c>
      <c r="I33" s="63">
        <v>3648</v>
      </c>
      <c r="J33" s="63">
        <v>689</v>
      </c>
      <c r="K33" s="63">
        <v>841</v>
      </c>
      <c r="L33" s="63">
        <v>992</v>
      </c>
      <c r="M33" s="63">
        <v>1520</v>
      </c>
      <c r="N33" s="63">
        <v>2994</v>
      </c>
      <c r="O33" s="63">
        <v>4705</v>
      </c>
      <c r="P33" s="63">
        <v>-175</v>
      </c>
      <c r="Q33" s="63">
        <v>-240</v>
      </c>
      <c r="R33" s="63">
        <v>65</v>
      </c>
      <c r="S33" s="63">
        <v>-175</v>
      </c>
      <c r="T33" s="63">
        <v>-240</v>
      </c>
      <c r="U33" s="63">
        <v>65</v>
      </c>
      <c r="V33" s="63">
        <v>689</v>
      </c>
      <c r="W33" s="63">
        <v>789</v>
      </c>
      <c r="X33" s="63">
        <v>0</v>
      </c>
      <c r="Y33" s="63">
        <v>147</v>
      </c>
      <c r="Z33" s="63">
        <v>-51</v>
      </c>
      <c r="AA33" s="63">
        <v>0</v>
      </c>
      <c r="AB33" s="63">
        <v>147</v>
      </c>
      <c r="AC33" s="63">
        <v>-51</v>
      </c>
      <c r="AD33" s="63">
        <v>0</v>
      </c>
      <c r="AE33" s="63">
        <v>2384</v>
      </c>
      <c r="AF33" s="63">
        <v>4074</v>
      </c>
      <c r="AG33" s="63">
        <v>4640</v>
      </c>
      <c r="AH33" s="63">
        <v>2209</v>
      </c>
      <c r="AI33" s="63">
        <v>3783</v>
      </c>
      <c r="AJ33" s="63">
        <v>4705</v>
      </c>
      <c r="AK33" s="63">
        <v>-175</v>
      </c>
      <c r="AL33" s="63">
        <v>-291</v>
      </c>
      <c r="AM33" s="63">
        <v>65</v>
      </c>
      <c r="AN33" s="63">
        <v>-28</v>
      </c>
      <c r="AO33" s="63">
        <v>-291</v>
      </c>
      <c r="AP33" s="63">
        <v>65</v>
      </c>
      <c r="AS33" s="63">
        <f t="shared" si="27"/>
        <v>0.21335268505079827</v>
      </c>
      <c r="AT33" s="63">
        <f t="shared" si="19"/>
        <v>-6.0642092746730082E-2</v>
      </c>
      <c r="AU33" s="63">
        <f>AA33/L33</f>
        <v>0</v>
      </c>
      <c r="AV33" s="63">
        <v>0.14137931034482759</v>
      </c>
      <c r="AW33" s="63">
        <v>0.23675310033821872</v>
      </c>
      <c r="AX33" s="63">
        <v>2.7958993476234855E-2</v>
      </c>
      <c r="AZ33" s="63">
        <f t="shared" si="1"/>
        <v>-7.3406040268456374E-2</v>
      </c>
      <c r="BA33" s="63">
        <f t="shared" si="2"/>
        <v>-7.1428571428571425E-2</v>
      </c>
      <c r="BB33" s="63">
        <f t="shared" si="3"/>
        <v>1.4008620689655173E-2</v>
      </c>
      <c r="BD33" s="63">
        <f t="shared" si="34"/>
        <v>-0.10324483775811209</v>
      </c>
      <c r="BE33" s="63">
        <f t="shared" si="35"/>
        <v>-7.4234457160532008E-2</v>
      </c>
      <c r="BF33" s="63">
        <f t="shared" si="31"/>
        <v>1.7817982456140351E-2</v>
      </c>
      <c r="BH33" s="69">
        <v>5.6451612903225803E-3</v>
      </c>
      <c r="BJ33" s="69">
        <v>5.6451612903225803E-3</v>
      </c>
      <c r="BN33" s="155">
        <f t="shared" si="40"/>
        <v>-84</v>
      </c>
      <c r="BO33" s="156">
        <f t="shared" si="41"/>
        <v>21.25</v>
      </c>
      <c r="BP33" s="157">
        <f t="shared" si="42"/>
        <v>0</v>
      </c>
      <c r="BQ33" s="155">
        <v>-84</v>
      </c>
      <c r="BR33" s="156">
        <v>-84</v>
      </c>
      <c r="BS33" s="157">
        <v>-122.22222222222223</v>
      </c>
      <c r="BT33" s="155">
        <v>-483.33333333333331</v>
      </c>
      <c r="BU33" s="156">
        <v>-372.22222222222223</v>
      </c>
      <c r="BV33" s="164">
        <v>-50</v>
      </c>
      <c r="BX33" s="142">
        <f t="shared" si="7"/>
        <v>1</v>
      </c>
      <c r="BY33" s="142">
        <f t="shared" si="8"/>
        <v>1</v>
      </c>
      <c r="BZ33" s="142">
        <f t="shared" si="9"/>
        <v>0</v>
      </c>
      <c r="CA33" s="63">
        <f t="shared" si="10"/>
        <v>0</v>
      </c>
      <c r="CB33" s="63">
        <f t="shared" si="11"/>
        <v>0</v>
      </c>
      <c r="CC33" s="63">
        <f t="shared" si="12"/>
        <v>1</v>
      </c>
      <c r="CD33" s="63">
        <f t="shared" si="13"/>
        <v>0</v>
      </c>
      <c r="CE33" s="63">
        <f t="shared" si="14"/>
        <v>1</v>
      </c>
      <c r="CF33" s="63">
        <f t="shared" si="15"/>
        <v>0</v>
      </c>
      <c r="CG33" s="63">
        <f t="shared" si="16"/>
        <v>0</v>
      </c>
      <c r="CH33" s="63">
        <f t="shared" si="17"/>
        <v>0</v>
      </c>
      <c r="CI33" s="63">
        <f t="shared" si="18"/>
        <v>0</v>
      </c>
      <c r="CL33" s="63">
        <v>-110.14492753623189</v>
      </c>
      <c r="CM33" s="69">
        <f t="shared" si="25"/>
        <v>110.14492753623189</v>
      </c>
      <c r="EC33" s="63">
        <v>3</v>
      </c>
      <c r="ED33" s="63">
        <v>1.4931506849315068</v>
      </c>
      <c r="EE33" s="63">
        <v>0.82051282051282048</v>
      </c>
      <c r="EH33" s="45">
        <v>-0.20983935742971888</v>
      </c>
    </row>
    <row r="34" spans="1:138" s="63" customFormat="1">
      <c r="A34" s="63" t="s">
        <v>65</v>
      </c>
      <c r="B34" s="63">
        <v>148</v>
      </c>
      <c r="C34" s="63" t="s">
        <v>38</v>
      </c>
      <c r="D34" s="63" t="s">
        <v>33</v>
      </c>
      <c r="E34" s="63">
        <v>1</v>
      </c>
      <c r="F34" s="63">
        <v>3</v>
      </c>
      <c r="G34" s="63">
        <v>1525</v>
      </c>
      <c r="H34" s="63">
        <v>1410</v>
      </c>
      <c r="I34" s="63">
        <v>1977</v>
      </c>
      <c r="J34" s="63">
        <v>351</v>
      </c>
      <c r="K34" s="63">
        <v>300</v>
      </c>
      <c r="L34" s="63">
        <v>237</v>
      </c>
      <c r="M34" s="63">
        <v>1322</v>
      </c>
      <c r="N34" s="63">
        <v>1324</v>
      </c>
      <c r="O34" s="63">
        <v>1571</v>
      </c>
      <c r="P34" s="63">
        <v>-203</v>
      </c>
      <c r="Q34" s="63">
        <v>-86</v>
      </c>
      <c r="R34" s="63">
        <v>-394</v>
      </c>
      <c r="S34" s="63">
        <v>-203</v>
      </c>
      <c r="T34" s="63">
        <v>-86</v>
      </c>
      <c r="U34" s="63">
        <v>-406</v>
      </c>
      <c r="V34" s="63">
        <v>631</v>
      </c>
      <c r="W34" s="63">
        <v>547</v>
      </c>
      <c r="X34" s="63">
        <v>600</v>
      </c>
      <c r="Y34" s="63">
        <v>280</v>
      </c>
      <c r="Z34" s="63">
        <v>247</v>
      </c>
      <c r="AA34" s="63">
        <v>363</v>
      </c>
      <c r="AB34" s="63">
        <v>280</v>
      </c>
      <c r="AC34" s="63">
        <v>247</v>
      </c>
      <c r="AD34" s="63">
        <v>363</v>
      </c>
      <c r="AE34" s="63">
        <v>1876</v>
      </c>
      <c r="AF34" s="63">
        <v>1710</v>
      </c>
      <c r="AG34" s="63">
        <v>2214</v>
      </c>
      <c r="AH34" s="63">
        <v>1953</v>
      </c>
      <c r="AI34" s="63">
        <v>1871</v>
      </c>
      <c r="AJ34" s="63">
        <v>2171</v>
      </c>
      <c r="AK34" s="63">
        <v>77</v>
      </c>
      <c r="AL34" s="63">
        <v>161</v>
      </c>
      <c r="AM34" s="63">
        <v>-31</v>
      </c>
      <c r="AN34" s="63">
        <v>77</v>
      </c>
      <c r="AO34" s="63">
        <v>161</v>
      </c>
      <c r="AP34" s="63">
        <v>-43</v>
      </c>
      <c r="AS34" s="63">
        <f t="shared" si="27"/>
        <v>0.79772079772079774</v>
      </c>
      <c r="AT34" s="63">
        <f t="shared" si="19"/>
        <v>0.82333333333333336</v>
      </c>
      <c r="AU34" s="63">
        <f t="shared" si="20"/>
        <v>1.5316455696202531</v>
      </c>
      <c r="AV34" s="63">
        <v>0.86297376093294464</v>
      </c>
      <c r="AW34" s="63">
        <v>0.21289355322338829</v>
      </c>
      <c r="AX34" s="63">
        <v>0.38325281803542671</v>
      </c>
      <c r="AZ34" s="63">
        <f t="shared" ref="AZ34:AZ65" si="43">AK34/AE34</f>
        <v>4.1044776119402986E-2</v>
      </c>
      <c r="BA34" s="63">
        <f t="shared" ref="BA34:BA65" si="44">AL34/AF34</f>
        <v>9.4152046783625737E-2</v>
      </c>
      <c r="BB34" s="63">
        <f t="shared" ref="BB34:BB65" si="45">AM34/AG34</f>
        <v>-1.4001806684733513E-2</v>
      </c>
      <c r="BD34" s="63">
        <f t="shared" si="34"/>
        <v>-0.13311475409836065</v>
      </c>
      <c r="BE34" s="63">
        <f t="shared" si="35"/>
        <v>-6.0992907801418438E-2</v>
      </c>
      <c r="BF34" s="63">
        <f t="shared" si="31"/>
        <v>-0.19929185634800203</v>
      </c>
      <c r="BH34" s="69">
        <v>5.445881552076242E-3</v>
      </c>
      <c r="BJ34" s="69">
        <v>-6.569343065693431E-2</v>
      </c>
      <c r="BN34" s="155">
        <f t="shared" si="40"/>
        <v>-137.93103448275863</v>
      </c>
      <c r="BO34" s="156">
        <f t="shared" si="41"/>
        <v>-287.2093023255814</v>
      </c>
      <c r="BP34" s="157">
        <f t="shared" si="42"/>
        <v>-92.131979695431482</v>
      </c>
      <c r="BQ34" s="155">
        <v>-137.93103448275863</v>
      </c>
      <c r="BR34" s="156">
        <v>-31.072210065645518</v>
      </c>
      <c r="BS34" s="157">
        <v>-108.17843866171005</v>
      </c>
      <c r="BT34" s="155">
        <v>-184.12698412698413</v>
      </c>
      <c r="BU34" s="156">
        <v>-316.07142857142856</v>
      </c>
      <c r="BV34" s="166">
        <v>-28.510638297872344</v>
      </c>
      <c r="BX34" s="142">
        <f t="shared" ref="BX34:BX65" si="46">IF(P34&lt;0,1,0)</f>
        <v>1</v>
      </c>
      <c r="BY34" s="142">
        <f t="shared" ref="BY34:BY65" si="47">IF(Q34&lt;0,1,0)</f>
        <v>1</v>
      </c>
      <c r="BZ34" s="142">
        <f t="shared" ref="BZ34:BZ65" si="48">IF(R34&lt;0,1,0)</f>
        <v>1</v>
      </c>
      <c r="CA34" s="63">
        <f t="shared" ref="CA34:CA65" si="49">IF(BN34=0,1,0)</f>
        <v>0</v>
      </c>
      <c r="CB34" s="63">
        <f t="shared" ref="CB34:CB65" si="50">IF(BO34=0,1,0)</f>
        <v>0</v>
      </c>
      <c r="CC34" s="63">
        <f t="shared" ref="CC34:CC65" si="51">IF(BP34=0,1,0)</f>
        <v>0</v>
      </c>
      <c r="CD34" s="63">
        <f t="shared" ref="CD34:CD65" si="52">IF(BN34&gt;0,1,0)</f>
        <v>0</v>
      </c>
      <c r="CE34" s="63">
        <f t="shared" ref="CE34:CE65" si="53">IF(BO34&gt;0,1,0)</f>
        <v>0</v>
      </c>
      <c r="CF34" s="63">
        <f t="shared" ref="CF34:CF65" si="54">IF(BP34&gt;0,1,0)</f>
        <v>0</v>
      </c>
      <c r="CG34" s="63">
        <f t="shared" ref="CG34:CG65" si="55">IF(P34=0,1,0)</f>
        <v>0</v>
      </c>
      <c r="CH34" s="63">
        <f t="shared" ref="CH34:CH65" si="56">IF(Q34=0,1,0)</f>
        <v>0</v>
      </c>
      <c r="CI34" s="63">
        <f t="shared" ref="CI34:CI65" si="57">IF(R34=0,1,0)</f>
        <v>0</v>
      </c>
      <c r="CL34" s="63">
        <v>-375</v>
      </c>
      <c r="CM34" s="69">
        <f t="shared" si="25"/>
        <v>375</v>
      </c>
      <c r="EC34" s="63">
        <v>38.666666666666664</v>
      </c>
      <c r="ED34" s="63">
        <v>0.6166666666666667</v>
      </c>
      <c r="EE34" s="63">
        <v>0.88475836431226762</v>
      </c>
      <c r="EH34" s="45">
        <v>0.22259136212624586</v>
      </c>
    </row>
    <row r="35" spans="1:138" s="63" customFormat="1">
      <c r="A35" s="63" t="s">
        <v>66</v>
      </c>
      <c r="B35" s="63">
        <v>47</v>
      </c>
      <c r="C35" s="63" t="s">
        <v>38</v>
      </c>
      <c r="D35" s="63" t="s">
        <v>35</v>
      </c>
      <c r="E35" s="63">
        <v>4</v>
      </c>
      <c r="F35" s="63">
        <v>5</v>
      </c>
      <c r="G35" s="63">
        <v>177</v>
      </c>
      <c r="H35" s="63">
        <v>196</v>
      </c>
      <c r="I35" s="63">
        <v>145</v>
      </c>
      <c r="J35" s="63">
        <v>32</v>
      </c>
      <c r="K35" s="63">
        <v>17</v>
      </c>
      <c r="L35" s="63">
        <v>6</v>
      </c>
      <c r="M35" s="63">
        <v>147</v>
      </c>
      <c r="N35" s="63">
        <v>179</v>
      </c>
      <c r="O35" s="63">
        <v>149</v>
      </c>
      <c r="P35" s="63">
        <v>-30</v>
      </c>
      <c r="Q35" s="63">
        <v>-17</v>
      </c>
      <c r="R35" s="63">
        <v>4</v>
      </c>
      <c r="S35" s="63">
        <v>-30</v>
      </c>
      <c r="T35" s="63">
        <v>-17</v>
      </c>
      <c r="U35" s="63">
        <v>4</v>
      </c>
      <c r="V35" s="63">
        <v>81</v>
      </c>
      <c r="W35" s="63">
        <v>35</v>
      </c>
      <c r="X35" s="63">
        <v>6</v>
      </c>
      <c r="Y35" s="63">
        <v>49</v>
      </c>
      <c r="Z35" s="63">
        <v>18</v>
      </c>
      <c r="AA35" s="63">
        <v>0</v>
      </c>
      <c r="AB35" s="63">
        <v>49</v>
      </c>
      <c r="AC35" s="63">
        <v>18</v>
      </c>
      <c r="AD35" s="63">
        <v>0</v>
      </c>
      <c r="AE35" s="63">
        <v>209</v>
      </c>
      <c r="AF35" s="63">
        <v>213</v>
      </c>
      <c r="AG35" s="63">
        <v>151</v>
      </c>
      <c r="AH35" s="63">
        <v>228</v>
      </c>
      <c r="AI35" s="63">
        <v>214</v>
      </c>
      <c r="AJ35" s="63">
        <v>155</v>
      </c>
      <c r="AK35" s="63">
        <v>19</v>
      </c>
      <c r="AL35" s="63">
        <v>1</v>
      </c>
      <c r="AM35" s="63">
        <v>4</v>
      </c>
      <c r="AN35" s="63">
        <v>19</v>
      </c>
      <c r="AO35" s="63">
        <v>1</v>
      </c>
      <c r="AP35" s="63">
        <v>4</v>
      </c>
      <c r="AS35" s="63">
        <f t="shared" si="27"/>
        <v>1.53125</v>
      </c>
      <c r="AT35" s="63">
        <f t="shared" si="19"/>
        <v>1.0588235294117647</v>
      </c>
      <c r="AU35" s="63">
        <f t="shared" si="20"/>
        <v>0</v>
      </c>
      <c r="AV35" s="63">
        <v>1.5</v>
      </c>
      <c r="AW35" s="63">
        <v>5.375</v>
      </c>
      <c r="AX35" s="63">
        <v>3.6666666666666665</v>
      </c>
      <c r="AZ35" s="63">
        <f t="shared" si="43"/>
        <v>9.0909090909090912E-2</v>
      </c>
      <c r="BA35" s="63">
        <f t="shared" si="44"/>
        <v>4.6948356807511738E-3</v>
      </c>
      <c r="BB35" s="63">
        <f t="shared" si="45"/>
        <v>2.6490066225165563E-2</v>
      </c>
      <c r="BD35" s="63">
        <f t="shared" si="34"/>
        <v>-0.16949152542372881</v>
      </c>
      <c r="BE35" s="63">
        <f t="shared" si="35"/>
        <v>-8.673469387755102E-2</v>
      </c>
      <c r="BF35" s="63">
        <f t="shared" si="31"/>
        <v>2.7586206896551724E-2</v>
      </c>
      <c r="BH35" s="69">
        <v>-8.2757499390293462E-2</v>
      </c>
      <c r="BJ35" s="69">
        <v>-0.12663631189527602</v>
      </c>
      <c r="BN35" s="155">
        <f t="shared" si="40"/>
        <v>-163.33333333333334</v>
      </c>
      <c r="BO35" s="156">
        <f t="shared" si="41"/>
        <v>-105.88235294117648</v>
      </c>
      <c r="BP35" s="157">
        <f t="shared" si="42"/>
        <v>0</v>
      </c>
      <c r="BQ35" s="155">
        <v>-163.33333333333334</v>
      </c>
      <c r="BR35" s="156">
        <v>-4300</v>
      </c>
      <c r="BS35" s="157">
        <v>-18.181818181818183</v>
      </c>
      <c r="BT35" s="155">
        <v>-96.644295302013433</v>
      </c>
      <c r="BU35" s="156">
        <v>-115.2542372881356</v>
      </c>
      <c r="BV35" s="166">
        <v>-34.782608695652172</v>
      </c>
      <c r="BX35" s="142">
        <f t="shared" si="46"/>
        <v>1</v>
      </c>
      <c r="BY35" s="142">
        <f t="shared" si="47"/>
        <v>1</v>
      </c>
      <c r="BZ35" s="142">
        <f t="shared" si="48"/>
        <v>0</v>
      </c>
      <c r="CA35" s="63">
        <f t="shared" si="49"/>
        <v>0</v>
      </c>
      <c r="CB35" s="63">
        <f t="shared" si="50"/>
        <v>0</v>
      </c>
      <c r="CC35" s="63">
        <f t="shared" si="51"/>
        <v>1</v>
      </c>
      <c r="CD35" s="63">
        <f t="shared" si="52"/>
        <v>0</v>
      </c>
      <c r="CE35" s="63">
        <f t="shared" si="53"/>
        <v>0</v>
      </c>
      <c r="CF35" s="63">
        <f t="shared" si="54"/>
        <v>0</v>
      </c>
      <c r="CG35" s="63">
        <f t="shared" si="55"/>
        <v>0</v>
      </c>
      <c r="CH35" s="63">
        <f t="shared" si="56"/>
        <v>0</v>
      </c>
      <c r="CI35" s="63">
        <f t="shared" si="57"/>
        <v>0</v>
      </c>
      <c r="CL35" s="63">
        <v>-343.58974358974359</v>
      </c>
      <c r="CM35" s="69">
        <f t="shared" si="25"/>
        <v>343.58974358974359</v>
      </c>
      <c r="EC35" s="63">
        <v>0.3473684210526316</v>
      </c>
      <c r="ED35" s="63">
        <v>1.0360824742268042</v>
      </c>
      <c r="EE35" s="63">
        <v>0.34285714285714286</v>
      </c>
      <c r="EH35" s="134">
        <v>1.0373134328358209</v>
      </c>
    </row>
    <row r="36" spans="1:138" s="63" customFormat="1">
      <c r="A36" s="63" t="s">
        <v>67</v>
      </c>
      <c r="B36" s="63">
        <v>351</v>
      </c>
      <c r="C36" s="63" t="s">
        <v>38</v>
      </c>
      <c r="D36" s="63" t="s">
        <v>35</v>
      </c>
      <c r="E36" s="63">
        <v>2</v>
      </c>
      <c r="F36" s="63">
        <v>5</v>
      </c>
      <c r="G36" s="63">
        <v>1734</v>
      </c>
      <c r="H36" s="63">
        <v>1618</v>
      </c>
      <c r="I36" s="63">
        <v>2058</v>
      </c>
      <c r="J36" s="63">
        <v>580</v>
      </c>
      <c r="K36" s="63">
        <v>887</v>
      </c>
      <c r="L36" s="63">
        <v>1073</v>
      </c>
      <c r="M36" s="63">
        <v>1516</v>
      </c>
      <c r="N36" s="63">
        <v>1368</v>
      </c>
      <c r="O36" s="63">
        <v>1833</v>
      </c>
      <c r="P36" s="63">
        <v>-218</v>
      </c>
      <c r="Q36" s="63">
        <v>-250</v>
      </c>
      <c r="R36" s="63">
        <v>-225</v>
      </c>
      <c r="S36" s="63">
        <v>-218</v>
      </c>
      <c r="T36" s="63">
        <v>-250</v>
      </c>
      <c r="U36" s="63">
        <v>-225</v>
      </c>
      <c r="V36" s="63">
        <v>423</v>
      </c>
      <c r="W36" s="63">
        <v>1097</v>
      </c>
      <c r="X36" s="63">
        <v>1103</v>
      </c>
      <c r="Y36" s="63">
        <v>82</v>
      </c>
      <c r="Z36" s="63">
        <v>210</v>
      </c>
      <c r="AA36" s="63">
        <v>30</v>
      </c>
      <c r="AB36" s="63">
        <v>82</v>
      </c>
      <c r="AC36" s="63">
        <v>210</v>
      </c>
      <c r="AD36" s="63">
        <v>30</v>
      </c>
      <c r="AE36" s="63">
        <v>2314</v>
      </c>
      <c r="AF36" s="63">
        <v>2505</v>
      </c>
      <c r="AG36" s="63">
        <v>3131</v>
      </c>
      <c r="AH36" s="63">
        <v>1939</v>
      </c>
      <c r="AI36" s="63">
        <v>2465</v>
      </c>
      <c r="AJ36" s="63">
        <v>2936</v>
      </c>
      <c r="AK36" s="63">
        <v>-375</v>
      </c>
      <c r="AL36" s="63">
        <v>-40</v>
      </c>
      <c r="AM36" s="63">
        <v>-195</v>
      </c>
      <c r="AN36" s="63">
        <v>-136</v>
      </c>
      <c r="AO36" s="63">
        <v>-40</v>
      </c>
      <c r="AP36" s="63">
        <v>-195</v>
      </c>
      <c r="AS36" s="63">
        <f t="shared" si="27"/>
        <v>0.14137931034482759</v>
      </c>
      <c r="AT36" s="63">
        <f t="shared" si="19"/>
        <v>0.23675310033821872</v>
      </c>
      <c r="AU36" s="63">
        <f t="shared" si="20"/>
        <v>2.7958993476234855E-2</v>
      </c>
      <c r="AV36" s="63">
        <v>4.7301587301587302</v>
      </c>
      <c r="AW36" s="63">
        <v>5.3275862068965516</v>
      </c>
      <c r="AX36" s="63">
        <v>4.2794117647058822</v>
      </c>
      <c r="AZ36" s="63">
        <f t="shared" si="43"/>
        <v>-0.16205704407951599</v>
      </c>
      <c r="BA36" s="63">
        <f t="shared" si="44"/>
        <v>-1.5968063872255488E-2</v>
      </c>
      <c r="BB36" s="63">
        <f t="shared" si="45"/>
        <v>-6.2280421590546149E-2</v>
      </c>
      <c r="BD36" s="63">
        <f t="shared" si="34"/>
        <v>-0.12572087658592848</v>
      </c>
      <c r="BE36" s="63">
        <f t="shared" si="35"/>
        <v>-0.15451174289245984</v>
      </c>
      <c r="BF36" s="63">
        <f t="shared" si="31"/>
        <v>-0.10932944606413994</v>
      </c>
      <c r="BH36" s="69">
        <v>2.1988527724665391E-2</v>
      </c>
      <c r="BJ36" s="69">
        <v>-6.7567567567567571E-2</v>
      </c>
      <c r="BN36" s="155">
        <f t="shared" si="40"/>
        <v>-37.61467889908257</v>
      </c>
      <c r="BO36" s="156">
        <f t="shared" si="41"/>
        <v>-84</v>
      </c>
      <c r="BP36" s="157">
        <f t="shared" si="42"/>
        <v>-13.333333333333334</v>
      </c>
      <c r="BQ36" s="155">
        <v>-37.61467889908257</v>
      </c>
      <c r="BR36" s="156">
        <v>-87.784090909090907</v>
      </c>
      <c r="BS36" s="157">
        <v>-82.234042553191472</v>
      </c>
      <c r="BT36" s="155">
        <v>-251.28205128205127</v>
      </c>
      <c r="BU36" s="156">
        <v>-90.681003584229387</v>
      </c>
      <c r="BV36" s="173">
        <v>-14.40677966101695</v>
      </c>
      <c r="BX36" s="142">
        <f t="shared" si="46"/>
        <v>1</v>
      </c>
      <c r="BY36" s="142">
        <f t="shared" si="47"/>
        <v>1</v>
      </c>
      <c r="BZ36" s="142">
        <f t="shared" si="48"/>
        <v>1</v>
      </c>
      <c r="CA36" s="63">
        <f t="shared" si="49"/>
        <v>0</v>
      </c>
      <c r="CB36" s="63">
        <f t="shared" si="50"/>
        <v>0</v>
      </c>
      <c r="CC36" s="63">
        <f t="shared" si="51"/>
        <v>0</v>
      </c>
      <c r="CD36" s="63">
        <f t="shared" si="52"/>
        <v>0</v>
      </c>
      <c r="CE36" s="63">
        <f t="shared" si="53"/>
        <v>0</v>
      </c>
      <c r="CF36" s="63">
        <f t="shared" si="54"/>
        <v>0</v>
      </c>
      <c r="CG36" s="63">
        <f t="shared" si="55"/>
        <v>0</v>
      </c>
      <c r="CH36" s="63">
        <f t="shared" si="56"/>
        <v>0</v>
      </c>
      <c r="CI36" s="63">
        <f t="shared" si="57"/>
        <v>0</v>
      </c>
      <c r="CL36" s="63">
        <v>-84</v>
      </c>
      <c r="CM36" s="69">
        <f t="shared" si="25"/>
        <v>84</v>
      </c>
      <c r="EC36" s="63">
        <v>0.58333333333333337</v>
      </c>
      <c r="ED36" s="63">
        <v>2.6153846153846154</v>
      </c>
      <c r="EE36" s="63">
        <v>3.6749999999999998</v>
      </c>
      <c r="EH36" s="134">
        <v>1.0973782771535583</v>
      </c>
    </row>
    <row r="37" spans="1:138" s="63" customFormat="1">
      <c r="A37" s="63" t="s">
        <v>68</v>
      </c>
      <c r="B37" s="63">
        <v>175</v>
      </c>
      <c r="C37" s="63" t="s">
        <v>38</v>
      </c>
      <c r="D37" s="63" t="s">
        <v>32</v>
      </c>
      <c r="E37" s="63">
        <v>5</v>
      </c>
      <c r="F37" s="63">
        <v>2</v>
      </c>
      <c r="G37" s="63">
        <v>532</v>
      </c>
      <c r="H37" s="63">
        <v>651</v>
      </c>
      <c r="I37" s="63">
        <v>822</v>
      </c>
      <c r="J37" s="63">
        <v>0</v>
      </c>
      <c r="K37" s="63">
        <v>0</v>
      </c>
      <c r="L37" s="63">
        <v>0</v>
      </c>
      <c r="M37" s="63">
        <v>627</v>
      </c>
      <c r="N37" s="63">
        <v>691</v>
      </c>
      <c r="O37" s="63">
        <v>1026</v>
      </c>
      <c r="P37" s="63">
        <v>95</v>
      </c>
      <c r="Q37" s="63">
        <v>39</v>
      </c>
      <c r="R37" s="63">
        <v>204</v>
      </c>
      <c r="S37" s="63">
        <v>95</v>
      </c>
      <c r="T37" s="63">
        <v>39</v>
      </c>
      <c r="U37" s="63">
        <v>204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0</v>
      </c>
      <c r="AE37" s="63">
        <v>532</v>
      </c>
      <c r="AF37" s="63">
        <v>651</v>
      </c>
      <c r="AG37" s="63">
        <v>822</v>
      </c>
      <c r="AH37" s="63">
        <v>627</v>
      </c>
      <c r="AI37" s="63">
        <v>691</v>
      </c>
      <c r="AJ37" s="63">
        <v>1026</v>
      </c>
      <c r="AK37" s="63">
        <v>95</v>
      </c>
      <c r="AL37" s="63">
        <v>40</v>
      </c>
      <c r="AM37" s="63">
        <v>204</v>
      </c>
      <c r="AN37" s="63">
        <v>95</v>
      </c>
      <c r="AO37" s="63">
        <v>39</v>
      </c>
      <c r="AP37" s="63">
        <v>204</v>
      </c>
      <c r="AS37" s="63" t="e">
        <f t="shared" si="27"/>
        <v>#DIV/0!</v>
      </c>
      <c r="AT37" s="63" t="e">
        <f t="shared" si="19"/>
        <v>#DIV/0!</v>
      </c>
      <c r="AU37" s="63" t="e">
        <f t="shared" si="20"/>
        <v>#DIV/0!</v>
      </c>
      <c r="AV37" s="63">
        <v>7.5714285714285712</v>
      </c>
      <c r="AW37" s="63">
        <v>0.27272727272727271</v>
      </c>
      <c r="AX37" s="63">
        <v>1.1428571428571428</v>
      </c>
      <c r="AZ37" s="63">
        <f t="shared" si="43"/>
        <v>0.17857142857142858</v>
      </c>
      <c r="BA37" s="63">
        <f t="shared" si="44"/>
        <v>6.1443932411674347E-2</v>
      </c>
      <c r="BB37" s="63">
        <f t="shared" si="45"/>
        <v>0.24817518248175183</v>
      </c>
      <c r="BD37" s="63">
        <f t="shared" si="34"/>
        <v>0.17857142857142858</v>
      </c>
      <c r="BE37" s="63">
        <f t="shared" si="35"/>
        <v>5.9907834101382486E-2</v>
      </c>
      <c r="BF37" s="63">
        <f t="shared" si="31"/>
        <v>0.24817518248175183</v>
      </c>
      <c r="BH37" s="69">
        <v>0</v>
      </c>
      <c r="BJ37" s="69">
        <v>0</v>
      </c>
      <c r="BN37" s="155">
        <f t="shared" si="40"/>
        <v>0</v>
      </c>
      <c r="BO37" s="156">
        <f t="shared" si="41"/>
        <v>0</v>
      </c>
      <c r="BP37" s="157">
        <f t="shared" si="42"/>
        <v>0</v>
      </c>
      <c r="BQ37" s="155">
        <v>-27.407407407407408</v>
      </c>
      <c r="BR37" s="156">
        <v>-14.634146341463413</v>
      </c>
      <c r="BS37" s="157">
        <v>-60</v>
      </c>
      <c r="BT37" s="155">
        <v>-131.25</v>
      </c>
      <c r="BU37" s="156">
        <v>-260</v>
      </c>
      <c r="BV37" s="173">
        <v>-398.98989898989902</v>
      </c>
      <c r="BX37" s="142">
        <f t="shared" si="46"/>
        <v>0</v>
      </c>
      <c r="BY37" s="142">
        <f t="shared" si="47"/>
        <v>0</v>
      </c>
      <c r="BZ37" s="142">
        <f t="shared" si="48"/>
        <v>0</v>
      </c>
      <c r="CA37" s="63">
        <f t="shared" si="49"/>
        <v>1</v>
      </c>
      <c r="CB37" s="63">
        <f t="shared" si="50"/>
        <v>1</v>
      </c>
      <c r="CC37" s="63">
        <f t="shared" si="51"/>
        <v>1</v>
      </c>
      <c r="CD37" s="63">
        <f t="shared" si="52"/>
        <v>0</v>
      </c>
      <c r="CE37" s="63">
        <f t="shared" si="53"/>
        <v>0</v>
      </c>
      <c r="CF37" s="63">
        <f t="shared" si="54"/>
        <v>0</v>
      </c>
      <c r="CG37" s="63">
        <f t="shared" si="55"/>
        <v>0</v>
      </c>
      <c r="CH37" s="63">
        <f t="shared" si="56"/>
        <v>0</v>
      </c>
      <c r="CI37" s="63">
        <f t="shared" si="57"/>
        <v>0</v>
      </c>
      <c r="CL37" s="63">
        <v>-137.93103448275863</v>
      </c>
      <c r="CM37" s="69">
        <f t="shared" si="25"/>
        <v>137.93103448275863</v>
      </c>
      <c r="EC37" s="63">
        <v>0</v>
      </c>
      <c r="ED37" s="63">
        <v>4.3620689655172411</v>
      </c>
      <c r="EE37" s="63">
        <v>6.1304347826086953</v>
      </c>
      <c r="EH37" s="134">
        <v>0.92164179104477595</v>
      </c>
    </row>
    <row r="38" spans="1:138" s="63" customFormat="1">
      <c r="A38" s="63" t="s">
        <v>69</v>
      </c>
      <c r="B38" s="63">
        <v>190</v>
      </c>
      <c r="C38" s="63" t="s">
        <v>38</v>
      </c>
      <c r="D38" s="63" t="s">
        <v>35</v>
      </c>
      <c r="E38" s="63">
        <v>1</v>
      </c>
      <c r="F38" s="63">
        <v>2</v>
      </c>
      <c r="G38" s="63">
        <v>1949</v>
      </c>
      <c r="H38" s="63">
        <v>762</v>
      </c>
      <c r="I38" s="63">
        <v>559</v>
      </c>
      <c r="J38" s="63">
        <v>343</v>
      </c>
      <c r="K38" s="63">
        <v>667</v>
      </c>
      <c r="L38" s="63">
        <v>621</v>
      </c>
      <c r="M38" s="63">
        <v>869</v>
      </c>
      <c r="N38" s="63">
        <v>305</v>
      </c>
      <c r="O38" s="63">
        <v>376</v>
      </c>
      <c r="P38" s="63">
        <v>-1080</v>
      </c>
      <c r="Q38" s="63">
        <v>-457</v>
      </c>
      <c r="R38" s="63">
        <v>-183</v>
      </c>
      <c r="S38" s="63">
        <v>-1080</v>
      </c>
      <c r="T38" s="63">
        <v>-457</v>
      </c>
      <c r="U38" s="63">
        <v>-183</v>
      </c>
      <c r="V38" s="63">
        <v>639</v>
      </c>
      <c r="W38" s="63">
        <v>809</v>
      </c>
      <c r="X38" s="63">
        <v>859</v>
      </c>
      <c r="Y38" s="63">
        <v>296</v>
      </c>
      <c r="Z38" s="63">
        <v>142</v>
      </c>
      <c r="AA38" s="63">
        <v>238</v>
      </c>
      <c r="AB38" s="63">
        <v>296</v>
      </c>
      <c r="AC38" s="63">
        <v>142</v>
      </c>
      <c r="AD38" s="63">
        <v>238</v>
      </c>
      <c r="AE38" s="63">
        <v>2292</v>
      </c>
      <c r="AF38" s="63">
        <v>1429</v>
      </c>
      <c r="AG38" s="63">
        <v>1180</v>
      </c>
      <c r="AH38" s="63">
        <v>1508</v>
      </c>
      <c r="AI38" s="63">
        <v>1114</v>
      </c>
      <c r="AJ38" s="63">
        <v>1235</v>
      </c>
      <c r="AK38" s="63">
        <v>-784</v>
      </c>
      <c r="AL38" s="63">
        <v>-315</v>
      </c>
      <c r="AM38" s="63">
        <v>55</v>
      </c>
      <c r="AN38" s="63">
        <v>-784</v>
      </c>
      <c r="AO38" s="63">
        <v>-315</v>
      </c>
      <c r="AP38" s="63">
        <v>55</v>
      </c>
      <c r="AS38" s="63">
        <f t="shared" si="27"/>
        <v>0.86297376093294464</v>
      </c>
      <c r="AT38" s="63">
        <f t="shared" si="19"/>
        <v>0.21289355322338829</v>
      </c>
      <c r="AU38" s="63">
        <f t="shared" si="20"/>
        <v>0.38325281803542671</v>
      </c>
      <c r="AV38" s="63">
        <v>0.18421052631578946</v>
      </c>
      <c r="AW38" s="63">
        <v>16.071428571428569</v>
      </c>
      <c r="AX38" s="63">
        <v>20.891891891891891</v>
      </c>
      <c r="AZ38" s="63">
        <f t="shared" si="43"/>
        <v>-0.34205933682373474</v>
      </c>
      <c r="BA38" s="63">
        <f t="shared" si="44"/>
        <v>-0.22043386983904828</v>
      </c>
      <c r="BB38" s="63">
        <f t="shared" si="45"/>
        <v>4.6610169491525424E-2</v>
      </c>
      <c r="BD38" s="63">
        <f t="shared" si="34"/>
        <v>-0.55413032324268852</v>
      </c>
      <c r="BE38" s="63">
        <f t="shared" si="35"/>
        <v>-0.59973753280839892</v>
      </c>
      <c r="BF38" s="63">
        <f t="shared" si="31"/>
        <v>-0.32737030411449014</v>
      </c>
      <c r="BH38" s="69">
        <v>0.67386091127098324</v>
      </c>
      <c r="BJ38" s="69">
        <v>0.67386091127098324</v>
      </c>
      <c r="BN38" s="155">
        <f t="shared" si="40"/>
        <v>-27.407407407407408</v>
      </c>
      <c r="BO38" s="156">
        <f t="shared" si="41"/>
        <v>-31.072210065645518</v>
      </c>
      <c r="BP38" s="157">
        <f t="shared" si="42"/>
        <v>-130.05464480874315</v>
      </c>
      <c r="BQ38" s="155">
        <v>-31.578947368421051</v>
      </c>
      <c r="BR38" s="156">
        <v>-114.28571428571428</v>
      </c>
      <c r="BS38" s="157">
        <v>-88.652482269503537</v>
      </c>
      <c r="BT38" s="155">
        <v>-130.3370786516854</v>
      </c>
      <c r="BU38" s="156">
        <v>-152</v>
      </c>
      <c r="BV38" s="173">
        <v>-182.95964125560539</v>
      </c>
      <c r="BX38" s="142">
        <f t="shared" si="46"/>
        <v>1</v>
      </c>
      <c r="BY38" s="142">
        <f t="shared" si="47"/>
        <v>1</v>
      </c>
      <c r="BZ38" s="142">
        <f t="shared" si="48"/>
        <v>1</v>
      </c>
      <c r="CA38" s="63">
        <f t="shared" si="49"/>
        <v>0</v>
      </c>
      <c r="CB38" s="63">
        <f t="shared" si="50"/>
        <v>0</v>
      </c>
      <c r="CC38" s="63">
        <f t="shared" si="51"/>
        <v>0</v>
      </c>
      <c r="CD38" s="63">
        <f t="shared" si="52"/>
        <v>0</v>
      </c>
      <c r="CE38" s="63">
        <f t="shared" si="53"/>
        <v>0</v>
      </c>
      <c r="CF38" s="63">
        <f t="shared" si="54"/>
        <v>0</v>
      </c>
      <c r="CG38" s="63">
        <f t="shared" si="55"/>
        <v>0</v>
      </c>
      <c r="CH38" s="63">
        <f t="shared" si="56"/>
        <v>0</v>
      </c>
      <c r="CI38" s="63">
        <f t="shared" si="57"/>
        <v>0</v>
      </c>
      <c r="CL38" s="63">
        <v>-163.33333333333334</v>
      </c>
      <c r="CM38" s="69">
        <f t="shared" si="25"/>
        <v>163.33333333333334</v>
      </c>
      <c r="EC38" s="66">
        <v>20.628099173553718</v>
      </c>
      <c r="ED38" s="63">
        <v>0.15662650602409639</v>
      </c>
      <c r="EE38" s="63">
        <v>0.18045112781954886</v>
      </c>
      <c r="EH38" s="64">
        <v>0.70118343195266275</v>
      </c>
    </row>
    <row r="39" spans="1:138" s="63" customFormat="1">
      <c r="A39" s="63" t="s">
        <v>70</v>
      </c>
      <c r="B39" s="63">
        <v>169</v>
      </c>
      <c r="C39" s="63" t="s">
        <v>38</v>
      </c>
      <c r="D39" s="63" t="s">
        <v>32</v>
      </c>
      <c r="E39" s="63">
        <v>1</v>
      </c>
      <c r="F39" s="63">
        <v>1</v>
      </c>
      <c r="G39" s="63">
        <v>265</v>
      </c>
      <c r="H39" s="63">
        <v>246</v>
      </c>
      <c r="I39" s="63">
        <v>207</v>
      </c>
      <c r="J39" s="63">
        <v>8</v>
      </c>
      <c r="K39" s="63">
        <v>8</v>
      </c>
      <c r="L39" s="63">
        <v>6</v>
      </c>
      <c r="M39" s="63">
        <v>227</v>
      </c>
      <c r="N39" s="63">
        <v>245</v>
      </c>
      <c r="O39" s="63">
        <v>189</v>
      </c>
      <c r="P39" s="63">
        <v>-38</v>
      </c>
      <c r="Q39" s="63">
        <v>-1</v>
      </c>
      <c r="R39" s="63">
        <v>-18</v>
      </c>
      <c r="S39" s="63">
        <v>-38</v>
      </c>
      <c r="T39" s="63">
        <v>-1</v>
      </c>
      <c r="U39" s="63">
        <v>-18</v>
      </c>
      <c r="V39" s="63">
        <v>20</v>
      </c>
      <c r="W39" s="63">
        <v>51</v>
      </c>
      <c r="X39" s="63">
        <v>28</v>
      </c>
      <c r="Y39" s="63">
        <v>12</v>
      </c>
      <c r="Z39" s="63">
        <v>43</v>
      </c>
      <c r="AA39" s="63">
        <v>22</v>
      </c>
      <c r="AB39" s="63">
        <v>12</v>
      </c>
      <c r="AC39" s="63">
        <v>43</v>
      </c>
      <c r="AD39" s="63">
        <v>22</v>
      </c>
      <c r="AE39" s="63">
        <v>273</v>
      </c>
      <c r="AF39" s="63">
        <v>254</v>
      </c>
      <c r="AG39" s="63">
        <v>213</v>
      </c>
      <c r="AH39" s="63">
        <v>247</v>
      </c>
      <c r="AI39" s="63">
        <v>296</v>
      </c>
      <c r="AJ39" s="63">
        <v>217</v>
      </c>
      <c r="AK39" s="63">
        <v>-26</v>
      </c>
      <c r="AL39" s="63">
        <v>42</v>
      </c>
      <c r="AM39" s="63">
        <v>4</v>
      </c>
      <c r="AN39" s="63">
        <v>-26</v>
      </c>
      <c r="AO39" s="63">
        <v>42</v>
      </c>
      <c r="AP39" s="63">
        <v>4</v>
      </c>
      <c r="AS39" s="63">
        <f t="shared" si="27"/>
        <v>1.5</v>
      </c>
      <c r="AT39" s="63">
        <f t="shared" si="19"/>
        <v>5.375</v>
      </c>
      <c r="AU39" s="63">
        <f t="shared" si="20"/>
        <v>3.6666666666666665</v>
      </c>
      <c r="AV39" s="63">
        <v>0.78947368421052633</v>
      </c>
      <c r="AW39" s="63">
        <v>0.45714285714285713</v>
      </c>
      <c r="AX39" s="63">
        <v>0.4</v>
      </c>
      <c r="AZ39" s="63">
        <f t="shared" si="43"/>
        <v>-9.5238095238095233E-2</v>
      </c>
      <c r="BA39" s="63">
        <f t="shared" si="44"/>
        <v>0.16535433070866143</v>
      </c>
      <c r="BB39" s="63">
        <f t="shared" si="45"/>
        <v>1.8779342723004695E-2</v>
      </c>
      <c r="BD39" s="63">
        <f t="shared" si="34"/>
        <v>-0.14339622641509434</v>
      </c>
      <c r="BE39" s="63">
        <f t="shared" si="35"/>
        <v>-4.0650406504065045E-3</v>
      </c>
      <c r="BF39" s="63">
        <f t="shared" si="31"/>
        <v>-8.6956521739130432E-2</v>
      </c>
      <c r="BH39" s="69">
        <v>0.21704950251811819</v>
      </c>
      <c r="BJ39" s="69">
        <v>0.2420390512383698</v>
      </c>
      <c r="BN39" s="155">
        <f t="shared" si="40"/>
        <v>-31.578947368421051</v>
      </c>
      <c r="BO39" s="156">
        <f t="shared" si="41"/>
        <v>-4300</v>
      </c>
      <c r="BP39" s="157">
        <f t="shared" si="42"/>
        <v>-122.22222222222223</v>
      </c>
      <c r="BQ39" s="155">
        <v>-49.666666666666664</v>
      </c>
      <c r="BR39" s="156">
        <v>-872.97297297297303</v>
      </c>
      <c r="BS39" s="157">
        <v>-67.195767195767203</v>
      </c>
      <c r="BT39" s="163">
        <v>-95.376385173863184</v>
      </c>
      <c r="BU39" s="156">
        <v>-102.27272727272727</v>
      </c>
      <c r="BV39" s="173">
        <v>-122.30769230769232</v>
      </c>
      <c r="BX39" s="142">
        <f t="shared" si="46"/>
        <v>1</v>
      </c>
      <c r="BY39" s="142">
        <f t="shared" si="47"/>
        <v>1</v>
      </c>
      <c r="BZ39" s="142">
        <f t="shared" si="48"/>
        <v>1</v>
      </c>
      <c r="CA39" s="63">
        <f t="shared" si="49"/>
        <v>0</v>
      </c>
      <c r="CB39" s="63">
        <f t="shared" si="50"/>
        <v>0</v>
      </c>
      <c r="CC39" s="63">
        <f t="shared" si="51"/>
        <v>0</v>
      </c>
      <c r="CD39" s="63">
        <f t="shared" si="52"/>
        <v>0</v>
      </c>
      <c r="CE39" s="63">
        <f t="shared" si="53"/>
        <v>0</v>
      </c>
      <c r="CF39" s="63">
        <f t="shared" si="54"/>
        <v>0</v>
      </c>
      <c r="CG39" s="63">
        <f t="shared" si="55"/>
        <v>0</v>
      </c>
      <c r="CH39" s="63">
        <f t="shared" si="56"/>
        <v>0</v>
      </c>
      <c r="CI39" s="63">
        <f t="shared" si="57"/>
        <v>0</v>
      </c>
      <c r="CL39" s="63">
        <v>-37.61467889908257</v>
      </c>
      <c r="CM39" s="69">
        <f t="shared" si="25"/>
        <v>37.61467889908257</v>
      </c>
      <c r="EC39" s="45">
        <v>0.14690026954177898</v>
      </c>
      <c r="ED39" s="63">
        <v>0.26436781609195403</v>
      </c>
      <c r="EE39" s="63">
        <v>0.28630136986301369</v>
      </c>
      <c r="EH39" s="64">
        <v>2.2679738562091503</v>
      </c>
    </row>
    <row r="40" spans="1:138" s="63" customFormat="1">
      <c r="A40" s="63" t="s">
        <v>71</v>
      </c>
      <c r="B40" s="63">
        <v>180</v>
      </c>
      <c r="C40" s="63" t="s">
        <v>38</v>
      </c>
      <c r="D40" s="63" t="s">
        <v>32</v>
      </c>
      <c r="E40" s="63">
        <v>5</v>
      </c>
      <c r="F40" s="63">
        <v>4</v>
      </c>
      <c r="G40" s="63">
        <v>1858</v>
      </c>
      <c r="H40" s="63">
        <v>1475</v>
      </c>
      <c r="I40" s="63">
        <v>1221</v>
      </c>
      <c r="J40" s="63">
        <v>63</v>
      </c>
      <c r="K40" s="63">
        <v>58</v>
      </c>
      <c r="L40" s="63">
        <v>68</v>
      </c>
      <c r="M40" s="63">
        <v>1258</v>
      </c>
      <c r="N40" s="63">
        <v>1121</v>
      </c>
      <c r="O40" s="63">
        <v>952</v>
      </c>
      <c r="P40" s="63">
        <v>-600</v>
      </c>
      <c r="Q40" s="63">
        <v>-352</v>
      </c>
      <c r="R40" s="63">
        <v>-269</v>
      </c>
      <c r="S40" s="63">
        <v>-600</v>
      </c>
      <c r="T40" s="63">
        <v>-352</v>
      </c>
      <c r="U40" s="63">
        <v>-269</v>
      </c>
      <c r="V40" s="63">
        <v>361</v>
      </c>
      <c r="W40" s="63">
        <v>367</v>
      </c>
      <c r="X40" s="63">
        <v>359</v>
      </c>
      <c r="Y40" s="63">
        <v>298</v>
      </c>
      <c r="Z40" s="63">
        <v>309</v>
      </c>
      <c r="AA40" s="63">
        <v>291</v>
      </c>
      <c r="AB40" s="63">
        <v>298</v>
      </c>
      <c r="AC40" s="63">
        <v>309</v>
      </c>
      <c r="AD40" s="63">
        <v>291</v>
      </c>
      <c r="AE40" s="63">
        <v>1921</v>
      </c>
      <c r="AF40" s="63">
        <v>1533</v>
      </c>
      <c r="AG40" s="63">
        <v>1289</v>
      </c>
      <c r="AH40" s="63">
        <v>1619</v>
      </c>
      <c r="AI40" s="63">
        <v>1488</v>
      </c>
      <c r="AJ40" s="63">
        <v>1311</v>
      </c>
      <c r="AK40" s="63">
        <v>-302</v>
      </c>
      <c r="AL40" s="63">
        <v>-45</v>
      </c>
      <c r="AM40" s="63">
        <v>22</v>
      </c>
      <c r="AN40" s="63">
        <v>-302</v>
      </c>
      <c r="AO40" s="63">
        <v>-43</v>
      </c>
      <c r="AP40" s="63">
        <v>22</v>
      </c>
      <c r="AS40" s="63">
        <f t="shared" si="27"/>
        <v>4.7301587301587302</v>
      </c>
      <c r="AT40" s="63">
        <f t="shared" si="19"/>
        <v>5.3275862068965516</v>
      </c>
      <c r="AU40" s="63">
        <f t="shared" si="20"/>
        <v>4.2794117647058822</v>
      </c>
      <c r="AV40" s="63">
        <v>1.4921348314606742</v>
      </c>
      <c r="AW40" s="63">
        <v>1</v>
      </c>
      <c r="AX40" s="63">
        <v>0.80769230769230771</v>
      </c>
      <c r="AZ40" s="63">
        <f t="shared" si="43"/>
        <v>-0.15720978656949505</v>
      </c>
      <c r="BA40" s="63">
        <f t="shared" si="44"/>
        <v>-2.9354207436399216E-2</v>
      </c>
      <c r="BB40" s="63">
        <f t="shared" si="45"/>
        <v>1.7067494181536073E-2</v>
      </c>
      <c r="BD40" s="63">
        <f t="shared" si="34"/>
        <v>-0.32292787944025836</v>
      </c>
      <c r="BE40" s="63">
        <f t="shared" si="35"/>
        <v>-0.23864406779661018</v>
      </c>
      <c r="BF40" s="63">
        <f t="shared" si="31"/>
        <v>-0.2203112203112203</v>
      </c>
      <c r="BH40" s="69">
        <v>0.67386091127098324</v>
      </c>
      <c r="BJ40" s="69">
        <v>0.67386091127098324</v>
      </c>
      <c r="BN40" s="155">
        <f t="shared" si="40"/>
        <v>-49.666666666666664</v>
      </c>
      <c r="BO40" s="156">
        <f t="shared" si="41"/>
        <v>-87.784090909090907</v>
      </c>
      <c r="BP40" s="157">
        <f t="shared" si="42"/>
        <v>-108.17843866171005</v>
      </c>
      <c r="BQ40" s="155">
        <v>-89.125560538116602</v>
      </c>
      <c r="BR40" s="156">
        <v>-7.0707070707070701</v>
      </c>
      <c r="BS40" s="157">
        <v>-179.06066536203522</v>
      </c>
      <c r="BT40" s="163">
        <v>-39.473684210526315</v>
      </c>
      <c r="BU40" s="107">
        <v>-41.399280012521515</v>
      </c>
      <c r="BV40" s="182">
        <v>-78.164556962025301</v>
      </c>
      <c r="BX40" s="142">
        <f t="shared" si="46"/>
        <v>1</v>
      </c>
      <c r="BY40" s="142">
        <f t="shared" si="47"/>
        <v>1</v>
      </c>
      <c r="BZ40" s="142">
        <f t="shared" si="48"/>
        <v>1</v>
      </c>
      <c r="CA40" s="63">
        <f t="shared" si="49"/>
        <v>0</v>
      </c>
      <c r="CB40" s="63">
        <f t="shared" si="50"/>
        <v>0</v>
      </c>
      <c r="CC40" s="63">
        <f t="shared" si="51"/>
        <v>0</v>
      </c>
      <c r="CD40" s="63">
        <f t="shared" si="52"/>
        <v>0</v>
      </c>
      <c r="CE40" s="63">
        <f t="shared" si="53"/>
        <v>0</v>
      </c>
      <c r="CF40" s="63">
        <f t="shared" si="54"/>
        <v>0</v>
      </c>
      <c r="CG40" s="63">
        <f t="shared" si="55"/>
        <v>0</v>
      </c>
      <c r="CH40" s="63">
        <f t="shared" si="56"/>
        <v>0</v>
      </c>
      <c r="CI40" s="63">
        <f t="shared" si="57"/>
        <v>0</v>
      </c>
      <c r="CL40" s="63">
        <v>-27.407407407407408</v>
      </c>
      <c r="CM40" s="69">
        <f t="shared" si="25"/>
        <v>27.407407407407408</v>
      </c>
      <c r="EC40" s="64">
        <v>0.70118343195266275</v>
      </c>
      <c r="ED40" s="63">
        <v>1.3103448275862069</v>
      </c>
      <c r="EE40" s="63">
        <v>0.05</v>
      </c>
      <c r="EH40" s="64">
        <v>9.4999999999999982</v>
      </c>
    </row>
    <row r="41" spans="1:138" s="63" customFormat="1">
      <c r="A41" s="63" t="s">
        <v>72</v>
      </c>
      <c r="B41" s="63">
        <v>225</v>
      </c>
      <c r="C41" s="63" t="s">
        <v>38</v>
      </c>
      <c r="D41" s="63" t="s">
        <v>32</v>
      </c>
      <c r="E41" s="63">
        <v>2</v>
      </c>
      <c r="F41" s="63">
        <v>5</v>
      </c>
      <c r="G41" s="63">
        <v>460</v>
      </c>
      <c r="H41" s="63">
        <v>642</v>
      </c>
      <c r="I41" s="63">
        <v>703</v>
      </c>
      <c r="J41" s="63">
        <v>0</v>
      </c>
      <c r="K41" s="63">
        <v>22</v>
      </c>
      <c r="L41" s="63">
        <v>7</v>
      </c>
      <c r="M41" s="63">
        <v>504</v>
      </c>
      <c r="N41" s="63">
        <v>601</v>
      </c>
      <c r="O41" s="63">
        <v>659</v>
      </c>
      <c r="P41" s="63">
        <v>44</v>
      </c>
      <c r="Q41" s="63">
        <v>-41</v>
      </c>
      <c r="R41" s="63">
        <v>-44</v>
      </c>
      <c r="S41" s="63">
        <v>44</v>
      </c>
      <c r="T41" s="63">
        <v>-41</v>
      </c>
      <c r="U41" s="63">
        <v>-44</v>
      </c>
      <c r="V41" s="63">
        <v>0</v>
      </c>
      <c r="W41" s="63">
        <v>28</v>
      </c>
      <c r="X41" s="63">
        <v>15</v>
      </c>
      <c r="Y41" s="63">
        <v>0</v>
      </c>
      <c r="Z41" s="63">
        <v>6</v>
      </c>
      <c r="AA41" s="63">
        <v>8</v>
      </c>
      <c r="AB41" s="63">
        <v>0</v>
      </c>
      <c r="AC41" s="63">
        <v>6</v>
      </c>
      <c r="AD41" s="63">
        <v>8</v>
      </c>
      <c r="AE41" s="63">
        <v>460</v>
      </c>
      <c r="AF41" s="63">
        <v>664</v>
      </c>
      <c r="AG41" s="63">
        <v>710</v>
      </c>
      <c r="AH41" s="63">
        <v>504</v>
      </c>
      <c r="AI41" s="63">
        <v>629</v>
      </c>
      <c r="AJ41" s="63">
        <v>674</v>
      </c>
      <c r="AK41" s="63">
        <v>44</v>
      </c>
      <c r="AL41" s="63">
        <v>-35</v>
      </c>
      <c r="AM41" s="63">
        <v>-36</v>
      </c>
      <c r="AN41" s="63">
        <v>44</v>
      </c>
      <c r="AO41" s="63">
        <v>-35</v>
      </c>
      <c r="AP41" s="63">
        <v>-36</v>
      </c>
      <c r="AS41" s="63" t="e">
        <f t="shared" si="27"/>
        <v>#DIV/0!</v>
      </c>
      <c r="AT41" s="63">
        <f t="shared" si="19"/>
        <v>0.27272727272727271</v>
      </c>
      <c r="AU41" s="63">
        <f t="shared" si="20"/>
        <v>1.1428571428571428</v>
      </c>
      <c r="AV41" s="63">
        <v>1.4921348314606742</v>
      </c>
      <c r="AW41" s="63">
        <v>1.0339302544769087</v>
      </c>
      <c r="AX41" s="63">
        <v>0.7343499197431782</v>
      </c>
      <c r="AZ41" s="63">
        <f t="shared" si="43"/>
        <v>9.5652173913043481E-2</v>
      </c>
      <c r="BA41" s="63">
        <f t="shared" si="44"/>
        <v>-5.2710843373493979E-2</v>
      </c>
      <c r="BB41" s="63">
        <f t="shared" si="45"/>
        <v>-5.0704225352112678E-2</v>
      </c>
      <c r="BD41" s="63">
        <f t="shared" si="34"/>
        <v>9.5652173913043481E-2</v>
      </c>
      <c r="BE41" s="63">
        <f t="shared" si="35"/>
        <v>-6.3862928348909651E-2</v>
      </c>
      <c r="BF41" s="63">
        <f t="shared" si="31"/>
        <v>-6.2588904694167849E-2</v>
      </c>
      <c r="BH41" s="30">
        <v>-6.6666666666666666E-2</v>
      </c>
      <c r="BJ41" s="30">
        <v>-0.13333333333333333</v>
      </c>
      <c r="BN41" s="155">
        <f t="shared" si="40"/>
        <v>0</v>
      </c>
      <c r="BO41" s="156">
        <f t="shared" si="41"/>
        <v>-14.634146341463413</v>
      </c>
      <c r="BP41" s="157">
        <f t="shared" si="42"/>
        <v>-18.181818181818183</v>
      </c>
      <c r="BQ41" s="155">
        <v>-72.093023255813947</v>
      </c>
      <c r="BR41" s="156">
        <v>-207.93650793650795</v>
      </c>
      <c r="BS41" s="157">
        <v>-27.397260273972606</v>
      </c>
      <c r="BT41" s="172">
        <v>-50.533049040511727</v>
      </c>
      <c r="BU41" s="107">
        <v>-16.666666666666664</v>
      </c>
      <c r="BX41" s="142">
        <f t="shared" si="46"/>
        <v>0</v>
      </c>
      <c r="BY41" s="142">
        <f t="shared" si="47"/>
        <v>1</v>
      </c>
      <c r="BZ41" s="142">
        <f t="shared" si="48"/>
        <v>1</v>
      </c>
      <c r="CA41" s="63">
        <f t="shared" si="49"/>
        <v>1</v>
      </c>
      <c r="CB41" s="63">
        <f t="shared" si="50"/>
        <v>0</v>
      </c>
      <c r="CC41" s="63">
        <f t="shared" si="51"/>
        <v>0</v>
      </c>
      <c r="CD41" s="63">
        <f t="shared" si="52"/>
        <v>0</v>
      </c>
      <c r="CE41" s="63">
        <f t="shared" si="53"/>
        <v>0</v>
      </c>
      <c r="CF41" s="63">
        <f t="shared" si="54"/>
        <v>0</v>
      </c>
      <c r="CG41" s="63">
        <f t="shared" si="55"/>
        <v>0</v>
      </c>
      <c r="CH41" s="63">
        <f t="shared" si="56"/>
        <v>0</v>
      </c>
      <c r="CI41" s="63">
        <f t="shared" si="57"/>
        <v>0</v>
      </c>
      <c r="CL41" s="63">
        <v>-31.578947368421051</v>
      </c>
      <c r="CM41" s="69">
        <f t="shared" si="25"/>
        <v>31.578947368421051</v>
      </c>
      <c r="EC41" s="64">
        <v>2.2679738562091503</v>
      </c>
      <c r="ED41" s="63">
        <v>0.3515625</v>
      </c>
      <c r="EE41" s="63">
        <v>0.21153846153846154</v>
      </c>
      <c r="EH41" s="64">
        <v>48.666666666666671</v>
      </c>
    </row>
    <row r="42" spans="1:138" s="63" customFormat="1">
      <c r="A42" s="63" t="s">
        <v>73</v>
      </c>
      <c r="B42" s="63">
        <v>285</v>
      </c>
      <c r="C42" s="63" t="s">
        <v>38</v>
      </c>
      <c r="D42" s="63" t="s">
        <v>32</v>
      </c>
      <c r="E42" s="63">
        <v>3</v>
      </c>
      <c r="F42" s="63">
        <v>2</v>
      </c>
      <c r="G42" s="63">
        <f>(CN42/1500)*285</f>
        <v>2240.48</v>
      </c>
      <c r="H42" s="63">
        <f t="shared" ref="H42:AP42" si="58">(CO42/1500)*285</f>
        <v>2256.8200000000002</v>
      </c>
      <c r="I42" s="63">
        <f t="shared" si="58"/>
        <v>2628.84</v>
      </c>
      <c r="J42" s="63">
        <f t="shared" si="58"/>
        <v>19.950000000000003</v>
      </c>
      <c r="K42" s="63">
        <f t="shared" si="58"/>
        <v>5.32</v>
      </c>
      <c r="L42" s="63">
        <f t="shared" si="58"/>
        <v>7.03</v>
      </c>
      <c r="M42" s="63">
        <f t="shared" si="58"/>
        <v>2071</v>
      </c>
      <c r="N42" s="63">
        <f t="shared" si="58"/>
        <v>2469.62</v>
      </c>
      <c r="O42" s="63">
        <f t="shared" si="58"/>
        <v>2415.09</v>
      </c>
      <c r="P42" s="63">
        <f t="shared" si="58"/>
        <v>-169.48</v>
      </c>
      <c r="Q42" s="63">
        <f t="shared" si="58"/>
        <v>239.78</v>
      </c>
      <c r="R42" s="63">
        <f t="shared" si="58"/>
        <v>-178.60000000000002</v>
      </c>
      <c r="S42" s="63">
        <f t="shared" si="58"/>
        <v>-206.53</v>
      </c>
      <c r="T42" s="63">
        <f t="shared" si="58"/>
        <v>212.8</v>
      </c>
      <c r="U42" s="63">
        <f t="shared" si="58"/>
        <v>-213.75</v>
      </c>
      <c r="V42" s="63">
        <f t="shared" si="58"/>
        <v>171</v>
      </c>
      <c r="W42" s="63">
        <f t="shared" si="58"/>
        <v>90.82</v>
      </c>
      <c r="X42" s="63">
        <f t="shared" si="58"/>
        <v>153.9</v>
      </c>
      <c r="Y42" s="63">
        <f t="shared" si="58"/>
        <v>151.05000000000001</v>
      </c>
      <c r="Z42" s="63">
        <f t="shared" si="58"/>
        <v>85.5</v>
      </c>
      <c r="AA42" s="63">
        <f t="shared" si="58"/>
        <v>146.87</v>
      </c>
      <c r="AB42" s="63">
        <f t="shared" si="58"/>
        <v>151.05000000000001</v>
      </c>
      <c r="AC42" s="63">
        <f t="shared" si="58"/>
        <v>85.5</v>
      </c>
      <c r="AD42" s="63">
        <f t="shared" si="58"/>
        <v>146.87</v>
      </c>
      <c r="AE42" s="63">
        <f t="shared" si="58"/>
        <v>2260.4299999999998</v>
      </c>
      <c r="AF42" s="63">
        <f t="shared" si="58"/>
        <v>2262.14</v>
      </c>
      <c r="AG42" s="63">
        <f t="shared" si="58"/>
        <v>2635.87</v>
      </c>
      <c r="AH42" s="63">
        <f t="shared" si="58"/>
        <v>2242</v>
      </c>
      <c r="AI42" s="63">
        <f t="shared" si="58"/>
        <v>2560.44</v>
      </c>
      <c r="AJ42" s="63">
        <f t="shared" si="58"/>
        <v>2568.9899999999998</v>
      </c>
      <c r="AK42" s="63">
        <f t="shared" si="58"/>
        <v>-18.43</v>
      </c>
      <c r="AL42" s="63">
        <f t="shared" si="58"/>
        <v>298.3</v>
      </c>
      <c r="AM42" s="63">
        <f t="shared" si="58"/>
        <v>-66.88</v>
      </c>
      <c r="AN42" s="63">
        <f t="shared" si="58"/>
        <v>-55.48</v>
      </c>
      <c r="AO42" s="63">
        <f t="shared" si="58"/>
        <v>298.3</v>
      </c>
      <c r="AP42" s="63">
        <f t="shared" si="58"/>
        <v>-66.88</v>
      </c>
      <c r="AS42" s="63">
        <f t="shared" si="27"/>
        <v>7.5714285714285712</v>
      </c>
      <c r="AT42" s="63">
        <f t="shared" si="19"/>
        <v>16.071428571428569</v>
      </c>
      <c r="AU42" s="63">
        <f t="shared" si="20"/>
        <v>20.891891891891891</v>
      </c>
      <c r="AV42" s="63">
        <v>0.4539954625661709</v>
      </c>
      <c r="AW42" s="63">
        <v>1.0339302544769087</v>
      </c>
      <c r="AX42" s="63">
        <v>0.7343499197431782</v>
      </c>
      <c r="AZ42" s="63">
        <f t="shared" si="43"/>
        <v>-8.1533159620072286E-3</v>
      </c>
      <c r="BA42" s="63">
        <f t="shared" si="44"/>
        <v>0.13186628590626576</v>
      </c>
      <c r="BB42" s="63">
        <f t="shared" si="45"/>
        <v>-2.5373026742593525E-2</v>
      </c>
      <c r="BD42" s="63">
        <f t="shared" si="34"/>
        <v>-7.564450474898235E-2</v>
      </c>
      <c r="BE42" s="63">
        <f t="shared" si="35"/>
        <v>0.10624684290284558</v>
      </c>
      <c r="BF42" s="63">
        <f t="shared" si="31"/>
        <v>-6.7938710610002895E-2</v>
      </c>
      <c r="BH42" s="30">
        <v>-0.73684210526315785</v>
      </c>
      <c r="BJ42" s="30">
        <v>-0.73684210526315785</v>
      </c>
      <c r="BN42" s="155">
        <f t="shared" si="40"/>
        <v>-89.125560538116602</v>
      </c>
      <c r="BO42" s="156">
        <f t="shared" si="41"/>
        <v>35.657686212361334</v>
      </c>
      <c r="BP42" s="157">
        <f t="shared" si="42"/>
        <v>-82.234042553191472</v>
      </c>
      <c r="BQ42" s="155">
        <v>-103.44827586206897</v>
      </c>
      <c r="BR42" s="156">
        <v>-462.86919831223628</v>
      </c>
      <c r="BS42" s="157">
        <v>-198.36065573770492</v>
      </c>
      <c r="BT42" s="172">
        <v>-206.54761904761907</v>
      </c>
      <c r="BU42" s="102">
        <v>-21.082621082621085</v>
      </c>
      <c r="BX42" s="142">
        <f t="shared" si="46"/>
        <v>1</v>
      </c>
      <c r="BY42" s="142">
        <f t="shared" si="47"/>
        <v>0</v>
      </c>
      <c r="BZ42" s="142">
        <f t="shared" si="48"/>
        <v>1</v>
      </c>
      <c r="CA42" s="63">
        <f t="shared" si="49"/>
        <v>0</v>
      </c>
      <c r="CB42" s="63">
        <f t="shared" si="50"/>
        <v>0</v>
      </c>
      <c r="CC42" s="63">
        <f t="shared" si="51"/>
        <v>0</v>
      </c>
      <c r="CD42" s="63">
        <f t="shared" si="52"/>
        <v>0</v>
      </c>
      <c r="CE42" s="63">
        <f t="shared" si="53"/>
        <v>1</v>
      </c>
      <c r="CF42" s="63">
        <f t="shared" si="54"/>
        <v>0</v>
      </c>
      <c r="CG42" s="63">
        <f t="shared" si="55"/>
        <v>0</v>
      </c>
      <c r="CH42" s="63">
        <f t="shared" si="56"/>
        <v>0</v>
      </c>
      <c r="CI42" s="63">
        <f t="shared" si="57"/>
        <v>0</v>
      </c>
      <c r="CL42" s="63">
        <v>-49.666666666666664</v>
      </c>
      <c r="CM42" s="69">
        <f t="shared" si="25"/>
        <v>49.666666666666664</v>
      </c>
      <c r="CN42" s="63">
        <v>11792</v>
      </c>
      <c r="CO42" s="63">
        <v>11878</v>
      </c>
      <c r="CP42" s="63">
        <v>13836</v>
      </c>
      <c r="CQ42" s="63">
        <v>105</v>
      </c>
      <c r="CR42" s="63">
        <v>28</v>
      </c>
      <c r="CS42" s="63">
        <v>37</v>
      </c>
      <c r="CT42" s="63">
        <v>10900</v>
      </c>
      <c r="CU42" s="63">
        <v>12998</v>
      </c>
      <c r="CV42" s="63">
        <v>12711</v>
      </c>
      <c r="CW42" s="63">
        <v>-892</v>
      </c>
      <c r="CX42" s="63">
        <v>1262</v>
      </c>
      <c r="CY42" s="63">
        <v>-940</v>
      </c>
      <c r="CZ42" s="63">
        <v>-1087</v>
      </c>
      <c r="DA42" s="63">
        <v>1120</v>
      </c>
      <c r="DB42" s="63">
        <v>-1125</v>
      </c>
      <c r="DC42" s="63">
        <v>900</v>
      </c>
      <c r="DD42" s="63">
        <v>478</v>
      </c>
      <c r="DE42" s="63">
        <v>810</v>
      </c>
      <c r="DF42" s="63">
        <v>795</v>
      </c>
      <c r="DG42" s="63">
        <v>450</v>
      </c>
      <c r="DH42" s="63">
        <v>773</v>
      </c>
      <c r="DI42" s="63">
        <v>795</v>
      </c>
      <c r="DJ42" s="63">
        <v>450</v>
      </c>
      <c r="DK42" s="63">
        <v>773</v>
      </c>
      <c r="DL42" s="63">
        <v>11897</v>
      </c>
      <c r="DM42" s="63">
        <v>11906</v>
      </c>
      <c r="DN42" s="63">
        <v>13873</v>
      </c>
      <c r="DO42" s="63">
        <v>11800</v>
      </c>
      <c r="DP42" s="63">
        <v>13476</v>
      </c>
      <c r="DQ42" s="63">
        <v>13521</v>
      </c>
      <c r="DR42" s="63">
        <v>-97</v>
      </c>
      <c r="DS42" s="63">
        <v>1570</v>
      </c>
      <c r="DT42" s="63">
        <v>-352</v>
      </c>
      <c r="DU42" s="63">
        <v>-292</v>
      </c>
      <c r="DV42" s="63">
        <v>1570</v>
      </c>
      <c r="DW42" s="63">
        <v>-352</v>
      </c>
      <c r="EC42" s="64">
        <v>9.4999999999999982</v>
      </c>
      <c r="ED42" s="66">
        <v>2.9487179487179485</v>
      </c>
      <c r="EE42" s="63">
        <v>0.3316831683168317</v>
      </c>
      <c r="EH42" s="64">
        <v>0.16404494382022472</v>
      </c>
    </row>
    <row r="43" spans="1:138" s="63" customFormat="1">
      <c r="A43" s="63" t="s">
        <v>74</v>
      </c>
      <c r="B43" s="63">
        <v>100</v>
      </c>
      <c r="C43" s="63" t="s">
        <v>38</v>
      </c>
      <c r="D43" s="63" t="s">
        <v>35</v>
      </c>
      <c r="E43" s="63">
        <v>4</v>
      </c>
      <c r="F43" s="63">
        <v>6</v>
      </c>
      <c r="G43" s="63">
        <v>102</v>
      </c>
      <c r="H43" s="63">
        <v>145</v>
      </c>
      <c r="I43" s="63">
        <v>130</v>
      </c>
      <c r="J43" s="63">
        <v>38</v>
      </c>
      <c r="K43" s="63">
        <v>35</v>
      </c>
      <c r="L43" s="63">
        <v>30</v>
      </c>
      <c r="M43" s="63">
        <v>128</v>
      </c>
      <c r="N43" s="63">
        <v>131</v>
      </c>
      <c r="O43" s="63">
        <v>110</v>
      </c>
      <c r="P43" s="63">
        <v>26</v>
      </c>
      <c r="Q43" s="63">
        <v>-14</v>
      </c>
      <c r="R43" s="63">
        <v>-20</v>
      </c>
      <c r="S43" s="63">
        <v>26</v>
      </c>
      <c r="T43" s="63">
        <v>-14</v>
      </c>
      <c r="U43" s="63">
        <v>-20</v>
      </c>
      <c r="V43" s="63">
        <v>45</v>
      </c>
      <c r="W43" s="63">
        <v>51</v>
      </c>
      <c r="X43" s="63">
        <v>42</v>
      </c>
      <c r="Y43" s="63">
        <v>7</v>
      </c>
      <c r="Z43" s="63">
        <v>16</v>
      </c>
      <c r="AA43" s="63">
        <v>12</v>
      </c>
      <c r="AB43" s="63">
        <v>7</v>
      </c>
      <c r="AC43" s="63">
        <v>16</v>
      </c>
      <c r="AD43" s="63">
        <v>12</v>
      </c>
      <c r="AE43" s="63">
        <v>140</v>
      </c>
      <c r="AF43" s="63">
        <v>180</v>
      </c>
      <c r="AG43" s="63">
        <v>160</v>
      </c>
      <c r="AH43" s="63">
        <v>173</v>
      </c>
      <c r="AI43" s="63">
        <v>182</v>
      </c>
      <c r="AJ43" s="63">
        <v>152</v>
      </c>
      <c r="AK43" s="63">
        <v>33</v>
      </c>
      <c r="AL43" s="63">
        <v>2</v>
      </c>
      <c r="AM43" s="63">
        <v>-8</v>
      </c>
      <c r="AN43" s="63">
        <v>33</v>
      </c>
      <c r="AO43" s="63">
        <v>2</v>
      </c>
      <c r="AP43" s="63">
        <v>-8</v>
      </c>
      <c r="AS43" s="63">
        <f t="shared" si="27"/>
        <v>0.18421052631578946</v>
      </c>
      <c r="AT43" s="63">
        <f t="shared" si="19"/>
        <v>0.45714285714285713</v>
      </c>
      <c r="AU43" s="63">
        <f t="shared" si="20"/>
        <v>0.4</v>
      </c>
      <c r="AV43" s="63">
        <v>0.52577319587628868</v>
      </c>
      <c r="AW43" s="63">
        <v>0.33193740357064144</v>
      </c>
      <c r="AX43" s="63">
        <v>0.22922636103151864</v>
      </c>
      <c r="AZ43" s="63">
        <f t="shared" si="43"/>
        <v>0.23571428571428571</v>
      </c>
      <c r="BA43" s="63">
        <f t="shared" si="44"/>
        <v>1.1111111111111112E-2</v>
      </c>
      <c r="BB43" s="63">
        <f t="shared" si="45"/>
        <v>-0.05</v>
      </c>
      <c r="BD43" s="63">
        <f t="shared" si="34"/>
        <v>0.25490196078431371</v>
      </c>
      <c r="BE43" s="63">
        <f t="shared" si="35"/>
        <v>-9.6551724137931033E-2</v>
      </c>
      <c r="BF43" s="63">
        <f t="shared" si="31"/>
        <v>-0.15384615384615385</v>
      </c>
      <c r="BH43" s="30">
        <v>-0.25</v>
      </c>
      <c r="BJ43" s="30">
        <v>-0.25</v>
      </c>
      <c r="BN43" s="155">
        <f t="shared" si="40"/>
        <v>26.923076923076923</v>
      </c>
      <c r="BO43" s="156">
        <f t="shared" si="41"/>
        <v>-114.28571428571428</v>
      </c>
      <c r="BP43" s="157">
        <f t="shared" si="42"/>
        <v>-60</v>
      </c>
      <c r="BQ43" s="155">
        <v>-100</v>
      </c>
      <c r="BR43" s="156">
        <v>-81.25</v>
      </c>
      <c r="BS43" s="157">
        <v>-317.33333333333331</v>
      </c>
      <c r="BT43" s="172">
        <v>-100.68965517241379</v>
      </c>
      <c r="BU43" s="104">
        <v>-12.915129151291513</v>
      </c>
      <c r="BX43" s="142">
        <f t="shared" si="46"/>
        <v>0</v>
      </c>
      <c r="BY43" s="142">
        <f t="shared" si="47"/>
        <v>1</v>
      </c>
      <c r="BZ43" s="142">
        <f t="shared" si="48"/>
        <v>1</v>
      </c>
      <c r="CA43" s="63">
        <f t="shared" si="49"/>
        <v>0</v>
      </c>
      <c r="CB43" s="63">
        <f t="shared" si="50"/>
        <v>0</v>
      </c>
      <c r="CC43" s="63">
        <f t="shared" si="51"/>
        <v>0</v>
      </c>
      <c r="CD43" s="63">
        <f t="shared" si="52"/>
        <v>1</v>
      </c>
      <c r="CE43" s="63">
        <f t="shared" si="53"/>
        <v>0</v>
      </c>
      <c r="CF43" s="63">
        <f t="shared" si="54"/>
        <v>0</v>
      </c>
      <c r="CG43" s="63">
        <f t="shared" si="55"/>
        <v>0</v>
      </c>
      <c r="CH43" s="63">
        <f t="shared" si="56"/>
        <v>0</v>
      </c>
      <c r="CI43" s="63">
        <f t="shared" si="57"/>
        <v>0</v>
      </c>
      <c r="CL43" s="63">
        <v>-89.125560538116602</v>
      </c>
      <c r="CM43" s="69">
        <f t="shared" si="25"/>
        <v>89.125560538116602</v>
      </c>
      <c r="EC43" s="64">
        <v>48.666666666666671</v>
      </c>
      <c r="ED43" s="66">
        <v>0.15384615384615385</v>
      </c>
      <c r="EE43" s="66">
        <v>3.9829763866007681</v>
      </c>
      <c r="EH43" s="64">
        <v>0.26217228464419473</v>
      </c>
    </row>
    <row r="44" spans="1:138" s="63" customFormat="1">
      <c r="A44" s="63" t="s">
        <v>83</v>
      </c>
      <c r="B44" s="63">
        <v>180</v>
      </c>
      <c r="C44" s="63" t="s">
        <v>38</v>
      </c>
      <c r="D44" s="63" t="s">
        <v>32</v>
      </c>
      <c r="E44" s="63">
        <v>5</v>
      </c>
      <c r="F44" s="63">
        <v>7</v>
      </c>
      <c r="G44" s="63">
        <v>1384</v>
      </c>
      <c r="H44" s="63">
        <v>1041</v>
      </c>
      <c r="I44" s="63">
        <v>1219</v>
      </c>
      <c r="J44" s="63">
        <v>0</v>
      </c>
      <c r="K44" s="63">
        <v>0</v>
      </c>
      <c r="L44" s="63">
        <v>0</v>
      </c>
      <c r="M44" s="63">
        <v>910</v>
      </c>
      <c r="N44" s="63">
        <v>1000</v>
      </c>
      <c r="O44" s="63">
        <v>782</v>
      </c>
      <c r="P44" s="63">
        <v>-473</v>
      </c>
      <c r="Q44" s="63">
        <v>-37</v>
      </c>
      <c r="R44" s="63">
        <v>-423</v>
      </c>
      <c r="S44" s="63">
        <v>-481</v>
      </c>
      <c r="T44" s="63">
        <v>-41</v>
      </c>
      <c r="U44" s="63">
        <v>-437</v>
      </c>
      <c r="V44" s="63">
        <v>341</v>
      </c>
      <c r="W44" s="63">
        <v>323</v>
      </c>
      <c r="X44" s="63">
        <v>375</v>
      </c>
      <c r="Y44" s="63">
        <v>341</v>
      </c>
      <c r="Z44" s="63">
        <v>323</v>
      </c>
      <c r="AA44" s="63">
        <v>375</v>
      </c>
      <c r="AB44" s="63">
        <v>341</v>
      </c>
      <c r="AC44" s="63">
        <v>323</v>
      </c>
      <c r="AD44" s="63">
        <v>375</v>
      </c>
      <c r="AE44" s="63">
        <v>1384</v>
      </c>
      <c r="AF44" s="63">
        <v>1041</v>
      </c>
      <c r="AG44" s="63">
        <v>1219</v>
      </c>
      <c r="AH44" s="63">
        <v>1251</v>
      </c>
      <c r="AI44" s="63">
        <v>1323</v>
      </c>
      <c r="AJ44" s="63">
        <v>1157</v>
      </c>
      <c r="AK44" s="63">
        <v>-133</v>
      </c>
      <c r="AL44" s="63">
        <v>282</v>
      </c>
      <c r="AM44" s="63">
        <v>-62</v>
      </c>
      <c r="AN44" s="63">
        <v>-140</v>
      </c>
      <c r="AO44" s="63">
        <v>282</v>
      </c>
      <c r="AP44" s="63">
        <v>-62</v>
      </c>
      <c r="AS44" s="63" t="e">
        <f t="shared" si="27"/>
        <v>#DIV/0!</v>
      </c>
      <c r="AT44" s="63" t="e">
        <f t="shared" si="19"/>
        <v>#DIV/0!</v>
      </c>
      <c r="AU44" s="63" t="e">
        <f t="shared" si="20"/>
        <v>#DIV/0!</v>
      </c>
      <c r="AV44" s="63">
        <v>1.1428571428571428</v>
      </c>
      <c r="AW44" s="63">
        <v>5.416666666666667</v>
      </c>
      <c r="AX44" s="63">
        <v>3.5</v>
      </c>
      <c r="AZ44" s="63">
        <f t="shared" si="43"/>
        <v>-9.6098265895953758E-2</v>
      </c>
      <c r="BA44" s="63">
        <f t="shared" si="44"/>
        <v>0.27089337175792505</v>
      </c>
      <c r="BB44" s="63">
        <f t="shared" si="45"/>
        <v>-5.0861361771944218E-2</v>
      </c>
      <c r="BD44" s="63">
        <f t="shared" si="34"/>
        <v>-0.3417630057803468</v>
      </c>
      <c r="BE44" s="63">
        <f t="shared" si="35"/>
        <v>-3.5542747358309319E-2</v>
      </c>
      <c r="BF44" s="63">
        <f t="shared" si="31"/>
        <v>-0.34700574241181298</v>
      </c>
      <c r="BH44" s="30">
        <v>-0.13927916921197311</v>
      </c>
      <c r="BJ44" s="30">
        <v>-0.13866829566279781</v>
      </c>
      <c r="BN44" s="155">
        <f t="shared" si="40"/>
        <v>-72.093023255813947</v>
      </c>
      <c r="BO44" s="156">
        <f t="shared" si="41"/>
        <v>-872.97297297297303</v>
      </c>
      <c r="BP44" s="157">
        <f t="shared" si="42"/>
        <v>-88.652482269503537</v>
      </c>
      <c r="BQ44" s="155">
        <v>-175.66137566137564</v>
      </c>
      <c r="BR44" s="156">
        <v>-100</v>
      </c>
      <c r="BS44" s="157">
        <v>-40</v>
      </c>
      <c r="BT44" s="172">
        <v>-119.67213114754098</v>
      </c>
      <c r="BU44" s="104">
        <v>-929.16666666666663</v>
      </c>
      <c r="BX44" s="142">
        <f t="shared" si="46"/>
        <v>1</v>
      </c>
      <c r="BY44" s="142">
        <f t="shared" si="47"/>
        <v>1</v>
      </c>
      <c r="BZ44" s="142">
        <f t="shared" si="48"/>
        <v>1</v>
      </c>
      <c r="CA44" s="63">
        <f t="shared" si="49"/>
        <v>0</v>
      </c>
      <c r="CB44" s="63">
        <f t="shared" si="50"/>
        <v>0</v>
      </c>
      <c r="CC44" s="63">
        <f t="shared" si="51"/>
        <v>0</v>
      </c>
      <c r="CD44" s="63">
        <f t="shared" si="52"/>
        <v>0</v>
      </c>
      <c r="CE44" s="63">
        <f t="shared" si="53"/>
        <v>0</v>
      </c>
      <c r="CF44" s="63">
        <f t="shared" si="54"/>
        <v>0</v>
      </c>
      <c r="CG44" s="63">
        <f t="shared" si="55"/>
        <v>0</v>
      </c>
      <c r="CH44" s="63">
        <f t="shared" si="56"/>
        <v>0</v>
      </c>
      <c r="CI44" s="63">
        <f t="shared" si="57"/>
        <v>0</v>
      </c>
      <c r="CL44" s="63">
        <v>-72.093023255813947</v>
      </c>
      <c r="CM44" s="69">
        <f t="shared" si="25"/>
        <v>72.093023255813947</v>
      </c>
      <c r="EC44" s="64">
        <v>0.16404494382022472</v>
      </c>
      <c r="ED44" s="45">
        <v>-0.20983935742971888</v>
      </c>
      <c r="EE44" s="45">
        <v>0.22259136212624586</v>
      </c>
      <c r="EH44" s="64">
        <v>3.3787878787878789</v>
      </c>
    </row>
    <row r="45" spans="1:138" s="63" customFormat="1">
      <c r="A45" s="63" t="s">
        <v>84</v>
      </c>
      <c r="B45" s="63">
        <v>90</v>
      </c>
      <c r="C45" s="63" t="s">
        <v>38</v>
      </c>
      <c r="D45" s="63" t="s">
        <v>33</v>
      </c>
      <c r="E45" s="63">
        <v>2</v>
      </c>
      <c r="F45" s="63">
        <v>2</v>
      </c>
      <c r="G45" s="63">
        <v>579</v>
      </c>
      <c r="H45" s="63">
        <v>643</v>
      </c>
      <c r="I45" s="63">
        <v>499</v>
      </c>
      <c r="J45" s="63">
        <v>38</v>
      </c>
      <c r="K45" s="63">
        <v>7</v>
      </c>
      <c r="L45" s="63">
        <v>26</v>
      </c>
      <c r="M45" s="63">
        <v>550</v>
      </c>
      <c r="N45" s="63">
        <v>544</v>
      </c>
      <c r="O45" s="63">
        <v>537</v>
      </c>
      <c r="P45" s="63">
        <v>-29</v>
      </c>
      <c r="Q45" s="63">
        <v>-99</v>
      </c>
      <c r="R45" s="63">
        <v>38</v>
      </c>
      <c r="S45" s="63">
        <v>-29</v>
      </c>
      <c r="T45" s="63">
        <v>-99</v>
      </c>
      <c r="U45" s="63">
        <v>38</v>
      </c>
      <c r="V45" s="63">
        <v>68</v>
      </c>
      <c r="W45" s="63">
        <v>14</v>
      </c>
      <c r="X45" s="63">
        <v>47</v>
      </c>
      <c r="Y45" s="63">
        <v>30</v>
      </c>
      <c r="Z45" s="63">
        <v>7</v>
      </c>
      <c r="AA45" s="63">
        <v>21</v>
      </c>
      <c r="AB45" s="63">
        <v>30</v>
      </c>
      <c r="AC45" s="63">
        <v>7</v>
      </c>
      <c r="AD45" s="63">
        <v>21</v>
      </c>
      <c r="AE45" s="63">
        <v>617</v>
      </c>
      <c r="AF45" s="63">
        <v>650</v>
      </c>
      <c r="AG45" s="63">
        <v>525</v>
      </c>
      <c r="AH45" s="63">
        <v>618</v>
      </c>
      <c r="AI45" s="63">
        <v>558</v>
      </c>
      <c r="AJ45" s="63">
        <v>584</v>
      </c>
      <c r="AK45" s="63">
        <v>1</v>
      </c>
      <c r="AL45" s="63">
        <v>-92</v>
      </c>
      <c r="AM45" s="63">
        <v>59</v>
      </c>
      <c r="AN45" s="63">
        <v>1</v>
      </c>
      <c r="AO45" s="63">
        <v>-92</v>
      </c>
      <c r="AP45" s="63">
        <v>59</v>
      </c>
      <c r="AS45" s="63">
        <f t="shared" si="27"/>
        <v>0.78947368421052633</v>
      </c>
      <c r="AT45" s="63">
        <f t="shared" si="19"/>
        <v>1</v>
      </c>
      <c r="AU45" s="63">
        <f t="shared" si="20"/>
        <v>0.80769230769230771</v>
      </c>
      <c r="AV45" s="63">
        <v>0.17041800643086816</v>
      </c>
      <c r="AW45" s="63">
        <v>0</v>
      </c>
      <c r="AX45" s="63">
        <v>-1.932367149758454E-2</v>
      </c>
      <c r="AZ45" s="63">
        <f t="shared" si="43"/>
        <v>1.6207455429497568E-3</v>
      </c>
      <c r="BA45" s="63">
        <f t="shared" si="44"/>
        <v>-0.14153846153846153</v>
      </c>
      <c r="BB45" s="63">
        <f t="shared" si="45"/>
        <v>0.11238095238095239</v>
      </c>
      <c r="BD45" s="63">
        <f t="shared" si="34"/>
        <v>-5.0086355785837651E-2</v>
      </c>
      <c r="BE45" s="63">
        <f t="shared" si="35"/>
        <v>-0.15396578538102643</v>
      </c>
      <c r="BF45" s="63">
        <f t="shared" si="31"/>
        <v>7.6152304609218444E-2</v>
      </c>
      <c r="BH45" s="30">
        <v>0.16666666666666666</v>
      </c>
      <c r="BJ45" s="30">
        <v>0.16666666666666666</v>
      </c>
      <c r="BN45" s="155">
        <f t="shared" si="40"/>
        <v>-103.44827586206897</v>
      </c>
      <c r="BO45" s="156">
        <f t="shared" si="41"/>
        <v>-7.0707070707070701</v>
      </c>
      <c r="BP45" s="157">
        <f t="shared" si="42"/>
        <v>55.26315789473685</v>
      </c>
      <c r="BQ45" s="155">
        <v>-358.05168986083498</v>
      </c>
      <c r="BR45" s="156">
        <v>-242.10526315789474</v>
      </c>
      <c r="BS45" s="157">
        <v>-229.6875</v>
      </c>
      <c r="BT45" s="181">
        <v>-28.778467908902694</v>
      </c>
      <c r="BU45" s="104">
        <v>-123.86363636363637</v>
      </c>
      <c r="BX45" s="142">
        <f t="shared" si="46"/>
        <v>1</v>
      </c>
      <c r="BY45" s="142">
        <f t="shared" si="47"/>
        <v>1</v>
      </c>
      <c r="BZ45" s="142">
        <f t="shared" si="48"/>
        <v>0</v>
      </c>
      <c r="CA45" s="63">
        <f t="shared" si="49"/>
        <v>0</v>
      </c>
      <c r="CB45" s="63">
        <f t="shared" si="50"/>
        <v>0</v>
      </c>
      <c r="CC45" s="63">
        <f t="shared" si="51"/>
        <v>0</v>
      </c>
      <c r="CD45" s="63">
        <f t="shared" si="52"/>
        <v>0</v>
      </c>
      <c r="CE45" s="63">
        <f t="shared" si="53"/>
        <v>0</v>
      </c>
      <c r="CF45" s="63">
        <f t="shared" si="54"/>
        <v>1</v>
      </c>
      <c r="CG45" s="63">
        <f t="shared" si="55"/>
        <v>0</v>
      </c>
      <c r="CH45" s="63">
        <f t="shared" si="56"/>
        <v>0</v>
      </c>
      <c r="CI45" s="63">
        <f t="shared" si="57"/>
        <v>0</v>
      </c>
      <c r="CL45" s="63">
        <v>-103.44827586206897</v>
      </c>
      <c r="CM45" s="69">
        <f t="shared" si="25"/>
        <v>103.44827586206897</v>
      </c>
      <c r="EC45" s="134">
        <v>1.0373134328358209</v>
      </c>
      <c r="ED45" s="64">
        <v>0.26217228464419473</v>
      </c>
      <c r="EE45" s="64">
        <v>0.14245810055865921</v>
      </c>
      <c r="EH45" s="64">
        <v>0.15363128491620112</v>
      </c>
    </row>
    <row r="46" spans="1:138" s="63" customFormat="1">
      <c r="A46" s="63" t="s">
        <v>85</v>
      </c>
      <c r="B46" s="63">
        <v>80</v>
      </c>
      <c r="C46" s="63" t="s">
        <v>38</v>
      </c>
      <c r="D46" s="63" t="s">
        <v>35</v>
      </c>
      <c r="E46" s="63">
        <v>3</v>
      </c>
      <c r="F46" s="63">
        <v>6</v>
      </c>
      <c r="G46" s="63">
        <v>408</v>
      </c>
      <c r="H46" s="63">
        <v>449</v>
      </c>
      <c r="I46" s="63">
        <v>557</v>
      </c>
      <c r="J46" s="63">
        <v>0</v>
      </c>
      <c r="K46" s="63">
        <v>0</v>
      </c>
      <c r="L46" s="63">
        <v>0</v>
      </c>
      <c r="M46" s="63">
        <v>386</v>
      </c>
      <c r="N46" s="63">
        <v>448</v>
      </c>
      <c r="O46" s="63">
        <v>540</v>
      </c>
      <c r="P46" s="63">
        <v>-23</v>
      </c>
      <c r="Q46" s="63">
        <v>-1</v>
      </c>
      <c r="R46" s="63">
        <v>-18</v>
      </c>
      <c r="S46" s="63">
        <v>-23</v>
      </c>
      <c r="T46" s="63">
        <v>-1</v>
      </c>
      <c r="U46" s="63">
        <v>-18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408</v>
      </c>
      <c r="AF46" s="63">
        <v>449</v>
      </c>
      <c r="AG46" s="63">
        <v>557</v>
      </c>
      <c r="AH46" s="63">
        <v>386</v>
      </c>
      <c r="AI46" s="63">
        <v>448</v>
      </c>
      <c r="AJ46" s="63">
        <v>540</v>
      </c>
      <c r="AK46" s="63">
        <v>-22</v>
      </c>
      <c r="AL46" s="63">
        <v>-1</v>
      </c>
      <c r="AM46" s="63">
        <v>-17</v>
      </c>
      <c r="AN46" s="63">
        <v>-23</v>
      </c>
      <c r="AO46" s="63">
        <v>-1</v>
      </c>
      <c r="AP46" s="63">
        <v>-18</v>
      </c>
      <c r="AS46" s="63" t="e">
        <f t="shared" si="27"/>
        <v>#DIV/0!</v>
      </c>
      <c r="AT46" s="63" t="e">
        <f t="shared" si="19"/>
        <v>#DIV/0!</v>
      </c>
      <c r="AU46" s="63" t="e">
        <f t="shared" si="20"/>
        <v>#DIV/0!</v>
      </c>
      <c r="AV46" s="63">
        <v>14.666666666666666</v>
      </c>
      <c r="AW46" s="63">
        <v>2.7878787878787881</v>
      </c>
      <c r="AX46" s="63">
        <v>8.0666666666666664</v>
      </c>
      <c r="AZ46" s="63">
        <f t="shared" si="43"/>
        <v>-5.3921568627450983E-2</v>
      </c>
      <c r="BA46" s="63">
        <f t="shared" si="44"/>
        <v>-2.2271714922048997E-3</v>
      </c>
      <c r="BB46" s="63">
        <f t="shared" si="45"/>
        <v>-3.052064631956912E-2</v>
      </c>
      <c r="BD46" s="63">
        <f t="shared" si="34"/>
        <v>-5.6372549019607844E-2</v>
      </c>
      <c r="BE46" s="63">
        <f t="shared" si="35"/>
        <v>-2.2271714922048997E-3</v>
      </c>
      <c r="BF46" s="63">
        <f t="shared" si="31"/>
        <v>-3.231597845601436E-2</v>
      </c>
      <c r="BH46" s="30">
        <v>-9.0094574415131912E-2</v>
      </c>
      <c r="BJ46" s="30">
        <v>-9.0094574415131912E-2</v>
      </c>
      <c r="BN46" s="155">
        <f t="shared" si="40"/>
        <v>0</v>
      </c>
      <c r="BO46" s="156">
        <f t="shared" si="41"/>
        <v>0</v>
      </c>
      <c r="BP46" s="157">
        <f t="shared" si="42"/>
        <v>0</v>
      </c>
      <c r="BQ46" s="155">
        <v>-5600</v>
      </c>
      <c r="BR46" s="156">
        <v>-218.00000000000003</v>
      </c>
      <c r="BS46" s="157">
        <v>-60.775862068965516</v>
      </c>
      <c r="BU46" s="179">
        <v>-42.711370262390673</v>
      </c>
      <c r="BX46" s="142">
        <f t="shared" si="46"/>
        <v>1</v>
      </c>
      <c r="BY46" s="142">
        <f t="shared" si="47"/>
        <v>1</v>
      </c>
      <c r="BZ46" s="142">
        <f t="shared" si="48"/>
        <v>1</v>
      </c>
      <c r="CA46" s="63">
        <f t="shared" si="49"/>
        <v>1</v>
      </c>
      <c r="CB46" s="63">
        <f t="shared" si="50"/>
        <v>1</v>
      </c>
      <c r="CC46" s="63">
        <f t="shared" si="51"/>
        <v>1</v>
      </c>
      <c r="CD46" s="63">
        <f t="shared" si="52"/>
        <v>0</v>
      </c>
      <c r="CE46" s="63">
        <f t="shared" si="53"/>
        <v>0</v>
      </c>
      <c r="CF46" s="63">
        <f t="shared" si="54"/>
        <v>0</v>
      </c>
      <c r="CG46" s="63">
        <f t="shared" si="55"/>
        <v>0</v>
      </c>
      <c r="CH46" s="63">
        <f t="shared" si="56"/>
        <v>0</v>
      </c>
      <c r="CI46" s="63">
        <f t="shared" si="57"/>
        <v>0</v>
      </c>
      <c r="CL46" s="63">
        <v>-100</v>
      </c>
      <c r="CM46" s="69">
        <f t="shared" si="25"/>
        <v>100</v>
      </c>
      <c r="EC46" s="66"/>
      <c r="ED46" s="64">
        <v>3.3787878787878789</v>
      </c>
      <c r="EE46" s="64">
        <v>3.7980769230769229</v>
      </c>
      <c r="EH46" s="64">
        <v>0.14245810055865921</v>
      </c>
    </row>
    <row r="47" spans="1:138" s="63" customFormat="1">
      <c r="A47" s="63" t="s">
        <v>86</v>
      </c>
      <c r="B47" s="63">
        <v>50</v>
      </c>
      <c r="C47" s="63" t="s">
        <v>38</v>
      </c>
      <c r="D47" s="63" t="s">
        <v>33</v>
      </c>
      <c r="E47" s="63">
        <v>4</v>
      </c>
      <c r="F47" s="63">
        <v>4</v>
      </c>
      <c r="G47" s="63">
        <v>234</v>
      </c>
      <c r="H47" s="63">
        <v>206</v>
      </c>
      <c r="I47" s="63">
        <v>341</v>
      </c>
      <c r="J47" s="63">
        <v>0</v>
      </c>
      <c r="K47" s="63">
        <v>0</v>
      </c>
      <c r="L47" s="63">
        <v>0</v>
      </c>
      <c r="M47" s="63">
        <v>138</v>
      </c>
      <c r="N47" s="63">
        <v>143</v>
      </c>
      <c r="O47" s="63">
        <v>152</v>
      </c>
      <c r="P47" s="63">
        <v>-96</v>
      </c>
      <c r="Q47" s="63">
        <v>-63</v>
      </c>
      <c r="R47" s="63">
        <v>-189</v>
      </c>
      <c r="S47" s="63">
        <v>-96</v>
      </c>
      <c r="T47" s="63">
        <v>-63</v>
      </c>
      <c r="U47" s="63">
        <v>-189</v>
      </c>
      <c r="V47" s="63">
        <v>96</v>
      </c>
      <c r="W47" s="63">
        <v>131</v>
      </c>
      <c r="X47" s="63">
        <v>127</v>
      </c>
      <c r="Y47" s="63">
        <v>96</v>
      </c>
      <c r="Z47" s="63">
        <v>131</v>
      </c>
      <c r="AA47" s="63">
        <v>127</v>
      </c>
      <c r="AB47" s="63">
        <v>96</v>
      </c>
      <c r="AC47" s="63">
        <v>131</v>
      </c>
      <c r="AD47" s="63">
        <v>127</v>
      </c>
      <c r="AE47" s="63">
        <v>234</v>
      </c>
      <c r="AF47" s="63">
        <v>206</v>
      </c>
      <c r="AG47" s="63">
        <v>341</v>
      </c>
      <c r="AH47" s="63">
        <v>234</v>
      </c>
      <c r="AI47" s="63">
        <v>274</v>
      </c>
      <c r="AJ47" s="63">
        <v>279</v>
      </c>
      <c r="AK47" s="63">
        <v>0</v>
      </c>
      <c r="AL47" s="63">
        <v>68</v>
      </c>
      <c r="AM47" s="63">
        <v>-62</v>
      </c>
      <c r="AN47" s="63">
        <v>0</v>
      </c>
      <c r="AO47" s="63">
        <v>68</v>
      </c>
      <c r="AP47" s="63">
        <v>-62</v>
      </c>
      <c r="AS47" s="63" t="e">
        <f t="shared" si="27"/>
        <v>#DIV/0!</v>
      </c>
      <c r="AT47" s="63" t="e">
        <f t="shared" si="19"/>
        <v>#DIV/0!</v>
      </c>
      <c r="AU47" s="63" t="e">
        <f t="shared" si="20"/>
        <v>#DIV/0!</v>
      </c>
      <c r="AV47" s="63">
        <v>0.16477272727272727</v>
      </c>
      <c r="AW47" s="63">
        <v>3.3057851239669422E-2</v>
      </c>
      <c r="AX47" s="63">
        <v>2.8985507246376812E-2</v>
      </c>
      <c r="AZ47" s="63">
        <f t="shared" si="43"/>
        <v>0</v>
      </c>
      <c r="BA47" s="63">
        <f t="shared" si="44"/>
        <v>0.3300970873786408</v>
      </c>
      <c r="BB47" s="63">
        <f t="shared" si="45"/>
        <v>-0.18181818181818182</v>
      </c>
      <c r="BD47" s="63">
        <f t="shared" si="34"/>
        <v>-0.41025641025641024</v>
      </c>
      <c r="BE47" s="63">
        <f t="shared" si="35"/>
        <v>-0.30582524271844658</v>
      </c>
      <c r="BF47" s="63">
        <f t="shared" ref="BF47:BF78" si="59">R47/I47</f>
        <v>-0.55425219941348969</v>
      </c>
      <c r="BH47" s="28">
        <v>0.61971830985915488</v>
      </c>
      <c r="BJ47" s="28">
        <v>0.61971830985915488</v>
      </c>
      <c r="BN47" s="155">
        <f t="shared" si="40"/>
        <v>-100</v>
      </c>
      <c r="BO47" s="156">
        <f t="shared" si="41"/>
        <v>-207.93650793650795</v>
      </c>
      <c r="BP47" s="157">
        <f t="shared" si="42"/>
        <v>-67.195767195767203</v>
      </c>
      <c r="BQ47" s="155">
        <v>-278.9473684210526</v>
      </c>
      <c r="BR47" s="156">
        <v>-259.64912280701753</v>
      </c>
      <c r="BS47" s="157">
        <v>-195.32710280373834</v>
      </c>
      <c r="BX47" s="142">
        <f t="shared" si="46"/>
        <v>1</v>
      </c>
      <c r="BY47" s="142">
        <f t="shared" si="47"/>
        <v>1</v>
      </c>
      <c r="BZ47" s="142">
        <f t="shared" si="48"/>
        <v>1</v>
      </c>
      <c r="CA47" s="63">
        <f t="shared" si="49"/>
        <v>0</v>
      </c>
      <c r="CB47" s="63">
        <f t="shared" si="50"/>
        <v>0</v>
      </c>
      <c r="CC47" s="63">
        <f t="shared" si="51"/>
        <v>0</v>
      </c>
      <c r="CD47" s="63">
        <f t="shared" si="52"/>
        <v>0</v>
      </c>
      <c r="CE47" s="63">
        <f t="shared" si="53"/>
        <v>0</v>
      </c>
      <c r="CF47" s="63">
        <f t="shared" si="54"/>
        <v>0</v>
      </c>
      <c r="CG47" s="63">
        <f t="shared" si="55"/>
        <v>0</v>
      </c>
      <c r="CH47" s="63">
        <f t="shared" si="56"/>
        <v>0</v>
      </c>
      <c r="CI47" s="63">
        <f t="shared" si="57"/>
        <v>0</v>
      </c>
      <c r="CL47" s="63">
        <v>-175.66137566137564</v>
      </c>
      <c r="CM47" s="69">
        <f t="shared" si="25"/>
        <v>175.66137566137564</v>
      </c>
      <c r="ED47" s="64">
        <v>0.15363128491620112</v>
      </c>
      <c r="EE47" s="64">
        <v>0.88826815642458101</v>
      </c>
      <c r="EH47" s="64">
        <v>3.7980769230769229</v>
      </c>
    </row>
    <row r="48" spans="1:138" s="63" customFormat="1">
      <c r="A48" s="63" t="s">
        <v>91</v>
      </c>
      <c r="B48" s="63">
        <v>70</v>
      </c>
      <c r="C48" s="63" t="s">
        <v>38</v>
      </c>
      <c r="D48" s="63" t="s">
        <v>35</v>
      </c>
      <c r="E48" s="63">
        <v>4</v>
      </c>
      <c r="F48" s="63">
        <v>5</v>
      </c>
      <c r="G48" s="63">
        <v>201</v>
      </c>
      <c r="H48" s="63">
        <v>257</v>
      </c>
      <c r="I48" s="63">
        <v>211</v>
      </c>
      <c r="J48" s="63">
        <v>0</v>
      </c>
      <c r="K48" s="63">
        <v>0</v>
      </c>
      <c r="L48" s="63">
        <v>0</v>
      </c>
      <c r="M48" s="63">
        <v>310</v>
      </c>
      <c r="N48" s="63">
        <v>160</v>
      </c>
      <c r="O48" s="63">
        <v>427</v>
      </c>
      <c r="P48" s="63">
        <v>109</v>
      </c>
      <c r="Q48" s="63">
        <v>-97</v>
      </c>
      <c r="R48" s="63">
        <v>216</v>
      </c>
      <c r="S48" s="63">
        <v>109</v>
      </c>
      <c r="T48" s="63">
        <v>-97</v>
      </c>
      <c r="U48" s="63">
        <v>216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201</v>
      </c>
      <c r="AF48" s="63">
        <v>257</v>
      </c>
      <c r="AG48" s="63">
        <v>211</v>
      </c>
      <c r="AH48" s="63">
        <v>310</v>
      </c>
      <c r="AI48" s="63">
        <v>160</v>
      </c>
      <c r="AJ48" s="63">
        <v>427</v>
      </c>
      <c r="AK48" s="63">
        <v>109</v>
      </c>
      <c r="AL48" s="63">
        <v>-97</v>
      </c>
      <c r="AM48" s="63">
        <v>216</v>
      </c>
      <c r="AN48" s="63">
        <v>109</v>
      </c>
      <c r="AO48" s="63">
        <v>-97</v>
      </c>
      <c r="AP48" s="63">
        <v>216</v>
      </c>
      <c r="AS48" s="63" t="e">
        <f t="shared" si="27"/>
        <v>#DIV/0!</v>
      </c>
      <c r="AT48" s="63" t="e">
        <f t="shared" si="19"/>
        <v>#DIV/0!</v>
      </c>
      <c r="AU48" s="63" t="e">
        <f t="shared" si="20"/>
        <v>#DIV/0!</v>
      </c>
      <c r="AV48" s="63">
        <v>1.2210526315789474</v>
      </c>
      <c r="AW48" s="63">
        <v>1.4931506849315068</v>
      </c>
      <c r="AX48" s="63">
        <v>0.82051282051282048</v>
      </c>
      <c r="AZ48" s="63">
        <f t="shared" si="43"/>
        <v>0.54228855721393032</v>
      </c>
      <c r="BA48" s="63">
        <f t="shared" si="44"/>
        <v>-0.37743190661478598</v>
      </c>
      <c r="BB48" s="63">
        <f t="shared" si="45"/>
        <v>1.0236966824644549</v>
      </c>
      <c r="BD48" s="63">
        <f t="shared" si="34"/>
        <v>0.54228855721393032</v>
      </c>
      <c r="BE48" s="63">
        <f t="shared" si="35"/>
        <v>-0.37743190661478598</v>
      </c>
      <c r="BF48" s="63">
        <f t="shared" si="59"/>
        <v>1.0236966824644549</v>
      </c>
      <c r="BH48" s="28">
        <v>-0.52500000000000002</v>
      </c>
      <c r="BJ48" s="28">
        <v>-0.52500000000000002</v>
      </c>
      <c r="BN48" s="155">
        <f t="shared" si="40"/>
        <v>0</v>
      </c>
      <c r="BO48" s="156">
        <f t="shared" si="41"/>
        <v>0</v>
      </c>
      <c r="BP48" s="157">
        <f t="shared" si="42"/>
        <v>0</v>
      </c>
      <c r="BQ48" s="155">
        <v>-157.14285714285714</v>
      </c>
      <c r="BR48" s="156">
        <v>-372.22222222222223</v>
      </c>
      <c r="BS48" s="157">
        <v>-244.44444444444446</v>
      </c>
      <c r="BX48" s="142">
        <f t="shared" si="46"/>
        <v>0</v>
      </c>
      <c r="BY48" s="142">
        <f t="shared" si="47"/>
        <v>1</v>
      </c>
      <c r="BZ48" s="142">
        <f t="shared" si="48"/>
        <v>0</v>
      </c>
      <c r="CA48" s="63">
        <f t="shared" si="49"/>
        <v>1</v>
      </c>
      <c r="CB48" s="63">
        <f t="shared" si="50"/>
        <v>1</v>
      </c>
      <c r="CC48" s="63">
        <f t="shared" si="51"/>
        <v>1</v>
      </c>
      <c r="CD48" s="63">
        <f t="shared" si="52"/>
        <v>0</v>
      </c>
      <c r="CE48" s="63">
        <f t="shared" si="53"/>
        <v>0</v>
      </c>
      <c r="CF48" s="63">
        <f t="shared" si="54"/>
        <v>0</v>
      </c>
      <c r="CG48" s="63">
        <f t="shared" si="55"/>
        <v>0</v>
      </c>
      <c r="CH48" s="63">
        <f t="shared" si="56"/>
        <v>0</v>
      </c>
      <c r="CI48" s="63">
        <f t="shared" si="57"/>
        <v>0</v>
      </c>
      <c r="CL48" s="63">
        <v>-358.05168986083498</v>
      </c>
      <c r="CM48" s="69">
        <f t="shared" si="25"/>
        <v>358.05168986083498</v>
      </c>
      <c r="ED48" s="134">
        <v>1.0973782771535583</v>
      </c>
      <c r="EE48" s="134">
        <v>0.92164179104477595</v>
      </c>
      <c r="EH48" s="64">
        <v>0.88826815642458101</v>
      </c>
    </row>
    <row r="49" spans="1:138" s="63" customFormat="1">
      <c r="A49" s="63" t="s">
        <v>95</v>
      </c>
      <c r="B49" s="63">
        <v>255</v>
      </c>
      <c r="C49" s="63" t="s">
        <v>38</v>
      </c>
      <c r="D49" s="63" t="s">
        <v>35</v>
      </c>
      <c r="E49" s="63">
        <v>3</v>
      </c>
      <c r="F49" s="63">
        <v>3</v>
      </c>
      <c r="G49" s="63">
        <v>2218</v>
      </c>
      <c r="H49" s="63">
        <v>2895</v>
      </c>
      <c r="I49" s="63">
        <v>3491</v>
      </c>
      <c r="J49" s="63">
        <v>890</v>
      </c>
      <c r="K49" s="63">
        <v>1061</v>
      </c>
      <c r="L49" s="63">
        <v>1246</v>
      </c>
      <c r="M49" s="63">
        <v>1462</v>
      </c>
      <c r="N49" s="63">
        <v>2658</v>
      </c>
      <c r="O49" s="63">
        <v>2980</v>
      </c>
      <c r="P49" s="63">
        <v>-756</v>
      </c>
      <c r="Q49" s="63">
        <v>-237</v>
      </c>
      <c r="R49" s="63">
        <v>-511</v>
      </c>
      <c r="S49" s="63">
        <v>-756</v>
      </c>
      <c r="T49" s="63">
        <v>-237</v>
      </c>
      <c r="U49" s="63">
        <v>-511</v>
      </c>
      <c r="V49" s="63">
        <v>2218</v>
      </c>
      <c r="W49" s="63">
        <v>2012</v>
      </c>
      <c r="X49" s="63">
        <v>2044</v>
      </c>
      <c r="Y49" s="63">
        <v>1328</v>
      </c>
      <c r="Z49" s="63">
        <v>1097</v>
      </c>
      <c r="AA49" s="63">
        <v>915</v>
      </c>
      <c r="AB49" s="63">
        <v>1151</v>
      </c>
      <c r="AC49" s="63">
        <v>951</v>
      </c>
      <c r="AD49" s="63">
        <v>798</v>
      </c>
      <c r="AE49" s="63">
        <v>3108</v>
      </c>
      <c r="AF49" s="63">
        <v>3956</v>
      </c>
      <c r="AG49" s="63">
        <v>4737</v>
      </c>
      <c r="AH49" s="63">
        <v>3680</v>
      </c>
      <c r="AI49" s="63">
        <v>4670</v>
      </c>
      <c r="AJ49" s="63">
        <v>5024</v>
      </c>
      <c r="AK49" s="63">
        <v>572</v>
      </c>
      <c r="AL49" s="63">
        <v>714</v>
      </c>
      <c r="AM49" s="63">
        <v>287</v>
      </c>
      <c r="AN49" s="63">
        <v>395</v>
      </c>
      <c r="AO49" s="63">
        <v>714</v>
      </c>
      <c r="AP49" s="63">
        <v>287</v>
      </c>
      <c r="AS49" s="63">
        <f t="shared" si="27"/>
        <v>1.4921348314606742</v>
      </c>
      <c r="AT49" s="63">
        <f t="shared" si="19"/>
        <v>1.0339302544769087</v>
      </c>
      <c r="AU49" s="63">
        <f t="shared" si="20"/>
        <v>0.7343499197431782</v>
      </c>
      <c r="AV49" s="63">
        <v>0.96644295302013428</v>
      </c>
      <c r="AW49" s="63">
        <v>0.6166666666666667</v>
      </c>
      <c r="AX49" s="63">
        <v>0.88475836431226762</v>
      </c>
      <c r="AZ49" s="63">
        <f t="shared" si="43"/>
        <v>0.18404118404118405</v>
      </c>
      <c r="BA49" s="63">
        <f t="shared" si="44"/>
        <v>0.18048533872598585</v>
      </c>
      <c r="BB49" s="63">
        <f t="shared" si="45"/>
        <v>6.0586869326578002E-2</v>
      </c>
      <c r="BD49" s="63">
        <f t="shared" si="34"/>
        <v>-0.34084761045987377</v>
      </c>
      <c r="BE49" s="63">
        <f t="shared" si="35"/>
        <v>-8.1865284974093261E-2</v>
      </c>
      <c r="BF49" s="63">
        <f t="shared" si="59"/>
        <v>-0.14637639644800918</v>
      </c>
      <c r="BH49" s="28">
        <v>0.55789473684210522</v>
      </c>
      <c r="BJ49" s="28">
        <v>0.55789473684210522</v>
      </c>
      <c r="BN49" s="155">
        <f t="shared" si="40"/>
        <v>-175.66137566137564</v>
      </c>
      <c r="BO49" s="156">
        <f t="shared" si="41"/>
        <v>-462.86919831223628</v>
      </c>
      <c r="BP49" s="157">
        <f t="shared" si="42"/>
        <v>-179.06066536203522</v>
      </c>
      <c r="BQ49" s="155">
        <v>-483.33333333333331</v>
      </c>
      <c r="BR49" s="156">
        <v>-316.07142857142856</v>
      </c>
      <c r="BS49" s="157">
        <v>-558.33333333333326</v>
      </c>
      <c r="BX49" s="142">
        <f t="shared" si="46"/>
        <v>1</v>
      </c>
      <c r="BY49" s="142">
        <f t="shared" si="47"/>
        <v>1</v>
      </c>
      <c r="BZ49" s="142">
        <f t="shared" si="48"/>
        <v>1</v>
      </c>
      <c r="CA49" s="63">
        <f t="shared" si="49"/>
        <v>0</v>
      </c>
      <c r="CB49" s="63">
        <f t="shared" si="50"/>
        <v>0</v>
      </c>
      <c r="CC49" s="63">
        <f t="shared" si="51"/>
        <v>0</v>
      </c>
      <c r="CD49" s="63">
        <f t="shared" si="52"/>
        <v>0</v>
      </c>
      <c r="CE49" s="63">
        <f t="shared" si="53"/>
        <v>0</v>
      </c>
      <c r="CF49" s="63">
        <f t="shared" si="54"/>
        <v>0</v>
      </c>
      <c r="CG49" s="63">
        <f t="shared" si="55"/>
        <v>0</v>
      </c>
      <c r="CH49" s="63">
        <f t="shared" si="56"/>
        <v>0</v>
      </c>
      <c r="CI49" s="63">
        <f t="shared" si="57"/>
        <v>0</v>
      </c>
      <c r="CL49" s="63">
        <v>-5600</v>
      </c>
      <c r="CM49" s="69">
        <f t="shared" si="25"/>
        <v>5600</v>
      </c>
      <c r="EC49" s="45"/>
      <c r="ED49" s="45"/>
      <c r="EE49" s="45"/>
      <c r="EH49" s="66">
        <v>2.9487179487179485</v>
      </c>
    </row>
    <row r="50" spans="1:138" s="63" customFormat="1">
      <c r="A50" s="63" t="s">
        <v>110</v>
      </c>
      <c r="B50" s="63">
        <v>230</v>
      </c>
      <c r="C50" s="63" t="s">
        <v>38</v>
      </c>
      <c r="D50" s="63" t="s">
        <v>32</v>
      </c>
      <c r="E50" s="63">
        <v>5</v>
      </c>
      <c r="F50" s="63">
        <v>3</v>
      </c>
      <c r="G50" s="63">
        <v>426</v>
      </c>
      <c r="H50" s="63">
        <v>588</v>
      </c>
      <c r="I50" s="63">
        <v>1018</v>
      </c>
      <c r="J50" s="63">
        <v>0</v>
      </c>
      <c r="K50" s="63">
        <v>0</v>
      </c>
      <c r="L50" s="63">
        <v>0</v>
      </c>
      <c r="M50" s="63">
        <v>426</v>
      </c>
      <c r="N50" s="63">
        <v>588</v>
      </c>
      <c r="O50" s="63">
        <v>765</v>
      </c>
      <c r="P50" s="63">
        <v>0</v>
      </c>
      <c r="Q50" s="63">
        <v>0</v>
      </c>
      <c r="R50" s="63">
        <v>-253</v>
      </c>
      <c r="S50" s="63">
        <v>0</v>
      </c>
      <c r="T50" s="63">
        <v>0</v>
      </c>
      <c r="U50" s="63">
        <v>-253</v>
      </c>
      <c r="V50" s="63">
        <v>0</v>
      </c>
      <c r="W50" s="63">
        <v>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426</v>
      </c>
      <c r="AF50" s="63">
        <v>588</v>
      </c>
      <c r="AG50" s="63">
        <v>1018</v>
      </c>
      <c r="AH50" s="63">
        <v>426</v>
      </c>
      <c r="AI50" s="63">
        <v>588</v>
      </c>
      <c r="AJ50" s="63">
        <v>765</v>
      </c>
      <c r="AK50" s="63">
        <v>0</v>
      </c>
      <c r="AL50" s="63">
        <v>0</v>
      </c>
      <c r="AM50" s="63">
        <v>-253</v>
      </c>
      <c r="AN50" s="63">
        <v>0</v>
      </c>
      <c r="AO50" s="63">
        <v>0</v>
      </c>
      <c r="AP50" s="63">
        <v>-253</v>
      </c>
      <c r="AS50" s="63" t="e">
        <f t="shared" si="27"/>
        <v>#DIV/0!</v>
      </c>
      <c r="AT50" s="63" t="e">
        <f t="shared" si="19"/>
        <v>#DIV/0!</v>
      </c>
      <c r="AU50" s="63" t="e">
        <f t="shared" si="20"/>
        <v>#DIV/0!</v>
      </c>
      <c r="AV50" s="63">
        <v>0.4434389140271493</v>
      </c>
      <c r="AW50" s="63">
        <v>1.0360824742268042</v>
      </c>
      <c r="AX50" s="63">
        <v>0.34285714285714286</v>
      </c>
      <c r="AZ50" s="63">
        <f t="shared" si="43"/>
        <v>0</v>
      </c>
      <c r="BA50" s="63">
        <f t="shared" si="44"/>
        <v>0</v>
      </c>
      <c r="BB50" s="63">
        <f t="shared" si="45"/>
        <v>-0.24852652259332023</v>
      </c>
      <c r="BD50" s="63">
        <f t="shared" ref="BD50:BD81" si="60">P50/G50</f>
        <v>0</v>
      </c>
      <c r="BE50" s="63">
        <f t="shared" ref="BE50:BE81" si="61">Q50/H50</f>
        <v>0</v>
      </c>
      <c r="BF50" s="63">
        <f t="shared" si="59"/>
        <v>-0.24852652259332023</v>
      </c>
      <c r="BH50" s="132">
        <v>-1.874581566614595E-2</v>
      </c>
      <c r="BJ50" s="132">
        <v>-1.8968980138361971E-2</v>
      </c>
      <c r="BN50" s="155" t="e">
        <f t="shared" si="40"/>
        <v>#DIV/0!</v>
      </c>
      <c r="BO50" s="156" t="e">
        <f t="shared" si="41"/>
        <v>#DIV/0!</v>
      </c>
      <c r="BP50" s="157">
        <f t="shared" si="42"/>
        <v>0</v>
      </c>
      <c r="BQ50" s="155">
        <v>-184.12698412698413</v>
      </c>
      <c r="BR50" s="156">
        <v>-115.2542372881356</v>
      </c>
      <c r="BS50" s="157"/>
      <c r="BX50" s="142">
        <f t="shared" si="46"/>
        <v>0</v>
      </c>
      <c r="BY50" s="142">
        <f t="shared" si="47"/>
        <v>0</v>
      </c>
      <c r="BZ50" s="142">
        <f t="shared" si="48"/>
        <v>1</v>
      </c>
      <c r="CA50" s="63" t="e">
        <f t="shared" si="49"/>
        <v>#DIV/0!</v>
      </c>
      <c r="CB50" s="63" t="e">
        <f t="shared" si="50"/>
        <v>#DIV/0!</v>
      </c>
      <c r="CC50" s="63">
        <f t="shared" si="51"/>
        <v>1</v>
      </c>
      <c r="CD50" s="63" t="e">
        <f t="shared" si="52"/>
        <v>#DIV/0!</v>
      </c>
      <c r="CE50" s="63" t="e">
        <f t="shared" si="53"/>
        <v>#DIV/0!</v>
      </c>
      <c r="CF50" s="63">
        <f t="shared" si="54"/>
        <v>0</v>
      </c>
      <c r="CG50" s="63">
        <f t="shared" si="55"/>
        <v>1</v>
      </c>
      <c r="CH50" s="63">
        <f t="shared" si="56"/>
        <v>1</v>
      </c>
      <c r="CI50" s="63">
        <f t="shared" si="57"/>
        <v>0</v>
      </c>
      <c r="CL50" s="63">
        <v>-278.9473684210526</v>
      </c>
      <c r="CM50" s="69">
        <f t="shared" si="25"/>
        <v>278.9473684210526</v>
      </c>
      <c r="EC50" s="45"/>
      <c r="ED50" s="45"/>
      <c r="EE50" s="45"/>
      <c r="EH50" s="66">
        <v>0.15384615384615385</v>
      </c>
    </row>
    <row r="51" spans="1:138" s="63" customFormat="1">
      <c r="A51" s="63" t="s">
        <v>111</v>
      </c>
      <c r="B51" s="63">
        <v>420</v>
      </c>
      <c r="C51" s="63" t="s">
        <v>38</v>
      </c>
      <c r="D51" s="63" t="s">
        <v>35</v>
      </c>
      <c r="E51" s="63">
        <v>5</v>
      </c>
      <c r="F51" s="63">
        <v>2</v>
      </c>
      <c r="G51" s="63">
        <v>58</v>
      </c>
      <c r="H51" s="63">
        <v>111</v>
      </c>
      <c r="I51" s="63">
        <v>97</v>
      </c>
      <c r="J51" s="63">
        <v>0</v>
      </c>
      <c r="K51" s="63">
        <v>0</v>
      </c>
      <c r="L51" s="63">
        <v>0</v>
      </c>
      <c r="M51" s="63">
        <v>72</v>
      </c>
      <c r="N51" s="63">
        <v>120</v>
      </c>
      <c r="O51" s="63">
        <v>106</v>
      </c>
      <c r="P51" s="63">
        <v>14</v>
      </c>
      <c r="Q51" s="63">
        <v>9</v>
      </c>
      <c r="R51" s="63">
        <v>9</v>
      </c>
      <c r="S51" s="63">
        <v>14</v>
      </c>
      <c r="T51" s="63">
        <v>9</v>
      </c>
      <c r="U51" s="63">
        <v>9</v>
      </c>
      <c r="V51" s="63">
        <v>18</v>
      </c>
      <c r="W51" s="63">
        <v>39</v>
      </c>
      <c r="X51" s="63">
        <v>39</v>
      </c>
      <c r="Y51" s="63">
        <v>18</v>
      </c>
      <c r="Z51" s="63">
        <v>39</v>
      </c>
      <c r="AA51" s="63">
        <v>39</v>
      </c>
      <c r="AB51" s="63">
        <v>18</v>
      </c>
      <c r="AC51" s="63">
        <v>39</v>
      </c>
      <c r="AD51" s="63">
        <v>39</v>
      </c>
      <c r="AE51" s="63">
        <v>58</v>
      </c>
      <c r="AF51" s="63">
        <v>111</v>
      </c>
      <c r="AG51" s="63">
        <v>97</v>
      </c>
      <c r="AH51" s="63">
        <v>90</v>
      </c>
      <c r="AI51" s="63">
        <v>159</v>
      </c>
      <c r="AJ51" s="63">
        <v>145</v>
      </c>
      <c r="AK51" s="63">
        <v>32</v>
      </c>
      <c r="AL51" s="63">
        <v>48</v>
      </c>
      <c r="AM51" s="63">
        <v>48</v>
      </c>
      <c r="AN51" s="63">
        <v>32</v>
      </c>
      <c r="AO51" s="63">
        <v>48</v>
      </c>
      <c r="AP51" s="63">
        <v>48</v>
      </c>
      <c r="AS51" s="63" t="e">
        <f t="shared" si="27"/>
        <v>#DIV/0!</v>
      </c>
      <c r="AT51" s="63" t="e">
        <f t="shared" si="19"/>
        <v>#DIV/0!</v>
      </c>
      <c r="AU51" s="63" t="e">
        <f t="shared" si="20"/>
        <v>#DIV/0!</v>
      </c>
      <c r="AV51" s="63">
        <v>3</v>
      </c>
      <c r="AW51" s="63">
        <v>2.6153846153846154</v>
      </c>
      <c r="AX51" s="63">
        <v>3.6749999999999998</v>
      </c>
      <c r="AZ51" s="63">
        <f t="shared" si="43"/>
        <v>0.55172413793103448</v>
      </c>
      <c r="BA51" s="63">
        <f t="shared" si="44"/>
        <v>0.43243243243243246</v>
      </c>
      <c r="BB51" s="63">
        <f t="shared" si="45"/>
        <v>0.49484536082474229</v>
      </c>
      <c r="BD51" s="63">
        <f t="shared" si="60"/>
        <v>0.2413793103448276</v>
      </c>
      <c r="BE51" s="63">
        <f t="shared" si="61"/>
        <v>8.1081081081081086E-2</v>
      </c>
      <c r="BF51" s="63">
        <f t="shared" si="59"/>
        <v>9.2783505154639179E-2</v>
      </c>
      <c r="BH51" s="132">
        <v>2.9953198127925112E-2</v>
      </c>
      <c r="BJ51" s="132">
        <v>-6.2402496099843989E-2</v>
      </c>
      <c r="BN51" s="155">
        <f t="shared" si="40"/>
        <v>128.57142857142858</v>
      </c>
      <c r="BO51" s="156">
        <f t="shared" si="41"/>
        <v>433.33333333333331</v>
      </c>
      <c r="BP51" s="157">
        <f t="shared" si="42"/>
        <v>433.33333333333331</v>
      </c>
      <c r="BQ51" s="155">
        <v>-96.644295302013433</v>
      </c>
      <c r="BR51" s="156">
        <v>-90.681003584229387</v>
      </c>
      <c r="BS51" s="157"/>
      <c r="BX51" s="142">
        <f t="shared" si="46"/>
        <v>0</v>
      </c>
      <c r="BY51" s="142">
        <f t="shared" si="47"/>
        <v>0</v>
      </c>
      <c r="BZ51" s="142">
        <f t="shared" si="48"/>
        <v>0</v>
      </c>
      <c r="CA51" s="63">
        <f t="shared" si="49"/>
        <v>0</v>
      </c>
      <c r="CB51" s="63">
        <f t="shared" si="50"/>
        <v>0</v>
      </c>
      <c r="CC51" s="63">
        <f t="shared" si="51"/>
        <v>0</v>
      </c>
      <c r="CD51" s="63">
        <f t="shared" si="52"/>
        <v>1</v>
      </c>
      <c r="CE51" s="63">
        <f t="shared" si="53"/>
        <v>1</v>
      </c>
      <c r="CF51" s="63">
        <f t="shared" si="54"/>
        <v>1</v>
      </c>
      <c r="CG51" s="63">
        <f t="shared" si="55"/>
        <v>0</v>
      </c>
      <c r="CH51" s="63">
        <f t="shared" si="56"/>
        <v>0</v>
      </c>
      <c r="CI51" s="63">
        <f t="shared" si="57"/>
        <v>0</v>
      </c>
      <c r="CL51" s="63">
        <v>-157.14285714285714</v>
      </c>
      <c r="CM51" s="69">
        <f t="shared" si="25"/>
        <v>157.14285714285714</v>
      </c>
      <c r="EC51" s="68"/>
      <c r="ED51" s="68"/>
      <c r="EE51" s="68"/>
      <c r="EH51" s="66">
        <v>3.9829763866007681</v>
      </c>
    </row>
    <row r="52" spans="1:138" s="63" customFormat="1">
      <c r="A52" s="63" t="s">
        <v>112</v>
      </c>
      <c r="B52" s="63">
        <v>125</v>
      </c>
      <c r="C52" s="63" t="s">
        <v>38</v>
      </c>
      <c r="D52" s="63" t="s">
        <v>35</v>
      </c>
      <c r="E52" s="63">
        <v>1</v>
      </c>
      <c r="F52" s="63">
        <v>2</v>
      </c>
      <c r="G52" s="63">
        <f>(CN52/1125)*125</f>
        <v>1512.5555555555557</v>
      </c>
      <c r="H52" s="63">
        <f t="shared" ref="H52:AP52" si="62">(CO52/1125)*125</f>
        <v>1426.1111111111111</v>
      </c>
      <c r="I52" s="63">
        <f t="shared" si="62"/>
        <v>308.66666666666663</v>
      </c>
      <c r="J52" s="63">
        <f t="shared" si="62"/>
        <v>440.77777777777777</v>
      </c>
      <c r="K52" s="63">
        <f t="shared" si="62"/>
        <v>504.11111111111109</v>
      </c>
      <c r="L52" s="63">
        <f t="shared" si="62"/>
        <v>38.777777777777779</v>
      </c>
      <c r="M52" s="63">
        <f t="shared" si="62"/>
        <v>1456.6666666666667</v>
      </c>
      <c r="N52" s="63">
        <f t="shared" si="62"/>
        <v>1489</v>
      </c>
      <c r="O52" s="63">
        <f t="shared" si="62"/>
        <v>276.22222222222223</v>
      </c>
      <c r="P52" s="63">
        <f t="shared" si="62"/>
        <v>-55.888888888888893</v>
      </c>
      <c r="Q52" s="63">
        <f t="shared" si="62"/>
        <v>63.222222222222221</v>
      </c>
      <c r="R52" s="63">
        <f t="shared" si="62"/>
        <v>-32.444444444444443</v>
      </c>
      <c r="S52" s="63">
        <f t="shared" si="62"/>
        <v>-55.888888888888893</v>
      </c>
      <c r="T52" s="63">
        <f t="shared" si="62"/>
        <v>63.222222222222221</v>
      </c>
      <c r="U52" s="63">
        <f t="shared" si="62"/>
        <v>-32.444444444444443</v>
      </c>
      <c r="V52" s="63">
        <f t="shared" si="62"/>
        <v>640.8888888888888</v>
      </c>
      <c r="W52" s="63">
        <f t="shared" si="62"/>
        <v>649.22222222222229</v>
      </c>
      <c r="X52" s="63">
        <f t="shared" si="62"/>
        <v>47.666666666666671</v>
      </c>
      <c r="Y52" s="63">
        <f t="shared" si="62"/>
        <v>200.11111111111111</v>
      </c>
      <c r="Z52" s="63">
        <f t="shared" si="62"/>
        <v>167.33333333333334</v>
      </c>
      <c r="AA52" s="63">
        <f t="shared" si="62"/>
        <v>8.8888888888888893</v>
      </c>
      <c r="AB52" s="63">
        <f t="shared" si="62"/>
        <v>173.55555555555554</v>
      </c>
      <c r="AC52" s="63">
        <f t="shared" si="62"/>
        <v>145.11111111111111</v>
      </c>
      <c r="AD52" s="63">
        <f t="shared" si="62"/>
        <v>8.8888888888888893</v>
      </c>
      <c r="AE52" s="63">
        <f t="shared" si="62"/>
        <v>1953.3333333333333</v>
      </c>
      <c r="AF52" s="63">
        <f t="shared" si="62"/>
        <v>1930.2222222222222</v>
      </c>
      <c r="AG52" s="63">
        <f t="shared" si="62"/>
        <v>347.44444444444446</v>
      </c>
      <c r="AH52" s="63">
        <f t="shared" si="62"/>
        <v>2097.5555555555557</v>
      </c>
      <c r="AI52" s="63">
        <f t="shared" si="62"/>
        <v>2138.2222222222222</v>
      </c>
      <c r="AJ52" s="63">
        <f t="shared" si="62"/>
        <v>323.88888888888891</v>
      </c>
      <c r="AK52" s="63">
        <f t="shared" si="62"/>
        <v>144.22222222222223</v>
      </c>
      <c r="AL52" s="63">
        <f t="shared" si="62"/>
        <v>208</v>
      </c>
      <c r="AM52" s="63">
        <f t="shared" si="62"/>
        <v>-23.555555555555554</v>
      </c>
      <c r="AN52" s="63">
        <f t="shared" si="62"/>
        <v>117.66666666666667</v>
      </c>
      <c r="AO52" s="63">
        <f t="shared" si="62"/>
        <v>208.33333333333334</v>
      </c>
      <c r="AP52" s="63">
        <f t="shared" si="62"/>
        <v>-23.555555555555554</v>
      </c>
      <c r="AS52" s="63">
        <f t="shared" si="27"/>
        <v>0.4539954625661709</v>
      </c>
      <c r="AT52" s="63">
        <f t="shared" si="19"/>
        <v>0.33193740357064144</v>
      </c>
      <c r="AU52" s="63">
        <f t="shared" si="20"/>
        <v>0.22922636103151864</v>
      </c>
      <c r="AV52" s="63">
        <v>38.666666666666664</v>
      </c>
      <c r="AW52" s="63">
        <v>4.3620689655172411</v>
      </c>
      <c r="AX52" s="63">
        <v>6.1304347826086953</v>
      </c>
      <c r="AZ52" s="63">
        <f t="shared" si="43"/>
        <v>7.3833902161547213E-2</v>
      </c>
      <c r="BA52" s="63">
        <f t="shared" si="44"/>
        <v>0.10775961317061938</v>
      </c>
      <c r="BB52" s="63">
        <f t="shared" si="45"/>
        <v>-6.7796610169491511E-2</v>
      </c>
      <c r="BD52" s="63">
        <f t="shared" si="60"/>
        <v>-3.6949974289282303E-2</v>
      </c>
      <c r="BE52" s="63">
        <f t="shared" si="61"/>
        <v>4.4331904947409427E-2</v>
      </c>
      <c r="BF52" s="63">
        <f t="shared" si="59"/>
        <v>-0.10511159107271419</v>
      </c>
      <c r="BH52" s="132">
        <v>-0.15208156329651656</v>
      </c>
      <c r="BJ52" s="132">
        <v>-0.28829225352112675</v>
      </c>
      <c r="BN52" s="155">
        <f t="shared" si="40"/>
        <v>-358.05168986083498</v>
      </c>
      <c r="BO52" s="156">
        <f t="shared" si="41"/>
        <v>264.67486818980672</v>
      </c>
      <c r="BP52" s="157">
        <f t="shared" si="42"/>
        <v>-27.397260273972606</v>
      </c>
      <c r="BQ52" s="155">
        <v>-251.28205128205127</v>
      </c>
      <c r="BR52" s="156">
        <v>-260</v>
      </c>
      <c r="BS52" s="157"/>
      <c r="BX52" s="142">
        <f t="shared" si="46"/>
        <v>1</v>
      </c>
      <c r="BY52" s="142">
        <f t="shared" si="47"/>
        <v>0</v>
      </c>
      <c r="BZ52" s="142">
        <f t="shared" si="48"/>
        <v>1</v>
      </c>
      <c r="CA52" s="63">
        <f t="shared" si="49"/>
        <v>0</v>
      </c>
      <c r="CB52" s="63">
        <f t="shared" si="50"/>
        <v>0</v>
      </c>
      <c r="CC52" s="63">
        <f t="shared" si="51"/>
        <v>0</v>
      </c>
      <c r="CD52" s="63">
        <f t="shared" si="52"/>
        <v>0</v>
      </c>
      <c r="CE52" s="63">
        <f t="shared" si="53"/>
        <v>1</v>
      </c>
      <c r="CF52" s="63">
        <f t="shared" si="54"/>
        <v>0</v>
      </c>
      <c r="CG52" s="63">
        <f t="shared" si="55"/>
        <v>0</v>
      </c>
      <c r="CH52" s="63">
        <f t="shared" si="56"/>
        <v>0</v>
      </c>
      <c r="CI52" s="63">
        <f t="shared" si="57"/>
        <v>0</v>
      </c>
      <c r="CL52" s="63">
        <v>-483.33333333333331</v>
      </c>
      <c r="CM52" s="69">
        <f t="shared" si="25"/>
        <v>483.33333333333331</v>
      </c>
      <c r="CN52" s="63">
        <v>13613</v>
      </c>
      <c r="CO52" s="63">
        <v>12835</v>
      </c>
      <c r="CP52" s="63">
        <v>2778</v>
      </c>
      <c r="CQ52" s="63">
        <v>3967</v>
      </c>
      <c r="CR52" s="63">
        <v>4537</v>
      </c>
      <c r="CS52" s="63">
        <v>349</v>
      </c>
      <c r="CT52" s="63">
        <v>13110</v>
      </c>
      <c r="CU52" s="63">
        <v>13401</v>
      </c>
      <c r="CV52" s="63">
        <v>2486</v>
      </c>
      <c r="CW52" s="63">
        <v>-503</v>
      </c>
      <c r="CX52" s="63">
        <v>569</v>
      </c>
      <c r="CY52" s="63">
        <v>-292</v>
      </c>
      <c r="CZ52" s="63">
        <v>-503</v>
      </c>
      <c r="DA52" s="63">
        <v>569</v>
      </c>
      <c r="DB52" s="63">
        <v>-292</v>
      </c>
      <c r="DC52" s="63">
        <v>5768</v>
      </c>
      <c r="DD52" s="63">
        <v>5843</v>
      </c>
      <c r="DE52" s="63">
        <v>429</v>
      </c>
      <c r="DF52" s="63">
        <v>1801</v>
      </c>
      <c r="DG52" s="63">
        <v>1506</v>
      </c>
      <c r="DH52" s="63">
        <v>80</v>
      </c>
      <c r="DI52" s="63">
        <v>1562</v>
      </c>
      <c r="DJ52" s="63">
        <v>1306</v>
      </c>
      <c r="DK52" s="63">
        <v>80</v>
      </c>
      <c r="DL52" s="63">
        <v>17580</v>
      </c>
      <c r="DM52" s="63">
        <v>17372</v>
      </c>
      <c r="DN52" s="63">
        <v>3127</v>
      </c>
      <c r="DO52" s="63">
        <v>18878</v>
      </c>
      <c r="DP52" s="63">
        <v>19244</v>
      </c>
      <c r="DQ52" s="63">
        <v>2915</v>
      </c>
      <c r="DR52" s="63">
        <v>1298</v>
      </c>
      <c r="DS52" s="63">
        <v>1872</v>
      </c>
      <c r="DT52" s="63">
        <v>-212</v>
      </c>
      <c r="DU52" s="63">
        <v>1059</v>
      </c>
      <c r="DV52" s="63">
        <v>1875</v>
      </c>
      <c r="DW52" s="63">
        <v>-212</v>
      </c>
      <c r="EC52" s="47"/>
      <c r="ED52" s="47"/>
      <c r="EE52" s="47"/>
      <c r="EH52" s="66">
        <v>20.628099173553718</v>
      </c>
    </row>
    <row r="53" spans="1:138" s="63" customFormat="1">
      <c r="A53" s="63" t="s">
        <v>113</v>
      </c>
      <c r="B53" s="63">
        <v>100</v>
      </c>
      <c r="C53" s="63" t="s">
        <v>38</v>
      </c>
      <c r="D53" s="63" t="s">
        <v>35</v>
      </c>
      <c r="E53" s="63">
        <v>4</v>
      </c>
      <c r="F53" s="63">
        <v>6</v>
      </c>
      <c r="G53" s="63">
        <v>286</v>
      </c>
      <c r="H53" s="63">
        <v>301</v>
      </c>
      <c r="I53" s="63">
        <v>277</v>
      </c>
      <c r="J53" s="63">
        <v>97</v>
      </c>
      <c r="K53" s="63">
        <v>12</v>
      </c>
      <c r="L53" s="63">
        <v>20</v>
      </c>
      <c r="M53" s="63">
        <v>335</v>
      </c>
      <c r="N53" s="63">
        <v>221</v>
      </c>
      <c r="O53" s="63">
        <v>283</v>
      </c>
      <c r="P53" s="63">
        <v>49</v>
      </c>
      <c r="Q53" s="63">
        <v>-80</v>
      </c>
      <c r="R53" s="63">
        <v>6</v>
      </c>
      <c r="S53" s="63">
        <v>49</v>
      </c>
      <c r="T53" s="63">
        <v>-80</v>
      </c>
      <c r="U53" s="63">
        <v>6</v>
      </c>
      <c r="V53" s="63">
        <v>148</v>
      </c>
      <c r="W53" s="63">
        <v>77</v>
      </c>
      <c r="X53" s="63">
        <v>90</v>
      </c>
      <c r="Y53" s="63">
        <v>51</v>
      </c>
      <c r="Z53" s="63">
        <v>65</v>
      </c>
      <c r="AA53" s="63">
        <v>70</v>
      </c>
      <c r="AB53" s="63">
        <v>51</v>
      </c>
      <c r="AC53" s="63">
        <v>65</v>
      </c>
      <c r="AD53" s="63">
        <v>70</v>
      </c>
      <c r="AE53" s="63">
        <v>383</v>
      </c>
      <c r="AF53" s="63">
        <v>313</v>
      </c>
      <c r="AG53" s="63">
        <v>297</v>
      </c>
      <c r="AH53" s="63">
        <v>483</v>
      </c>
      <c r="AI53" s="63">
        <v>298</v>
      </c>
      <c r="AJ53" s="63">
        <v>373</v>
      </c>
      <c r="AK53" s="63">
        <v>100</v>
      </c>
      <c r="AL53" s="63">
        <v>-15</v>
      </c>
      <c r="AM53" s="63">
        <v>76</v>
      </c>
      <c r="AN53" s="63">
        <v>100</v>
      </c>
      <c r="AO53" s="63">
        <v>-15</v>
      </c>
      <c r="AP53" s="63">
        <v>76</v>
      </c>
      <c r="AS53" s="63">
        <f t="shared" si="27"/>
        <v>0.52577319587628868</v>
      </c>
      <c r="AT53" s="63">
        <f t="shared" si="19"/>
        <v>5.416666666666667</v>
      </c>
      <c r="AU53" s="63">
        <f t="shared" si="20"/>
        <v>3.5</v>
      </c>
      <c r="AV53" s="63">
        <v>0.3473684210526316</v>
      </c>
      <c r="AW53" s="63">
        <v>0.15662650602409639</v>
      </c>
      <c r="AX53" s="63">
        <v>0.18045112781954886</v>
      </c>
      <c r="AZ53" s="63">
        <f t="shared" si="43"/>
        <v>0.26109660574412535</v>
      </c>
      <c r="BA53" s="63">
        <f t="shared" si="44"/>
        <v>-4.7923322683706068E-2</v>
      </c>
      <c r="BB53" s="63">
        <f t="shared" si="45"/>
        <v>0.25589225589225589</v>
      </c>
      <c r="BD53" s="63">
        <f t="shared" si="60"/>
        <v>0.17132867132867133</v>
      </c>
      <c r="BE53" s="63">
        <f t="shared" si="61"/>
        <v>-0.26578073089700999</v>
      </c>
      <c r="BF53" s="63">
        <f t="shared" si="59"/>
        <v>2.1660649819494584E-2</v>
      </c>
      <c r="BH53" s="132">
        <v>-2.7870680044593088E-2</v>
      </c>
      <c r="BJ53" s="132">
        <v>-2.7870680044593088E-2</v>
      </c>
      <c r="BN53" s="155">
        <f t="shared" si="40"/>
        <v>104.08163265306123</v>
      </c>
      <c r="BO53" s="156">
        <f t="shared" si="41"/>
        <v>-81.25</v>
      </c>
      <c r="BP53" s="157">
        <f t="shared" si="42"/>
        <v>1166.6666666666665</v>
      </c>
      <c r="BQ53" s="155">
        <v>-131.25</v>
      </c>
      <c r="BR53" s="156">
        <v>-152</v>
      </c>
      <c r="BS53" s="157"/>
      <c r="BX53" s="142">
        <f t="shared" si="46"/>
        <v>0</v>
      </c>
      <c r="BY53" s="142">
        <f t="shared" si="47"/>
        <v>1</v>
      </c>
      <c r="BZ53" s="142">
        <f t="shared" si="48"/>
        <v>0</v>
      </c>
      <c r="CA53" s="63">
        <f t="shared" si="49"/>
        <v>0</v>
      </c>
      <c r="CB53" s="63">
        <f t="shared" si="50"/>
        <v>0</v>
      </c>
      <c r="CC53" s="63">
        <f t="shared" si="51"/>
        <v>0</v>
      </c>
      <c r="CD53" s="63">
        <f t="shared" si="52"/>
        <v>1</v>
      </c>
      <c r="CE53" s="63">
        <f t="shared" si="53"/>
        <v>0</v>
      </c>
      <c r="CF53" s="63">
        <f t="shared" si="54"/>
        <v>1</v>
      </c>
      <c r="CG53" s="63">
        <f t="shared" si="55"/>
        <v>0</v>
      </c>
      <c r="CH53" s="63">
        <f t="shared" si="56"/>
        <v>0</v>
      </c>
      <c r="CI53" s="63">
        <f t="shared" si="57"/>
        <v>0</v>
      </c>
      <c r="CL53" s="63">
        <v>-184.12698412698413</v>
      </c>
      <c r="CM53" s="69">
        <f t="shared" si="25"/>
        <v>184.12698412698413</v>
      </c>
      <c r="EH53" s="63">
        <v>1.5238095238095237</v>
      </c>
    </row>
    <row r="54" spans="1:138" s="63" customFormat="1">
      <c r="A54" s="63" t="s">
        <v>114</v>
      </c>
      <c r="B54" s="63">
        <v>195</v>
      </c>
      <c r="C54" s="63" t="s">
        <v>38</v>
      </c>
      <c r="D54" s="63" t="s">
        <v>33</v>
      </c>
      <c r="E54" s="63">
        <v>4</v>
      </c>
      <c r="F54" s="63">
        <v>5</v>
      </c>
      <c r="G54" s="63">
        <v>868</v>
      </c>
      <c r="H54" s="63">
        <v>1750</v>
      </c>
      <c r="I54" s="63">
        <v>1041</v>
      </c>
      <c r="J54" s="63">
        <v>49</v>
      </c>
      <c r="K54" s="63">
        <v>291</v>
      </c>
      <c r="L54" s="63">
        <v>207</v>
      </c>
      <c r="M54" s="63">
        <v>867</v>
      </c>
      <c r="N54" s="63">
        <v>1740</v>
      </c>
      <c r="O54" s="63">
        <v>1040</v>
      </c>
      <c r="P54" s="63">
        <v>-1</v>
      </c>
      <c r="Q54" s="63">
        <v>-10</v>
      </c>
      <c r="R54" s="63">
        <v>-1</v>
      </c>
      <c r="S54" s="63">
        <v>-1</v>
      </c>
      <c r="T54" s="63">
        <v>-10</v>
      </c>
      <c r="U54" s="63">
        <v>-1</v>
      </c>
      <c r="V54" s="63">
        <v>105</v>
      </c>
      <c r="W54" s="63">
        <v>291</v>
      </c>
      <c r="X54" s="63">
        <v>203</v>
      </c>
      <c r="Y54" s="63">
        <v>56</v>
      </c>
      <c r="Z54" s="63">
        <v>0</v>
      </c>
      <c r="AA54" s="63">
        <v>-4</v>
      </c>
      <c r="AB54" s="63">
        <v>56</v>
      </c>
      <c r="AC54" s="63">
        <v>0</v>
      </c>
      <c r="AD54" s="63">
        <v>-4</v>
      </c>
      <c r="AE54" s="63">
        <v>917</v>
      </c>
      <c r="AF54" s="63">
        <v>2041</v>
      </c>
      <c r="AG54" s="63">
        <v>1248</v>
      </c>
      <c r="AH54" s="63">
        <v>972</v>
      </c>
      <c r="AI54" s="63">
        <v>2031</v>
      </c>
      <c r="AJ54" s="63">
        <v>1243</v>
      </c>
      <c r="AK54" s="63">
        <v>55</v>
      </c>
      <c r="AL54" s="63">
        <v>-10</v>
      </c>
      <c r="AM54" s="63">
        <v>-5</v>
      </c>
      <c r="AN54" s="63">
        <v>55</v>
      </c>
      <c r="AO54" s="63">
        <v>-10</v>
      </c>
      <c r="AP54" s="63">
        <v>-5</v>
      </c>
      <c r="AS54" s="63">
        <f t="shared" si="27"/>
        <v>1.1428571428571428</v>
      </c>
      <c r="AT54" s="63">
        <f t="shared" si="19"/>
        <v>0</v>
      </c>
      <c r="AU54" s="63">
        <f t="shared" si="20"/>
        <v>-1.932367149758454E-2</v>
      </c>
      <c r="AV54" s="63">
        <v>0.58333333333333337</v>
      </c>
      <c r="AW54" s="63">
        <v>0.26436781609195403</v>
      </c>
      <c r="AX54" s="63">
        <v>0.28630136986301369</v>
      </c>
      <c r="AZ54" s="63">
        <f t="shared" si="43"/>
        <v>5.9978189749182113E-2</v>
      </c>
      <c r="BA54" s="63">
        <f t="shared" si="44"/>
        <v>-4.8995590396864281E-3</v>
      </c>
      <c r="BB54" s="63">
        <f t="shared" si="45"/>
        <v>-4.0064102564102561E-3</v>
      </c>
      <c r="BD54" s="63">
        <f t="shared" si="60"/>
        <v>-1.152073732718894E-3</v>
      </c>
      <c r="BE54" s="63">
        <f t="shared" si="61"/>
        <v>-5.7142857142857143E-3</v>
      </c>
      <c r="BF54" s="63">
        <f t="shared" si="59"/>
        <v>-9.6061479346781938E-4</v>
      </c>
      <c r="BH54" s="132">
        <v>1.1666666666666667</v>
      </c>
      <c r="BJ54" s="132">
        <v>1.1666666666666667</v>
      </c>
      <c r="BN54" s="155">
        <f t="shared" si="40"/>
        <v>-5600</v>
      </c>
      <c r="BO54" s="156">
        <f t="shared" si="41"/>
        <v>0</v>
      </c>
      <c r="BP54" s="157">
        <f t="shared" si="42"/>
        <v>400</v>
      </c>
      <c r="BQ54" s="155">
        <v>-130.3370786516854</v>
      </c>
      <c r="BR54" s="156">
        <v>-102.27272727272727</v>
      </c>
      <c r="BS54" s="157"/>
      <c r="BX54" s="142">
        <f t="shared" si="46"/>
        <v>1</v>
      </c>
      <c r="BY54" s="142">
        <f t="shared" si="47"/>
        <v>1</v>
      </c>
      <c r="BZ54" s="142">
        <f t="shared" si="48"/>
        <v>1</v>
      </c>
      <c r="CA54" s="63">
        <f t="shared" si="49"/>
        <v>0</v>
      </c>
      <c r="CB54" s="63">
        <f t="shared" si="50"/>
        <v>1</v>
      </c>
      <c r="CC54" s="63">
        <f t="shared" si="51"/>
        <v>0</v>
      </c>
      <c r="CD54" s="63">
        <f t="shared" si="52"/>
        <v>0</v>
      </c>
      <c r="CE54" s="63">
        <f t="shared" si="53"/>
        <v>0</v>
      </c>
      <c r="CF54" s="63">
        <f t="shared" si="54"/>
        <v>1</v>
      </c>
      <c r="CG54" s="63">
        <f t="shared" si="55"/>
        <v>0</v>
      </c>
      <c r="CH54" s="63">
        <f t="shared" si="56"/>
        <v>0</v>
      </c>
      <c r="CI54" s="63">
        <f t="shared" si="57"/>
        <v>0</v>
      </c>
      <c r="CL54" s="63">
        <v>-96.644295302013433</v>
      </c>
      <c r="CM54" s="69">
        <f t="shared" si="25"/>
        <v>96.644295302013433</v>
      </c>
      <c r="EH54" s="63">
        <v>0</v>
      </c>
    </row>
    <row r="55" spans="1:138" s="63" customFormat="1">
      <c r="A55" s="63" t="s">
        <v>115</v>
      </c>
      <c r="B55" s="63">
        <v>112</v>
      </c>
      <c r="C55" s="63" t="s">
        <v>38</v>
      </c>
      <c r="D55" s="63" t="s">
        <v>35</v>
      </c>
      <c r="E55" s="63">
        <v>1</v>
      </c>
      <c r="F55" s="63">
        <v>2</v>
      </c>
      <c r="G55" s="63">
        <v>74</v>
      </c>
      <c r="H55" s="63">
        <v>76</v>
      </c>
      <c r="I55" s="63">
        <v>69</v>
      </c>
      <c r="J55" s="63">
        <v>0</v>
      </c>
      <c r="K55" s="63">
        <v>0</v>
      </c>
      <c r="L55" s="63">
        <v>0</v>
      </c>
      <c r="M55" s="63">
        <v>77</v>
      </c>
      <c r="N55" s="63">
        <v>73</v>
      </c>
      <c r="O55" s="63">
        <v>69</v>
      </c>
      <c r="P55" s="63">
        <v>3</v>
      </c>
      <c r="Q55" s="63">
        <v>-3</v>
      </c>
      <c r="R55" s="63">
        <v>0</v>
      </c>
      <c r="S55" s="63">
        <v>3</v>
      </c>
      <c r="T55" s="63">
        <v>-3</v>
      </c>
      <c r="U55" s="63">
        <v>0</v>
      </c>
      <c r="V55" s="63">
        <v>3</v>
      </c>
      <c r="W55" s="63">
        <v>3</v>
      </c>
      <c r="X55" s="63">
        <v>0</v>
      </c>
      <c r="Y55" s="63">
        <v>3</v>
      </c>
      <c r="Z55" s="63">
        <v>3</v>
      </c>
      <c r="AA55" s="63">
        <v>0</v>
      </c>
      <c r="AB55" s="63">
        <v>3</v>
      </c>
      <c r="AC55" s="63">
        <v>3</v>
      </c>
      <c r="AD55" s="63">
        <v>0</v>
      </c>
      <c r="AE55" s="63">
        <v>74</v>
      </c>
      <c r="AF55" s="63">
        <v>76</v>
      </c>
      <c r="AG55" s="63">
        <v>69</v>
      </c>
      <c r="AH55" s="63">
        <v>80</v>
      </c>
      <c r="AI55" s="63">
        <v>76</v>
      </c>
      <c r="AJ55" s="63">
        <v>69</v>
      </c>
      <c r="AK55" s="63">
        <v>6</v>
      </c>
      <c r="AL55" s="63">
        <v>0</v>
      </c>
      <c r="AM55" s="63">
        <v>0</v>
      </c>
      <c r="AN55" s="63">
        <v>6</v>
      </c>
      <c r="AO55" s="63">
        <v>0</v>
      </c>
      <c r="AP55" s="63">
        <v>0</v>
      </c>
      <c r="AS55" s="63" t="e">
        <f t="shared" si="27"/>
        <v>#DIV/0!</v>
      </c>
      <c r="AT55" s="63" t="e">
        <f t="shared" si="19"/>
        <v>#DIV/0!</v>
      </c>
      <c r="AU55" s="63" t="e">
        <f t="shared" si="20"/>
        <v>#DIV/0!</v>
      </c>
      <c r="AV55" s="63">
        <v>0</v>
      </c>
      <c r="AW55" s="63">
        <v>1.3103448275862069</v>
      </c>
      <c r="AX55" s="63">
        <v>0.05</v>
      </c>
      <c r="AZ55" s="63">
        <f t="shared" si="43"/>
        <v>8.1081081081081086E-2</v>
      </c>
      <c r="BA55" s="63">
        <f t="shared" si="44"/>
        <v>0</v>
      </c>
      <c r="BB55" s="63">
        <f t="shared" si="45"/>
        <v>0</v>
      </c>
      <c r="BD55" s="63">
        <f t="shared" si="60"/>
        <v>4.0540540540540543E-2</v>
      </c>
      <c r="BE55" s="63">
        <f t="shared" si="61"/>
        <v>-3.9473684210526314E-2</v>
      </c>
      <c r="BF55" s="63">
        <f t="shared" si="59"/>
        <v>0</v>
      </c>
      <c r="BH55" s="132">
        <v>5.306799336650083E-2</v>
      </c>
      <c r="BJ55" s="132">
        <v>-1.658374792703151E-2</v>
      </c>
      <c r="BN55" s="155">
        <f t="shared" si="40"/>
        <v>100</v>
      </c>
      <c r="BO55" s="156">
        <f t="shared" si="41"/>
        <v>-100</v>
      </c>
      <c r="BP55" s="157" t="e">
        <f t="shared" si="42"/>
        <v>#DIV/0!</v>
      </c>
      <c r="BQ55" s="155"/>
      <c r="BR55" s="156"/>
      <c r="BS55" s="157"/>
      <c r="BX55" s="142">
        <f t="shared" si="46"/>
        <v>0</v>
      </c>
      <c r="BY55" s="142">
        <f t="shared" si="47"/>
        <v>1</v>
      </c>
      <c r="BZ55" s="142">
        <f t="shared" si="48"/>
        <v>0</v>
      </c>
      <c r="CA55" s="63">
        <f t="shared" si="49"/>
        <v>0</v>
      </c>
      <c r="CB55" s="63">
        <f t="shared" si="50"/>
        <v>0</v>
      </c>
      <c r="CC55" s="63" t="e">
        <f t="shared" si="51"/>
        <v>#DIV/0!</v>
      </c>
      <c r="CD55" s="63">
        <f t="shared" si="52"/>
        <v>1</v>
      </c>
      <c r="CE55" s="63">
        <f t="shared" si="53"/>
        <v>0</v>
      </c>
      <c r="CF55" s="63" t="e">
        <f t="shared" si="54"/>
        <v>#DIV/0!</v>
      </c>
      <c r="CG55" s="63">
        <f t="shared" si="55"/>
        <v>0</v>
      </c>
      <c r="CH55" s="63">
        <f t="shared" si="56"/>
        <v>0</v>
      </c>
      <c r="CI55" s="63">
        <f t="shared" si="57"/>
        <v>1</v>
      </c>
      <c r="CL55" s="63">
        <v>-251.28205128205127</v>
      </c>
      <c r="CM55" s="69">
        <f t="shared" si="25"/>
        <v>251.28205128205127</v>
      </c>
      <c r="EH55" s="63">
        <v>1.5316455696202531</v>
      </c>
    </row>
    <row r="56" spans="1:138" s="63" customFormat="1">
      <c r="A56" s="63" t="s">
        <v>116</v>
      </c>
      <c r="B56" s="63">
        <v>130</v>
      </c>
      <c r="C56" s="63" t="s">
        <v>38</v>
      </c>
      <c r="D56" s="63" t="s">
        <v>33</v>
      </c>
      <c r="E56" s="63">
        <v>1</v>
      </c>
      <c r="F56" s="63">
        <v>1</v>
      </c>
      <c r="G56" s="63">
        <v>330</v>
      </c>
      <c r="H56" s="63">
        <v>442</v>
      </c>
      <c r="I56" s="63">
        <v>404</v>
      </c>
      <c r="J56" s="63">
        <v>311</v>
      </c>
      <c r="K56" s="63">
        <v>0</v>
      </c>
      <c r="L56" s="63">
        <v>0</v>
      </c>
      <c r="M56" s="63">
        <v>311</v>
      </c>
      <c r="N56" s="63">
        <v>457</v>
      </c>
      <c r="O56" s="63">
        <v>442</v>
      </c>
      <c r="P56" s="63">
        <v>-19</v>
      </c>
      <c r="Q56" s="63">
        <v>15</v>
      </c>
      <c r="R56" s="63">
        <v>38</v>
      </c>
      <c r="S56" s="63">
        <v>-19</v>
      </c>
      <c r="T56" s="63">
        <v>15</v>
      </c>
      <c r="U56" s="63">
        <v>38</v>
      </c>
      <c r="V56" s="63">
        <v>53</v>
      </c>
      <c r="W56" s="63">
        <v>24</v>
      </c>
      <c r="X56" s="63">
        <v>47</v>
      </c>
      <c r="Y56" s="63">
        <v>53</v>
      </c>
      <c r="Z56" s="63">
        <v>24</v>
      </c>
      <c r="AA56" s="63">
        <v>47</v>
      </c>
      <c r="AB56" s="63">
        <v>53</v>
      </c>
      <c r="AC56" s="63">
        <v>24</v>
      </c>
      <c r="AD56" s="63">
        <v>47</v>
      </c>
      <c r="AE56" s="63">
        <v>641</v>
      </c>
      <c r="AF56" s="63">
        <v>442</v>
      </c>
      <c r="AG56" s="63">
        <v>404</v>
      </c>
      <c r="AH56" s="63">
        <v>364</v>
      </c>
      <c r="AI56" s="63">
        <v>481</v>
      </c>
      <c r="AJ56" s="63">
        <v>489</v>
      </c>
      <c r="AK56" s="63">
        <v>-277</v>
      </c>
      <c r="AL56" s="63">
        <v>39</v>
      </c>
      <c r="AM56" s="63">
        <v>85</v>
      </c>
      <c r="AN56" s="63">
        <v>34</v>
      </c>
      <c r="AO56" s="63">
        <v>39</v>
      </c>
      <c r="AP56" s="63">
        <v>85</v>
      </c>
      <c r="AS56" s="63">
        <f t="shared" si="27"/>
        <v>0.17041800643086816</v>
      </c>
      <c r="AT56" s="63" t="e">
        <f t="shared" si="19"/>
        <v>#DIV/0!</v>
      </c>
      <c r="AU56" s="63" t="e">
        <f t="shared" si="20"/>
        <v>#DIV/0!</v>
      </c>
      <c r="AW56" s="63">
        <v>0.3515625</v>
      </c>
      <c r="AX56" s="63">
        <v>0.21153846153846154</v>
      </c>
      <c r="AZ56" s="63">
        <f t="shared" si="43"/>
        <v>-0.43213728549141966</v>
      </c>
      <c r="BA56" s="63">
        <f t="shared" si="44"/>
        <v>8.8235294117647065E-2</v>
      </c>
      <c r="BB56" s="63">
        <f t="shared" si="45"/>
        <v>0.21039603960396039</v>
      </c>
      <c r="BD56" s="63">
        <f t="shared" si="60"/>
        <v>-5.7575757575757579E-2</v>
      </c>
      <c r="BE56" s="63">
        <f t="shared" si="61"/>
        <v>3.3936651583710405E-2</v>
      </c>
      <c r="BF56" s="63">
        <f t="shared" si="59"/>
        <v>9.405940594059406E-2</v>
      </c>
      <c r="BH56" s="132">
        <v>-0.30025445292620867</v>
      </c>
      <c r="BJ56" s="132">
        <v>-0.30025445292620867</v>
      </c>
      <c r="BN56" s="155">
        <f t="shared" si="40"/>
        <v>-278.9473684210526</v>
      </c>
      <c r="BO56" s="156">
        <f t="shared" si="41"/>
        <v>160</v>
      </c>
      <c r="BP56" s="157">
        <f t="shared" si="42"/>
        <v>123.68421052631579</v>
      </c>
      <c r="BQ56" s="155"/>
      <c r="BR56" s="156"/>
      <c r="BS56" s="157"/>
      <c r="BX56" s="142">
        <f t="shared" si="46"/>
        <v>1</v>
      </c>
      <c r="BY56" s="142">
        <f t="shared" si="47"/>
        <v>0</v>
      </c>
      <c r="BZ56" s="142">
        <f t="shared" si="48"/>
        <v>0</v>
      </c>
      <c r="CA56" s="63">
        <f t="shared" si="49"/>
        <v>0</v>
      </c>
      <c r="CB56" s="63">
        <f t="shared" si="50"/>
        <v>0</v>
      </c>
      <c r="CC56" s="63">
        <f t="shared" si="51"/>
        <v>0</v>
      </c>
      <c r="CD56" s="63">
        <f t="shared" si="52"/>
        <v>0</v>
      </c>
      <c r="CE56" s="63">
        <f t="shared" si="53"/>
        <v>1</v>
      </c>
      <c r="CF56" s="63">
        <f t="shared" si="54"/>
        <v>1</v>
      </c>
      <c r="CG56" s="63">
        <f t="shared" si="55"/>
        <v>0</v>
      </c>
      <c r="CH56" s="63">
        <f t="shared" si="56"/>
        <v>0</v>
      </c>
      <c r="CI56" s="63">
        <f t="shared" si="57"/>
        <v>0</v>
      </c>
      <c r="CL56" s="63">
        <v>-131.25</v>
      </c>
      <c r="CM56" s="69">
        <f t="shared" si="25"/>
        <v>131.25</v>
      </c>
      <c r="ED56" s="64"/>
      <c r="EE56" s="64"/>
      <c r="EH56" s="63">
        <v>0</v>
      </c>
    </row>
    <row r="57" spans="1:138" s="63" customFormat="1">
      <c r="A57" s="63" t="s">
        <v>117</v>
      </c>
      <c r="B57" s="63">
        <v>187</v>
      </c>
      <c r="C57" s="63" t="s">
        <v>38</v>
      </c>
      <c r="D57" s="63" t="s">
        <v>32</v>
      </c>
      <c r="E57" s="63">
        <v>3</v>
      </c>
      <c r="F57" s="63">
        <v>5</v>
      </c>
      <c r="G57" s="63">
        <v>500</v>
      </c>
      <c r="H57" s="63">
        <v>590</v>
      </c>
      <c r="I57" s="63">
        <v>629</v>
      </c>
      <c r="J57" s="63">
        <v>12</v>
      </c>
      <c r="K57" s="63">
        <v>33</v>
      </c>
      <c r="L57" s="63">
        <v>15</v>
      </c>
      <c r="M57" s="63">
        <v>388</v>
      </c>
      <c r="N57" s="63">
        <v>552</v>
      </c>
      <c r="O57" s="63">
        <v>568</v>
      </c>
      <c r="P57" s="63">
        <v>-112</v>
      </c>
      <c r="Q57" s="63">
        <v>-38</v>
      </c>
      <c r="R57" s="63">
        <v>-61</v>
      </c>
      <c r="S57" s="63">
        <v>-112</v>
      </c>
      <c r="T57" s="63">
        <v>-38</v>
      </c>
      <c r="U57" s="63">
        <v>-61</v>
      </c>
      <c r="V57" s="63">
        <v>188</v>
      </c>
      <c r="W57" s="63">
        <v>125</v>
      </c>
      <c r="X57" s="63">
        <v>136</v>
      </c>
      <c r="Y57" s="63">
        <v>176</v>
      </c>
      <c r="Z57" s="63">
        <v>92</v>
      </c>
      <c r="AA57" s="63">
        <v>121</v>
      </c>
      <c r="AB57" s="63">
        <v>176</v>
      </c>
      <c r="AC57" s="63">
        <v>92</v>
      </c>
      <c r="AD57" s="63">
        <v>121</v>
      </c>
      <c r="AE57" s="63">
        <v>512</v>
      </c>
      <c r="AF57" s="63">
        <v>623</v>
      </c>
      <c r="AG57" s="63">
        <v>644</v>
      </c>
      <c r="AH57" s="63">
        <v>576</v>
      </c>
      <c r="AI57" s="63">
        <v>677</v>
      </c>
      <c r="AJ57" s="63">
        <v>704</v>
      </c>
      <c r="AK57" s="63">
        <v>64</v>
      </c>
      <c r="AL57" s="63">
        <v>54</v>
      </c>
      <c r="AM57" s="63">
        <v>60</v>
      </c>
      <c r="AN57" s="63">
        <v>64</v>
      </c>
      <c r="AO57" s="63">
        <v>54</v>
      </c>
      <c r="AP57" s="63">
        <v>60</v>
      </c>
      <c r="AS57" s="63">
        <f t="shared" si="27"/>
        <v>14.666666666666666</v>
      </c>
      <c r="AT57" s="63">
        <f t="shared" si="19"/>
        <v>2.7878787878787881</v>
      </c>
      <c r="AU57" s="63">
        <f t="shared" si="20"/>
        <v>8.0666666666666664</v>
      </c>
      <c r="AX57" s="63">
        <v>0.3316831683168317</v>
      </c>
      <c r="AZ57" s="63">
        <f t="shared" si="43"/>
        <v>0.125</v>
      </c>
      <c r="BA57" s="63">
        <f t="shared" si="44"/>
        <v>8.6677367576243974E-2</v>
      </c>
      <c r="BB57" s="63">
        <f t="shared" si="45"/>
        <v>9.3167701863354033E-2</v>
      </c>
      <c r="BD57" s="63">
        <f t="shared" si="60"/>
        <v>-0.224</v>
      </c>
      <c r="BE57" s="63">
        <f t="shared" si="61"/>
        <v>-6.4406779661016947E-2</v>
      </c>
      <c r="BF57" s="63">
        <f t="shared" si="59"/>
        <v>-9.6979332273449917E-2</v>
      </c>
      <c r="BH57" s="132">
        <v>0.22543352601156069</v>
      </c>
      <c r="BJ57" s="132">
        <v>0.22543352601156069</v>
      </c>
      <c r="BN57" s="155">
        <f t="shared" ref="BN57:BN88" si="63">(Y57/P57)*100</f>
        <v>-157.14285714285714</v>
      </c>
      <c r="BO57" s="156">
        <f t="shared" ref="BO57:BO88" si="64">(Z57/Q57)*100</f>
        <v>-242.10526315789474</v>
      </c>
      <c r="BP57" s="157">
        <f t="shared" si="42"/>
        <v>-198.36065573770492</v>
      </c>
      <c r="BQ57" s="155"/>
      <c r="BR57" s="156"/>
      <c r="BS57" s="157"/>
      <c r="BX57" s="142">
        <f t="shared" si="46"/>
        <v>1</v>
      </c>
      <c r="BY57" s="142">
        <f t="shared" si="47"/>
        <v>1</v>
      </c>
      <c r="BZ57" s="142">
        <f t="shared" si="48"/>
        <v>1</v>
      </c>
      <c r="CA57" s="63">
        <f t="shared" si="49"/>
        <v>0</v>
      </c>
      <c r="CB57" s="63">
        <f t="shared" si="50"/>
        <v>0</v>
      </c>
      <c r="CC57" s="63">
        <f t="shared" si="51"/>
        <v>0</v>
      </c>
      <c r="CD57" s="63">
        <f t="shared" si="52"/>
        <v>0</v>
      </c>
      <c r="CE57" s="63">
        <f t="shared" si="53"/>
        <v>0</v>
      </c>
      <c r="CF57" s="63">
        <f t="shared" si="54"/>
        <v>0</v>
      </c>
      <c r="CG57" s="63">
        <f t="shared" si="55"/>
        <v>0</v>
      </c>
      <c r="CH57" s="63">
        <f t="shared" si="56"/>
        <v>0</v>
      </c>
      <c r="CI57" s="63">
        <f t="shared" si="57"/>
        <v>0</v>
      </c>
      <c r="CL57" s="63">
        <v>-130.3370786516854</v>
      </c>
      <c r="CM57" s="69">
        <f t="shared" si="25"/>
        <v>130.3370786516854</v>
      </c>
      <c r="ED57" s="64"/>
      <c r="EE57" s="64"/>
      <c r="EH57" s="63">
        <v>2.7958993476234855E-2</v>
      </c>
    </row>
    <row r="58" spans="1:138" s="63" customFormat="1">
      <c r="A58" s="63" t="s">
        <v>118</v>
      </c>
      <c r="B58" s="63">
        <v>55</v>
      </c>
      <c r="C58" s="63" t="s">
        <v>38</v>
      </c>
      <c r="D58" s="63" t="s">
        <v>35</v>
      </c>
      <c r="E58" s="63">
        <v>4</v>
      </c>
      <c r="F58" s="63">
        <v>6</v>
      </c>
      <c r="G58" s="63">
        <v>229</v>
      </c>
      <c r="H58" s="63">
        <v>240</v>
      </c>
      <c r="I58" s="63">
        <v>334</v>
      </c>
      <c r="J58" s="63">
        <v>0</v>
      </c>
      <c r="K58" s="63">
        <v>0</v>
      </c>
      <c r="L58" s="63">
        <v>0</v>
      </c>
      <c r="M58" s="63">
        <v>229</v>
      </c>
      <c r="N58" s="63">
        <v>240</v>
      </c>
      <c r="O58" s="63">
        <v>352</v>
      </c>
      <c r="P58" s="63">
        <v>0</v>
      </c>
      <c r="Q58" s="63">
        <v>0</v>
      </c>
      <c r="R58" s="63">
        <v>18</v>
      </c>
      <c r="S58" s="63">
        <v>0</v>
      </c>
      <c r="T58" s="63">
        <v>0</v>
      </c>
      <c r="U58" s="63">
        <v>18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0</v>
      </c>
      <c r="AE58" s="63">
        <v>229</v>
      </c>
      <c r="AF58" s="63">
        <v>240</v>
      </c>
      <c r="AG58" s="63">
        <v>334</v>
      </c>
      <c r="AH58" s="63">
        <v>229</v>
      </c>
      <c r="AI58" s="63">
        <v>240</v>
      </c>
      <c r="AJ58" s="63">
        <v>352</v>
      </c>
      <c r="AK58" s="63">
        <v>0</v>
      </c>
      <c r="AL58" s="63">
        <v>0</v>
      </c>
      <c r="AM58" s="63">
        <v>18</v>
      </c>
      <c r="AN58" s="63">
        <v>0</v>
      </c>
      <c r="AO58" s="63">
        <v>0</v>
      </c>
      <c r="AP58" s="63">
        <v>18</v>
      </c>
      <c r="AS58" s="63" t="e">
        <f t="shared" si="27"/>
        <v>#DIV/0!</v>
      </c>
      <c r="AT58" s="63" t="e">
        <f t="shared" si="19"/>
        <v>#DIV/0!</v>
      </c>
      <c r="AU58" s="63" t="e">
        <f t="shared" si="20"/>
        <v>#DIV/0!</v>
      </c>
      <c r="AZ58" s="63">
        <f t="shared" si="43"/>
        <v>0</v>
      </c>
      <c r="BA58" s="63">
        <f t="shared" si="44"/>
        <v>0</v>
      </c>
      <c r="BB58" s="63">
        <f t="shared" si="45"/>
        <v>5.3892215568862277E-2</v>
      </c>
      <c r="BD58" s="63">
        <f t="shared" si="60"/>
        <v>0</v>
      </c>
      <c r="BE58" s="63">
        <f t="shared" si="61"/>
        <v>0</v>
      </c>
      <c r="BF58" s="63">
        <f t="shared" si="59"/>
        <v>5.3892215568862277E-2</v>
      </c>
      <c r="BH58" s="132">
        <v>0.23385300668151449</v>
      </c>
      <c r="BJ58" s="132">
        <v>0.23385300668151449</v>
      </c>
      <c r="BN58" s="155" t="e">
        <f t="shared" si="63"/>
        <v>#DIV/0!</v>
      </c>
      <c r="BO58" s="156" t="e">
        <f t="shared" si="64"/>
        <v>#DIV/0!</v>
      </c>
      <c r="BP58" s="157">
        <f t="shared" ref="BP58:BP94" si="65">(AA58/R58)*100</f>
        <v>0</v>
      </c>
      <c r="BQ58" s="155"/>
      <c r="BR58" s="156"/>
      <c r="BS58" s="157"/>
      <c r="BX58" s="142">
        <f t="shared" si="46"/>
        <v>0</v>
      </c>
      <c r="BY58" s="142">
        <f t="shared" si="47"/>
        <v>0</v>
      </c>
      <c r="BZ58" s="142">
        <f t="shared" si="48"/>
        <v>0</v>
      </c>
      <c r="CA58" s="63" t="e">
        <f t="shared" si="49"/>
        <v>#DIV/0!</v>
      </c>
      <c r="CB58" s="63" t="e">
        <f t="shared" si="50"/>
        <v>#DIV/0!</v>
      </c>
      <c r="CC58" s="63">
        <f t="shared" si="51"/>
        <v>1</v>
      </c>
      <c r="CD58" s="63" t="e">
        <f t="shared" si="52"/>
        <v>#DIV/0!</v>
      </c>
      <c r="CE58" s="63" t="e">
        <f t="shared" si="53"/>
        <v>#DIV/0!</v>
      </c>
      <c r="CF58" s="63">
        <f t="shared" si="54"/>
        <v>0</v>
      </c>
      <c r="CG58" s="63">
        <f t="shared" si="55"/>
        <v>1</v>
      </c>
      <c r="CH58" s="63">
        <f t="shared" si="56"/>
        <v>1</v>
      </c>
      <c r="CI58" s="63">
        <f t="shared" si="57"/>
        <v>0</v>
      </c>
      <c r="CL58" s="63">
        <v>-57.324840764331206</v>
      </c>
      <c r="CM58" s="69">
        <f t="shared" si="25"/>
        <v>57.324840764331206</v>
      </c>
      <c r="EC58" s="64"/>
      <c r="ED58" s="64"/>
      <c r="EE58" s="64"/>
      <c r="EH58" s="63">
        <v>0.38325281803542671</v>
      </c>
    </row>
    <row r="59" spans="1:138" s="63" customFormat="1">
      <c r="A59" s="63" t="s">
        <v>119</v>
      </c>
      <c r="B59" s="63">
        <v>336</v>
      </c>
      <c r="C59" s="63" t="s">
        <v>38</v>
      </c>
      <c r="D59" s="63" t="s">
        <v>32</v>
      </c>
      <c r="E59" s="63">
        <v>1</v>
      </c>
      <c r="F59" s="63">
        <v>2</v>
      </c>
      <c r="G59" s="63">
        <v>2736</v>
      </c>
      <c r="H59" s="63">
        <v>3257</v>
      </c>
      <c r="I59" s="63">
        <v>3081</v>
      </c>
      <c r="J59" s="63">
        <v>176</v>
      </c>
      <c r="K59" s="63">
        <v>121</v>
      </c>
      <c r="L59" s="63">
        <v>69</v>
      </c>
      <c r="M59" s="63">
        <v>2730</v>
      </c>
      <c r="N59" s="63">
        <v>3258</v>
      </c>
      <c r="O59" s="63">
        <v>3083</v>
      </c>
      <c r="P59" s="63">
        <v>-6</v>
      </c>
      <c r="Q59" s="63">
        <v>1</v>
      </c>
      <c r="R59" s="63">
        <v>2</v>
      </c>
      <c r="S59" s="63">
        <v>-6</v>
      </c>
      <c r="T59" s="63">
        <v>1</v>
      </c>
      <c r="U59" s="63">
        <v>2</v>
      </c>
      <c r="V59" s="63">
        <v>205</v>
      </c>
      <c r="W59" s="63">
        <v>125</v>
      </c>
      <c r="X59" s="63">
        <v>71</v>
      </c>
      <c r="Y59" s="63">
        <v>29</v>
      </c>
      <c r="Z59" s="63">
        <v>4</v>
      </c>
      <c r="AA59" s="63">
        <v>2</v>
      </c>
      <c r="AB59" s="63">
        <v>29</v>
      </c>
      <c r="AC59" s="63">
        <v>4</v>
      </c>
      <c r="AD59" s="63">
        <v>2</v>
      </c>
      <c r="AE59" s="63">
        <v>2912</v>
      </c>
      <c r="AF59" s="63">
        <v>3378</v>
      </c>
      <c r="AG59" s="63">
        <v>3150</v>
      </c>
      <c r="AH59" s="63">
        <v>2935</v>
      </c>
      <c r="AI59" s="63">
        <v>3383</v>
      </c>
      <c r="AJ59" s="63">
        <v>3154</v>
      </c>
      <c r="AK59" s="63">
        <v>23</v>
      </c>
      <c r="AL59" s="63">
        <v>5</v>
      </c>
      <c r="AM59" s="63">
        <v>4</v>
      </c>
      <c r="AN59" s="63">
        <v>23</v>
      </c>
      <c r="AO59" s="63">
        <v>5</v>
      </c>
      <c r="AP59" s="63">
        <v>4</v>
      </c>
      <c r="AS59" s="63">
        <f t="shared" si="27"/>
        <v>0.16477272727272727</v>
      </c>
      <c r="AT59" s="63">
        <f t="shared" si="19"/>
        <v>3.3057851239669422E-2</v>
      </c>
      <c r="AU59" s="63">
        <f t="shared" si="20"/>
        <v>2.8985507246376812E-2</v>
      </c>
      <c r="AZ59" s="63">
        <f t="shared" si="43"/>
        <v>7.898351648351648E-3</v>
      </c>
      <c r="BA59" s="63">
        <f t="shared" si="44"/>
        <v>1.4801657785671995E-3</v>
      </c>
      <c r="BB59" s="63">
        <f t="shared" si="45"/>
        <v>1.2698412698412698E-3</v>
      </c>
      <c r="BD59" s="63">
        <f t="shared" si="60"/>
        <v>-2.1929824561403508E-3</v>
      </c>
      <c r="BE59" s="63">
        <f t="shared" si="61"/>
        <v>3.0703101013202335E-4</v>
      </c>
      <c r="BF59" s="63">
        <f t="shared" si="59"/>
        <v>6.4913988964621875E-4</v>
      </c>
      <c r="BH59" s="132">
        <v>-0.14729574223245109</v>
      </c>
      <c r="BJ59" s="132">
        <v>-0.18629173989455183</v>
      </c>
      <c r="BN59" s="155">
        <f t="shared" si="63"/>
        <v>-483.33333333333331</v>
      </c>
      <c r="BO59" s="156">
        <f t="shared" si="64"/>
        <v>400</v>
      </c>
      <c r="BP59" s="157">
        <f t="shared" si="65"/>
        <v>100</v>
      </c>
      <c r="BQ59" s="155"/>
      <c r="BR59" s="156"/>
      <c r="BS59" s="157"/>
      <c r="BX59" s="142">
        <f t="shared" si="46"/>
        <v>1</v>
      </c>
      <c r="BY59" s="142">
        <f t="shared" si="47"/>
        <v>0</v>
      </c>
      <c r="BZ59" s="142">
        <f t="shared" si="48"/>
        <v>0</v>
      </c>
      <c r="CA59" s="63">
        <f t="shared" si="49"/>
        <v>0</v>
      </c>
      <c r="CB59" s="63">
        <f t="shared" si="50"/>
        <v>0</v>
      </c>
      <c r="CC59" s="63">
        <f t="shared" si="51"/>
        <v>0</v>
      </c>
      <c r="CD59" s="63">
        <f t="shared" si="52"/>
        <v>0</v>
      </c>
      <c r="CE59" s="63">
        <f t="shared" si="53"/>
        <v>1</v>
      </c>
      <c r="CF59" s="63">
        <f t="shared" si="54"/>
        <v>1</v>
      </c>
      <c r="CG59" s="63">
        <f t="shared" si="55"/>
        <v>0</v>
      </c>
      <c r="CH59" s="63">
        <f t="shared" si="56"/>
        <v>0</v>
      </c>
      <c r="CI59" s="63">
        <f t="shared" si="57"/>
        <v>0</v>
      </c>
      <c r="CL59" s="63">
        <v>-71.264367816091962</v>
      </c>
      <c r="CM59" s="69">
        <f t="shared" si="25"/>
        <v>71.264367816091962</v>
      </c>
      <c r="EC59" s="64"/>
      <c r="ED59" s="64"/>
      <c r="EE59" s="64"/>
      <c r="EH59" s="63">
        <v>3.6666666666666665</v>
      </c>
    </row>
    <row r="60" spans="1:138" s="63" customFormat="1">
      <c r="A60" s="63" t="s">
        <v>120</v>
      </c>
      <c r="B60" s="63">
        <v>104</v>
      </c>
      <c r="C60" s="63" t="s">
        <v>38</v>
      </c>
      <c r="D60" s="63" t="s">
        <v>32</v>
      </c>
      <c r="E60" s="63">
        <v>2</v>
      </c>
      <c r="F60" s="63">
        <v>3</v>
      </c>
      <c r="G60" s="63">
        <v>331</v>
      </c>
      <c r="H60" s="63">
        <v>500</v>
      </c>
      <c r="I60" s="63">
        <v>601</v>
      </c>
      <c r="J60" s="63">
        <v>95</v>
      </c>
      <c r="K60" s="63">
        <v>146</v>
      </c>
      <c r="L60" s="63">
        <v>156</v>
      </c>
      <c r="M60" s="63">
        <v>268</v>
      </c>
      <c r="N60" s="63">
        <v>400</v>
      </c>
      <c r="O60" s="63">
        <v>650</v>
      </c>
      <c r="P60" s="63">
        <v>-63</v>
      </c>
      <c r="Q60" s="63">
        <v>-100</v>
      </c>
      <c r="R60" s="63">
        <v>49</v>
      </c>
      <c r="S60" s="63">
        <v>-63</v>
      </c>
      <c r="T60" s="63">
        <v>-100</v>
      </c>
      <c r="U60" s="63">
        <v>49</v>
      </c>
      <c r="V60" s="63">
        <v>211</v>
      </c>
      <c r="W60" s="63">
        <v>364</v>
      </c>
      <c r="X60" s="63">
        <v>284</v>
      </c>
      <c r="Y60" s="63">
        <v>116</v>
      </c>
      <c r="Z60" s="63">
        <v>218</v>
      </c>
      <c r="AA60" s="63">
        <v>128</v>
      </c>
      <c r="AB60" s="63">
        <v>116</v>
      </c>
      <c r="AC60" s="63">
        <v>218</v>
      </c>
      <c r="AD60" s="63">
        <v>128</v>
      </c>
      <c r="AE60" s="63">
        <v>426</v>
      </c>
      <c r="AF60" s="63">
        <v>646</v>
      </c>
      <c r="AG60" s="63">
        <v>757</v>
      </c>
      <c r="AH60" s="63">
        <v>479</v>
      </c>
      <c r="AI60" s="63">
        <v>764</v>
      </c>
      <c r="AJ60" s="63">
        <v>934</v>
      </c>
      <c r="AK60" s="63">
        <v>53</v>
      </c>
      <c r="AL60" s="63">
        <v>118</v>
      </c>
      <c r="AM60" s="63">
        <v>177</v>
      </c>
      <c r="AN60" s="63">
        <v>53</v>
      </c>
      <c r="AO60" s="63">
        <v>118</v>
      </c>
      <c r="AP60" s="63">
        <v>177</v>
      </c>
      <c r="AS60" s="63">
        <f t="shared" si="27"/>
        <v>1.2210526315789474</v>
      </c>
      <c r="AT60" s="63">
        <f t="shared" si="19"/>
        <v>1.4931506849315068</v>
      </c>
      <c r="AU60" s="63">
        <f t="shared" si="20"/>
        <v>0.82051282051282048</v>
      </c>
      <c r="AZ60" s="63">
        <f t="shared" si="43"/>
        <v>0.12441314553990611</v>
      </c>
      <c r="BA60" s="63">
        <f t="shared" si="44"/>
        <v>0.1826625386996904</v>
      </c>
      <c r="BB60" s="63">
        <f t="shared" si="45"/>
        <v>0.23381770145310435</v>
      </c>
      <c r="BD60" s="63">
        <f t="shared" si="60"/>
        <v>-0.19033232628398791</v>
      </c>
      <c r="BE60" s="63">
        <f t="shared" si="61"/>
        <v>-0.2</v>
      </c>
      <c r="BF60" s="63">
        <f t="shared" si="59"/>
        <v>8.153078202995008E-2</v>
      </c>
      <c r="BG60" s="63" t="s">
        <v>559</v>
      </c>
      <c r="BH60" s="132">
        <v>-5.8568004793289392E-2</v>
      </c>
      <c r="BI60" s="63" t="s">
        <v>559</v>
      </c>
      <c r="BJ60" s="132">
        <v>-6.0068471833177713E-2</v>
      </c>
      <c r="BK60" s="63" t="s">
        <v>559</v>
      </c>
      <c r="BN60" s="155">
        <f t="shared" si="63"/>
        <v>-184.12698412698413</v>
      </c>
      <c r="BO60" s="156">
        <f t="shared" si="64"/>
        <v>-218.00000000000003</v>
      </c>
      <c r="BP60" s="157">
        <f t="shared" si="65"/>
        <v>261.22448979591837</v>
      </c>
      <c r="BQ60" s="155"/>
      <c r="BR60" s="156"/>
      <c r="BS60" s="157"/>
      <c r="BX60" s="142">
        <f t="shared" si="46"/>
        <v>1</v>
      </c>
      <c r="BY60" s="142">
        <f t="shared" si="47"/>
        <v>1</v>
      </c>
      <c r="BZ60" s="142">
        <f t="shared" si="48"/>
        <v>0</v>
      </c>
      <c r="CA60" s="63">
        <f t="shared" si="49"/>
        <v>0</v>
      </c>
      <c r="CB60" s="63">
        <f t="shared" si="50"/>
        <v>0</v>
      </c>
      <c r="CC60" s="63">
        <f t="shared" si="51"/>
        <v>0</v>
      </c>
      <c r="CD60" s="63">
        <f t="shared" si="52"/>
        <v>0</v>
      </c>
      <c r="CE60" s="63">
        <f t="shared" si="53"/>
        <v>0</v>
      </c>
      <c r="CF60" s="63">
        <f t="shared" si="54"/>
        <v>1</v>
      </c>
      <c r="CG60" s="63">
        <f t="shared" si="55"/>
        <v>0</v>
      </c>
      <c r="CH60" s="63">
        <f t="shared" si="56"/>
        <v>0</v>
      </c>
      <c r="CI60" s="63">
        <f t="shared" si="57"/>
        <v>0</v>
      </c>
      <c r="CL60" s="63">
        <v>-102.94985250737463</v>
      </c>
      <c r="CM60" s="69">
        <f t="shared" si="25"/>
        <v>102.94985250737463</v>
      </c>
      <c r="EH60" s="63">
        <v>4.2794117647058822</v>
      </c>
    </row>
    <row r="61" spans="1:138" s="63" customFormat="1">
      <c r="A61" s="63" t="s">
        <v>121</v>
      </c>
      <c r="B61" s="63">
        <v>127</v>
      </c>
      <c r="C61" s="63" t="s">
        <v>38</v>
      </c>
      <c r="D61" s="63" t="s">
        <v>35</v>
      </c>
      <c r="E61" s="63">
        <v>2</v>
      </c>
      <c r="F61" s="63">
        <v>5</v>
      </c>
      <c r="G61" s="63">
        <v>337</v>
      </c>
      <c r="H61" s="63">
        <v>279</v>
      </c>
      <c r="I61" s="63">
        <v>329</v>
      </c>
      <c r="J61" s="63">
        <v>149</v>
      </c>
      <c r="K61" s="63">
        <v>240</v>
      </c>
      <c r="L61" s="63">
        <v>269</v>
      </c>
      <c r="M61" s="63">
        <v>188</v>
      </c>
      <c r="N61" s="63">
        <v>222</v>
      </c>
      <c r="O61" s="63">
        <v>254</v>
      </c>
      <c r="P61" s="63">
        <v>-149</v>
      </c>
      <c r="Q61" s="63">
        <v>-57</v>
      </c>
      <c r="R61" s="63">
        <v>-75</v>
      </c>
      <c r="S61" s="63">
        <v>-149</v>
      </c>
      <c r="T61" s="63">
        <v>-57</v>
      </c>
      <c r="U61" s="63">
        <v>-75</v>
      </c>
      <c r="V61" s="63">
        <v>293</v>
      </c>
      <c r="W61" s="63">
        <v>388</v>
      </c>
      <c r="X61" s="63">
        <v>507</v>
      </c>
      <c r="Y61" s="63">
        <v>144</v>
      </c>
      <c r="Z61" s="63">
        <v>148</v>
      </c>
      <c r="AA61" s="63">
        <v>238</v>
      </c>
      <c r="AB61" s="63">
        <v>144</v>
      </c>
      <c r="AC61" s="63">
        <v>148</v>
      </c>
      <c r="AD61" s="63">
        <v>238</v>
      </c>
      <c r="AE61" s="63">
        <v>486</v>
      </c>
      <c r="AF61" s="63">
        <v>519</v>
      </c>
      <c r="AG61" s="63">
        <v>598</v>
      </c>
      <c r="AH61" s="63">
        <v>481</v>
      </c>
      <c r="AI61" s="63">
        <v>610</v>
      </c>
      <c r="AJ61" s="63">
        <v>761</v>
      </c>
      <c r="AK61" s="63">
        <v>-5</v>
      </c>
      <c r="AL61" s="63">
        <v>91</v>
      </c>
      <c r="AM61" s="63">
        <v>163</v>
      </c>
      <c r="AN61" s="63">
        <v>-5</v>
      </c>
      <c r="AO61" s="63">
        <v>91</v>
      </c>
      <c r="AP61" s="63">
        <v>163</v>
      </c>
      <c r="AS61" s="63">
        <f t="shared" si="27"/>
        <v>0.96644295302013428</v>
      </c>
      <c r="AT61" s="63">
        <f t="shared" si="19"/>
        <v>0.6166666666666667</v>
      </c>
      <c r="AU61" s="63">
        <f t="shared" si="20"/>
        <v>0.88475836431226762</v>
      </c>
      <c r="AZ61" s="63">
        <f t="shared" si="43"/>
        <v>-1.0288065843621399E-2</v>
      </c>
      <c r="BA61" s="63">
        <f t="shared" si="44"/>
        <v>0.17533718689788053</v>
      </c>
      <c r="BB61" s="63">
        <f t="shared" si="45"/>
        <v>0.27257525083612039</v>
      </c>
      <c r="BD61" s="63">
        <f t="shared" si="60"/>
        <v>-0.44213649851632048</v>
      </c>
      <c r="BE61" s="63">
        <f t="shared" si="61"/>
        <v>-0.20430107526881722</v>
      </c>
      <c r="BF61" s="63">
        <f t="shared" si="59"/>
        <v>-0.22796352583586627</v>
      </c>
      <c r="BH61" s="132">
        <v>6.8889501240011017E-2</v>
      </c>
      <c r="BJ61" s="132">
        <v>-1.3558384061981184E-2</v>
      </c>
      <c r="BN61" s="155">
        <f t="shared" si="63"/>
        <v>-96.644295302013433</v>
      </c>
      <c r="BO61" s="156">
        <f t="shared" si="64"/>
        <v>-259.64912280701753</v>
      </c>
      <c r="BP61" s="157">
        <f t="shared" si="65"/>
        <v>-317.33333333333331</v>
      </c>
      <c r="BQ61" s="155"/>
      <c r="BR61" s="156"/>
      <c r="BS61" s="157"/>
      <c r="BX61" s="142">
        <f t="shared" si="46"/>
        <v>1</v>
      </c>
      <c r="BY61" s="142">
        <f t="shared" si="47"/>
        <v>1</v>
      </c>
      <c r="BZ61" s="142">
        <f t="shared" si="48"/>
        <v>1</v>
      </c>
      <c r="CA61" s="63">
        <f t="shared" si="49"/>
        <v>0</v>
      </c>
      <c r="CB61" s="63">
        <f t="shared" si="50"/>
        <v>0</v>
      </c>
      <c r="CC61" s="63">
        <f t="shared" si="51"/>
        <v>0</v>
      </c>
      <c r="CD61" s="63">
        <f t="shared" si="52"/>
        <v>0</v>
      </c>
      <c r="CE61" s="63">
        <f t="shared" si="53"/>
        <v>0</v>
      </c>
      <c r="CF61" s="63">
        <f t="shared" si="54"/>
        <v>0</v>
      </c>
      <c r="CG61" s="63">
        <f t="shared" si="55"/>
        <v>0</v>
      </c>
      <c r="CH61" s="63">
        <f t="shared" si="56"/>
        <v>0</v>
      </c>
      <c r="CI61" s="63">
        <f t="shared" si="57"/>
        <v>0</v>
      </c>
      <c r="CL61" s="63">
        <v>-287.2093023255814</v>
      </c>
      <c r="CM61" s="69">
        <f t="shared" si="25"/>
        <v>287.2093023255814</v>
      </c>
      <c r="EH61" s="63">
        <v>1.1428571428571428</v>
      </c>
    </row>
    <row r="62" spans="1:138" s="63" customFormat="1">
      <c r="A62" s="63" t="s">
        <v>122</v>
      </c>
      <c r="B62" s="63">
        <v>147</v>
      </c>
      <c r="C62" s="63" t="s">
        <v>38</v>
      </c>
      <c r="D62" s="63" t="s">
        <v>35</v>
      </c>
      <c r="E62" s="63">
        <v>2</v>
      </c>
      <c r="F62" s="63">
        <v>5</v>
      </c>
      <c r="G62" s="63">
        <v>160</v>
      </c>
      <c r="H62" s="63">
        <v>294</v>
      </c>
      <c r="I62" s="63">
        <v>331</v>
      </c>
      <c r="J62" s="63">
        <v>221</v>
      </c>
      <c r="K62" s="63">
        <v>194</v>
      </c>
      <c r="L62" s="63">
        <v>210</v>
      </c>
      <c r="M62" s="63">
        <v>121</v>
      </c>
      <c r="N62" s="63">
        <v>240</v>
      </c>
      <c r="O62" s="63">
        <v>346</v>
      </c>
      <c r="P62" s="63">
        <v>-39</v>
      </c>
      <c r="Q62" s="63">
        <v>-54</v>
      </c>
      <c r="R62" s="63">
        <v>15</v>
      </c>
      <c r="S62" s="63">
        <v>-39</v>
      </c>
      <c r="T62" s="63">
        <v>-54</v>
      </c>
      <c r="U62" s="63">
        <v>15</v>
      </c>
      <c r="V62" s="63">
        <v>319</v>
      </c>
      <c r="W62" s="63">
        <v>395</v>
      </c>
      <c r="X62" s="63">
        <v>282</v>
      </c>
      <c r="Y62" s="63">
        <v>98</v>
      </c>
      <c r="Z62" s="63">
        <v>201</v>
      </c>
      <c r="AA62" s="63">
        <v>72</v>
      </c>
      <c r="AB62" s="63">
        <v>98</v>
      </c>
      <c r="AC62" s="63">
        <v>201</v>
      </c>
      <c r="AD62" s="63">
        <v>72</v>
      </c>
      <c r="AE62" s="63">
        <v>381</v>
      </c>
      <c r="AF62" s="63">
        <v>488</v>
      </c>
      <c r="AG62" s="63">
        <v>541</v>
      </c>
      <c r="AH62" s="63">
        <v>440</v>
      </c>
      <c r="AI62" s="63">
        <v>635</v>
      </c>
      <c r="AJ62" s="63">
        <v>628</v>
      </c>
      <c r="AK62" s="63">
        <v>59</v>
      </c>
      <c r="AL62" s="63">
        <v>147</v>
      </c>
      <c r="AM62" s="63">
        <v>87</v>
      </c>
      <c r="AN62" s="63">
        <v>59</v>
      </c>
      <c r="AO62" s="63">
        <v>147</v>
      </c>
      <c r="AP62" s="63">
        <v>87</v>
      </c>
      <c r="AS62" s="63">
        <f t="shared" si="27"/>
        <v>0.4434389140271493</v>
      </c>
      <c r="AT62" s="63">
        <f t="shared" si="19"/>
        <v>1.0360824742268042</v>
      </c>
      <c r="AU62" s="63">
        <f t="shared" si="20"/>
        <v>0.34285714285714286</v>
      </c>
      <c r="AZ62" s="63">
        <f t="shared" si="43"/>
        <v>0.15485564304461943</v>
      </c>
      <c r="BA62" s="63">
        <f t="shared" si="44"/>
        <v>0.30122950819672129</v>
      </c>
      <c r="BB62" s="63">
        <f t="shared" si="45"/>
        <v>0.16081330868761554</v>
      </c>
      <c r="BD62" s="63">
        <f t="shared" si="60"/>
        <v>-0.24374999999999999</v>
      </c>
      <c r="BE62" s="63">
        <f t="shared" si="61"/>
        <v>-0.18367346938775511</v>
      </c>
      <c r="BF62" s="63">
        <f t="shared" si="59"/>
        <v>4.5317220543806644E-2</v>
      </c>
      <c r="BH62" s="132">
        <v>7.7745783628136569E-2</v>
      </c>
      <c r="BJ62" s="132">
        <v>-9.4865100087032209E-2</v>
      </c>
      <c r="BN62" s="155">
        <f t="shared" si="63"/>
        <v>-251.28205128205127</v>
      </c>
      <c r="BO62" s="156">
        <f t="shared" si="64"/>
        <v>-372.22222222222223</v>
      </c>
      <c r="BP62" s="157">
        <f t="shared" si="65"/>
        <v>480</v>
      </c>
      <c r="BQ62" s="155"/>
      <c r="BR62" s="156"/>
      <c r="BS62" s="157"/>
      <c r="BX62" s="142">
        <f t="shared" si="46"/>
        <v>1</v>
      </c>
      <c r="BY62" s="142">
        <f t="shared" si="47"/>
        <v>1</v>
      </c>
      <c r="BZ62" s="142">
        <f t="shared" si="48"/>
        <v>0</v>
      </c>
      <c r="CA62" s="63">
        <f t="shared" si="49"/>
        <v>0</v>
      </c>
      <c r="CB62" s="63">
        <f t="shared" si="50"/>
        <v>0</v>
      </c>
      <c r="CC62" s="63">
        <f t="shared" si="51"/>
        <v>0</v>
      </c>
      <c r="CD62" s="63">
        <f t="shared" si="52"/>
        <v>0</v>
      </c>
      <c r="CE62" s="63">
        <f t="shared" si="53"/>
        <v>0</v>
      </c>
      <c r="CF62" s="63">
        <f t="shared" si="54"/>
        <v>1</v>
      </c>
      <c r="CG62" s="63">
        <f t="shared" si="55"/>
        <v>0</v>
      </c>
      <c r="CH62" s="63">
        <f t="shared" si="56"/>
        <v>0</v>
      </c>
      <c r="CI62" s="63">
        <f t="shared" si="57"/>
        <v>0</v>
      </c>
      <c r="CL62" s="63">
        <v>-105.88235294117648</v>
      </c>
      <c r="CM62" s="69">
        <f t="shared" si="25"/>
        <v>105.88235294117648</v>
      </c>
      <c r="EH62" s="63">
        <v>20.891891891891891</v>
      </c>
    </row>
    <row r="63" spans="1:138" s="63" customFormat="1">
      <c r="A63" s="63" t="s">
        <v>123</v>
      </c>
      <c r="B63" s="63">
        <v>45</v>
      </c>
      <c r="C63" s="63" t="s">
        <v>38</v>
      </c>
      <c r="D63" s="63" t="s">
        <v>35</v>
      </c>
      <c r="E63" s="63">
        <v>2</v>
      </c>
      <c r="F63" s="63">
        <v>3</v>
      </c>
      <c r="G63" s="63">
        <v>115</v>
      </c>
      <c r="H63" s="63">
        <v>309</v>
      </c>
      <c r="I63" s="63">
        <v>274</v>
      </c>
      <c r="J63" s="63">
        <v>0</v>
      </c>
      <c r="K63" s="63">
        <v>0</v>
      </c>
      <c r="L63" s="63">
        <v>0</v>
      </c>
      <c r="M63" s="63">
        <v>95</v>
      </c>
      <c r="N63" s="63">
        <v>253</v>
      </c>
      <c r="O63" s="63">
        <v>249</v>
      </c>
      <c r="P63" s="63">
        <v>-20</v>
      </c>
      <c r="Q63" s="63">
        <v>-56</v>
      </c>
      <c r="R63" s="63">
        <v>-25</v>
      </c>
      <c r="S63" s="63">
        <v>-20</v>
      </c>
      <c r="T63" s="63">
        <v>-56</v>
      </c>
      <c r="U63" s="63">
        <v>-25</v>
      </c>
      <c r="V63" s="63">
        <v>0</v>
      </c>
      <c r="W63" s="63">
        <v>177</v>
      </c>
      <c r="X63" s="63">
        <v>10</v>
      </c>
      <c r="Y63" s="63">
        <v>0</v>
      </c>
      <c r="Z63" s="63">
        <v>177</v>
      </c>
      <c r="AA63" s="63">
        <v>10</v>
      </c>
      <c r="AB63" s="63">
        <v>0</v>
      </c>
      <c r="AC63" s="63">
        <v>177</v>
      </c>
      <c r="AD63" s="63">
        <v>10</v>
      </c>
      <c r="AE63" s="63">
        <v>115</v>
      </c>
      <c r="AF63" s="63">
        <v>309</v>
      </c>
      <c r="AG63" s="63">
        <v>274</v>
      </c>
      <c r="AH63" s="63">
        <v>95</v>
      </c>
      <c r="AI63" s="63">
        <v>430</v>
      </c>
      <c r="AJ63" s="63">
        <v>259</v>
      </c>
      <c r="AK63" s="63">
        <v>-20</v>
      </c>
      <c r="AL63" s="63">
        <v>121</v>
      </c>
      <c r="AM63" s="63">
        <v>-15</v>
      </c>
      <c r="AN63" s="63">
        <v>-20</v>
      </c>
      <c r="AO63" s="63">
        <v>121</v>
      </c>
      <c r="AP63" s="63">
        <v>-15</v>
      </c>
      <c r="AS63" s="63" t="e">
        <f t="shared" si="27"/>
        <v>#DIV/0!</v>
      </c>
      <c r="AT63" s="63" t="e">
        <f t="shared" si="19"/>
        <v>#DIV/0!</v>
      </c>
      <c r="AU63" s="63" t="e">
        <f t="shared" si="20"/>
        <v>#DIV/0!</v>
      </c>
      <c r="AZ63" s="63">
        <f t="shared" si="43"/>
        <v>-0.17391304347826086</v>
      </c>
      <c r="BA63" s="63">
        <f t="shared" si="44"/>
        <v>0.39158576051779936</v>
      </c>
      <c r="BB63" s="63">
        <f t="shared" si="45"/>
        <v>-5.4744525547445258E-2</v>
      </c>
      <c r="BD63" s="63">
        <f t="shared" si="60"/>
        <v>-0.17391304347826086</v>
      </c>
      <c r="BE63" s="63">
        <f t="shared" si="61"/>
        <v>-0.18122977346278318</v>
      </c>
      <c r="BF63" s="63">
        <f t="shared" si="59"/>
        <v>-9.1240875912408759E-2</v>
      </c>
      <c r="BH63" s="132">
        <v>1.2444444444444444E-2</v>
      </c>
      <c r="BJ63" s="132">
        <v>1.2444444444444444E-2</v>
      </c>
      <c r="BN63" s="155">
        <f t="shared" si="63"/>
        <v>0</v>
      </c>
      <c r="BO63" s="156">
        <f t="shared" si="64"/>
        <v>-316.07142857142856</v>
      </c>
      <c r="BP63" s="157">
        <f t="shared" si="65"/>
        <v>-40</v>
      </c>
      <c r="BQ63" s="155"/>
      <c r="BR63" s="156"/>
      <c r="BS63" s="157"/>
      <c r="BX63" s="142">
        <f t="shared" si="46"/>
        <v>1</v>
      </c>
      <c r="BY63" s="142">
        <f t="shared" si="47"/>
        <v>1</v>
      </c>
      <c r="BZ63" s="142">
        <f t="shared" si="48"/>
        <v>1</v>
      </c>
      <c r="CA63" s="63">
        <f t="shared" si="49"/>
        <v>1</v>
      </c>
      <c r="CB63" s="63">
        <f t="shared" si="50"/>
        <v>0</v>
      </c>
      <c r="CC63" s="63">
        <f t="shared" si="51"/>
        <v>0</v>
      </c>
      <c r="CD63" s="63">
        <f t="shared" si="52"/>
        <v>0</v>
      </c>
      <c r="CE63" s="63">
        <f t="shared" si="53"/>
        <v>0</v>
      </c>
      <c r="CF63" s="63">
        <f t="shared" si="54"/>
        <v>0</v>
      </c>
      <c r="CG63" s="63">
        <f t="shared" si="55"/>
        <v>0</v>
      </c>
      <c r="CH63" s="63">
        <f t="shared" si="56"/>
        <v>0</v>
      </c>
      <c r="CI63" s="63">
        <f t="shared" si="57"/>
        <v>0</v>
      </c>
      <c r="CL63" s="63">
        <v>-84</v>
      </c>
      <c r="CM63" s="69">
        <f t="shared" si="25"/>
        <v>84</v>
      </c>
      <c r="EH63" s="63">
        <v>0.4</v>
      </c>
    </row>
    <row r="64" spans="1:138" s="63" customFormat="1">
      <c r="A64" s="63" t="s">
        <v>124</v>
      </c>
      <c r="B64" s="63">
        <v>120</v>
      </c>
      <c r="C64" s="63" t="s">
        <v>38</v>
      </c>
      <c r="D64" s="63" t="s">
        <v>35</v>
      </c>
      <c r="E64" s="63">
        <v>4</v>
      </c>
      <c r="F64" s="63">
        <v>7</v>
      </c>
      <c r="G64" s="63">
        <v>1203</v>
      </c>
      <c r="H64" s="63">
        <v>457</v>
      </c>
      <c r="I64" s="63">
        <v>362</v>
      </c>
      <c r="J64" s="63">
        <v>0</v>
      </c>
      <c r="K64" s="63">
        <v>0</v>
      </c>
      <c r="L64" s="63">
        <v>0</v>
      </c>
      <c r="M64" s="63">
        <v>933</v>
      </c>
      <c r="N64" s="63">
        <v>537</v>
      </c>
      <c r="O64" s="63">
        <v>365</v>
      </c>
      <c r="P64" s="63">
        <v>-270</v>
      </c>
      <c r="Q64" s="63">
        <v>80</v>
      </c>
      <c r="R64" s="63">
        <v>3</v>
      </c>
      <c r="S64" s="63">
        <v>-270</v>
      </c>
      <c r="T64" s="63">
        <v>80</v>
      </c>
      <c r="U64" s="63">
        <v>3</v>
      </c>
      <c r="V64" s="63">
        <v>0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0</v>
      </c>
      <c r="AE64" s="63">
        <v>1203</v>
      </c>
      <c r="AF64" s="63">
        <v>457</v>
      </c>
      <c r="AG64" s="63">
        <v>362</v>
      </c>
      <c r="AH64" s="63">
        <v>933</v>
      </c>
      <c r="AI64" s="63">
        <v>537</v>
      </c>
      <c r="AJ64" s="63">
        <v>365</v>
      </c>
      <c r="AK64" s="63">
        <v>-270</v>
      </c>
      <c r="AL64" s="63">
        <v>80</v>
      </c>
      <c r="AM64" s="63">
        <v>3</v>
      </c>
      <c r="AN64" s="63">
        <v>-270</v>
      </c>
      <c r="AO64" s="63">
        <v>80</v>
      </c>
      <c r="AP64" s="63">
        <v>3</v>
      </c>
      <c r="AS64" s="63" t="e">
        <f t="shared" si="27"/>
        <v>#DIV/0!</v>
      </c>
      <c r="AT64" s="63" t="e">
        <f t="shared" si="19"/>
        <v>#DIV/0!</v>
      </c>
      <c r="AU64" s="63" t="e">
        <f t="shared" si="20"/>
        <v>#DIV/0!</v>
      </c>
      <c r="AZ64" s="63">
        <f t="shared" si="43"/>
        <v>-0.22443890274314215</v>
      </c>
      <c r="BA64" s="63">
        <f t="shared" si="44"/>
        <v>0.17505470459518599</v>
      </c>
      <c r="BB64" s="63">
        <f t="shared" si="45"/>
        <v>8.2872928176795577E-3</v>
      </c>
      <c r="BD64" s="63">
        <f t="shared" si="60"/>
        <v>-0.22443890274314215</v>
      </c>
      <c r="BE64" s="63">
        <f t="shared" si="61"/>
        <v>0.17505470459518599</v>
      </c>
      <c r="BF64" s="63">
        <f t="shared" si="59"/>
        <v>8.2872928176795577E-3</v>
      </c>
      <c r="BH64" s="132">
        <v>0.5092592592592593</v>
      </c>
      <c r="BJ64" s="132">
        <v>0.5092592592592593</v>
      </c>
      <c r="BN64" s="155">
        <f t="shared" si="63"/>
        <v>0</v>
      </c>
      <c r="BO64" s="156">
        <f t="shared" si="64"/>
        <v>0</v>
      </c>
      <c r="BP64" s="157">
        <f t="shared" si="65"/>
        <v>0</v>
      </c>
      <c r="BQ64" s="155"/>
      <c r="BR64" s="156"/>
      <c r="BS64" s="157"/>
      <c r="BX64" s="142">
        <f t="shared" si="46"/>
        <v>1</v>
      </c>
      <c r="BY64" s="142">
        <f t="shared" si="47"/>
        <v>0</v>
      </c>
      <c r="BZ64" s="142">
        <f t="shared" si="48"/>
        <v>0</v>
      </c>
      <c r="CA64" s="63">
        <f t="shared" si="49"/>
        <v>1</v>
      </c>
      <c r="CB64" s="63">
        <f t="shared" si="50"/>
        <v>1</v>
      </c>
      <c r="CC64" s="63">
        <f t="shared" si="51"/>
        <v>1</v>
      </c>
      <c r="CD64" s="63">
        <f t="shared" si="52"/>
        <v>0</v>
      </c>
      <c r="CE64" s="63">
        <f t="shared" si="53"/>
        <v>0</v>
      </c>
      <c r="CF64" s="63">
        <f t="shared" si="54"/>
        <v>0</v>
      </c>
      <c r="CG64" s="63">
        <f t="shared" si="55"/>
        <v>0</v>
      </c>
      <c r="CH64" s="63">
        <f t="shared" si="56"/>
        <v>0</v>
      </c>
      <c r="CI64" s="63">
        <f t="shared" si="57"/>
        <v>0</v>
      </c>
      <c r="CL64" s="63">
        <v>-31.072210065645518</v>
      </c>
      <c r="CM64" s="69">
        <f t="shared" si="25"/>
        <v>31.072210065645518</v>
      </c>
      <c r="EH64" s="63">
        <v>0.80769230769230771</v>
      </c>
    </row>
    <row r="65" spans="1:138" s="63" customFormat="1">
      <c r="A65" s="63" t="s">
        <v>125</v>
      </c>
      <c r="B65" s="63">
        <v>110</v>
      </c>
      <c r="C65" s="63" t="s">
        <v>38</v>
      </c>
      <c r="D65" s="63" t="s">
        <v>35</v>
      </c>
      <c r="E65" s="63">
        <v>1</v>
      </c>
      <c r="F65" s="63">
        <v>5</v>
      </c>
      <c r="G65" s="63">
        <v>240</v>
      </c>
      <c r="H65" s="63">
        <v>354</v>
      </c>
      <c r="I65" s="63">
        <v>285</v>
      </c>
      <c r="J65" s="63">
        <v>42</v>
      </c>
      <c r="K65" s="63">
        <v>52</v>
      </c>
      <c r="L65" s="63">
        <v>40</v>
      </c>
      <c r="M65" s="63">
        <v>144</v>
      </c>
      <c r="N65" s="63">
        <v>136</v>
      </c>
      <c r="O65" s="63">
        <v>221</v>
      </c>
      <c r="P65" s="63">
        <v>-96</v>
      </c>
      <c r="Q65" s="63">
        <v>-118</v>
      </c>
      <c r="R65" s="63">
        <v>-64</v>
      </c>
      <c r="S65" s="63">
        <v>-96</v>
      </c>
      <c r="T65" s="63">
        <v>-118</v>
      </c>
      <c r="U65" s="63">
        <v>-64</v>
      </c>
      <c r="V65" s="63">
        <v>168</v>
      </c>
      <c r="W65" s="63">
        <v>188</v>
      </c>
      <c r="X65" s="63">
        <v>187</v>
      </c>
      <c r="Y65" s="63">
        <v>126</v>
      </c>
      <c r="Z65" s="63">
        <v>136</v>
      </c>
      <c r="AA65" s="63">
        <v>147</v>
      </c>
      <c r="AB65" s="63">
        <v>126</v>
      </c>
      <c r="AC65" s="63">
        <v>136</v>
      </c>
      <c r="AD65" s="63">
        <v>147</v>
      </c>
      <c r="AE65" s="63">
        <v>282</v>
      </c>
      <c r="AF65" s="63">
        <v>406</v>
      </c>
      <c r="AG65" s="63">
        <v>325</v>
      </c>
      <c r="AH65" s="63">
        <v>312</v>
      </c>
      <c r="AI65" s="63">
        <v>324</v>
      </c>
      <c r="AJ65" s="63">
        <v>408</v>
      </c>
      <c r="AK65" s="63">
        <v>30</v>
      </c>
      <c r="AL65" s="63">
        <v>-82</v>
      </c>
      <c r="AM65" s="63">
        <v>83</v>
      </c>
      <c r="AN65" s="63">
        <v>30</v>
      </c>
      <c r="AO65" s="63">
        <v>18</v>
      </c>
      <c r="AP65" s="63">
        <v>83</v>
      </c>
      <c r="AS65" s="63">
        <f t="shared" si="27"/>
        <v>3</v>
      </c>
      <c r="AT65" s="63">
        <f t="shared" si="19"/>
        <v>2.6153846153846154</v>
      </c>
      <c r="AU65" s="63">
        <f t="shared" si="20"/>
        <v>3.6749999999999998</v>
      </c>
      <c r="AZ65" s="63">
        <f t="shared" si="43"/>
        <v>0.10638297872340426</v>
      </c>
      <c r="BA65" s="63">
        <f t="shared" si="44"/>
        <v>-0.2019704433497537</v>
      </c>
      <c r="BB65" s="63">
        <f t="shared" si="45"/>
        <v>0.25538461538461538</v>
      </c>
      <c r="BD65" s="63">
        <f t="shared" si="60"/>
        <v>-0.4</v>
      </c>
      <c r="BE65" s="63">
        <f t="shared" si="61"/>
        <v>-0.33333333333333331</v>
      </c>
      <c r="BF65" s="63">
        <f t="shared" si="59"/>
        <v>-0.22456140350877193</v>
      </c>
      <c r="BH65" s="132">
        <v>-2.9319371727748691E-2</v>
      </c>
      <c r="BJ65" s="132">
        <v>-9.7382198952879584E-2</v>
      </c>
      <c r="BN65" s="155">
        <f t="shared" si="63"/>
        <v>-131.25</v>
      </c>
      <c r="BO65" s="156">
        <f t="shared" si="64"/>
        <v>-115.2542372881356</v>
      </c>
      <c r="BP65" s="157">
        <f t="shared" si="65"/>
        <v>-229.6875</v>
      </c>
      <c r="BQ65" s="155"/>
      <c r="BR65" s="156"/>
      <c r="BS65" s="157"/>
      <c r="BX65" s="142">
        <f t="shared" si="46"/>
        <v>1</v>
      </c>
      <c r="BY65" s="142">
        <f t="shared" si="47"/>
        <v>1</v>
      </c>
      <c r="BZ65" s="142">
        <f t="shared" si="48"/>
        <v>1</v>
      </c>
      <c r="CA65" s="63">
        <f t="shared" si="49"/>
        <v>0</v>
      </c>
      <c r="CB65" s="63">
        <f t="shared" si="50"/>
        <v>0</v>
      </c>
      <c r="CC65" s="63">
        <f t="shared" si="51"/>
        <v>0</v>
      </c>
      <c r="CD65" s="63">
        <f t="shared" si="52"/>
        <v>0</v>
      </c>
      <c r="CE65" s="63">
        <f t="shared" si="53"/>
        <v>0</v>
      </c>
      <c r="CF65" s="63">
        <f t="shared" si="54"/>
        <v>0</v>
      </c>
      <c r="CG65" s="63">
        <f t="shared" si="55"/>
        <v>0</v>
      </c>
      <c r="CH65" s="63">
        <f t="shared" si="56"/>
        <v>0</v>
      </c>
      <c r="CI65" s="63">
        <f t="shared" si="57"/>
        <v>0</v>
      </c>
      <c r="CL65" s="63">
        <v>-4300</v>
      </c>
      <c r="CM65" s="69">
        <f t="shared" si="25"/>
        <v>4300</v>
      </c>
      <c r="EH65" s="63">
        <v>0.7343499197431782</v>
      </c>
    </row>
    <row r="66" spans="1:138" s="63" customFormat="1">
      <c r="A66" s="63" t="s">
        <v>126</v>
      </c>
      <c r="B66" s="63">
        <v>76</v>
      </c>
      <c r="C66" s="63" t="s">
        <v>38</v>
      </c>
      <c r="D66" s="63" t="s">
        <v>33</v>
      </c>
      <c r="E66" s="63">
        <v>3</v>
      </c>
      <c r="F66" s="63">
        <v>4</v>
      </c>
      <c r="G66" s="63">
        <v>192</v>
      </c>
      <c r="H66" s="63">
        <v>128</v>
      </c>
      <c r="I66" s="63">
        <v>128</v>
      </c>
      <c r="J66" s="63">
        <v>0</v>
      </c>
      <c r="K66" s="63">
        <v>0</v>
      </c>
      <c r="L66" s="63">
        <v>0</v>
      </c>
      <c r="M66" s="63">
        <v>158</v>
      </c>
      <c r="N66" s="63">
        <v>149</v>
      </c>
      <c r="O66" s="63">
        <v>137</v>
      </c>
      <c r="P66" s="63">
        <v>-34</v>
      </c>
      <c r="Q66" s="63">
        <v>21</v>
      </c>
      <c r="R66" s="63">
        <v>9</v>
      </c>
      <c r="S66" s="63">
        <v>-34</v>
      </c>
      <c r="T66" s="63">
        <v>21</v>
      </c>
      <c r="U66" s="63">
        <v>9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0</v>
      </c>
      <c r="AE66" s="63">
        <v>192</v>
      </c>
      <c r="AF66" s="63">
        <v>128</v>
      </c>
      <c r="AG66" s="63">
        <v>128</v>
      </c>
      <c r="AH66" s="63">
        <v>158</v>
      </c>
      <c r="AI66" s="63">
        <v>149</v>
      </c>
      <c r="AJ66" s="63">
        <v>137</v>
      </c>
      <c r="AK66" s="63">
        <v>-34</v>
      </c>
      <c r="AL66" s="63">
        <v>21</v>
      </c>
      <c r="AM66" s="63">
        <v>9</v>
      </c>
      <c r="AN66" s="63">
        <v>-34</v>
      </c>
      <c r="AO66" s="63">
        <v>21</v>
      </c>
      <c r="AP66" s="63">
        <v>9</v>
      </c>
      <c r="AS66" s="63" t="e">
        <f t="shared" si="27"/>
        <v>#DIV/0!</v>
      </c>
      <c r="AT66" s="63" t="e">
        <f t="shared" si="19"/>
        <v>#DIV/0!</v>
      </c>
      <c r="AU66" s="63" t="e">
        <f t="shared" si="20"/>
        <v>#DIV/0!</v>
      </c>
      <c r="AZ66" s="63">
        <f t="shared" ref="AZ66:AZ94" si="66">AK66/AE66</f>
        <v>-0.17708333333333334</v>
      </c>
      <c r="BA66" s="63">
        <f t="shared" ref="BA66:BA94" si="67">AL66/AF66</f>
        <v>0.1640625</v>
      </c>
      <c r="BB66" s="63">
        <f t="shared" ref="BB66:BB94" si="68">AM66/AG66</f>
        <v>7.03125E-2</v>
      </c>
      <c r="BD66" s="63">
        <f t="shared" si="60"/>
        <v>-0.17708333333333334</v>
      </c>
      <c r="BE66" s="63">
        <f t="shared" si="61"/>
        <v>0.1640625</v>
      </c>
      <c r="BF66" s="63">
        <f t="shared" si="59"/>
        <v>7.03125E-2</v>
      </c>
      <c r="BH66" s="132">
        <v>0.18683651804670912</v>
      </c>
      <c r="BJ66" s="132">
        <v>0.18683651804670912</v>
      </c>
      <c r="BN66" s="155">
        <f t="shared" si="63"/>
        <v>0</v>
      </c>
      <c r="BO66" s="156">
        <f t="shared" si="64"/>
        <v>0</v>
      </c>
      <c r="BP66" s="157">
        <f t="shared" si="65"/>
        <v>0</v>
      </c>
      <c r="BQ66" s="155"/>
      <c r="BR66" s="156"/>
      <c r="BS66" s="157"/>
      <c r="BX66" s="142">
        <f t="shared" ref="BX66:BX94" si="69">IF(P66&lt;0,1,0)</f>
        <v>1</v>
      </c>
      <c r="BY66" s="142">
        <f t="shared" ref="BY66:BY94" si="70">IF(Q66&lt;0,1,0)</f>
        <v>0</v>
      </c>
      <c r="BZ66" s="142">
        <f t="shared" ref="BZ66:BZ94" si="71">IF(R66&lt;0,1,0)</f>
        <v>0</v>
      </c>
      <c r="CA66" s="63">
        <f t="shared" ref="CA66:CA94" si="72">IF(BN66=0,1,0)</f>
        <v>1</v>
      </c>
      <c r="CB66" s="63">
        <f t="shared" ref="CB66:CB94" si="73">IF(BO66=0,1,0)</f>
        <v>1</v>
      </c>
      <c r="CC66" s="63">
        <f t="shared" ref="CC66:CC94" si="74">IF(BP66=0,1,0)</f>
        <v>1</v>
      </c>
      <c r="CD66" s="63">
        <f t="shared" ref="CD66:CD94" si="75">IF(BN66&gt;0,1,0)</f>
        <v>0</v>
      </c>
      <c r="CE66" s="63">
        <f t="shared" ref="CE66:CE94" si="76">IF(BO66&gt;0,1,0)</f>
        <v>0</v>
      </c>
      <c r="CF66" s="63">
        <f t="shared" ref="CF66:CF94" si="77">IF(BP66&gt;0,1,0)</f>
        <v>0</v>
      </c>
      <c r="CG66" s="63">
        <f t="shared" ref="CG66:CG94" si="78">IF(P66=0,1,0)</f>
        <v>0</v>
      </c>
      <c r="CH66" s="63">
        <f t="shared" ref="CH66:CH94" si="79">IF(Q66=0,1,0)</f>
        <v>0</v>
      </c>
      <c r="CI66" s="63">
        <f t="shared" ref="CI66:CI94" si="80">IF(R66=0,1,0)</f>
        <v>0</v>
      </c>
      <c r="CL66" s="63">
        <v>-87.784090909090907</v>
      </c>
      <c r="CM66" s="69">
        <f t="shared" si="25"/>
        <v>87.784090909090907</v>
      </c>
      <c r="EH66" s="63">
        <v>0.7343499197431782</v>
      </c>
    </row>
    <row r="67" spans="1:138" s="63" customFormat="1">
      <c r="A67" s="63" t="s">
        <v>127</v>
      </c>
      <c r="B67" s="63">
        <v>111</v>
      </c>
      <c r="C67" s="63" t="s">
        <v>38</v>
      </c>
      <c r="D67" s="63" t="s">
        <v>35</v>
      </c>
      <c r="E67" s="63">
        <v>2</v>
      </c>
      <c r="F67" s="63">
        <v>6</v>
      </c>
      <c r="G67" s="63">
        <v>227</v>
      </c>
      <c r="H67" s="63">
        <v>215</v>
      </c>
      <c r="I67" s="63">
        <v>305</v>
      </c>
      <c r="J67" s="63">
        <v>0</v>
      </c>
      <c r="K67" s="63">
        <v>0</v>
      </c>
      <c r="L67" s="63">
        <v>0</v>
      </c>
      <c r="M67" s="63">
        <v>208</v>
      </c>
      <c r="N67" s="63">
        <v>277</v>
      </c>
      <c r="O67" s="63">
        <v>316</v>
      </c>
      <c r="P67" s="63">
        <v>-19</v>
      </c>
      <c r="Q67" s="63">
        <v>62</v>
      </c>
      <c r="R67" s="63">
        <v>11</v>
      </c>
      <c r="S67" s="63">
        <v>-19</v>
      </c>
      <c r="T67" s="63">
        <v>62</v>
      </c>
      <c r="U67" s="63">
        <v>11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0</v>
      </c>
      <c r="AE67" s="63">
        <v>227</v>
      </c>
      <c r="AF67" s="63">
        <v>215</v>
      </c>
      <c r="AG67" s="63">
        <v>305</v>
      </c>
      <c r="AH67" s="63">
        <v>208</v>
      </c>
      <c r="AI67" s="63">
        <v>277</v>
      </c>
      <c r="AJ67" s="63">
        <v>316</v>
      </c>
      <c r="AK67" s="63">
        <v>-19</v>
      </c>
      <c r="AL67" s="63">
        <v>62</v>
      </c>
      <c r="AM67" s="63">
        <v>11</v>
      </c>
      <c r="AN67" s="63">
        <v>-19</v>
      </c>
      <c r="AO67" s="63">
        <v>62</v>
      </c>
      <c r="AP67" s="63">
        <v>11</v>
      </c>
      <c r="AS67" s="63" t="e">
        <f t="shared" ref="AS67:AS94" si="81">Y67/J67</f>
        <v>#DIV/0!</v>
      </c>
      <c r="AT67" s="63" t="e">
        <f t="shared" ref="AT67:AT94" si="82">Z67/K67</f>
        <v>#DIV/0!</v>
      </c>
      <c r="AU67" s="63" t="e">
        <f t="shared" ref="AU67:AU94" si="83">AA67/L67</f>
        <v>#DIV/0!</v>
      </c>
      <c r="AZ67" s="63">
        <f t="shared" si="66"/>
        <v>-8.3700440528634359E-2</v>
      </c>
      <c r="BA67" s="63">
        <f t="shared" si="67"/>
        <v>0.28837209302325584</v>
      </c>
      <c r="BB67" s="63">
        <f t="shared" si="68"/>
        <v>3.6065573770491806E-2</v>
      </c>
      <c r="BD67" s="63">
        <f t="shared" si="60"/>
        <v>-8.3700440528634359E-2</v>
      </c>
      <c r="BE67" s="63">
        <f t="shared" si="61"/>
        <v>0.28837209302325584</v>
      </c>
      <c r="BF67" s="63">
        <f t="shared" si="59"/>
        <v>3.6065573770491806E-2</v>
      </c>
      <c r="BH67" s="132">
        <v>2.4691358024691357E-2</v>
      </c>
      <c r="BJ67" s="132">
        <v>2.4691358024691357E-2</v>
      </c>
      <c r="BN67" s="155">
        <f t="shared" si="63"/>
        <v>0</v>
      </c>
      <c r="BO67" s="156">
        <f t="shared" si="64"/>
        <v>0</v>
      </c>
      <c r="BP67" s="157">
        <f t="shared" si="65"/>
        <v>0</v>
      </c>
      <c r="BQ67" s="155"/>
      <c r="BR67" s="156"/>
      <c r="BS67" s="157"/>
      <c r="BX67" s="142">
        <f t="shared" si="69"/>
        <v>1</v>
      </c>
      <c r="BY67" s="142">
        <f t="shared" si="70"/>
        <v>0</v>
      </c>
      <c r="BZ67" s="142">
        <f t="shared" si="71"/>
        <v>0</v>
      </c>
      <c r="CA67" s="63">
        <f t="shared" si="72"/>
        <v>1</v>
      </c>
      <c r="CB67" s="63">
        <f t="shared" si="73"/>
        <v>1</v>
      </c>
      <c r="CC67" s="63">
        <f t="shared" si="74"/>
        <v>1</v>
      </c>
      <c r="CD67" s="63">
        <f t="shared" si="75"/>
        <v>0</v>
      </c>
      <c r="CE67" s="63">
        <f t="shared" si="76"/>
        <v>0</v>
      </c>
      <c r="CF67" s="63">
        <f t="shared" si="77"/>
        <v>0</v>
      </c>
      <c r="CG67" s="63">
        <f t="shared" si="78"/>
        <v>0</v>
      </c>
      <c r="CH67" s="63">
        <f t="shared" si="79"/>
        <v>0</v>
      </c>
      <c r="CI67" s="63">
        <f t="shared" si="80"/>
        <v>0</v>
      </c>
      <c r="CL67" s="63">
        <v>-14.634146341463413</v>
      </c>
      <c r="CM67" s="69">
        <f t="shared" ref="CM67:CM129" si="84">CL67*(-1)</f>
        <v>14.634146341463413</v>
      </c>
      <c r="EH67" s="63">
        <v>0.22922636103151864</v>
      </c>
    </row>
    <row r="68" spans="1:138" s="63" customFormat="1">
      <c r="A68" s="63" t="s">
        <v>128</v>
      </c>
      <c r="B68" s="63">
        <v>105</v>
      </c>
      <c r="C68" s="63" t="s">
        <v>38</v>
      </c>
      <c r="D68" s="63" t="s">
        <v>35</v>
      </c>
      <c r="E68" s="63">
        <v>3</v>
      </c>
      <c r="F68" s="63">
        <v>6</v>
      </c>
      <c r="G68" s="63">
        <v>172</v>
      </c>
      <c r="H68" s="63">
        <v>445</v>
      </c>
      <c r="I68" s="63">
        <v>409</v>
      </c>
      <c r="J68" s="63">
        <v>0</v>
      </c>
      <c r="K68" s="63">
        <v>0</v>
      </c>
      <c r="L68" s="63">
        <v>0</v>
      </c>
      <c r="M68" s="63">
        <v>106</v>
      </c>
      <c r="N68" s="63">
        <v>473</v>
      </c>
      <c r="O68" s="63">
        <v>415</v>
      </c>
      <c r="P68" s="63">
        <v>-66</v>
      </c>
      <c r="Q68" s="63">
        <v>28</v>
      </c>
      <c r="R68" s="63">
        <v>6</v>
      </c>
      <c r="S68" s="63">
        <v>-66</v>
      </c>
      <c r="T68" s="63">
        <v>28</v>
      </c>
      <c r="U68" s="63">
        <v>6</v>
      </c>
      <c r="V68" s="63">
        <v>0</v>
      </c>
      <c r="W68" s="63">
        <v>0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0</v>
      </c>
      <c r="AE68" s="63">
        <v>172</v>
      </c>
      <c r="AF68" s="63">
        <v>445</v>
      </c>
      <c r="AG68" s="63">
        <v>409</v>
      </c>
      <c r="AH68" s="63">
        <v>106</v>
      </c>
      <c r="AI68" s="63">
        <v>473</v>
      </c>
      <c r="AJ68" s="63">
        <v>415</v>
      </c>
      <c r="AK68" s="63">
        <v>-66</v>
      </c>
      <c r="AL68" s="63">
        <v>28</v>
      </c>
      <c r="AM68" s="63">
        <v>6</v>
      </c>
      <c r="AN68" s="63">
        <v>-66</v>
      </c>
      <c r="AO68" s="63">
        <v>28</v>
      </c>
      <c r="AP68" s="63">
        <v>6</v>
      </c>
      <c r="AS68" s="63" t="e">
        <f t="shared" si="81"/>
        <v>#DIV/0!</v>
      </c>
      <c r="AT68" s="63" t="e">
        <f t="shared" si="82"/>
        <v>#DIV/0!</v>
      </c>
      <c r="AU68" s="63" t="e">
        <f t="shared" si="83"/>
        <v>#DIV/0!</v>
      </c>
      <c r="AZ68" s="63">
        <f t="shared" si="66"/>
        <v>-0.38372093023255816</v>
      </c>
      <c r="BA68" s="63">
        <f t="shared" si="67"/>
        <v>6.2921348314606745E-2</v>
      </c>
      <c r="BB68" s="63">
        <f t="shared" si="68"/>
        <v>1.4669926650366748E-2</v>
      </c>
      <c r="BD68" s="63">
        <f t="shared" si="60"/>
        <v>-0.38372093023255816</v>
      </c>
      <c r="BE68" s="63">
        <f t="shared" si="61"/>
        <v>6.2921348314606745E-2</v>
      </c>
      <c r="BF68" s="63">
        <f t="shared" si="59"/>
        <v>1.4669926650366748E-2</v>
      </c>
      <c r="BH68" s="132">
        <v>1.8518518518518517E-2</v>
      </c>
      <c r="BJ68" s="132">
        <v>1.8518518518518517E-2</v>
      </c>
      <c r="BN68" s="155">
        <f t="shared" si="63"/>
        <v>0</v>
      </c>
      <c r="BO68" s="156">
        <f t="shared" si="64"/>
        <v>0</v>
      </c>
      <c r="BP68" s="157">
        <f t="shared" si="65"/>
        <v>0</v>
      </c>
      <c r="BQ68" s="155"/>
      <c r="BR68" s="156"/>
      <c r="BS68" s="157"/>
      <c r="BX68" s="142">
        <f t="shared" si="69"/>
        <v>1</v>
      </c>
      <c r="BY68" s="142">
        <f t="shared" si="70"/>
        <v>0</v>
      </c>
      <c r="BZ68" s="142">
        <f t="shared" si="71"/>
        <v>0</v>
      </c>
      <c r="CA68" s="63">
        <f t="shared" si="72"/>
        <v>1</v>
      </c>
      <c r="CB68" s="63">
        <f t="shared" si="73"/>
        <v>1</v>
      </c>
      <c r="CC68" s="63">
        <f t="shared" si="74"/>
        <v>1</v>
      </c>
      <c r="CD68" s="63">
        <f t="shared" si="75"/>
        <v>0</v>
      </c>
      <c r="CE68" s="63">
        <f t="shared" si="76"/>
        <v>0</v>
      </c>
      <c r="CF68" s="63">
        <f t="shared" si="77"/>
        <v>0</v>
      </c>
      <c r="CG68" s="63">
        <f t="shared" si="78"/>
        <v>0</v>
      </c>
      <c r="CH68" s="63">
        <f t="shared" si="79"/>
        <v>0</v>
      </c>
      <c r="CI68" s="63">
        <f t="shared" si="80"/>
        <v>0</v>
      </c>
      <c r="CL68" s="63">
        <v>-114.28571428571428</v>
      </c>
      <c r="CM68" s="69">
        <f t="shared" si="84"/>
        <v>114.28571428571428</v>
      </c>
      <c r="EH68" s="63">
        <v>3.5</v>
      </c>
    </row>
    <row r="69" spans="1:138" s="63" customFormat="1">
      <c r="A69" s="63" t="s">
        <v>129</v>
      </c>
      <c r="B69" s="63">
        <v>278</v>
      </c>
      <c r="C69" s="63" t="s">
        <v>38</v>
      </c>
      <c r="D69" s="63" t="s">
        <v>33</v>
      </c>
      <c r="E69" s="63">
        <v>4</v>
      </c>
      <c r="F69" s="63">
        <v>5</v>
      </c>
      <c r="G69" s="63">
        <v>860</v>
      </c>
      <c r="H69" s="63">
        <v>638</v>
      </c>
      <c r="I69" s="63">
        <v>747</v>
      </c>
      <c r="J69" s="63">
        <v>3</v>
      </c>
      <c r="K69" s="63">
        <v>58</v>
      </c>
      <c r="L69" s="63">
        <v>23</v>
      </c>
      <c r="M69" s="63">
        <v>771</v>
      </c>
      <c r="N69" s="63">
        <v>359</v>
      </c>
      <c r="O69" s="63">
        <v>515</v>
      </c>
      <c r="P69" s="63">
        <v>-89</v>
      </c>
      <c r="Q69" s="63">
        <v>-279</v>
      </c>
      <c r="R69" s="63">
        <v>-232</v>
      </c>
      <c r="S69" s="63">
        <v>-89</v>
      </c>
      <c r="T69" s="63">
        <v>-279</v>
      </c>
      <c r="U69" s="63">
        <v>-232</v>
      </c>
      <c r="V69" s="63">
        <v>119</v>
      </c>
      <c r="W69" s="63">
        <v>311</v>
      </c>
      <c r="X69" s="63">
        <v>164</v>
      </c>
      <c r="Y69" s="63">
        <v>116</v>
      </c>
      <c r="Z69" s="63">
        <v>253</v>
      </c>
      <c r="AA69" s="63">
        <v>141</v>
      </c>
      <c r="AB69" s="63">
        <v>116</v>
      </c>
      <c r="AC69" s="63">
        <v>253</v>
      </c>
      <c r="AD69" s="63">
        <v>141</v>
      </c>
      <c r="AE69" s="63">
        <v>863</v>
      </c>
      <c r="AF69" s="63">
        <v>696</v>
      </c>
      <c r="AG69" s="63">
        <v>770</v>
      </c>
      <c r="AH69" s="63">
        <v>890</v>
      </c>
      <c r="AI69" s="63">
        <v>670</v>
      </c>
      <c r="AJ69" s="63">
        <v>679</v>
      </c>
      <c r="AK69" s="63">
        <v>27</v>
      </c>
      <c r="AL69" s="63">
        <v>-26</v>
      </c>
      <c r="AM69" s="63">
        <v>-91</v>
      </c>
      <c r="AN69" s="63">
        <v>27</v>
      </c>
      <c r="AO69" s="63">
        <v>-26</v>
      </c>
      <c r="AP69" s="63">
        <v>-91</v>
      </c>
      <c r="AS69" s="63">
        <f t="shared" si="81"/>
        <v>38.666666666666664</v>
      </c>
      <c r="AT69" s="63">
        <f t="shared" si="82"/>
        <v>4.3620689655172411</v>
      </c>
      <c r="AU69" s="63">
        <f t="shared" si="83"/>
        <v>6.1304347826086953</v>
      </c>
      <c r="AZ69" s="63">
        <f t="shared" si="66"/>
        <v>3.1286210892236384E-2</v>
      </c>
      <c r="BA69" s="63">
        <f t="shared" si="67"/>
        <v>-3.7356321839080463E-2</v>
      </c>
      <c r="BB69" s="63">
        <f t="shared" si="68"/>
        <v>-0.11818181818181818</v>
      </c>
      <c r="BD69" s="63">
        <f t="shared" si="60"/>
        <v>-0.10348837209302325</v>
      </c>
      <c r="BE69" s="63">
        <f t="shared" si="61"/>
        <v>-0.43730407523510972</v>
      </c>
      <c r="BF69" s="63">
        <f t="shared" si="59"/>
        <v>-0.31057563587684067</v>
      </c>
      <c r="BH69" s="132">
        <v>-4.5846817691477887E-2</v>
      </c>
      <c r="BJ69" s="132">
        <v>-4.7723532638507954E-2</v>
      </c>
      <c r="BN69" s="155">
        <f t="shared" si="63"/>
        <v>-130.3370786516854</v>
      </c>
      <c r="BO69" s="156">
        <f t="shared" si="64"/>
        <v>-90.681003584229387</v>
      </c>
      <c r="BP69" s="157">
        <f t="shared" si="65"/>
        <v>-60.775862068965516</v>
      </c>
      <c r="BQ69" s="155"/>
      <c r="BR69" s="156"/>
      <c r="BS69" s="157"/>
      <c r="BX69" s="142">
        <f t="shared" si="69"/>
        <v>1</v>
      </c>
      <c r="BY69" s="142">
        <f t="shared" si="70"/>
        <v>1</v>
      </c>
      <c r="BZ69" s="142">
        <f t="shared" si="71"/>
        <v>1</v>
      </c>
      <c r="CA69" s="63">
        <f t="shared" si="72"/>
        <v>0</v>
      </c>
      <c r="CB69" s="63">
        <f t="shared" si="73"/>
        <v>0</v>
      </c>
      <c r="CC69" s="63">
        <f t="shared" si="74"/>
        <v>0</v>
      </c>
      <c r="CD69" s="63">
        <f t="shared" si="75"/>
        <v>0</v>
      </c>
      <c r="CE69" s="63">
        <f t="shared" si="76"/>
        <v>0</v>
      </c>
      <c r="CF69" s="63">
        <f t="shared" si="77"/>
        <v>0</v>
      </c>
      <c r="CG69" s="63">
        <f t="shared" si="78"/>
        <v>0</v>
      </c>
      <c r="CH69" s="63">
        <f t="shared" si="79"/>
        <v>0</v>
      </c>
      <c r="CI69" s="63">
        <f t="shared" si="80"/>
        <v>0</v>
      </c>
      <c r="CL69" s="63">
        <v>-872.97297297297303</v>
      </c>
      <c r="CM69" s="69">
        <f t="shared" si="84"/>
        <v>872.97297297297303</v>
      </c>
      <c r="EH69" s="63">
        <v>-1.932367149758454E-2</v>
      </c>
    </row>
    <row r="70" spans="1:138" s="63" customFormat="1">
      <c r="A70" s="63" t="s">
        <v>130</v>
      </c>
      <c r="B70" s="63">
        <v>138</v>
      </c>
      <c r="C70" s="63" t="s">
        <v>38</v>
      </c>
      <c r="D70" s="63" t="s">
        <v>32</v>
      </c>
      <c r="E70" s="63">
        <v>3</v>
      </c>
      <c r="F70" s="63">
        <v>6</v>
      </c>
      <c r="G70" s="63">
        <v>655</v>
      </c>
      <c r="H70" s="63">
        <v>874</v>
      </c>
      <c r="I70" s="63">
        <v>888</v>
      </c>
      <c r="J70" s="63">
        <v>190</v>
      </c>
      <c r="K70" s="63">
        <v>166</v>
      </c>
      <c r="L70" s="63">
        <v>133</v>
      </c>
      <c r="M70" s="63">
        <v>706</v>
      </c>
      <c r="N70" s="63">
        <v>864</v>
      </c>
      <c r="O70" s="63">
        <v>1493</v>
      </c>
      <c r="P70" s="63">
        <v>51</v>
      </c>
      <c r="Q70" s="63">
        <v>-10</v>
      </c>
      <c r="R70" s="63">
        <v>605</v>
      </c>
      <c r="S70" s="63">
        <v>51</v>
      </c>
      <c r="T70" s="63">
        <v>-10</v>
      </c>
      <c r="U70" s="63">
        <v>605</v>
      </c>
      <c r="V70" s="63">
        <v>256</v>
      </c>
      <c r="W70" s="63">
        <v>192</v>
      </c>
      <c r="X70" s="63">
        <v>157</v>
      </c>
      <c r="Y70" s="63">
        <v>66</v>
      </c>
      <c r="Z70" s="63">
        <v>26</v>
      </c>
      <c r="AA70" s="63">
        <v>24</v>
      </c>
      <c r="AB70" s="63">
        <v>66</v>
      </c>
      <c r="AC70" s="63">
        <v>26</v>
      </c>
      <c r="AD70" s="63">
        <v>24</v>
      </c>
      <c r="AE70" s="63">
        <v>845</v>
      </c>
      <c r="AF70" s="63">
        <v>1040</v>
      </c>
      <c r="AG70" s="63">
        <v>1021</v>
      </c>
      <c r="AH70" s="63">
        <v>962</v>
      </c>
      <c r="AI70" s="63">
        <v>1056</v>
      </c>
      <c r="AJ70" s="63">
        <v>1650</v>
      </c>
      <c r="AK70" s="63">
        <v>117</v>
      </c>
      <c r="AL70" s="63">
        <v>16</v>
      </c>
      <c r="AM70" s="63">
        <v>629</v>
      </c>
      <c r="AN70" s="63">
        <v>117</v>
      </c>
      <c r="AO70" s="63">
        <v>16</v>
      </c>
      <c r="AP70" s="63">
        <v>629</v>
      </c>
      <c r="AS70" s="63">
        <f t="shared" si="81"/>
        <v>0.3473684210526316</v>
      </c>
      <c r="AT70" s="63">
        <f t="shared" si="82"/>
        <v>0.15662650602409639</v>
      </c>
      <c r="AU70" s="63">
        <f t="shared" si="83"/>
        <v>0.18045112781954886</v>
      </c>
      <c r="AZ70" s="63">
        <f t="shared" si="66"/>
        <v>0.13846153846153847</v>
      </c>
      <c r="BA70" s="63">
        <f t="shared" si="67"/>
        <v>1.5384615384615385E-2</v>
      </c>
      <c r="BB70" s="63">
        <f t="shared" si="68"/>
        <v>0.61606268364348682</v>
      </c>
      <c r="BD70" s="63">
        <f t="shared" si="60"/>
        <v>7.786259541984733E-2</v>
      </c>
      <c r="BE70" s="63">
        <f t="shared" si="61"/>
        <v>-1.1441647597254004E-2</v>
      </c>
      <c r="BF70" s="63">
        <f t="shared" si="59"/>
        <v>0.68130630630630629</v>
      </c>
      <c r="BG70" s="63" t="s">
        <v>559</v>
      </c>
      <c r="BH70" s="132">
        <v>-5.8615462354724611E-2</v>
      </c>
      <c r="BI70" s="63" t="s">
        <v>559</v>
      </c>
      <c r="BJ70" s="132">
        <v>-5.9566478921317632E-2</v>
      </c>
      <c r="BK70" s="63" t="s">
        <v>559</v>
      </c>
      <c r="BN70" s="155">
        <f t="shared" si="63"/>
        <v>129.41176470588235</v>
      </c>
      <c r="BO70" s="156">
        <f t="shared" si="64"/>
        <v>-260</v>
      </c>
      <c r="BP70" s="157">
        <f t="shared" si="65"/>
        <v>3.9669421487603307</v>
      </c>
      <c r="BQ70" s="155"/>
      <c r="BR70" s="156"/>
      <c r="BS70" s="157"/>
      <c r="BX70" s="142">
        <f t="shared" si="69"/>
        <v>0</v>
      </c>
      <c r="BY70" s="142">
        <f t="shared" si="70"/>
        <v>1</v>
      </c>
      <c r="BZ70" s="142">
        <f t="shared" si="71"/>
        <v>0</v>
      </c>
      <c r="CA70" s="63">
        <f t="shared" si="72"/>
        <v>0</v>
      </c>
      <c r="CB70" s="63">
        <f t="shared" si="73"/>
        <v>0</v>
      </c>
      <c r="CC70" s="63">
        <f t="shared" si="74"/>
        <v>0</v>
      </c>
      <c r="CD70" s="63">
        <f t="shared" si="75"/>
        <v>1</v>
      </c>
      <c r="CE70" s="63">
        <f t="shared" si="76"/>
        <v>0</v>
      </c>
      <c r="CF70" s="63">
        <f t="shared" si="77"/>
        <v>1</v>
      </c>
      <c r="CG70" s="63">
        <f t="shared" si="78"/>
        <v>0</v>
      </c>
      <c r="CH70" s="63">
        <f t="shared" si="79"/>
        <v>0</v>
      </c>
      <c r="CI70" s="63">
        <f t="shared" si="80"/>
        <v>0</v>
      </c>
      <c r="CL70" s="63">
        <v>-7.0707070707070701</v>
      </c>
      <c r="CM70" s="69">
        <f t="shared" si="84"/>
        <v>7.0707070707070701</v>
      </c>
      <c r="EH70" s="63">
        <v>8.0666666666666664</v>
      </c>
    </row>
    <row r="71" spans="1:138" s="63" customFormat="1">
      <c r="A71" s="63" t="s">
        <v>131</v>
      </c>
      <c r="B71" s="63">
        <v>105</v>
      </c>
      <c r="C71" s="63" t="s">
        <v>38</v>
      </c>
      <c r="D71" s="63" t="s">
        <v>35</v>
      </c>
      <c r="E71" s="63">
        <v>5</v>
      </c>
      <c r="F71" s="63">
        <v>6</v>
      </c>
      <c r="G71" s="63">
        <v>1551</v>
      </c>
      <c r="H71" s="63">
        <v>1224</v>
      </c>
      <c r="I71" s="63">
        <v>739</v>
      </c>
      <c r="J71" s="63">
        <v>0</v>
      </c>
      <c r="K71" s="63">
        <v>348</v>
      </c>
      <c r="L71" s="63">
        <v>730</v>
      </c>
      <c r="M71" s="63">
        <v>3340</v>
      </c>
      <c r="N71" s="63">
        <v>2658</v>
      </c>
      <c r="O71" s="63">
        <v>632</v>
      </c>
      <c r="P71" s="63">
        <v>1789</v>
      </c>
      <c r="Q71" s="63">
        <v>1434</v>
      </c>
      <c r="R71" s="63">
        <v>-107</v>
      </c>
      <c r="S71" s="63">
        <v>1789</v>
      </c>
      <c r="T71" s="63">
        <v>1434</v>
      </c>
      <c r="U71" s="63">
        <v>-107</v>
      </c>
      <c r="V71" s="63">
        <v>80</v>
      </c>
      <c r="W71" s="63">
        <v>440</v>
      </c>
      <c r="X71" s="63">
        <v>939</v>
      </c>
      <c r="Y71" s="63">
        <v>80</v>
      </c>
      <c r="Z71" s="63">
        <v>92</v>
      </c>
      <c r="AA71" s="63">
        <v>209</v>
      </c>
      <c r="AB71" s="63">
        <v>80</v>
      </c>
      <c r="AC71" s="63">
        <v>92</v>
      </c>
      <c r="AD71" s="63">
        <v>209</v>
      </c>
      <c r="AE71" s="63">
        <v>1551</v>
      </c>
      <c r="AF71" s="63">
        <v>1572</v>
      </c>
      <c r="AG71" s="63">
        <v>1469</v>
      </c>
      <c r="AH71" s="63">
        <v>3420</v>
      </c>
      <c r="AI71" s="63">
        <v>3098</v>
      </c>
      <c r="AJ71" s="63">
        <v>1571</v>
      </c>
      <c r="AK71" s="63">
        <v>1869</v>
      </c>
      <c r="AL71" s="63">
        <v>1526</v>
      </c>
      <c r="AM71" s="63">
        <v>102</v>
      </c>
      <c r="AN71" s="63">
        <v>1869</v>
      </c>
      <c r="AO71" s="63">
        <v>1526</v>
      </c>
      <c r="AP71" s="63">
        <v>102</v>
      </c>
      <c r="AS71" s="63" t="e">
        <f t="shared" si="81"/>
        <v>#DIV/0!</v>
      </c>
      <c r="AT71" s="63">
        <f t="shared" si="82"/>
        <v>0.26436781609195403</v>
      </c>
      <c r="AU71" s="63">
        <f t="shared" si="83"/>
        <v>0.28630136986301369</v>
      </c>
      <c r="AZ71" s="63">
        <f t="shared" si="66"/>
        <v>1.2050290135396517</v>
      </c>
      <c r="BA71" s="63">
        <f t="shared" si="67"/>
        <v>0.97073791348600513</v>
      </c>
      <c r="BB71" s="63">
        <f t="shared" si="68"/>
        <v>6.9434989788972085E-2</v>
      </c>
      <c r="BD71" s="63">
        <f t="shared" si="60"/>
        <v>1.1534493874919407</v>
      </c>
      <c r="BE71" s="63">
        <f t="shared" si="61"/>
        <v>1.1715686274509804</v>
      </c>
      <c r="BF71" s="63">
        <f t="shared" si="59"/>
        <v>-0.14479025710419485</v>
      </c>
      <c r="BH71" s="132">
        <v>2.9987908101571953E-2</v>
      </c>
      <c r="BJ71" s="132">
        <v>-4.2584079361238807E-2</v>
      </c>
      <c r="BN71" s="155">
        <f t="shared" si="63"/>
        <v>4.4717719396310782</v>
      </c>
      <c r="BO71" s="156">
        <f t="shared" si="64"/>
        <v>6.4156206415620645</v>
      </c>
      <c r="BP71" s="157">
        <f t="shared" si="65"/>
        <v>-195.32710280373834</v>
      </c>
      <c r="BQ71" s="155"/>
      <c r="BR71" s="156"/>
      <c r="BS71" s="157"/>
      <c r="BX71" s="142">
        <f t="shared" si="69"/>
        <v>0</v>
      </c>
      <c r="BY71" s="142">
        <f t="shared" si="70"/>
        <v>0</v>
      </c>
      <c r="BZ71" s="142">
        <f t="shared" si="71"/>
        <v>1</v>
      </c>
      <c r="CA71" s="63">
        <f t="shared" si="72"/>
        <v>0</v>
      </c>
      <c r="CB71" s="63">
        <f t="shared" si="73"/>
        <v>0</v>
      </c>
      <c r="CC71" s="63">
        <f t="shared" si="74"/>
        <v>0</v>
      </c>
      <c r="CD71" s="63">
        <f t="shared" si="75"/>
        <v>1</v>
      </c>
      <c r="CE71" s="63">
        <f t="shared" si="76"/>
        <v>1</v>
      </c>
      <c r="CF71" s="63">
        <f t="shared" si="77"/>
        <v>0</v>
      </c>
      <c r="CG71" s="63">
        <f t="shared" si="78"/>
        <v>0</v>
      </c>
      <c r="CH71" s="63">
        <f t="shared" si="79"/>
        <v>0</v>
      </c>
      <c r="CI71" s="63">
        <f t="shared" si="80"/>
        <v>0</v>
      </c>
      <c r="CL71" s="63">
        <v>-207.93650793650795</v>
      </c>
      <c r="CM71" s="69">
        <f t="shared" si="84"/>
        <v>207.93650793650795</v>
      </c>
      <c r="EH71" s="63">
        <v>2.8985507246376812E-2</v>
      </c>
    </row>
    <row r="72" spans="1:138" s="63" customFormat="1">
      <c r="A72" s="63" t="s">
        <v>132</v>
      </c>
      <c r="B72" s="63">
        <v>124</v>
      </c>
      <c r="C72" s="63" t="s">
        <v>38</v>
      </c>
      <c r="D72" s="63" t="s">
        <v>33</v>
      </c>
      <c r="E72" s="63">
        <v>2</v>
      </c>
      <c r="F72" s="63">
        <v>2</v>
      </c>
      <c r="G72" s="63">
        <v>76</v>
      </c>
      <c r="H72" s="63">
        <v>100</v>
      </c>
      <c r="I72" s="63">
        <v>167</v>
      </c>
      <c r="J72" s="63">
        <v>12</v>
      </c>
      <c r="K72" s="63">
        <v>29</v>
      </c>
      <c r="L72" s="63">
        <v>60</v>
      </c>
      <c r="M72" s="63">
        <v>82</v>
      </c>
      <c r="N72" s="63">
        <v>75</v>
      </c>
      <c r="O72" s="63">
        <v>182</v>
      </c>
      <c r="P72" s="63">
        <v>6</v>
      </c>
      <c r="Q72" s="63">
        <v>-25</v>
      </c>
      <c r="R72" s="63">
        <v>15</v>
      </c>
      <c r="S72" s="63">
        <v>6</v>
      </c>
      <c r="T72" s="63">
        <v>-25</v>
      </c>
      <c r="U72" s="63">
        <v>15</v>
      </c>
      <c r="V72" s="63">
        <v>19</v>
      </c>
      <c r="W72" s="63">
        <v>67</v>
      </c>
      <c r="X72" s="63">
        <v>63</v>
      </c>
      <c r="Y72" s="63">
        <v>7</v>
      </c>
      <c r="Z72" s="63">
        <v>38</v>
      </c>
      <c r="AA72" s="63">
        <v>3</v>
      </c>
      <c r="AB72" s="63">
        <v>7</v>
      </c>
      <c r="AC72" s="63">
        <v>38</v>
      </c>
      <c r="AD72" s="63">
        <v>3</v>
      </c>
      <c r="AE72" s="63">
        <v>88</v>
      </c>
      <c r="AF72" s="63">
        <v>129</v>
      </c>
      <c r="AG72" s="63">
        <v>227</v>
      </c>
      <c r="AH72" s="63">
        <v>101</v>
      </c>
      <c r="AI72" s="63">
        <v>142</v>
      </c>
      <c r="AJ72" s="63">
        <v>245</v>
      </c>
      <c r="AK72" s="63">
        <v>13</v>
      </c>
      <c r="AL72" s="63">
        <v>13</v>
      </c>
      <c r="AM72" s="63">
        <v>18</v>
      </c>
      <c r="AN72" s="63">
        <v>13</v>
      </c>
      <c r="AO72" s="63">
        <v>13</v>
      </c>
      <c r="AP72" s="63">
        <v>18</v>
      </c>
      <c r="AS72" s="63">
        <f t="shared" si="81"/>
        <v>0.58333333333333337</v>
      </c>
      <c r="AT72" s="63">
        <f t="shared" si="82"/>
        <v>1.3103448275862069</v>
      </c>
      <c r="AU72" s="63">
        <f t="shared" si="83"/>
        <v>0.05</v>
      </c>
      <c r="AZ72" s="63">
        <f t="shared" si="66"/>
        <v>0.14772727272727273</v>
      </c>
      <c r="BA72" s="63">
        <f t="shared" si="67"/>
        <v>0.10077519379844961</v>
      </c>
      <c r="BB72" s="63">
        <f t="shared" si="68"/>
        <v>7.9295154185022032E-2</v>
      </c>
      <c r="BD72" s="63">
        <f t="shared" si="60"/>
        <v>7.8947368421052627E-2</v>
      </c>
      <c r="BE72" s="63">
        <f t="shared" si="61"/>
        <v>-0.25</v>
      </c>
      <c r="BF72" s="63">
        <f t="shared" si="59"/>
        <v>8.9820359281437126E-2</v>
      </c>
      <c r="BH72" s="132">
        <v>0.12020342117429496</v>
      </c>
      <c r="BJ72" s="132">
        <v>-1.2145748987854251E-2</v>
      </c>
      <c r="BN72" s="155">
        <f t="shared" si="63"/>
        <v>116.66666666666667</v>
      </c>
      <c r="BO72" s="156">
        <f t="shared" si="64"/>
        <v>-152</v>
      </c>
      <c r="BP72" s="157">
        <f t="shared" si="65"/>
        <v>20</v>
      </c>
      <c r="BQ72" s="155"/>
      <c r="BR72" s="156"/>
      <c r="BS72" s="157"/>
      <c r="BX72" s="142">
        <f t="shared" si="69"/>
        <v>0</v>
      </c>
      <c r="BY72" s="142">
        <f t="shared" si="70"/>
        <v>1</v>
      </c>
      <c r="BZ72" s="142">
        <f t="shared" si="71"/>
        <v>0</v>
      </c>
      <c r="CA72" s="63">
        <f t="shared" si="72"/>
        <v>0</v>
      </c>
      <c r="CB72" s="63">
        <f t="shared" si="73"/>
        <v>0</v>
      </c>
      <c r="CC72" s="63">
        <f t="shared" si="74"/>
        <v>0</v>
      </c>
      <c r="CD72" s="63">
        <f t="shared" si="75"/>
        <v>1</v>
      </c>
      <c r="CE72" s="63">
        <f t="shared" si="76"/>
        <v>0</v>
      </c>
      <c r="CF72" s="63">
        <f t="shared" si="77"/>
        <v>1</v>
      </c>
      <c r="CG72" s="63">
        <f t="shared" si="78"/>
        <v>0</v>
      </c>
      <c r="CH72" s="63">
        <f t="shared" si="79"/>
        <v>0</v>
      </c>
      <c r="CI72" s="63">
        <f t="shared" si="80"/>
        <v>0</v>
      </c>
      <c r="CL72" s="63">
        <v>-462.86919831223628</v>
      </c>
      <c r="CM72" s="69">
        <f t="shared" si="84"/>
        <v>462.86919831223628</v>
      </c>
      <c r="EH72" s="63">
        <v>0.82051282051282048</v>
      </c>
    </row>
    <row r="73" spans="1:138" s="63" customFormat="1">
      <c r="A73" s="63" t="s">
        <v>137</v>
      </c>
      <c r="B73" s="63">
        <v>138</v>
      </c>
      <c r="C73" s="63" t="s">
        <v>38</v>
      </c>
      <c r="D73" s="63" t="s">
        <v>32</v>
      </c>
      <c r="E73" s="63">
        <v>6</v>
      </c>
      <c r="F73" s="63">
        <v>6</v>
      </c>
      <c r="G73" s="63">
        <v>696</v>
      </c>
      <c r="H73" s="63">
        <v>743</v>
      </c>
      <c r="I73" s="63">
        <v>528</v>
      </c>
      <c r="J73" s="63">
        <v>0</v>
      </c>
      <c r="K73" s="63">
        <v>0</v>
      </c>
      <c r="L73" s="63">
        <v>104</v>
      </c>
      <c r="M73" s="63">
        <v>702</v>
      </c>
      <c r="N73" s="63">
        <v>786</v>
      </c>
      <c r="O73" s="63">
        <v>519</v>
      </c>
      <c r="P73" s="63">
        <v>6</v>
      </c>
      <c r="Q73" s="63">
        <v>43</v>
      </c>
      <c r="R73" s="63">
        <v>-9</v>
      </c>
      <c r="S73" s="63">
        <v>6</v>
      </c>
      <c r="T73" s="63">
        <v>43</v>
      </c>
      <c r="U73" s="63">
        <v>-9</v>
      </c>
      <c r="V73" s="63">
        <v>0</v>
      </c>
      <c r="W73" s="63">
        <v>0</v>
      </c>
      <c r="X73" s="63">
        <v>126</v>
      </c>
      <c r="Y73" s="63">
        <v>0</v>
      </c>
      <c r="Z73" s="63">
        <v>0</v>
      </c>
      <c r="AA73" s="63">
        <v>22</v>
      </c>
      <c r="AB73" s="63">
        <v>0</v>
      </c>
      <c r="AC73" s="63">
        <v>0</v>
      </c>
      <c r="AD73" s="63">
        <v>22</v>
      </c>
      <c r="AE73" s="63">
        <v>696</v>
      </c>
      <c r="AF73" s="63">
        <v>743</v>
      </c>
      <c r="AG73" s="63">
        <v>632</v>
      </c>
      <c r="AH73" s="63">
        <v>702</v>
      </c>
      <c r="AI73" s="63">
        <v>786</v>
      </c>
      <c r="AJ73" s="63">
        <v>645</v>
      </c>
      <c r="AK73" s="63">
        <v>6</v>
      </c>
      <c r="AL73" s="63">
        <v>43</v>
      </c>
      <c r="AM73" s="63">
        <v>13</v>
      </c>
      <c r="AN73" s="63">
        <v>6</v>
      </c>
      <c r="AO73" s="63">
        <v>43</v>
      </c>
      <c r="AP73" s="63">
        <v>13</v>
      </c>
      <c r="AS73" s="63" t="e">
        <f t="shared" si="81"/>
        <v>#DIV/0!</v>
      </c>
      <c r="AT73" s="63" t="e">
        <f t="shared" si="82"/>
        <v>#DIV/0!</v>
      </c>
      <c r="AU73" s="63">
        <f t="shared" si="83"/>
        <v>0.21153846153846154</v>
      </c>
      <c r="AZ73" s="63">
        <f t="shared" si="66"/>
        <v>8.6206896551724137E-3</v>
      </c>
      <c r="BA73" s="63">
        <f t="shared" si="67"/>
        <v>5.7873485868102287E-2</v>
      </c>
      <c r="BB73" s="63">
        <f t="shared" si="68"/>
        <v>2.0569620253164556E-2</v>
      </c>
      <c r="BD73" s="63">
        <f t="shared" si="60"/>
        <v>8.6206896551724137E-3</v>
      </c>
      <c r="BE73" s="63">
        <f t="shared" si="61"/>
        <v>5.7873485868102287E-2</v>
      </c>
      <c r="BF73" s="63">
        <f t="shared" si="59"/>
        <v>-1.7045454545454544E-2</v>
      </c>
      <c r="BH73" s="132">
        <v>6.3649222065063654E-2</v>
      </c>
      <c r="BJ73" s="132">
        <v>6.2942008486562936E-2</v>
      </c>
      <c r="BN73" s="155">
        <f t="shared" si="63"/>
        <v>0</v>
      </c>
      <c r="BO73" s="156">
        <f t="shared" si="64"/>
        <v>0</v>
      </c>
      <c r="BP73" s="157">
        <f t="shared" si="65"/>
        <v>-244.44444444444446</v>
      </c>
      <c r="BQ73" s="155"/>
      <c r="BR73" s="156"/>
      <c r="BS73" s="157"/>
      <c r="BX73" s="142">
        <f t="shared" si="69"/>
        <v>0</v>
      </c>
      <c r="BY73" s="142">
        <f t="shared" si="70"/>
        <v>0</v>
      </c>
      <c r="BZ73" s="142">
        <f t="shared" si="71"/>
        <v>1</v>
      </c>
      <c r="CA73" s="63">
        <f t="shared" si="72"/>
        <v>1</v>
      </c>
      <c r="CB73" s="63">
        <f t="shared" si="73"/>
        <v>1</v>
      </c>
      <c r="CC73" s="63">
        <f t="shared" si="74"/>
        <v>0</v>
      </c>
      <c r="CD73" s="63">
        <f t="shared" si="75"/>
        <v>0</v>
      </c>
      <c r="CE73" s="63">
        <f t="shared" si="76"/>
        <v>0</v>
      </c>
      <c r="CF73" s="63">
        <f t="shared" si="77"/>
        <v>0</v>
      </c>
      <c r="CG73" s="63">
        <f t="shared" si="78"/>
        <v>0</v>
      </c>
      <c r="CH73" s="63">
        <f t="shared" si="79"/>
        <v>0</v>
      </c>
      <c r="CI73" s="63">
        <f t="shared" si="80"/>
        <v>0</v>
      </c>
      <c r="CL73" s="63">
        <v>-81.25</v>
      </c>
      <c r="CM73" s="69">
        <f t="shared" si="84"/>
        <v>81.25</v>
      </c>
      <c r="EH73" s="63">
        <v>0.88475836431226762</v>
      </c>
    </row>
    <row r="74" spans="1:138" s="63" customFormat="1">
      <c r="A74" s="63" t="s">
        <v>138</v>
      </c>
      <c r="B74" s="63">
        <v>85</v>
      </c>
      <c r="C74" s="63" t="s">
        <v>38</v>
      </c>
      <c r="D74" s="63" t="s">
        <v>32</v>
      </c>
      <c r="E74" s="63">
        <v>1</v>
      </c>
      <c r="F74" s="63">
        <v>7</v>
      </c>
      <c r="G74" s="63">
        <v>366</v>
      </c>
      <c r="H74" s="63">
        <v>475</v>
      </c>
      <c r="I74" s="63">
        <v>469</v>
      </c>
      <c r="J74" s="63">
        <v>123</v>
      </c>
      <c r="K74" s="63">
        <v>128</v>
      </c>
      <c r="L74" s="63">
        <v>202</v>
      </c>
      <c r="M74" s="63">
        <v>428</v>
      </c>
      <c r="N74" s="63">
        <v>431</v>
      </c>
      <c r="O74" s="63">
        <v>457</v>
      </c>
      <c r="P74" s="63">
        <v>62</v>
      </c>
      <c r="Q74" s="63">
        <v>-44</v>
      </c>
      <c r="R74" s="63">
        <v>-12</v>
      </c>
      <c r="S74" s="63">
        <v>62</v>
      </c>
      <c r="T74" s="63">
        <v>-44</v>
      </c>
      <c r="U74" s="63">
        <v>-12</v>
      </c>
      <c r="V74" s="63">
        <v>155</v>
      </c>
      <c r="W74" s="63">
        <v>173</v>
      </c>
      <c r="X74" s="63">
        <v>269</v>
      </c>
      <c r="Y74" s="63">
        <v>0</v>
      </c>
      <c r="Z74" s="63">
        <v>45</v>
      </c>
      <c r="AA74" s="63">
        <v>67</v>
      </c>
      <c r="AB74" s="63">
        <v>0</v>
      </c>
      <c r="AC74" s="63">
        <v>45</v>
      </c>
      <c r="AD74" s="63">
        <v>67</v>
      </c>
      <c r="AE74" s="63">
        <v>489</v>
      </c>
      <c r="AF74" s="63">
        <v>603</v>
      </c>
      <c r="AG74" s="63">
        <v>671</v>
      </c>
      <c r="AH74" s="63">
        <v>583</v>
      </c>
      <c r="AI74" s="63">
        <v>604</v>
      </c>
      <c r="AJ74" s="63">
        <v>726</v>
      </c>
      <c r="AK74" s="63">
        <v>94</v>
      </c>
      <c r="AL74" s="63">
        <v>1</v>
      </c>
      <c r="AM74" s="63">
        <v>55</v>
      </c>
      <c r="AN74" s="63">
        <v>62</v>
      </c>
      <c r="AO74" s="63">
        <v>1</v>
      </c>
      <c r="AP74" s="63">
        <v>55</v>
      </c>
      <c r="AS74" s="63">
        <f t="shared" si="81"/>
        <v>0</v>
      </c>
      <c r="AT74" s="63">
        <f t="shared" si="82"/>
        <v>0.3515625</v>
      </c>
      <c r="AU74" s="63">
        <f t="shared" si="83"/>
        <v>0.3316831683168317</v>
      </c>
      <c r="AZ74" s="63">
        <f t="shared" si="66"/>
        <v>0.19222903885480572</v>
      </c>
      <c r="BA74" s="63">
        <f t="shared" si="67"/>
        <v>1.658374792703151E-3</v>
      </c>
      <c r="BB74" s="63">
        <f t="shared" si="68"/>
        <v>8.1967213114754092E-2</v>
      </c>
      <c r="BD74" s="63">
        <f t="shared" si="60"/>
        <v>0.16939890710382513</v>
      </c>
      <c r="BE74" s="63">
        <f t="shared" si="61"/>
        <v>-9.2631578947368426E-2</v>
      </c>
      <c r="BF74" s="63">
        <f t="shared" si="59"/>
        <v>-2.5586353944562899E-2</v>
      </c>
      <c r="BH74" s="132">
        <v>0.34615384615384615</v>
      </c>
      <c r="BJ74" s="132">
        <v>0.34615384615384615</v>
      </c>
      <c r="BN74" s="155">
        <f t="shared" si="63"/>
        <v>0</v>
      </c>
      <c r="BO74" s="156">
        <f t="shared" si="64"/>
        <v>-102.27272727272727</v>
      </c>
      <c r="BP74" s="157">
        <f t="shared" si="65"/>
        <v>-558.33333333333326</v>
      </c>
      <c r="BQ74" s="155"/>
      <c r="BR74" s="156"/>
      <c r="BS74" s="157"/>
      <c r="BX74" s="142">
        <f t="shared" si="69"/>
        <v>0</v>
      </c>
      <c r="BY74" s="142">
        <f t="shared" si="70"/>
        <v>1</v>
      </c>
      <c r="BZ74" s="142">
        <f t="shared" si="71"/>
        <v>1</v>
      </c>
      <c r="CA74" s="63">
        <f t="shared" si="72"/>
        <v>1</v>
      </c>
      <c r="CB74" s="63">
        <f t="shared" si="73"/>
        <v>0</v>
      </c>
      <c r="CC74" s="63">
        <f t="shared" si="74"/>
        <v>0</v>
      </c>
      <c r="CD74" s="63">
        <f t="shared" si="75"/>
        <v>0</v>
      </c>
      <c r="CE74" s="63">
        <f t="shared" si="76"/>
        <v>0</v>
      </c>
      <c r="CF74" s="63">
        <f t="shared" si="77"/>
        <v>0</v>
      </c>
      <c r="CG74" s="63">
        <f t="shared" si="78"/>
        <v>0</v>
      </c>
      <c r="CH74" s="63">
        <f t="shared" si="79"/>
        <v>0</v>
      </c>
      <c r="CI74" s="63">
        <f t="shared" si="80"/>
        <v>0</v>
      </c>
      <c r="CL74" s="63">
        <v>-100</v>
      </c>
      <c r="CM74" s="69">
        <f t="shared" si="84"/>
        <v>100</v>
      </c>
      <c r="EH74" s="63">
        <v>0.34285714285714286</v>
      </c>
    </row>
    <row r="75" spans="1:138" s="32" customFormat="1">
      <c r="A75" s="32" t="s">
        <v>133</v>
      </c>
      <c r="B75" s="32">
        <v>95</v>
      </c>
      <c r="C75" s="32" t="s">
        <v>39</v>
      </c>
      <c r="D75" s="32" t="s">
        <v>32</v>
      </c>
      <c r="E75" s="32">
        <v>6</v>
      </c>
      <c r="F75" s="32">
        <v>7</v>
      </c>
      <c r="G75" s="32">
        <v>342</v>
      </c>
      <c r="H75" s="32">
        <v>503</v>
      </c>
      <c r="I75" s="32">
        <v>398</v>
      </c>
      <c r="J75" s="32">
        <v>0</v>
      </c>
      <c r="K75" s="32">
        <v>0</v>
      </c>
      <c r="L75" s="32">
        <v>0</v>
      </c>
      <c r="M75" s="32">
        <v>461</v>
      </c>
      <c r="N75" s="32">
        <v>569</v>
      </c>
      <c r="O75" s="32">
        <v>524</v>
      </c>
      <c r="P75" s="32">
        <v>119</v>
      </c>
      <c r="Q75" s="32">
        <v>65</v>
      </c>
      <c r="R75" s="32">
        <v>126</v>
      </c>
      <c r="S75" s="32">
        <v>119</v>
      </c>
      <c r="T75" s="32">
        <v>65</v>
      </c>
      <c r="U75" s="32">
        <v>126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342</v>
      </c>
      <c r="AF75" s="32">
        <v>503</v>
      </c>
      <c r="AG75" s="32">
        <v>398</v>
      </c>
      <c r="AH75" s="32">
        <v>461</v>
      </c>
      <c r="AI75" s="32">
        <v>569</v>
      </c>
      <c r="AJ75" s="32">
        <v>524</v>
      </c>
      <c r="AK75" s="32">
        <v>119</v>
      </c>
      <c r="AL75" s="32">
        <v>66</v>
      </c>
      <c r="AM75" s="32">
        <v>126</v>
      </c>
      <c r="AN75" s="32">
        <v>119</v>
      </c>
      <c r="AO75" s="32">
        <v>65</v>
      </c>
      <c r="AP75" s="32">
        <v>126</v>
      </c>
      <c r="AS75" s="32" t="e">
        <f t="shared" si="81"/>
        <v>#DIV/0!</v>
      </c>
      <c r="AT75" s="32" t="e">
        <f t="shared" si="82"/>
        <v>#DIV/0!</v>
      </c>
      <c r="AU75" s="32" t="e">
        <f t="shared" si="83"/>
        <v>#DIV/0!</v>
      </c>
      <c r="AZ75" s="32">
        <f t="shared" si="66"/>
        <v>0.34795321637426901</v>
      </c>
      <c r="BA75" s="32">
        <f t="shared" si="67"/>
        <v>0.1312127236580517</v>
      </c>
      <c r="BB75" s="32">
        <f t="shared" si="68"/>
        <v>0.3165829145728643</v>
      </c>
      <c r="BD75" s="32">
        <f t="shared" si="60"/>
        <v>0.34795321637426901</v>
      </c>
      <c r="BE75" s="32">
        <f t="shared" si="61"/>
        <v>0.12922465208747516</v>
      </c>
      <c r="BF75" s="32">
        <f t="shared" si="59"/>
        <v>0.3165829145728643</v>
      </c>
      <c r="BH75" s="132">
        <v>-8.1560283687943241E-2</v>
      </c>
      <c r="BJ75" s="132">
        <v>-0.17333333333333334</v>
      </c>
      <c r="BN75" s="158">
        <f t="shared" si="63"/>
        <v>0</v>
      </c>
      <c r="BO75" s="101">
        <f t="shared" si="64"/>
        <v>0</v>
      </c>
      <c r="BP75" s="159">
        <f t="shared" si="65"/>
        <v>0</v>
      </c>
      <c r="BQ75" s="158"/>
      <c r="BR75" s="101"/>
      <c r="BS75" s="159"/>
      <c r="BU75" s="63"/>
      <c r="BX75" s="142">
        <f t="shared" si="69"/>
        <v>0</v>
      </c>
      <c r="BY75" s="142">
        <f t="shared" si="70"/>
        <v>0</v>
      </c>
      <c r="BZ75" s="142">
        <f t="shared" si="71"/>
        <v>0</v>
      </c>
      <c r="CA75" s="32">
        <f t="shared" si="72"/>
        <v>1</v>
      </c>
      <c r="CB75" s="32">
        <f t="shared" si="73"/>
        <v>1</v>
      </c>
      <c r="CC75" s="32">
        <f t="shared" si="74"/>
        <v>1</v>
      </c>
      <c r="CD75" s="32">
        <f t="shared" si="75"/>
        <v>0</v>
      </c>
      <c r="CE75" s="32">
        <f t="shared" si="76"/>
        <v>0</v>
      </c>
      <c r="CF75" s="32">
        <f t="shared" si="77"/>
        <v>0</v>
      </c>
      <c r="CG75" s="32">
        <f t="shared" si="78"/>
        <v>0</v>
      </c>
      <c r="CH75" s="32">
        <f t="shared" si="79"/>
        <v>0</v>
      </c>
      <c r="CI75" s="32">
        <f t="shared" si="80"/>
        <v>0</v>
      </c>
      <c r="CL75" s="63">
        <v>-242.10526315789474</v>
      </c>
      <c r="CM75" s="69">
        <f t="shared" si="84"/>
        <v>242.10526315789474</v>
      </c>
      <c r="EH75" s="63">
        <v>3.6749999999999998</v>
      </c>
    </row>
    <row r="76" spans="1:138" s="133" customFormat="1">
      <c r="A76" s="133" t="s">
        <v>75</v>
      </c>
      <c r="B76" s="133">
        <v>50</v>
      </c>
      <c r="C76" s="133" t="s">
        <v>40</v>
      </c>
      <c r="D76" s="133" t="s">
        <v>35</v>
      </c>
      <c r="E76" s="133">
        <v>2</v>
      </c>
      <c r="F76" s="133">
        <v>2</v>
      </c>
      <c r="G76" s="133">
        <v>219</v>
      </c>
      <c r="H76" s="133">
        <v>136</v>
      </c>
      <c r="I76" s="133">
        <v>161</v>
      </c>
      <c r="J76" s="133">
        <v>0</v>
      </c>
      <c r="K76" s="133">
        <v>0</v>
      </c>
      <c r="L76" s="133">
        <v>0</v>
      </c>
      <c r="M76" s="133">
        <v>230</v>
      </c>
      <c r="N76" s="133">
        <v>163</v>
      </c>
      <c r="O76" s="133">
        <v>172</v>
      </c>
      <c r="P76" s="133">
        <v>11</v>
      </c>
      <c r="Q76" s="133">
        <v>27</v>
      </c>
      <c r="R76" s="133">
        <v>11</v>
      </c>
      <c r="S76" s="133">
        <v>11</v>
      </c>
      <c r="T76" s="133">
        <v>27</v>
      </c>
      <c r="U76" s="133">
        <v>11</v>
      </c>
      <c r="V76" s="133">
        <v>0</v>
      </c>
      <c r="W76" s="133">
        <v>0</v>
      </c>
      <c r="X76" s="133">
        <v>0</v>
      </c>
      <c r="Y76" s="133">
        <v>0</v>
      </c>
      <c r="Z76" s="133">
        <v>0</v>
      </c>
      <c r="AA76" s="133">
        <v>0</v>
      </c>
      <c r="AB76" s="133">
        <v>0</v>
      </c>
      <c r="AC76" s="133">
        <v>0</v>
      </c>
      <c r="AD76" s="133">
        <v>0</v>
      </c>
      <c r="AE76" s="133">
        <v>219</v>
      </c>
      <c r="AF76" s="133">
        <v>136</v>
      </c>
      <c r="AG76" s="133">
        <v>161</v>
      </c>
      <c r="AH76" s="133">
        <v>230</v>
      </c>
      <c r="AI76" s="133">
        <v>163</v>
      </c>
      <c r="AJ76" s="133">
        <v>172</v>
      </c>
      <c r="AK76" s="133">
        <v>11</v>
      </c>
      <c r="AL76" s="133">
        <v>27</v>
      </c>
      <c r="AM76" s="133">
        <v>11</v>
      </c>
      <c r="AN76" s="133">
        <v>11</v>
      </c>
      <c r="AO76" s="133">
        <v>27</v>
      </c>
      <c r="AP76" s="133">
        <v>11</v>
      </c>
      <c r="AS76" s="133" t="e">
        <f t="shared" si="81"/>
        <v>#DIV/0!</v>
      </c>
      <c r="AT76" s="133" t="e">
        <f t="shared" si="82"/>
        <v>#DIV/0!</v>
      </c>
      <c r="AU76" s="133" t="e">
        <f t="shared" si="83"/>
        <v>#DIV/0!</v>
      </c>
      <c r="AZ76" s="133">
        <f t="shared" si="66"/>
        <v>5.0228310502283102E-2</v>
      </c>
      <c r="BA76" s="133">
        <f t="shared" si="67"/>
        <v>0.19852941176470587</v>
      </c>
      <c r="BB76" s="133">
        <f t="shared" si="68"/>
        <v>6.8322981366459631E-2</v>
      </c>
      <c r="BD76" s="133">
        <f t="shared" si="60"/>
        <v>5.0228310502283102E-2</v>
      </c>
      <c r="BE76" s="133">
        <f t="shared" si="61"/>
        <v>0.19852941176470587</v>
      </c>
      <c r="BF76" s="133">
        <f t="shared" si="59"/>
        <v>6.8322981366459631E-2</v>
      </c>
      <c r="BH76" s="132">
        <v>9.0725806451612906E-2</v>
      </c>
      <c r="BJ76" s="132">
        <v>9.0725806451612906E-2</v>
      </c>
      <c r="BN76" s="160">
        <f t="shared" si="63"/>
        <v>0</v>
      </c>
      <c r="BO76" s="161">
        <f t="shared" si="64"/>
        <v>0</v>
      </c>
      <c r="BP76" s="162">
        <f t="shared" si="65"/>
        <v>0</v>
      </c>
      <c r="BQ76" s="160"/>
      <c r="BR76" s="161"/>
      <c r="BS76" s="162"/>
      <c r="BU76" s="63"/>
      <c r="BX76" s="142">
        <f t="shared" si="69"/>
        <v>0</v>
      </c>
      <c r="BY76" s="142">
        <f t="shared" si="70"/>
        <v>0</v>
      </c>
      <c r="BZ76" s="142">
        <f t="shared" si="71"/>
        <v>0</v>
      </c>
      <c r="CA76" s="133">
        <f t="shared" si="72"/>
        <v>1</v>
      </c>
      <c r="CB76" s="133">
        <f t="shared" si="73"/>
        <v>1</v>
      </c>
      <c r="CC76" s="133">
        <f t="shared" si="74"/>
        <v>1</v>
      </c>
      <c r="CD76" s="133">
        <f t="shared" si="75"/>
        <v>0</v>
      </c>
      <c r="CE76" s="133">
        <f t="shared" si="76"/>
        <v>0</v>
      </c>
      <c r="CF76" s="133">
        <f t="shared" si="77"/>
        <v>0</v>
      </c>
      <c r="CG76" s="133">
        <f t="shared" si="78"/>
        <v>0</v>
      </c>
      <c r="CH76" s="133">
        <f t="shared" si="79"/>
        <v>0</v>
      </c>
      <c r="CI76" s="133">
        <f t="shared" si="80"/>
        <v>0</v>
      </c>
      <c r="CL76" s="63">
        <v>-218.00000000000003</v>
      </c>
      <c r="CM76" s="69">
        <f t="shared" si="84"/>
        <v>218.00000000000003</v>
      </c>
      <c r="EH76" s="63">
        <v>6.1304347826086953</v>
      </c>
    </row>
    <row r="77" spans="1:138" s="66" customFormat="1">
      <c r="A77" s="66" t="s">
        <v>76</v>
      </c>
      <c r="B77" s="66">
        <v>40</v>
      </c>
      <c r="C77" s="66" t="s">
        <v>41</v>
      </c>
      <c r="D77" s="66" t="s">
        <v>33</v>
      </c>
      <c r="E77" s="66">
        <v>1</v>
      </c>
      <c r="F77" s="66">
        <v>2</v>
      </c>
      <c r="G77" s="66">
        <f>(CN77/1969)*40</f>
        <v>391.73184357541902</v>
      </c>
      <c r="H77" s="66">
        <f t="shared" ref="H77:AP77" si="85">(CO77/1969)*40</f>
        <v>556.03859827323515</v>
      </c>
      <c r="I77" s="66">
        <f t="shared" si="85"/>
        <v>467.26256983240228</v>
      </c>
      <c r="J77" s="66">
        <f t="shared" si="85"/>
        <v>2.4581005586592179</v>
      </c>
      <c r="K77" s="66">
        <f t="shared" si="85"/>
        <v>18.222447943118333</v>
      </c>
      <c r="L77" s="66">
        <f t="shared" si="85"/>
        <v>73.986795327577454</v>
      </c>
      <c r="M77" s="66">
        <f t="shared" si="85"/>
        <v>338.56780091416965</v>
      </c>
      <c r="N77" s="66">
        <f t="shared" si="85"/>
        <v>424.92635855764348</v>
      </c>
      <c r="O77" s="66">
        <f t="shared" si="85"/>
        <v>427.46571863890301</v>
      </c>
      <c r="P77" s="66">
        <f t="shared" si="85"/>
        <v>-53.164042661249368</v>
      </c>
      <c r="Q77" s="66">
        <f t="shared" si="85"/>
        <v>-129.79177247333672</v>
      </c>
      <c r="R77" s="66">
        <f t="shared" si="85"/>
        <v>-39.796851193499236</v>
      </c>
      <c r="S77" s="66">
        <f t="shared" si="85"/>
        <v>-59.908583037074656</v>
      </c>
      <c r="T77" s="66">
        <f t="shared" si="85"/>
        <v>-131.11223971559167</v>
      </c>
      <c r="U77" s="66">
        <f t="shared" si="85"/>
        <v>-39.796851193499236</v>
      </c>
      <c r="V77" s="66">
        <f t="shared" si="85"/>
        <v>53.164042661249368</v>
      </c>
      <c r="W77" s="66">
        <f t="shared" si="85"/>
        <v>64.80446927374301</v>
      </c>
      <c r="X77" s="66">
        <f t="shared" si="85"/>
        <v>315.97765363128491</v>
      </c>
      <c r="Y77" s="66">
        <f t="shared" si="85"/>
        <v>50.705942102590143</v>
      </c>
      <c r="Z77" s="66">
        <f t="shared" si="85"/>
        <v>53.732859319451492</v>
      </c>
      <c r="AA77" s="66">
        <f t="shared" si="85"/>
        <v>294.68765871000505</v>
      </c>
      <c r="AB77" s="66">
        <f t="shared" si="85"/>
        <v>50.705942102590143</v>
      </c>
      <c r="AC77" s="66">
        <f t="shared" si="85"/>
        <v>46.582021330624677</v>
      </c>
      <c r="AD77" s="66">
        <f t="shared" si="85"/>
        <v>241.99085830370748</v>
      </c>
      <c r="AE77" s="66">
        <f t="shared" si="85"/>
        <v>394.18994413407825</v>
      </c>
      <c r="AF77" s="66">
        <f t="shared" si="85"/>
        <v>574.26104621635341</v>
      </c>
      <c r="AG77" s="66">
        <f t="shared" si="85"/>
        <v>541.24936515997967</v>
      </c>
      <c r="AH77" s="66">
        <f t="shared" si="85"/>
        <v>391.73184357541902</v>
      </c>
      <c r="AI77" s="66">
        <f t="shared" si="85"/>
        <v>489.73082783138648</v>
      </c>
      <c r="AJ77" s="66">
        <f t="shared" si="85"/>
        <v>743.44337227018798</v>
      </c>
      <c r="AK77" s="66">
        <f t="shared" si="85"/>
        <v>-2.4581005586592179</v>
      </c>
      <c r="AL77" s="66">
        <f t="shared" si="85"/>
        <v>-84.530218384966986</v>
      </c>
      <c r="AM77" s="66">
        <f t="shared" si="85"/>
        <v>202.19400711020822</v>
      </c>
      <c r="AN77" s="66">
        <f t="shared" si="85"/>
        <v>-9.2026409344845099</v>
      </c>
      <c r="AO77" s="66">
        <f t="shared" si="85"/>
        <v>-84.530218384966986</v>
      </c>
      <c r="AP77" s="66">
        <f t="shared" si="85"/>
        <v>202.19400711020822</v>
      </c>
      <c r="AS77" s="66">
        <f t="shared" si="81"/>
        <v>20.628099173553718</v>
      </c>
      <c r="AT77" s="66">
        <f t="shared" si="82"/>
        <v>2.9487179487179485</v>
      </c>
      <c r="AU77" s="66">
        <f t="shared" si="83"/>
        <v>3.9829763866007681</v>
      </c>
      <c r="AV77" s="66">
        <f t="shared" ref="AV77:AW77" si="86">AS77</f>
        <v>20.628099173553718</v>
      </c>
      <c r="AW77" s="66">
        <f t="shared" si="86"/>
        <v>2.9487179487179485</v>
      </c>
      <c r="AX77" s="66">
        <f>AU77</f>
        <v>3.9829763866007681</v>
      </c>
      <c r="AZ77" s="66">
        <f t="shared" si="66"/>
        <v>-6.2358276643990924E-3</v>
      </c>
      <c r="BA77" s="66">
        <f t="shared" si="67"/>
        <v>-0.14719824536578466</v>
      </c>
      <c r="BB77" s="66">
        <f t="shared" si="68"/>
        <v>0.37356904252524115</v>
      </c>
      <c r="BD77" s="66">
        <f t="shared" si="60"/>
        <v>-0.13571539698179744</v>
      </c>
      <c r="BE77" s="66">
        <f t="shared" si="61"/>
        <v>-0.23342223521245115</v>
      </c>
      <c r="BF77" s="66">
        <f t="shared" si="59"/>
        <v>-8.5170209990869952E-2</v>
      </c>
      <c r="BH77" s="132">
        <v>0</v>
      </c>
      <c r="BJ77" s="132">
        <v>0</v>
      </c>
      <c r="BN77" s="163">
        <f t="shared" si="63"/>
        <v>-95.376385173863184</v>
      </c>
      <c r="BO77" s="107">
        <f t="shared" si="64"/>
        <v>-41.399280012521515</v>
      </c>
      <c r="BP77" s="164">
        <f t="shared" si="65"/>
        <v>-740.47983665135268</v>
      </c>
      <c r="BQ77" s="163">
        <v>-95.376385173863184</v>
      </c>
      <c r="BR77" s="107">
        <v>-41.399280012521515</v>
      </c>
      <c r="BS77" s="164">
        <v>-740.47983665135268</v>
      </c>
      <c r="BU77" s="63"/>
      <c r="BX77" s="142">
        <f t="shared" si="69"/>
        <v>1</v>
      </c>
      <c r="BY77" s="142">
        <f t="shared" si="70"/>
        <v>1</v>
      </c>
      <c r="BZ77" s="142">
        <f t="shared" si="71"/>
        <v>1</v>
      </c>
      <c r="CA77" s="66">
        <f t="shared" si="72"/>
        <v>0</v>
      </c>
      <c r="CB77" s="66">
        <f t="shared" si="73"/>
        <v>0</v>
      </c>
      <c r="CC77" s="66">
        <f t="shared" si="74"/>
        <v>0</v>
      </c>
      <c r="CD77" s="66">
        <f t="shared" si="75"/>
        <v>0</v>
      </c>
      <c r="CE77" s="66">
        <f t="shared" si="76"/>
        <v>0</v>
      </c>
      <c r="CF77" s="66">
        <f t="shared" si="77"/>
        <v>0</v>
      </c>
      <c r="CG77" s="66">
        <f t="shared" si="78"/>
        <v>0</v>
      </c>
      <c r="CH77" s="66">
        <f t="shared" si="79"/>
        <v>0</v>
      </c>
      <c r="CI77" s="66">
        <f t="shared" si="80"/>
        <v>0</v>
      </c>
      <c r="CL77" s="63">
        <v>-259.64912280701753</v>
      </c>
      <c r="CM77" s="69">
        <f t="shared" si="84"/>
        <v>259.64912280701753</v>
      </c>
      <c r="CN77" s="66">
        <v>19283</v>
      </c>
      <c r="CO77" s="66">
        <v>27371</v>
      </c>
      <c r="CP77" s="66">
        <v>23001</v>
      </c>
      <c r="CQ77" s="66">
        <v>121</v>
      </c>
      <c r="CR77" s="66">
        <v>897</v>
      </c>
      <c r="CS77" s="66">
        <v>3642</v>
      </c>
      <c r="CT77" s="66">
        <v>16666</v>
      </c>
      <c r="CU77" s="66">
        <v>20917</v>
      </c>
      <c r="CV77" s="66">
        <v>21042</v>
      </c>
      <c r="CW77" s="66">
        <v>-2617</v>
      </c>
      <c r="CX77" s="66">
        <v>-6389</v>
      </c>
      <c r="CY77" s="66">
        <v>-1959</v>
      </c>
      <c r="CZ77" s="66">
        <v>-2949</v>
      </c>
      <c r="DA77" s="66">
        <v>-6454</v>
      </c>
      <c r="DB77" s="66">
        <v>-1959</v>
      </c>
      <c r="DC77" s="66">
        <v>2617</v>
      </c>
      <c r="DD77" s="66">
        <v>3190</v>
      </c>
      <c r="DE77" s="66">
        <v>15554</v>
      </c>
      <c r="DF77" s="66">
        <v>2496</v>
      </c>
      <c r="DG77" s="66">
        <v>2645</v>
      </c>
      <c r="DH77" s="66">
        <v>14506</v>
      </c>
      <c r="DI77" s="66">
        <v>2496</v>
      </c>
      <c r="DJ77" s="66">
        <v>2293</v>
      </c>
      <c r="DK77" s="66">
        <v>11912</v>
      </c>
      <c r="DL77" s="66">
        <v>19404</v>
      </c>
      <c r="DM77" s="66">
        <v>28268</v>
      </c>
      <c r="DN77" s="66">
        <v>26643</v>
      </c>
      <c r="DO77" s="66">
        <v>19283</v>
      </c>
      <c r="DP77" s="66">
        <v>24107</v>
      </c>
      <c r="DQ77" s="66">
        <v>36596</v>
      </c>
      <c r="DR77" s="66">
        <v>-121</v>
      </c>
      <c r="DS77" s="66">
        <v>-4161</v>
      </c>
      <c r="DT77" s="66">
        <v>9953</v>
      </c>
      <c r="DU77" s="66">
        <v>-453</v>
      </c>
      <c r="DV77" s="66">
        <v>-4161</v>
      </c>
      <c r="DW77" s="66">
        <v>9953</v>
      </c>
      <c r="EH77" s="63">
        <v>0.18045112781954886</v>
      </c>
    </row>
    <row r="78" spans="1:138" s="66" customFormat="1">
      <c r="A78" s="66" t="s">
        <v>79</v>
      </c>
      <c r="B78" s="66">
        <v>30</v>
      </c>
      <c r="C78" s="66" t="s">
        <v>41</v>
      </c>
      <c r="D78" s="66" t="s">
        <v>33</v>
      </c>
      <c r="E78" s="66">
        <v>3</v>
      </c>
      <c r="F78" s="66">
        <v>1</v>
      </c>
      <c r="G78" s="66">
        <v>247</v>
      </c>
      <c r="H78" s="66">
        <v>179</v>
      </c>
      <c r="I78" s="66">
        <v>296</v>
      </c>
      <c r="J78" s="66">
        <v>0</v>
      </c>
      <c r="K78" s="66">
        <v>0</v>
      </c>
      <c r="L78" s="66">
        <v>0</v>
      </c>
      <c r="M78" s="66">
        <v>209</v>
      </c>
      <c r="N78" s="66">
        <v>205</v>
      </c>
      <c r="O78" s="66">
        <v>290</v>
      </c>
      <c r="P78" s="66">
        <v>-38</v>
      </c>
      <c r="Q78" s="66">
        <v>26</v>
      </c>
      <c r="R78" s="66">
        <v>-6</v>
      </c>
      <c r="S78" s="66">
        <v>-38</v>
      </c>
      <c r="T78" s="66">
        <v>26</v>
      </c>
      <c r="U78" s="66">
        <v>-6</v>
      </c>
      <c r="V78" s="66">
        <v>15</v>
      </c>
      <c r="W78" s="66">
        <v>5</v>
      </c>
      <c r="X78" s="66">
        <v>3</v>
      </c>
      <c r="Y78" s="66">
        <v>15</v>
      </c>
      <c r="Z78" s="66">
        <v>5</v>
      </c>
      <c r="AA78" s="66">
        <v>3</v>
      </c>
      <c r="AB78" s="66">
        <v>15</v>
      </c>
      <c r="AC78" s="66">
        <v>5</v>
      </c>
      <c r="AD78" s="66">
        <v>3</v>
      </c>
      <c r="AE78" s="66">
        <v>247</v>
      </c>
      <c r="AF78" s="66">
        <v>179</v>
      </c>
      <c r="AG78" s="66">
        <v>296</v>
      </c>
      <c r="AH78" s="66">
        <v>224</v>
      </c>
      <c r="AI78" s="66">
        <v>210</v>
      </c>
      <c r="AJ78" s="66">
        <v>293</v>
      </c>
      <c r="AK78" s="66">
        <v>-23</v>
      </c>
      <c r="AL78" s="66">
        <v>31</v>
      </c>
      <c r="AM78" s="66">
        <v>-3</v>
      </c>
      <c r="AN78" s="66">
        <v>-23</v>
      </c>
      <c r="AO78" s="66">
        <v>31</v>
      </c>
      <c r="AP78" s="66">
        <v>-3</v>
      </c>
      <c r="AS78" s="66" t="e">
        <f t="shared" si="81"/>
        <v>#DIV/0!</v>
      </c>
      <c r="AT78" s="66" t="e">
        <f t="shared" si="82"/>
        <v>#DIV/0!</v>
      </c>
      <c r="AU78" s="66" t="e">
        <f t="shared" si="83"/>
        <v>#DIV/0!</v>
      </c>
      <c r="AW78" s="66">
        <f>AT79</f>
        <v>0.15384615384615385</v>
      </c>
      <c r="AZ78" s="66">
        <f t="shared" si="66"/>
        <v>-9.3117408906882596E-2</v>
      </c>
      <c r="BA78" s="66">
        <f t="shared" si="67"/>
        <v>0.17318435754189945</v>
      </c>
      <c r="BB78" s="66">
        <f t="shared" si="68"/>
        <v>-1.0135135135135136E-2</v>
      </c>
      <c r="BD78" s="66">
        <f t="shared" si="60"/>
        <v>-0.15384615384615385</v>
      </c>
      <c r="BE78" s="66">
        <f t="shared" si="61"/>
        <v>0.14525139664804471</v>
      </c>
      <c r="BF78" s="66">
        <f t="shared" si="59"/>
        <v>-2.0270270270270271E-2</v>
      </c>
      <c r="BH78" s="132">
        <v>0.17405063291139242</v>
      </c>
      <c r="BJ78" s="132">
        <v>0.17405063291139242</v>
      </c>
      <c r="BN78" s="163">
        <f t="shared" si="63"/>
        <v>-39.473684210526315</v>
      </c>
      <c r="BO78" s="107">
        <f t="shared" si="64"/>
        <v>19.230769230769234</v>
      </c>
      <c r="BP78" s="164">
        <f t="shared" si="65"/>
        <v>-50</v>
      </c>
      <c r="BQ78" s="163">
        <v>-39.473684210526315</v>
      </c>
      <c r="BR78" s="107">
        <v>-16.666666666666664</v>
      </c>
      <c r="BS78" s="164">
        <v>-50</v>
      </c>
      <c r="BU78" s="63"/>
      <c r="BX78" s="142">
        <f t="shared" si="69"/>
        <v>1</v>
      </c>
      <c r="BY78" s="142">
        <f t="shared" si="70"/>
        <v>0</v>
      </c>
      <c r="BZ78" s="142">
        <f t="shared" si="71"/>
        <v>1</v>
      </c>
      <c r="CA78" s="66">
        <f t="shared" si="72"/>
        <v>0</v>
      </c>
      <c r="CB78" s="66">
        <f t="shared" si="73"/>
        <v>0</v>
      </c>
      <c r="CC78" s="66">
        <f t="shared" si="74"/>
        <v>0</v>
      </c>
      <c r="CD78" s="66">
        <f t="shared" si="75"/>
        <v>0</v>
      </c>
      <c r="CE78" s="66">
        <f t="shared" si="76"/>
        <v>1</v>
      </c>
      <c r="CF78" s="66">
        <f t="shared" si="77"/>
        <v>0</v>
      </c>
      <c r="CG78" s="66">
        <f t="shared" si="78"/>
        <v>0</v>
      </c>
      <c r="CH78" s="66">
        <f t="shared" si="79"/>
        <v>0</v>
      </c>
      <c r="CI78" s="66">
        <f t="shared" si="80"/>
        <v>0</v>
      </c>
      <c r="CL78" s="63">
        <v>-372.22222222222223</v>
      </c>
      <c r="CM78" s="69">
        <f t="shared" si="84"/>
        <v>372.22222222222223</v>
      </c>
      <c r="EH78" s="63">
        <v>0.28630136986301369</v>
      </c>
    </row>
    <row r="79" spans="1:138" s="66" customFormat="1">
      <c r="A79" s="66" t="s">
        <v>87</v>
      </c>
      <c r="B79" s="66">
        <v>120</v>
      </c>
      <c r="C79" s="66" t="s">
        <v>41</v>
      </c>
      <c r="D79" s="66" t="s">
        <v>35</v>
      </c>
      <c r="E79" s="66">
        <v>5</v>
      </c>
      <c r="F79" s="66">
        <v>7</v>
      </c>
      <c r="G79" s="66">
        <v>151</v>
      </c>
      <c r="H79" s="66">
        <v>252</v>
      </c>
      <c r="I79" s="66">
        <v>181</v>
      </c>
      <c r="J79" s="66">
        <v>0</v>
      </c>
      <c r="K79" s="66">
        <v>26</v>
      </c>
      <c r="L79" s="66">
        <v>0</v>
      </c>
      <c r="M79" s="66">
        <v>207</v>
      </c>
      <c r="N79" s="66">
        <v>228</v>
      </c>
      <c r="O79" s="66">
        <v>231</v>
      </c>
      <c r="P79" s="66">
        <v>56</v>
      </c>
      <c r="Q79" s="66">
        <v>-24</v>
      </c>
      <c r="R79" s="66">
        <v>50</v>
      </c>
      <c r="S79" s="66">
        <v>56</v>
      </c>
      <c r="T79" s="66">
        <v>-24</v>
      </c>
      <c r="U79" s="66">
        <v>50</v>
      </c>
      <c r="V79" s="66">
        <v>3</v>
      </c>
      <c r="W79" s="66">
        <v>30</v>
      </c>
      <c r="X79" s="66">
        <v>0</v>
      </c>
      <c r="Y79" s="66">
        <v>3</v>
      </c>
      <c r="Z79" s="66">
        <v>4</v>
      </c>
      <c r="AA79" s="66">
        <v>0</v>
      </c>
      <c r="AB79" s="66">
        <v>3</v>
      </c>
      <c r="AC79" s="66">
        <v>4</v>
      </c>
      <c r="AD79" s="66">
        <v>0</v>
      </c>
      <c r="AE79" s="66">
        <v>151</v>
      </c>
      <c r="AF79" s="66">
        <v>278</v>
      </c>
      <c r="AG79" s="66">
        <v>181</v>
      </c>
      <c r="AH79" s="66">
        <v>210</v>
      </c>
      <c r="AI79" s="66">
        <v>258</v>
      </c>
      <c r="AJ79" s="66">
        <v>231</v>
      </c>
      <c r="AK79" s="66">
        <v>59</v>
      </c>
      <c r="AL79" s="66">
        <v>-20</v>
      </c>
      <c r="AM79" s="66">
        <v>50</v>
      </c>
      <c r="AN79" s="66">
        <v>59</v>
      </c>
      <c r="AO79" s="66">
        <v>-20</v>
      </c>
      <c r="AP79" s="66">
        <v>50</v>
      </c>
      <c r="AS79" s="66" t="e">
        <f t="shared" si="81"/>
        <v>#DIV/0!</v>
      </c>
      <c r="AT79" s="66">
        <f t="shared" si="82"/>
        <v>0.15384615384615385</v>
      </c>
      <c r="AU79" s="66" t="e">
        <f t="shared" si="83"/>
        <v>#DIV/0!</v>
      </c>
      <c r="AZ79" s="66">
        <f t="shared" si="66"/>
        <v>0.39072847682119205</v>
      </c>
      <c r="BA79" s="66">
        <f t="shared" si="67"/>
        <v>-7.1942446043165464E-2</v>
      </c>
      <c r="BB79" s="66">
        <f t="shared" si="68"/>
        <v>0.27624309392265195</v>
      </c>
      <c r="BD79" s="66">
        <f t="shared" si="60"/>
        <v>0.37086092715231789</v>
      </c>
      <c r="BE79" s="66">
        <f t="shared" si="61"/>
        <v>-9.5238095238095233E-2</v>
      </c>
      <c r="BF79" s="66">
        <f t="shared" ref="BF79:BF94" si="87">R79/I79</f>
        <v>0.27624309392265195</v>
      </c>
      <c r="BH79" s="132">
        <v>0.10972297664312873</v>
      </c>
      <c r="BJ79" s="132">
        <v>6.5181966322650732E-3</v>
      </c>
      <c r="BN79" s="163">
        <f t="shared" si="63"/>
        <v>5.3571428571428568</v>
      </c>
      <c r="BO79" s="107">
        <f t="shared" si="64"/>
        <v>-16.666666666666664</v>
      </c>
      <c r="BP79" s="164">
        <f t="shared" si="65"/>
        <v>0</v>
      </c>
      <c r="BQ79" s="163"/>
      <c r="BR79" s="107"/>
      <c r="BS79" s="164"/>
      <c r="BU79" s="63"/>
      <c r="BX79" s="142">
        <f t="shared" si="69"/>
        <v>0</v>
      </c>
      <c r="BY79" s="142">
        <f t="shared" si="70"/>
        <v>1</v>
      </c>
      <c r="BZ79" s="142">
        <f t="shared" si="71"/>
        <v>0</v>
      </c>
      <c r="CA79" s="66">
        <f t="shared" si="72"/>
        <v>0</v>
      </c>
      <c r="CB79" s="66">
        <f t="shared" si="73"/>
        <v>0</v>
      </c>
      <c r="CC79" s="66">
        <f t="shared" si="74"/>
        <v>1</v>
      </c>
      <c r="CD79" s="66">
        <f t="shared" si="75"/>
        <v>1</v>
      </c>
      <c r="CE79" s="66">
        <f t="shared" si="76"/>
        <v>0</v>
      </c>
      <c r="CF79" s="66">
        <f t="shared" si="77"/>
        <v>0</v>
      </c>
      <c r="CG79" s="66">
        <f t="shared" si="78"/>
        <v>0</v>
      </c>
      <c r="CH79" s="66">
        <f t="shared" si="79"/>
        <v>0</v>
      </c>
      <c r="CI79" s="66">
        <f t="shared" si="80"/>
        <v>0</v>
      </c>
      <c r="CL79" s="63">
        <v>-316.07142857142856</v>
      </c>
      <c r="CM79" s="69">
        <f t="shared" si="84"/>
        <v>316.07142857142856</v>
      </c>
      <c r="EH79" s="63">
        <v>0.05</v>
      </c>
    </row>
    <row r="80" spans="1:138" s="66" customFormat="1">
      <c r="A80" s="66" t="s">
        <v>98</v>
      </c>
      <c r="B80" s="66">
        <v>31</v>
      </c>
      <c r="C80" s="66" t="s">
        <v>41</v>
      </c>
      <c r="D80" s="66" t="s">
        <v>32</v>
      </c>
      <c r="E80" s="66">
        <v>5</v>
      </c>
      <c r="F80" s="66">
        <v>6</v>
      </c>
      <c r="G80" s="66">
        <v>136</v>
      </c>
      <c r="H80" s="66">
        <v>138</v>
      </c>
      <c r="I80" s="66">
        <v>229</v>
      </c>
      <c r="J80" s="66">
        <v>0</v>
      </c>
      <c r="K80" s="66">
        <v>0</v>
      </c>
      <c r="L80" s="66">
        <v>0</v>
      </c>
      <c r="M80" s="66">
        <v>136</v>
      </c>
      <c r="N80" s="66">
        <v>153</v>
      </c>
      <c r="O80" s="66">
        <v>264</v>
      </c>
      <c r="P80" s="66">
        <v>0</v>
      </c>
      <c r="Q80" s="66">
        <v>15</v>
      </c>
      <c r="R80" s="66">
        <v>35</v>
      </c>
      <c r="S80" s="66">
        <v>0</v>
      </c>
      <c r="T80" s="66">
        <v>15</v>
      </c>
      <c r="U80" s="66">
        <v>35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136</v>
      </c>
      <c r="AF80" s="66">
        <v>138</v>
      </c>
      <c r="AG80" s="66">
        <v>229</v>
      </c>
      <c r="AH80" s="66">
        <v>136</v>
      </c>
      <c r="AI80" s="66">
        <v>153</v>
      </c>
      <c r="AJ80" s="66">
        <v>264</v>
      </c>
      <c r="AK80" s="66">
        <v>0</v>
      </c>
      <c r="AL80" s="66">
        <v>15</v>
      </c>
      <c r="AM80" s="66">
        <v>35</v>
      </c>
      <c r="AN80" s="66">
        <v>0</v>
      </c>
      <c r="AO80" s="66">
        <v>15</v>
      </c>
      <c r="AP80" s="66">
        <v>35</v>
      </c>
      <c r="AS80" s="66" t="e">
        <f t="shared" si="81"/>
        <v>#DIV/0!</v>
      </c>
      <c r="AT80" s="66" t="e">
        <f t="shared" si="82"/>
        <v>#DIV/0!</v>
      </c>
      <c r="AU80" s="66" t="e">
        <f t="shared" si="83"/>
        <v>#DIV/0!</v>
      </c>
      <c r="AZ80" s="66">
        <f t="shared" si="66"/>
        <v>0</v>
      </c>
      <c r="BA80" s="66">
        <f t="shared" si="67"/>
        <v>0.10869565217391304</v>
      </c>
      <c r="BB80" s="66">
        <f t="shared" si="68"/>
        <v>0.15283842794759825</v>
      </c>
      <c r="BD80" s="66">
        <f t="shared" si="60"/>
        <v>0</v>
      </c>
      <c r="BE80" s="66">
        <f t="shared" si="61"/>
        <v>0.10869565217391304</v>
      </c>
      <c r="BF80" s="66">
        <f t="shared" si="87"/>
        <v>0.15283842794759825</v>
      </c>
      <c r="BH80" s="63">
        <v>-0.17034700315457413</v>
      </c>
      <c r="BJ80" s="63">
        <v>-0.27129337539432175</v>
      </c>
      <c r="BN80" s="163" t="e">
        <f t="shared" si="63"/>
        <v>#DIV/0!</v>
      </c>
      <c r="BO80" s="107">
        <f t="shared" si="64"/>
        <v>0</v>
      </c>
      <c r="BP80" s="164">
        <f t="shared" si="65"/>
        <v>0</v>
      </c>
      <c r="BQ80" s="163"/>
      <c r="BR80" s="107"/>
      <c r="BS80" s="164"/>
      <c r="BU80" s="63"/>
      <c r="BX80" s="142">
        <f t="shared" si="69"/>
        <v>0</v>
      </c>
      <c r="BY80" s="142">
        <f t="shared" si="70"/>
        <v>0</v>
      </c>
      <c r="BZ80" s="142">
        <f t="shared" si="71"/>
        <v>0</v>
      </c>
      <c r="CA80" s="66" t="e">
        <f t="shared" si="72"/>
        <v>#DIV/0!</v>
      </c>
      <c r="CB80" s="66">
        <f t="shared" si="73"/>
        <v>1</v>
      </c>
      <c r="CC80" s="66">
        <f t="shared" si="74"/>
        <v>1</v>
      </c>
      <c r="CD80" s="66" t="e">
        <f t="shared" si="75"/>
        <v>#DIV/0!</v>
      </c>
      <c r="CE80" s="66">
        <f t="shared" si="76"/>
        <v>0</v>
      </c>
      <c r="CF80" s="66">
        <f t="shared" si="77"/>
        <v>0</v>
      </c>
      <c r="CG80" s="66">
        <f t="shared" si="78"/>
        <v>1</v>
      </c>
      <c r="CH80" s="66">
        <f t="shared" si="79"/>
        <v>0</v>
      </c>
      <c r="CI80" s="66">
        <f t="shared" si="80"/>
        <v>0</v>
      </c>
      <c r="CL80" s="63">
        <v>-115.2542372881356</v>
      </c>
      <c r="CM80" s="69">
        <f t="shared" si="84"/>
        <v>115.2542372881356</v>
      </c>
      <c r="EH80" s="63">
        <v>0.21153846153846154</v>
      </c>
    </row>
    <row r="81" spans="1:138" s="45" customFormat="1">
      <c r="A81" s="45" t="s">
        <v>53</v>
      </c>
      <c r="B81" s="45">
        <v>140</v>
      </c>
      <c r="C81" s="45" t="s">
        <v>34</v>
      </c>
      <c r="D81" s="45" t="s">
        <v>32</v>
      </c>
      <c r="E81" s="45">
        <v>7</v>
      </c>
      <c r="F81" s="45">
        <v>7</v>
      </c>
      <c r="G81" s="45">
        <f>(CN81/2000)*140</f>
        <v>1063.79</v>
      </c>
      <c r="H81" s="45">
        <f t="shared" ref="H81:AP81" si="88">(CO81/2000)*140</f>
        <v>1050.77</v>
      </c>
      <c r="I81" s="45">
        <f t="shared" si="88"/>
        <v>1291.71</v>
      </c>
      <c r="J81" s="45">
        <f t="shared" si="88"/>
        <v>51.94</v>
      </c>
      <c r="K81" s="45">
        <f t="shared" si="88"/>
        <v>69.72</v>
      </c>
      <c r="L81" s="45">
        <f t="shared" si="88"/>
        <v>21.07</v>
      </c>
      <c r="M81" s="45">
        <f t="shared" si="88"/>
        <v>974.26</v>
      </c>
      <c r="N81" s="45">
        <f t="shared" si="88"/>
        <v>1059.5900000000001</v>
      </c>
      <c r="O81" s="45">
        <f t="shared" si="88"/>
        <v>1275.26</v>
      </c>
      <c r="P81" s="45">
        <f t="shared" si="88"/>
        <v>89.53</v>
      </c>
      <c r="Q81" s="45">
        <f t="shared" si="88"/>
        <v>8.82</v>
      </c>
      <c r="R81" s="45">
        <f t="shared" si="88"/>
        <v>-16.45</v>
      </c>
      <c r="S81" s="45">
        <f t="shared" si="88"/>
        <v>-89.669999999999987</v>
      </c>
      <c r="T81" s="45">
        <f t="shared" si="88"/>
        <v>8.82</v>
      </c>
      <c r="U81" s="45">
        <f t="shared" si="88"/>
        <v>-16.45</v>
      </c>
      <c r="V81" s="45">
        <f t="shared" si="88"/>
        <v>59.57</v>
      </c>
      <c r="W81" s="45">
        <f t="shared" si="88"/>
        <v>55.09</v>
      </c>
      <c r="X81" s="45">
        <f t="shared" si="88"/>
        <v>25.759999999999998</v>
      </c>
      <c r="Y81" s="45">
        <f t="shared" si="88"/>
        <v>7.63</v>
      </c>
      <c r="Z81" s="45">
        <f t="shared" si="88"/>
        <v>-14.629999999999999</v>
      </c>
      <c r="AA81" s="45">
        <f t="shared" si="88"/>
        <v>4.6900000000000004</v>
      </c>
      <c r="AB81" s="45">
        <f t="shared" si="88"/>
        <v>7.63</v>
      </c>
      <c r="AC81" s="45">
        <f t="shared" si="88"/>
        <v>-14.629999999999999</v>
      </c>
      <c r="AD81" s="45">
        <f t="shared" si="88"/>
        <v>4.6900000000000004</v>
      </c>
      <c r="AE81" s="45">
        <f t="shared" si="88"/>
        <v>1115.73</v>
      </c>
      <c r="AF81" s="45">
        <f t="shared" si="88"/>
        <v>1120.49</v>
      </c>
      <c r="AG81" s="45">
        <f t="shared" si="88"/>
        <v>1312.7800000000002</v>
      </c>
      <c r="AH81" s="45">
        <f t="shared" si="88"/>
        <v>1033.83</v>
      </c>
      <c r="AI81" s="45">
        <f t="shared" si="88"/>
        <v>1114.68</v>
      </c>
      <c r="AJ81" s="45">
        <f t="shared" si="88"/>
        <v>1301.02</v>
      </c>
      <c r="AK81" s="45">
        <f t="shared" si="88"/>
        <v>-81.899999999999991</v>
      </c>
      <c r="AL81" s="45">
        <f t="shared" si="88"/>
        <v>-5.8100000000000005</v>
      </c>
      <c r="AM81" s="45">
        <f t="shared" si="88"/>
        <v>-11.760000000000002</v>
      </c>
      <c r="AN81" s="45">
        <f t="shared" si="88"/>
        <v>-82.039999999999992</v>
      </c>
      <c r="AO81" s="45">
        <f t="shared" si="88"/>
        <v>-5.8100000000000005</v>
      </c>
      <c r="AP81" s="45">
        <f t="shared" si="88"/>
        <v>-11.760000000000002</v>
      </c>
      <c r="AS81" s="45">
        <f t="shared" si="81"/>
        <v>0.14690026954177898</v>
      </c>
      <c r="AT81" s="45">
        <f t="shared" si="82"/>
        <v>-0.20983935742971888</v>
      </c>
      <c r="AU81" s="45">
        <f t="shared" si="83"/>
        <v>0.22259136212624586</v>
      </c>
      <c r="AV81" s="45">
        <f t="shared" ref="AV81" si="89">AS81</f>
        <v>0.14690026954177898</v>
      </c>
      <c r="AW81" s="45">
        <f t="shared" ref="AW81" si="90">AT81</f>
        <v>-0.20983935742971888</v>
      </c>
      <c r="AX81" s="45">
        <f t="shared" ref="AX81" si="91">AU81</f>
        <v>0.22259136212624586</v>
      </c>
      <c r="AZ81" s="45">
        <f t="shared" si="66"/>
        <v>-7.340485601355165E-2</v>
      </c>
      <c r="BA81" s="45">
        <f t="shared" si="67"/>
        <v>-5.1852314612357096E-3</v>
      </c>
      <c r="BB81" s="45">
        <f t="shared" si="68"/>
        <v>-8.9580889410259146E-3</v>
      </c>
      <c r="BD81" s="45">
        <f t="shared" si="60"/>
        <v>8.4161347634401529E-2</v>
      </c>
      <c r="BE81" s="45">
        <f t="shared" si="61"/>
        <v>8.3938445140230508E-3</v>
      </c>
      <c r="BF81" s="45">
        <f t="shared" si="87"/>
        <v>-1.2735056630358206E-2</v>
      </c>
      <c r="BH81" s="63">
        <v>0.21800947867298578</v>
      </c>
      <c r="BJ81" s="63">
        <v>-0.1990521327014218</v>
      </c>
      <c r="BN81" s="165">
        <f t="shared" si="63"/>
        <v>8.522283033620015</v>
      </c>
      <c r="BO81" s="102">
        <f t="shared" si="64"/>
        <v>-165.87301587301587</v>
      </c>
      <c r="BP81" s="166">
        <f t="shared" si="65"/>
        <v>-28.510638297872344</v>
      </c>
      <c r="BQ81" s="165"/>
      <c r="BR81" s="102">
        <v>-21.082621082621085</v>
      </c>
      <c r="BS81" s="166">
        <v>-28.510638297872344</v>
      </c>
      <c r="BU81" s="63"/>
      <c r="BX81" s="142">
        <f t="shared" si="69"/>
        <v>0</v>
      </c>
      <c r="BY81" s="142">
        <f t="shared" si="70"/>
        <v>0</v>
      </c>
      <c r="BZ81" s="142">
        <f t="shared" si="71"/>
        <v>1</v>
      </c>
      <c r="CA81" s="45">
        <f t="shared" si="72"/>
        <v>0</v>
      </c>
      <c r="CB81" s="45">
        <f t="shared" si="73"/>
        <v>0</v>
      </c>
      <c r="CC81" s="45">
        <f t="shared" si="74"/>
        <v>0</v>
      </c>
      <c r="CD81" s="45">
        <f t="shared" si="75"/>
        <v>1</v>
      </c>
      <c r="CE81" s="45">
        <f t="shared" si="76"/>
        <v>0</v>
      </c>
      <c r="CF81" s="45">
        <f t="shared" si="77"/>
        <v>0</v>
      </c>
      <c r="CG81" s="45">
        <f t="shared" si="78"/>
        <v>0</v>
      </c>
      <c r="CH81" s="45">
        <f t="shared" si="79"/>
        <v>0</v>
      </c>
      <c r="CI81" s="45">
        <f t="shared" si="80"/>
        <v>0</v>
      </c>
      <c r="CL81" s="63">
        <v>-90.681003584229387</v>
      </c>
      <c r="CM81" s="69">
        <f t="shared" si="84"/>
        <v>90.681003584229387</v>
      </c>
      <c r="CN81" s="45">
        <v>15197</v>
      </c>
      <c r="CO81" s="45">
        <v>15011</v>
      </c>
      <c r="CP81" s="45">
        <v>18453</v>
      </c>
      <c r="CQ81" s="45">
        <v>742</v>
      </c>
      <c r="CR81" s="45">
        <v>996</v>
      </c>
      <c r="CS81" s="45">
        <v>301</v>
      </c>
      <c r="CT81" s="45">
        <v>13918</v>
      </c>
      <c r="CU81" s="45">
        <v>15137</v>
      </c>
      <c r="CV81" s="45">
        <v>18218</v>
      </c>
      <c r="CW81" s="45">
        <v>1279</v>
      </c>
      <c r="CX81" s="45">
        <v>126</v>
      </c>
      <c r="CY81" s="45">
        <v>-235</v>
      </c>
      <c r="CZ81" s="45">
        <v>-1281</v>
      </c>
      <c r="DA81" s="45">
        <v>126</v>
      </c>
      <c r="DB81" s="45">
        <v>-235</v>
      </c>
      <c r="DC81" s="45">
        <v>851</v>
      </c>
      <c r="DD81" s="45">
        <v>787</v>
      </c>
      <c r="DE81" s="45">
        <v>368</v>
      </c>
      <c r="DF81" s="45">
        <v>109</v>
      </c>
      <c r="DG81" s="45">
        <v>-209</v>
      </c>
      <c r="DH81" s="45">
        <v>67</v>
      </c>
      <c r="DI81" s="45">
        <v>109</v>
      </c>
      <c r="DJ81" s="45">
        <v>-209</v>
      </c>
      <c r="DK81" s="45">
        <v>67</v>
      </c>
      <c r="DL81" s="45">
        <v>15939</v>
      </c>
      <c r="DM81" s="45">
        <v>16007</v>
      </c>
      <c r="DN81" s="45">
        <v>18754</v>
      </c>
      <c r="DO81" s="45">
        <v>14769</v>
      </c>
      <c r="DP81" s="45">
        <v>15924</v>
      </c>
      <c r="DQ81" s="45">
        <v>18586</v>
      </c>
      <c r="DR81" s="45">
        <v>-1170</v>
      </c>
      <c r="DS81" s="45">
        <v>-83</v>
      </c>
      <c r="DT81" s="45">
        <v>-168</v>
      </c>
      <c r="DU81" s="45">
        <v>-1172</v>
      </c>
      <c r="DV81" s="45">
        <v>-83</v>
      </c>
      <c r="DW81" s="45">
        <v>-168</v>
      </c>
      <c r="EH81" s="63">
        <v>0.3316831683168317</v>
      </c>
    </row>
    <row r="82" spans="1:138" s="45" customFormat="1">
      <c r="A82" s="45" t="s">
        <v>88</v>
      </c>
      <c r="B82" s="45">
        <v>180</v>
      </c>
      <c r="C82" s="45" t="s">
        <v>34</v>
      </c>
      <c r="D82" s="45" t="s">
        <v>33</v>
      </c>
      <c r="E82" s="45">
        <v>3</v>
      </c>
      <c r="F82" s="45">
        <v>5</v>
      </c>
      <c r="G82" s="45">
        <v>1409</v>
      </c>
      <c r="H82" s="45">
        <v>1448</v>
      </c>
      <c r="I82" s="45">
        <v>1447</v>
      </c>
      <c r="J82" s="45">
        <v>0</v>
      </c>
      <c r="K82" s="45">
        <v>0</v>
      </c>
      <c r="L82" s="45">
        <v>0</v>
      </c>
      <c r="M82" s="45">
        <v>1487</v>
      </c>
      <c r="N82" s="45">
        <v>1548</v>
      </c>
      <c r="O82" s="45">
        <v>1471</v>
      </c>
      <c r="P82" s="45">
        <v>78</v>
      </c>
      <c r="Q82" s="45">
        <v>100</v>
      </c>
      <c r="R82" s="45">
        <v>24</v>
      </c>
      <c r="S82" s="45">
        <v>78</v>
      </c>
      <c r="T82" s="45">
        <v>100</v>
      </c>
      <c r="U82" s="45">
        <v>24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1409</v>
      </c>
      <c r="AF82" s="45">
        <v>1448</v>
      </c>
      <c r="AG82" s="45">
        <v>1447</v>
      </c>
      <c r="AH82" s="45">
        <v>1487</v>
      </c>
      <c r="AI82" s="45">
        <v>1548</v>
      </c>
      <c r="AJ82" s="45">
        <v>1471</v>
      </c>
      <c r="AK82" s="45">
        <v>78</v>
      </c>
      <c r="AL82" s="45">
        <v>100</v>
      </c>
      <c r="AM82" s="45">
        <v>24</v>
      </c>
      <c r="AN82" s="45">
        <v>78</v>
      </c>
      <c r="AO82" s="45">
        <v>100</v>
      </c>
      <c r="AP82" s="45">
        <v>24</v>
      </c>
      <c r="AS82" s="45" t="e">
        <f t="shared" si="81"/>
        <v>#DIV/0!</v>
      </c>
      <c r="AT82" s="45" t="e">
        <f t="shared" si="82"/>
        <v>#DIV/0!</v>
      </c>
      <c r="AU82" s="45" t="e">
        <f t="shared" si="83"/>
        <v>#DIV/0!</v>
      </c>
      <c r="AZ82" s="45">
        <f t="shared" si="66"/>
        <v>5.5358410220014191E-2</v>
      </c>
      <c r="BA82" s="45">
        <f t="shared" si="67"/>
        <v>6.9060773480662987E-2</v>
      </c>
      <c r="BB82" s="45">
        <f t="shared" si="68"/>
        <v>1.6586040082930201E-2</v>
      </c>
      <c r="BD82" s="45">
        <f t="shared" ref="BD82:BD94" si="92">P82/G82</f>
        <v>5.5358410220014191E-2</v>
      </c>
      <c r="BE82" s="45">
        <f t="shared" ref="BE82:BE94" si="93">Q82/H82</f>
        <v>6.9060773480662987E-2</v>
      </c>
      <c r="BF82" s="45">
        <f t="shared" si="87"/>
        <v>1.6586040082930201E-2</v>
      </c>
      <c r="BH82" s="63">
        <v>2.2187004754358162E-2</v>
      </c>
      <c r="BJ82" s="63">
        <v>-0.2262295081967213</v>
      </c>
      <c r="BN82" s="165">
        <f t="shared" si="63"/>
        <v>0</v>
      </c>
      <c r="BO82" s="102">
        <f t="shared" si="64"/>
        <v>0</v>
      </c>
      <c r="BP82" s="166">
        <f t="shared" si="65"/>
        <v>0</v>
      </c>
      <c r="BQ82" s="165"/>
      <c r="BR82" s="102"/>
      <c r="BS82" s="166">
        <v>-34.782608695652172</v>
      </c>
      <c r="BU82" s="63"/>
      <c r="BX82" s="142">
        <f t="shared" si="69"/>
        <v>0</v>
      </c>
      <c r="BY82" s="142">
        <f t="shared" si="70"/>
        <v>0</v>
      </c>
      <c r="BZ82" s="142">
        <f t="shared" si="71"/>
        <v>0</v>
      </c>
      <c r="CA82" s="45">
        <f t="shared" si="72"/>
        <v>1</v>
      </c>
      <c r="CB82" s="45">
        <f t="shared" si="73"/>
        <v>1</v>
      </c>
      <c r="CC82" s="45">
        <f t="shared" si="74"/>
        <v>1</v>
      </c>
      <c r="CD82" s="45">
        <f t="shared" si="75"/>
        <v>0</v>
      </c>
      <c r="CE82" s="45">
        <f t="shared" si="76"/>
        <v>0</v>
      </c>
      <c r="CF82" s="45">
        <f t="shared" si="77"/>
        <v>0</v>
      </c>
      <c r="CG82" s="45">
        <f t="shared" si="78"/>
        <v>0</v>
      </c>
      <c r="CH82" s="45">
        <f t="shared" si="79"/>
        <v>0</v>
      </c>
      <c r="CI82" s="45">
        <f t="shared" si="80"/>
        <v>0</v>
      </c>
      <c r="CL82" s="63">
        <v>-260</v>
      </c>
      <c r="CM82" s="69">
        <f t="shared" si="84"/>
        <v>260</v>
      </c>
      <c r="EH82" s="63">
        <v>4.5324675324675328</v>
      </c>
    </row>
    <row r="83" spans="1:138" s="45" customFormat="1">
      <c r="A83" s="45" t="s">
        <v>139</v>
      </c>
      <c r="B83" s="45">
        <v>350</v>
      </c>
      <c r="C83" s="45" t="s">
        <v>34</v>
      </c>
      <c r="D83" s="45" t="s">
        <v>33</v>
      </c>
      <c r="E83" s="45">
        <v>6</v>
      </c>
      <c r="F83" s="45">
        <v>7</v>
      </c>
      <c r="G83" s="45">
        <v>3785</v>
      </c>
      <c r="H83" s="45">
        <v>4642</v>
      </c>
      <c r="I83" s="45">
        <v>5306</v>
      </c>
      <c r="J83" s="45">
        <v>0</v>
      </c>
      <c r="K83" s="45">
        <v>0</v>
      </c>
      <c r="L83" s="45">
        <v>0</v>
      </c>
      <c r="M83" s="45">
        <v>3928</v>
      </c>
      <c r="N83" s="45">
        <v>3940</v>
      </c>
      <c r="O83" s="45">
        <v>5030</v>
      </c>
      <c r="P83" s="45">
        <v>143</v>
      </c>
      <c r="Q83" s="45">
        <v>-702</v>
      </c>
      <c r="R83" s="45">
        <v>-276</v>
      </c>
      <c r="S83" s="45">
        <v>143</v>
      </c>
      <c r="T83" s="45">
        <v>-702</v>
      </c>
      <c r="U83" s="45">
        <v>-276</v>
      </c>
      <c r="V83" s="45">
        <v>0</v>
      </c>
      <c r="W83" s="45">
        <v>148</v>
      </c>
      <c r="X83" s="45">
        <v>96</v>
      </c>
      <c r="Y83" s="45">
        <v>0</v>
      </c>
      <c r="Z83" s="45">
        <v>148</v>
      </c>
      <c r="AA83" s="45">
        <v>96</v>
      </c>
      <c r="AB83" s="45">
        <v>0</v>
      </c>
      <c r="AC83" s="45">
        <v>148</v>
      </c>
      <c r="AD83" s="45">
        <v>96</v>
      </c>
      <c r="AE83" s="45">
        <v>3785</v>
      </c>
      <c r="AF83" s="45">
        <v>4642</v>
      </c>
      <c r="AG83" s="45">
        <v>5306</v>
      </c>
      <c r="AH83" s="45">
        <v>3928</v>
      </c>
      <c r="AI83" s="45">
        <v>4088</v>
      </c>
      <c r="AJ83" s="45">
        <v>5126</v>
      </c>
      <c r="AK83" s="45">
        <v>143</v>
      </c>
      <c r="AL83" s="45">
        <v>-554</v>
      </c>
      <c r="AM83" s="45">
        <v>-180</v>
      </c>
      <c r="AN83" s="45">
        <v>143</v>
      </c>
      <c r="AO83" s="45">
        <v>-554</v>
      </c>
      <c r="AP83" s="45">
        <v>-180</v>
      </c>
      <c r="AS83" s="45" t="e">
        <f t="shared" si="81"/>
        <v>#DIV/0!</v>
      </c>
      <c r="AT83" s="45" t="e">
        <f t="shared" si="82"/>
        <v>#DIV/0!</v>
      </c>
      <c r="AU83" s="45" t="e">
        <f t="shared" si="83"/>
        <v>#DIV/0!</v>
      </c>
      <c r="AZ83" s="45">
        <f t="shared" si="66"/>
        <v>3.7780713342140025E-2</v>
      </c>
      <c r="BA83" s="45">
        <f t="shared" si="67"/>
        <v>-0.11934510986643689</v>
      </c>
      <c r="BB83" s="45">
        <f t="shared" si="68"/>
        <v>-3.3923859781379573E-2</v>
      </c>
      <c r="BD83" s="45">
        <f t="shared" si="92"/>
        <v>3.7780713342140025E-2</v>
      </c>
      <c r="BE83" s="45">
        <f t="shared" si="93"/>
        <v>-0.15122791900043084</v>
      </c>
      <c r="BF83" s="45">
        <f t="shared" si="87"/>
        <v>-5.2016584998115338E-2</v>
      </c>
      <c r="BH83" s="63">
        <v>1.676829268292683E-2</v>
      </c>
      <c r="BJ83" s="63">
        <v>-6.0975609756097563E-3</v>
      </c>
      <c r="BN83" s="165">
        <f t="shared" si="63"/>
        <v>0</v>
      </c>
      <c r="BO83" s="102">
        <f t="shared" si="64"/>
        <v>-21.082621082621085</v>
      </c>
      <c r="BP83" s="166">
        <f t="shared" si="65"/>
        <v>-34.782608695652172</v>
      </c>
      <c r="BQ83" s="165"/>
      <c r="BR83" s="102"/>
      <c r="BS83" s="166"/>
      <c r="BU83" s="63"/>
      <c r="BX83" s="142">
        <f t="shared" si="69"/>
        <v>0</v>
      </c>
      <c r="BY83" s="142">
        <f t="shared" si="70"/>
        <v>1</v>
      </c>
      <c r="BZ83" s="142">
        <f t="shared" si="71"/>
        <v>1</v>
      </c>
      <c r="CA83" s="45">
        <f t="shared" si="72"/>
        <v>1</v>
      </c>
      <c r="CB83" s="45">
        <f t="shared" si="73"/>
        <v>0</v>
      </c>
      <c r="CC83" s="45">
        <f t="shared" si="74"/>
        <v>0</v>
      </c>
      <c r="CD83" s="45">
        <f t="shared" si="75"/>
        <v>0</v>
      </c>
      <c r="CE83" s="45">
        <f t="shared" si="76"/>
        <v>0</v>
      </c>
      <c r="CF83" s="45">
        <f t="shared" si="77"/>
        <v>0</v>
      </c>
      <c r="CG83" s="45">
        <f t="shared" si="78"/>
        <v>0</v>
      </c>
      <c r="CH83" s="45">
        <f t="shared" si="79"/>
        <v>0</v>
      </c>
      <c r="CI83" s="45">
        <f t="shared" si="80"/>
        <v>0</v>
      </c>
      <c r="CL83" s="63">
        <v>-152</v>
      </c>
      <c r="CM83" s="69">
        <f t="shared" si="84"/>
        <v>152</v>
      </c>
      <c r="EH83" s="63">
        <v>0.39473684210526316</v>
      </c>
    </row>
    <row r="84" spans="1:138" s="45" customFormat="1">
      <c r="A84" s="45" t="s">
        <v>140</v>
      </c>
      <c r="B84" s="45">
        <v>210</v>
      </c>
      <c r="C84" s="45" t="s">
        <v>34</v>
      </c>
      <c r="D84" s="45" t="s">
        <v>33</v>
      </c>
      <c r="E84" s="45">
        <v>4</v>
      </c>
      <c r="F84" s="45">
        <v>3</v>
      </c>
      <c r="G84" s="45">
        <v>1195</v>
      </c>
      <c r="H84" s="45">
        <v>1496</v>
      </c>
      <c r="I84" s="45">
        <v>1743</v>
      </c>
      <c r="J84" s="45">
        <v>0</v>
      </c>
      <c r="K84" s="45">
        <v>0</v>
      </c>
      <c r="L84" s="45">
        <v>0</v>
      </c>
      <c r="M84" s="45">
        <v>1339</v>
      </c>
      <c r="N84" s="45">
        <v>1930</v>
      </c>
      <c r="O84" s="45">
        <v>2027</v>
      </c>
      <c r="P84" s="45">
        <v>144</v>
      </c>
      <c r="Q84" s="45">
        <v>434</v>
      </c>
      <c r="R84" s="45">
        <v>284</v>
      </c>
      <c r="S84" s="45">
        <v>144</v>
      </c>
      <c r="T84" s="45">
        <v>434</v>
      </c>
      <c r="U84" s="45">
        <v>284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1195</v>
      </c>
      <c r="AF84" s="45">
        <v>1496</v>
      </c>
      <c r="AG84" s="45">
        <v>1743</v>
      </c>
      <c r="AH84" s="45">
        <v>1339</v>
      </c>
      <c r="AI84" s="45">
        <v>1930</v>
      </c>
      <c r="AJ84" s="45">
        <v>2027</v>
      </c>
      <c r="AK84" s="45">
        <v>144</v>
      </c>
      <c r="AL84" s="45">
        <v>434</v>
      </c>
      <c r="AM84" s="45">
        <v>284</v>
      </c>
      <c r="AN84" s="45">
        <v>144</v>
      </c>
      <c r="AO84" s="45">
        <v>434</v>
      </c>
      <c r="AP84" s="45">
        <v>284</v>
      </c>
      <c r="AS84" s="45" t="e">
        <f t="shared" si="81"/>
        <v>#DIV/0!</v>
      </c>
      <c r="AT84" s="45" t="e">
        <f t="shared" si="82"/>
        <v>#DIV/0!</v>
      </c>
      <c r="AU84" s="45" t="e">
        <f t="shared" si="83"/>
        <v>#DIV/0!</v>
      </c>
      <c r="AZ84" s="45">
        <f t="shared" si="66"/>
        <v>0.1205020920502092</v>
      </c>
      <c r="BA84" s="45">
        <f t="shared" si="67"/>
        <v>0.29010695187165775</v>
      </c>
      <c r="BB84" s="45">
        <f t="shared" si="68"/>
        <v>0.16293746414228341</v>
      </c>
      <c r="BD84" s="45">
        <f t="shared" si="92"/>
        <v>0.1205020920502092</v>
      </c>
      <c r="BE84" s="45">
        <f t="shared" si="93"/>
        <v>0.29010695187165775</v>
      </c>
      <c r="BF84" s="45">
        <f t="shared" si="87"/>
        <v>0.16293746414228341</v>
      </c>
      <c r="BH84" s="63">
        <v>0.23869346733668342</v>
      </c>
      <c r="BJ84" s="63">
        <v>-0.12828947368421054</v>
      </c>
      <c r="BN84" s="165">
        <f t="shared" si="63"/>
        <v>0</v>
      </c>
      <c r="BO84" s="102">
        <f t="shared" si="64"/>
        <v>0</v>
      </c>
      <c r="BP84" s="166">
        <f t="shared" si="65"/>
        <v>0</v>
      </c>
      <c r="BQ84" s="165"/>
      <c r="BR84" s="102"/>
      <c r="BS84" s="166"/>
      <c r="BU84" s="63"/>
      <c r="BX84" s="142">
        <f t="shared" si="69"/>
        <v>0</v>
      </c>
      <c r="BY84" s="142">
        <f t="shared" si="70"/>
        <v>0</v>
      </c>
      <c r="BZ84" s="142">
        <f t="shared" si="71"/>
        <v>0</v>
      </c>
      <c r="CA84" s="45">
        <f t="shared" si="72"/>
        <v>1</v>
      </c>
      <c r="CB84" s="45">
        <f t="shared" si="73"/>
        <v>1</v>
      </c>
      <c r="CC84" s="45">
        <f t="shared" si="74"/>
        <v>1</v>
      </c>
      <c r="CD84" s="45">
        <f t="shared" si="75"/>
        <v>0</v>
      </c>
      <c r="CE84" s="45">
        <f t="shared" si="76"/>
        <v>0</v>
      </c>
      <c r="CF84" s="45">
        <f t="shared" si="77"/>
        <v>0</v>
      </c>
      <c r="CG84" s="45">
        <f t="shared" si="78"/>
        <v>0</v>
      </c>
      <c r="CH84" s="45">
        <f t="shared" si="79"/>
        <v>0</v>
      </c>
      <c r="CI84" s="45">
        <f t="shared" si="80"/>
        <v>0</v>
      </c>
      <c r="CL84" s="63">
        <v>-102.27272727272727</v>
      </c>
      <c r="CM84" s="69">
        <f t="shared" si="84"/>
        <v>102.27272727272727</v>
      </c>
      <c r="EH84" s="63">
        <v>-6.0642092746730082E-2</v>
      </c>
    </row>
    <row r="85" spans="1:138" s="68" customFormat="1">
      <c r="A85" s="68" t="s">
        <v>96</v>
      </c>
      <c r="B85" s="68">
        <v>92</v>
      </c>
      <c r="C85" s="68" t="s">
        <v>42</v>
      </c>
      <c r="D85" s="68" t="s">
        <v>32</v>
      </c>
      <c r="E85" s="68">
        <v>2</v>
      </c>
      <c r="F85" s="68">
        <v>5</v>
      </c>
      <c r="G85" s="68">
        <v>524</v>
      </c>
      <c r="H85" s="68">
        <v>619</v>
      </c>
      <c r="I85" s="68">
        <v>648</v>
      </c>
      <c r="J85" s="68">
        <v>0</v>
      </c>
      <c r="K85" s="68">
        <v>0</v>
      </c>
      <c r="L85" s="68">
        <v>0</v>
      </c>
      <c r="M85" s="68">
        <v>547</v>
      </c>
      <c r="N85" s="68">
        <v>580</v>
      </c>
      <c r="O85" s="68">
        <v>742</v>
      </c>
      <c r="P85" s="68">
        <v>23</v>
      </c>
      <c r="Q85" s="68">
        <v>-39</v>
      </c>
      <c r="R85" s="68">
        <v>94</v>
      </c>
      <c r="S85" s="68">
        <v>23</v>
      </c>
      <c r="T85" s="68">
        <v>-39</v>
      </c>
      <c r="U85" s="68">
        <v>94</v>
      </c>
      <c r="V85" s="68">
        <v>0</v>
      </c>
      <c r="W85" s="68">
        <v>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0</v>
      </c>
      <c r="AE85" s="68">
        <v>524</v>
      </c>
      <c r="AF85" s="68">
        <v>619</v>
      </c>
      <c r="AG85" s="68">
        <v>648</v>
      </c>
      <c r="AH85" s="68">
        <v>547</v>
      </c>
      <c r="AI85" s="68">
        <v>580</v>
      </c>
      <c r="AJ85" s="68">
        <v>742</v>
      </c>
      <c r="AK85" s="68">
        <v>23</v>
      </c>
      <c r="AL85" s="68">
        <v>-39</v>
      </c>
      <c r="AM85" s="68">
        <v>94</v>
      </c>
      <c r="AN85" s="68">
        <v>23</v>
      </c>
      <c r="AO85" s="68">
        <v>-39</v>
      </c>
      <c r="AP85" s="68">
        <v>94</v>
      </c>
      <c r="AS85" s="68" t="e">
        <f t="shared" si="81"/>
        <v>#DIV/0!</v>
      </c>
      <c r="AT85" s="68" t="e">
        <f t="shared" si="82"/>
        <v>#DIV/0!</v>
      </c>
      <c r="AU85" s="68" t="e">
        <f t="shared" si="83"/>
        <v>#DIV/0!</v>
      </c>
      <c r="AZ85" s="68">
        <f t="shared" si="66"/>
        <v>4.3893129770992363E-2</v>
      </c>
      <c r="BA85" s="68">
        <f t="shared" si="67"/>
        <v>-6.3004846526655903E-2</v>
      </c>
      <c r="BB85" s="68">
        <f t="shared" si="68"/>
        <v>0.14506172839506173</v>
      </c>
      <c r="BD85" s="68">
        <f t="shared" si="92"/>
        <v>4.3893129770992363E-2</v>
      </c>
      <c r="BE85" s="68">
        <f t="shared" si="93"/>
        <v>-6.3004846526655903E-2</v>
      </c>
      <c r="BF85" s="68">
        <f t="shared" si="87"/>
        <v>0.14506172839506173</v>
      </c>
      <c r="BH85" s="63">
        <v>-7.3406040268456374E-2</v>
      </c>
      <c r="BJ85" s="63">
        <v>-0.10324483775811209</v>
      </c>
      <c r="BN85" s="167">
        <f t="shared" si="63"/>
        <v>0</v>
      </c>
      <c r="BO85" s="109">
        <f t="shared" si="64"/>
        <v>0</v>
      </c>
      <c r="BP85" s="168">
        <f t="shared" si="65"/>
        <v>0</v>
      </c>
      <c r="BQ85" s="167"/>
      <c r="BR85" s="109"/>
      <c r="BS85" s="168"/>
      <c r="BU85" s="63"/>
      <c r="BX85" s="142">
        <f t="shared" si="69"/>
        <v>0</v>
      </c>
      <c r="BY85" s="142">
        <f t="shared" si="70"/>
        <v>1</v>
      </c>
      <c r="BZ85" s="142">
        <f t="shared" si="71"/>
        <v>0</v>
      </c>
      <c r="CA85" s="68">
        <f t="shared" si="72"/>
        <v>1</v>
      </c>
      <c r="CB85" s="68">
        <f t="shared" si="73"/>
        <v>1</v>
      </c>
      <c r="CC85" s="68">
        <f t="shared" si="74"/>
        <v>1</v>
      </c>
      <c r="CD85" s="68">
        <f t="shared" si="75"/>
        <v>0</v>
      </c>
      <c r="CE85" s="68">
        <f t="shared" si="76"/>
        <v>0</v>
      </c>
      <c r="CF85" s="68">
        <f t="shared" si="77"/>
        <v>0</v>
      </c>
      <c r="CG85" s="68">
        <f t="shared" si="78"/>
        <v>0</v>
      </c>
      <c r="CH85" s="68">
        <f t="shared" si="79"/>
        <v>0</v>
      </c>
      <c r="CI85" s="68">
        <f t="shared" si="80"/>
        <v>0</v>
      </c>
      <c r="CL85" s="63">
        <v>-49.333333333333336</v>
      </c>
      <c r="CM85" s="69">
        <f t="shared" si="84"/>
        <v>49.333333333333336</v>
      </c>
      <c r="EH85" s="63">
        <v>0.82333333333333336</v>
      </c>
    </row>
    <row r="86" spans="1:138" s="47" customFormat="1">
      <c r="A86" s="47" t="s">
        <v>77</v>
      </c>
      <c r="B86" s="47">
        <v>105</v>
      </c>
      <c r="C86" s="47" t="s">
        <v>43</v>
      </c>
      <c r="D86" s="47" t="s">
        <v>33</v>
      </c>
      <c r="E86" s="47">
        <v>1</v>
      </c>
      <c r="F86" s="47">
        <v>5</v>
      </c>
      <c r="G86" s="47">
        <v>804</v>
      </c>
      <c r="H86" s="47">
        <v>873</v>
      </c>
      <c r="I86" s="47">
        <v>1133</v>
      </c>
      <c r="J86" s="47">
        <v>0</v>
      </c>
      <c r="K86" s="47">
        <v>0</v>
      </c>
      <c r="L86" s="47">
        <v>0</v>
      </c>
      <c r="M86" s="47">
        <v>804</v>
      </c>
      <c r="N86" s="47">
        <v>873</v>
      </c>
      <c r="O86" s="47">
        <v>1133</v>
      </c>
      <c r="P86" s="47">
        <v>0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804</v>
      </c>
      <c r="AF86" s="47">
        <v>873</v>
      </c>
      <c r="AG86" s="47">
        <v>1133</v>
      </c>
      <c r="AH86" s="47">
        <v>804</v>
      </c>
      <c r="AI86" s="47">
        <v>873</v>
      </c>
      <c r="AJ86" s="47">
        <v>1133</v>
      </c>
      <c r="AK86" s="47">
        <v>0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S86" s="47" t="e">
        <f t="shared" si="81"/>
        <v>#DIV/0!</v>
      </c>
      <c r="AT86" s="47" t="e">
        <f t="shared" si="82"/>
        <v>#DIV/0!</v>
      </c>
      <c r="AU86" s="47" t="e">
        <f t="shared" si="83"/>
        <v>#DIV/0!</v>
      </c>
      <c r="AZ86" s="47">
        <f t="shared" si="66"/>
        <v>0</v>
      </c>
      <c r="BA86" s="47">
        <f t="shared" si="67"/>
        <v>0</v>
      </c>
      <c r="BB86" s="47">
        <f t="shared" si="68"/>
        <v>0</v>
      </c>
      <c r="BD86" s="47">
        <f t="shared" si="92"/>
        <v>0</v>
      </c>
      <c r="BE86" s="47">
        <f t="shared" si="93"/>
        <v>0</v>
      </c>
      <c r="BF86" s="47">
        <f t="shared" si="87"/>
        <v>0</v>
      </c>
      <c r="BH86" s="63">
        <v>4.1044776119402986E-2</v>
      </c>
      <c r="BJ86" s="63">
        <v>-0.13311475409836065</v>
      </c>
      <c r="BN86" s="169" t="e">
        <f t="shared" si="63"/>
        <v>#DIV/0!</v>
      </c>
      <c r="BO86" s="170" t="e">
        <f t="shared" si="64"/>
        <v>#DIV/0!</v>
      </c>
      <c r="BP86" s="171" t="e">
        <f t="shared" si="65"/>
        <v>#DIV/0!</v>
      </c>
      <c r="BQ86" s="169"/>
      <c r="BR86" s="170"/>
      <c r="BS86" s="171"/>
      <c r="BU86" s="63"/>
      <c r="BX86" s="142">
        <f t="shared" si="69"/>
        <v>0</v>
      </c>
      <c r="BY86" s="142">
        <f t="shared" si="70"/>
        <v>0</v>
      </c>
      <c r="BZ86" s="142">
        <f t="shared" si="71"/>
        <v>0</v>
      </c>
      <c r="CA86" s="47" t="e">
        <f t="shared" si="72"/>
        <v>#DIV/0!</v>
      </c>
      <c r="CB86" s="47" t="e">
        <f t="shared" si="73"/>
        <v>#DIV/0!</v>
      </c>
      <c r="CC86" s="47" t="e">
        <f t="shared" si="74"/>
        <v>#DIV/0!</v>
      </c>
      <c r="CD86" s="47" t="e">
        <f t="shared" si="75"/>
        <v>#DIV/0!</v>
      </c>
      <c r="CE86" s="47" t="e">
        <f t="shared" si="76"/>
        <v>#DIV/0!</v>
      </c>
      <c r="CF86" s="47" t="e">
        <f t="shared" si="77"/>
        <v>#DIV/0!</v>
      </c>
      <c r="CG86" s="47">
        <f t="shared" si="78"/>
        <v>1</v>
      </c>
      <c r="CH86" s="47">
        <f t="shared" si="79"/>
        <v>1</v>
      </c>
      <c r="CI86" s="47">
        <f t="shared" si="80"/>
        <v>1</v>
      </c>
      <c r="CL86" s="63">
        <v>-116.02564102564104</v>
      </c>
      <c r="CM86" s="69">
        <f t="shared" si="84"/>
        <v>116.02564102564104</v>
      </c>
      <c r="EH86" s="63">
        <v>1.0588235294117647</v>
      </c>
    </row>
    <row r="87" spans="1:138" s="64" customFormat="1">
      <c r="A87" s="64" t="s">
        <v>78</v>
      </c>
      <c r="B87" s="64">
        <v>203</v>
      </c>
      <c r="C87" s="64" t="s">
        <v>44</v>
      </c>
      <c r="D87" s="64" t="s">
        <v>35</v>
      </c>
      <c r="E87" s="64">
        <v>5</v>
      </c>
      <c r="F87" s="64">
        <v>6</v>
      </c>
      <c r="G87" s="64">
        <v>1590</v>
      </c>
      <c r="H87" s="64">
        <v>2018</v>
      </c>
      <c r="I87" s="64">
        <v>1953</v>
      </c>
      <c r="J87" s="64">
        <v>0</v>
      </c>
      <c r="K87" s="64">
        <v>0</v>
      </c>
      <c r="L87" s="64">
        <v>0</v>
      </c>
      <c r="M87" s="64">
        <v>2065</v>
      </c>
      <c r="N87" s="64">
        <v>2480</v>
      </c>
      <c r="O87" s="64">
        <v>2190</v>
      </c>
      <c r="P87" s="64">
        <v>475</v>
      </c>
      <c r="Q87" s="64">
        <v>462</v>
      </c>
      <c r="R87" s="64">
        <v>237</v>
      </c>
      <c r="S87" s="64">
        <v>475</v>
      </c>
      <c r="T87" s="64">
        <v>462</v>
      </c>
      <c r="U87" s="64">
        <v>237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1590</v>
      </c>
      <c r="AF87" s="64">
        <v>2018</v>
      </c>
      <c r="AG87" s="64">
        <v>1953</v>
      </c>
      <c r="AH87" s="64">
        <v>2065</v>
      </c>
      <c r="AI87" s="64">
        <v>2480</v>
      </c>
      <c r="AJ87" s="64">
        <v>2190</v>
      </c>
      <c r="AK87" s="64">
        <v>475</v>
      </c>
      <c r="AL87" s="64">
        <v>462</v>
      </c>
      <c r="AM87" s="64">
        <v>237</v>
      </c>
      <c r="AN87" s="64">
        <v>475</v>
      </c>
      <c r="AO87" s="64">
        <v>462</v>
      </c>
      <c r="AP87" s="64">
        <v>237</v>
      </c>
      <c r="AS87" s="64" t="e">
        <f t="shared" si="81"/>
        <v>#DIV/0!</v>
      </c>
      <c r="AT87" s="64" t="e">
        <f t="shared" si="82"/>
        <v>#DIV/0!</v>
      </c>
      <c r="AU87" s="64" t="e">
        <f t="shared" si="83"/>
        <v>#DIV/0!</v>
      </c>
      <c r="AV87" s="64">
        <v>0.70118343195266275</v>
      </c>
      <c r="AW87" s="64">
        <f>AT88</f>
        <v>0.26217228464419473</v>
      </c>
      <c r="AX87" s="64">
        <v>0.14245810055865921</v>
      </c>
      <c r="AZ87" s="64">
        <f t="shared" si="66"/>
        <v>0.29874213836477986</v>
      </c>
      <c r="BA87" s="64">
        <f t="shared" si="67"/>
        <v>0.22893954410307235</v>
      </c>
      <c r="BB87" s="64">
        <f t="shared" si="68"/>
        <v>0.12135176651305683</v>
      </c>
      <c r="BD87" s="64">
        <f t="shared" si="92"/>
        <v>0.29874213836477986</v>
      </c>
      <c r="BE87" s="64">
        <f t="shared" si="93"/>
        <v>0.22893954410307235</v>
      </c>
      <c r="BF87" s="64">
        <f t="shared" si="87"/>
        <v>0.12135176651305683</v>
      </c>
      <c r="BH87" s="63">
        <v>9.0909090909090912E-2</v>
      </c>
      <c r="BJ87" s="63">
        <v>-0.16949152542372881</v>
      </c>
      <c r="BN87" s="172">
        <f t="shared" si="63"/>
        <v>0</v>
      </c>
      <c r="BO87" s="104">
        <f t="shared" si="64"/>
        <v>0</v>
      </c>
      <c r="BP87" s="173">
        <f t="shared" si="65"/>
        <v>0</v>
      </c>
      <c r="BQ87" s="172">
        <v>-50.533049040511727</v>
      </c>
      <c r="BR87" s="104">
        <v>-12.915129151291513</v>
      </c>
      <c r="BS87" s="173">
        <v>-14.40677966101695</v>
      </c>
      <c r="BU87" s="63"/>
      <c r="BX87" s="142">
        <f t="shared" si="69"/>
        <v>0</v>
      </c>
      <c r="BY87" s="142">
        <f t="shared" si="70"/>
        <v>0</v>
      </c>
      <c r="BZ87" s="142">
        <f t="shared" si="71"/>
        <v>0</v>
      </c>
      <c r="CA87" s="64">
        <f t="shared" si="72"/>
        <v>1</v>
      </c>
      <c r="CB87" s="64">
        <f t="shared" si="73"/>
        <v>1</v>
      </c>
      <c r="CC87" s="64">
        <f t="shared" si="74"/>
        <v>1</v>
      </c>
      <c r="CD87" s="64">
        <f t="shared" si="75"/>
        <v>0</v>
      </c>
      <c r="CE87" s="64">
        <f t="shared" si="76"/>
        <v>0</v>
      </c>
      <c r="CF87" s="64">
        <f t="shared" si="77"/>
        <v>0</v>
      </c>
      <c r="CG87" s="64">
        <f t="shared" si="78"/>
        <v>0</v>
      </c>
      <c r="CH87" s="64">
        <f t="shared" si="79"/>
        <v>0</v>
      </c>
      <c r="CI87" s="64">
        <f t="shared" si="80"/>
        <v>0</v>
      </c>
      <c r="CL87" s="63">
        <v>-165.90038314176246</v>
      </c>
      <c r="CM87" s="69">
        <f t="shared" si="84"/>
        <v>165.90038314176246</v>
      </c>
      <c r="EH87" s="63">
        <v>0.23675310033821872</v>
      </c>
    </row>
    <row r="88" spans="1:138" s="64" customFormat="1">
      <c r="A88" s="64" t="s">
        <v>80</v>
      </c>
      <c r="B88" s="64">
        <v>180</v>
      </c>
      <c r="C88" s="64" t="s">
        <v>44</v>
      </c>
      <c r="D88" s="64" t="s">
        <v>35</v>
      </c>
      <c r="E88" s="64">
        <v>1</v>
      </c>
      <c r="F88" s="64">
        <v>1</v>
      </c>
      <c r="G88" s="64">
        <v>869</v>
      </c>
      <c r="H88" s="64">
        <v>1022</v>
      </c>
      <c r="I88" s="64">
        <v>731</v>
      </c>
      <c r="J88" s="64">
        <v>338</v>
      </c>
      <c r="K88" s="64">
        <v>267</v>
      </c>
      <c r="L88" s="64">
        <v>358</v>
      </c>
      <c r="M88" s="64">
        <v>400</v>
      </c>
      <c r="N88" s="64">
        <v>480</v>
      </c>
      <c r="O88" s="64">
        <v>377</v>
      </c>
      <c r="P88" s="64">
        <v>-469</v>
      </c>
      <c r="Q88" s="64">
        <v>-542</v>
      </c>
      <c r="R88" s="64">
        <v>-354</v>
      </c>
      <c r="S88" s="64">
        <v>-469</v>
      </c>
      <c r="T88" s="64">
        <v>-542</v>
      </c>
      <c r="U88" s="64">
        <v>-354</v>
      </c>
      <c r="V88" s="64">
        <v>575</v>
      </c>
      <c r="W88" s="64">
        <v>337</v>
      </c>
      <c r="X88" s="64">
        <v>409</v>
      </c>
      <c r="Y88" s="64">
        <v>237</v>
      </c>
      <c r="Z88" s="64">
        <v>70</v>
      </c>
      <c r="AA88" s="64">
        <v>51</v>
      </c>
      <c r="AB88" s="64">
        <v>237</v>
      </c>
      <c r="AC88" s="64">
        <v>70</v>
      </c>
      <c r="AD88" s="64">
        <v>51</v>
      </c>
      <c r="AE88" s="64">
        <v>1207</v>
      </c>
      <c r="AF88" s="64">
        <v>1289</v>
      </c>
      <c r="AG88" s="64">
        <v>1089</v>
      </c>
      <c r="AH88" s="64">
        <v>975</v>
      </c>
      <c r="AI88" s="64">
        <v>817</v>
      </c>
      <c r="AJ88" s="64">
        <v>786</v>
      </c>
      <c r="AK88" s="64">
        <v>-232</v>
      </c>
      <c r="AL88" s="64">
        <v>-472</v>
      </c>
      <c r="AM88" s="64">
        <v>-303</v>
      </c>
      <c r="AN88" s="64">
        <v>-232</v>
      </c>
      <c r="AO88" s="64">
        <v>-472</v>
      </c>
      <c r="AP88" s="64">
        <v>-303</v>
      </c>
      <c r="AS88" s="64">
        <f t="shared" si="81"/>
        <v>0.70118343195266275</v>
      </c>
      <c r="AT88" s="64">
        <f t="shared" si="82"/>
        <v>0.26217228464419473</v>
      </c>
      <c r="AU88" s="64">
        <f t="shared" si="83"/>
        <v>0.14245810055865921</v>
      </c>
      <c r="AV88" s="64">
        <v>2.2679738562091503</v>
      </c>
      <c r="AW88" s="64">
        <f t="shared" ref="AW88" si="94">AT89</f>
        <v>3.3787878787878789</v>
      </c>
      <c r="AX88" s="64">
        <v>3.7980769230769229</v>
      </c>
      <c r="AZ88" s="64">
        <f t="shared" si="66"/>
        <v>-0.19221209610604806</v>
      </c>
      <c r="BA88" s="64">
        <f t="shared" si="67"/>
        <v>-0.3661753297129558</v>
      </c>
      <c r="BB88" s="64">
        <f t="shared" si="68"/>
        <v>-0.27823691460055094</v>
      </c>
      <c r="BD88" s="64">
        <f t="shared" si="92"/>
        <v>-0.53970080552359034</v>
      </c>
      <c r="BE88" s="64">
        <f t="shared" si="93"/>
        <v>-0.53033268101761255</v>
      </c>
      <c r="BF88" s="64">
        <f t="shared" si="87"/>
        <v>-0.48426812585499318</v>
      </c>
      <c r="BH88" s="63">
        <v>-0.16205704407951599</v>
      </c>
      <c r="BJ88" s="63">
        <v>-0.12572087658592848</v>
      </c>
      <c r="BN88" s="172">
        <f t="shared" si="63"/>
        <v>-50.533049040511727</v>
      </c>
      <c r="BO88" s="104">
        <f t="shared" si="64"/>
        <v>-12.915129151291513</v>
      </c>
      <c r="BP88" s="173">
        <f t="shared" si="65"/>
        <v>-14.40677966101695</v>
      </c>
      <c r="BQ88" s="172">
        <v>-206.54761904761907</v>
      </c>
      <c r="BR88" s="104">
        <v>-929.16666666666663</v>
      </c>
      <c r="BS88" s="173">
        <v>-398.98989898989902</v>
      </c>
      <c r="BU88" s="63"/>
      <c r="BX88" s="142">
        <f t="shared" si="69"/>
        <v>1</v>
      </c>
      <c r="BY88" s="142">
        <f t="shared" si="70"/>
        <v>1</v>
      </c>
      <c r="BZ88" s="142">
        <f t="shared" si="71"/>
        <v>1</v>
      </c>
      <c r="CA88" s="64">
        <f t="shared" si="72"/>
        <v>0</v>
      </c>
      <c r="CB88" s="64">
        <f t="shared" si="73"/>
        <v>0</v>
      </c>
      <c r="CC88" s="64">
        <f t="shared" si="74"/>
        <v>0</v>
      </c>
      <c r="CD88" s="64">
        <f t="shared" si="75"/>
        <v>0</v>
      </c>
      <c r="CE88" s="64">
        <f t="shared" si="76"/>
        <v>0</v>
      </c>
      <c r="CF88" s="64">
        <f t="shared" si="77"/>
        <v>0</v>
      </c>
      <c r="CG88" s="64">
        <f t="shared" si="78"/>
        <v>0</v>
      </c>
      <c r="CH88" s="64">
        <f t="shared" si="79"/>
        <v>0</v>
      </c>
      <c r="CI88" s="64">
        <f t="shared" si="80"/>
        <v>0</v>
      </c>
      <c r="CL88" s="63">
        <v>-92.131979695431482</v>
      </c>
      <c r="CM88" s="69">
        <f t="shared" si="84"/>
        <v>92.131979695431482</v>
      </c>
      <c r="EH88" s="63">
        <v>0.21289355322338829</v>
      </c>
    </row>
    <row r="89" spans="1:138" s="64" customFormat="1">
      <c r="A89" s="64" t="s">
        <v>89</v>
      </c>
      <c r="B89" s="64">
        <v>195</v>
      </c>
      <c r="C89" s="64" t="s">
        <v>44</v>
      </c>
      <c r="D89" s="64" t="s">
        <v>32</v>
      </c>
      <c r="E89" s="64">
        <v>5</v>
      </c>
      <c r="F89" s="64">
        <v>2</v>
      </c>
      <c r="G89" s="64">
        <v>5419</v>
      </c>
      <c r="H89" s="64">
        <v>6580</v>
      </c>
      <c r="I89" s="64">
        <v>7230</v>
      </c>
      <c r="J89" s="64">
        <v>153</v>
      </c>
      <c r="K89" s="64">
        <v>132</v>
      </c>
      <c r="L89" s="64">
        <v>104</v>
      </c>
      <c r="M89" s="64">
        <v>5098</v>
      </c>
      <c r="N89" s="64">
        <v>6400</v>
      </c>
      <c r="O89" s="64">
        <v>7131</v>
      </c>
      <c r="P89" s="64">
        <v>-168</v>
      </c>
      <c r="Q89" s="64">
        <v>-48</v>
      </c>
      <c r="R89" s="64">
        <v>-99</v>
      </c>
      <c r="S89" s="64">
        <v>-168</v>
      </c>
      <c r="T89" s="64">
        <v>-48</v>
      </c>
      <c r="U89" s="64">
        <v>-99</v>
      </c>
      <c r="V89" s="64">
        <v>500</v>
      </c>
      <c r="W89" s="64">
        <v>550</v>
      </c>
      <c r="X89" s="64">
        <v>481</v>
      </c>
      <c r="Y89" s="64">
        <v>347</v>
      </c>
      <c r="Z89" s="64">
        <v>446</v>
      </c>
      <c r="AA89" s="64">
        <v>395</v>
      </c>
      <c r="AB89" s="64">
        <v>338</v>
      </c>
      <c r="AC89" s="64">
        <v>418</v>
      </c>
      <c r="AD89" s="64">
        <v>377</v>
      </c>
      <c r="AE89" s="64">
        <v>5572</v>
      </c>
      <c r="AF89" s="64">
        <v>6712</v>
      </c>
      <c r="AG89" s="64">
        <v>7334</v>
      </c>
      <c r="AH89" s="64">
        <v>5598</v>
      </c>
      <c r="AI89" s="64">
        <v>6950</v>
      </c>
      <c r="AJ89" s="64">
        <v>7612</v>
      </c>
      <c r="AK89" s="64">
        <v>26</v>
      </c>
      <c r="AL89" s="64">
        <v>238</v>
      </c>
      <c r="AM89" s="64">
        <v>278</v>
      </c>
      <c r="AN89" s="64">
        <v>170</v>
      </c>
      <c r="AO89" s="64">
        <v>370</v>
      </c>
      <c r="AP89" s="64">
        <v>278</v>
      </c>
      <c r="AS89" s="64">
        <f t="shared" si="81"/>
        <v>2.2679738562091503</v>
      </c>
      <c r="AT89" s="64">
        <f t="shared" si="82"/>
        <v>3.3787878787878789</v>
      </c>
      <c r="AU89" s="64">
        <f t="shared" si="83"/>
        <v>3.7980769230769229</v>
      </c>
      <c r="AV89" s="64">
        <v>9.4999999999999982</v>
      </c>
      <c r="AW89" s="64">
        <v>0.15363128491620112</v>
      </c>
      <c r="AX89" s="64">
        <v>0.88826815642458101</v>
      </c>
      <c r="AZ89" s="64">
        <f t="shared" si="66"/>
        <v>4.6661880832735104E-3</v>
      </c>
      <c r="BA89" s="64">
        <f t="shared" si="67"/>
        <v>3.5458879618593564E-2</v>
      </c>
      <c r="BB89" s="64">
        <f t="shared" si="68"/>
        <v>3.7905644941368964E-2</v>
      </c>
      <c r="BD89" s="64">
        <f t="shared" si="92"/>
        <v>-3.1002029894814542E-2</v>
      </c>
      <c r="BE89" s="64">
        <f t="shared" si="93"/>
        <v>-7.29483282674772E-3</v>
      </c>
      <c r="BF89" s="64">
        <f t="shared" si="87"/>
        <v>-1.3692946058091286E-2</v>
      </c>
      <c r="BH89" s="63">
        <v>0.17857142857142858</v>
      </c>
      <c r="BJ89" s="63">
        <v>0.17857142857142858</v>
      </c>
      <c r="BN89" s="172">
        <f t="shared" ref="BN89:BN94" si="95">(Y89/P89)*100</f>
        <v>-206.54761904761907</v>
      </c>
      <c r="BO89" s="104">
        <f t="shared" ref="BO89:BO94" si="96">(Z89/Q89)*100</f>
        <v>-929.16666666666663</v>
      </c>
      <c r="BP89" s="173">
        <f t="shared" si="65"/>
        <v>-398.98989898989902</v>
      </c>
      <c r="BQ89" s="172">
        <v>-100.68965517241379</v>
      </c>
      <c r="BR89" s="104">
        <v>-123.86363636363637</v>
      </c>
      <c r="BS89" s="173">
        <v>-182.95964125560539</v>
      </c>
      <c r="BU89" s="63"/>
      <c r="BX89" s="142">
        <f t="shared" si="69"/>
        <v>1</v>
      </c>
      <c r="BY89" s="142">
        <f t="shared" si="70"/>
        <v>1</v>
      </c>
      <c r="BZ89" s="142">
        <f t="shared" si="71"/>
        <v>1</v>
      </c>
      <c r="CA89" s="64">
        <f t="shared" si="72"/>
        <v>0</v>
      </c>
      <c r="CB89" s="64">
        <f t="shared" si="73"/>
        <v>0</v>
      </c>
      <c r="CC89" s="64">
        <f t="shared" si="74"/>
        <v>0</v>
      </c>
      <c r="CD89" s="64">
        <f t="shared" si="75"/>
        <v>0</v>
      </c>
      <c r="CE89" s="64">
        <f t="shared" si="76"/>
        <v>0</v>
      </c>
      <c r="CF89" s="64">
        <f t="shared" si="77"/>
        <v>0</v>
      </c>
      <c r="CG89" s="64">
        <f t="shared" si="78"/>
        <v>0</v>
      </c>
      <c r="CH89" s="64">
        <f t="shared" si="79"/>
        <v>0</v>
      </c>
      <c r="CI89" s="64">
        <f t="shared" si="80"/>
        <v>0</v>
      </c>
      <c r="CL89" s="63">
        <v>-130.05464480874315</v>
      </c>
      <c r="CM89" s="69">
        <f t="shared" si="84"/>
        <v>130.05464480874315</v>
      </c>
      <c r="EH89" s="63">
        <v>5.375</v>
      </c>
    </row>
    <row r="90" spans="1:138" s="64" customFormat="1">
      <c r="A90" s="64" t="s">
        <v>90</v>
      </c>
      <c r="B90" s="64">
        <v>65</v>
      </c>
      <c r="C90" s="64" t="s">
        <v>44</v>
      </c>
      <c r="D90" s="64" t="s">
        <v>33</v>
      </c>
      <c r="E90" s="64">
        <v>3</v>
      </c>
      <c r="F90" s="64">
        <v>2</v>
      </c>
      <c r="G90" s="64">
        <f>(CN90/500)*65</f>
        <v>117.52000000000001</v>
      </c>
      <c r="H90" s="64">
        <f t="shared" ref="H90:AP90" si="97">(CO90/500)*65</f>
        <v>161.33000000000001</v>
      </c>
      <c r="I90" s="64">
        <f t="shared" si="97"/>
        <v>191.49</v>
      </c>
      <c r="J90" s="64">
        <f t="shared" si="97"/>
        <v>1.04</v>
      </c>
      <c r="K90" s="64">
        <f t="shared" si="97"/>
        <v>0</v>
      </c>
      <c r="L90" s="64">
        <f t="shared" si="97"/>
        <v>0</v>
      </c>
      <c r="M90" s="64">
        <f t="shared" si="97"/>
        <v>123.5</v>
      </c>
      <c r="N90" s="64">
        <f t="shared" si="97"/>
        <v>150.01999999999998</v>
      </c>
      <c r="O90" s="64">
        <f t="shared" si="97"/>
        <v>193.44</v>
      </c>
      <c r="P90" s="64">
        <f t="shared" si="97"/>
        <v>6.11</v>
      </c>
      <c r="Q90" s="64">
        <f t="shared" si="97"/>
        <v>-11.44</v>
      </c>
      <c r="R90" s="64">
        <f t="shared" si="97"/>
        <v>1.95</v>
      </c>
      <c r="S90" s="64">
        <f t="shared" si="97"/>
        <v>6.11</v>
      </c>
      <c r="T90" s="64">
        <f t="shared" si="97"/>
        <v>-11.44</v>
      </c>
      <c r="U90" s="64">
        <f t="shared" si="97"/>
        <v>1.95</v>
      </c>
      <c r="V90" s="64">
        <f t="shared" si="97"/>
        <v>10.790000000000001</v>
      </c>
      <c r="W90" s="64">
        <f t="shared" si="97"/>
        <v>14.17</v>
      </c>
      <c r="X90" s="64">
        <f t="shared" si="97"/>
        <v>11.44</v>
      </c>
      <c r="Y90" s="64">
        <f t="shared" si="97"/>
        <v>9.879999999999999</v>
      </c>
      <c r="Z90" s="64">
        <f t="shared" si="97"/>
        <v>14.17</v>
      </c>
      <c r="AA90" s="64">
        <f t="shared" si="97"/>
        <v>11.44</v>
      </c>
      <c r="AB90" s="64">
        <f t="shared" si="97"/>
        <v>9.879999999999999</v>
      </c>
      <c r="AC90" s="64">
        <f t="shared" si="97"/>
        <v>14.17</v>
      </c>
      <c r="AD90" s="64">
        <f t="shared" si="97"/>
        <v>11.44</v>
      </c>
      <c r="AE90" s="64">
        <f t="shared" si="97"/>
        <v>118.56</v>
      </c>
      <c r="AF90" s="64">
        <f t="shared" si="97"/>
        <v>161.33000000000001</v>
      </c>
      <c r="AG90" s="64">
        <f t="shared" si="97"/>
        <v>191.49</v>
      </c>
      <c r="AH90" s="64">
        <f t="shared" si="97"/>
        <v>134.29</v>
      </c>
      <c r="AI90" s="64">
        <f t="shared" si="97"/>
        <v>164.19</v>
      </c>
      <c r="AJ90" s="64">
        <f t="shared" si="97"/>
        <v>204.88</v>
      </c>
      <c r="AK90" s="64">
        <f t="shared" si="97"/>
        <v>15.73</v>
      </c>
      <c r="AL90" s="64">
        <f t="shared" si="97"/>
        <v>2.86</v>
      </c>
      <c r="AM90" s="64">
        <f t="shared" si="97"/>
        <v>13.389999999999999</v>
      </c>
      <c r="AN90" s="64">
        <f t="shared" si="97"/>
        <v>15.99</v>
      </c>
      <c r="AO90" s="64">
        <f t="shared" si="97"/>
        <v>2.73</v>
      </c>
      <c r="AP90" s="64">
        <f t="shared" si="97"/>
        <v>13.389999999999999</v>
      </c>
      <c r="AS90" s="64">
        <f t="shared" si="81"/>
        <v>9.4999999999999982</v>
      </c>
      <c r="AT90" s="64" t="e">
        <f t="shared" si="82"/>
        <v>#DIV/0!</v>
      </c>
      <c r="AU90" s="64" t="e">
        <f t="shared" si="83"/>
        <v>#DIV/0!</v>
      </c>
      <c r="AV90" s="64">
        <v>48.666666666666671</v>
      </c>
      <c r="AZ90" s="64">
        <f t="shared" si="66"/>
        <v>0.13267543859649122</v>
      </c>
      <c r="BA90" s="64">
        <f t="shared" si="67"/>
        <v>1.77276390008058E-2</v>
      </c>
      <c r="BB90" s="64">
        <f t="shared" si="68"/>
        <v>6.9925322471147314E-2</v>
      </c>
      <c r="BD90" s="64">
        <f t="shared" si="92"/>
        <v>5.1991150442477874E-2</v>
      </c>
      <c r="BE90" s="64">
        <f t="shared" si="93"/>
        <v>-7.0910556003223199E-2</v>
      </c>
      <c r="BF90" s="64">
        <f t="shared" si="87"/>
        <v>1.0183299389002035E-2</v>
      </c>
      <c r="BH90" s="63">
        <v>-0.34205933682373474</v>
      </c>
      <c r="BJ90" s="63">
        <v>-0.55413032324268852</v>
      </c>
      <c r="BN90" s="172">
        <f t="shared" si="95"/>
        <v>161.70212765957444</v>
      </c>
      <c r="BO90" s="104">
        <f t="shared" si="96"/>
        <v>-123.86363636363637</v>
      </c>
      <c r="BP90" s="173">
        <f t="shared" si="65"/>
        <v>586.66666666666663</v>
      </c>
      <c r="BQ90" s="172">
        <v>-119.67213114754098</v>
      </c>
      <c r="BR90" s="104"/>
      <c r="BS90" s="173">
        <v>-122.30769230769232</v>
      </c>
      <c r="BU90" s="63"/>
      <c r="BX90" s="142">
        <f t="shared" si="69"/>
        <v>0</v>
      </c>
      <c r="BY90" s="142">
        <f t="shared" si="70"/>
        <v>1</v>
      </c>
      <c r="BZ90" s="142">
        <f t="shared" si="71"/>
        <v>0</v>
      </c>
      <c r="CA90" s="64">
        <f t="shared" si="72"/>
        <v>0</v>
      </c>
      <c r="CB90" s="64">
        <f t="shared" si="73"/>
        <v>0</v>
      </c>
      <c r="CC90" s="64">
        <f t="shared" si="74"/>
        <v>0</v>
      </c>
      <c r="CD90" s="64">
        <f t="shared" si="75"/>
        <v>1</v>
      </c>
      <c r="CE90" s="64">
        <f t="shared" si="76"/>
        <v>0</v>
      </c>
      <c r="CF90" s="64">
        <f t="shared" si="77"/>
        <v>1</v>
      </c>
      <c r="CG90" s="64">
        <f t="shared" si="78"/>
        <v>0</v>
      </c>
      <c r="CH90" s="64">
        <f t="shared" si="79"/>
        <v>0</v>
      </c>
      <c r="CI90" s="64">
        <f t="shared" si="80"/>
        <v>0</v>
      </c>
      <c r="CL90" s="63">
        <v>-122.22222222222223</v>
      </c>
      <c r="CM90" s="69">
        <f t="shared" si="84"/>
        <v>122.22222222222223</v>
      </c>
      <c r="CN90" s="64">
        <v>904</v>
      </c>
      <c r="CO90" s="64">
        <v>1241</v>
      </c>
      <c r="CP90" s="64">
        <v>1473</v>
      </c>
      <c r="CQ90" s="64">
        <v>8</v>
      </c>
      <c r="CR90" s="64">
        <v>0</v>
      </c>
      <c r="CS90" s="64">
        <v>0</v>
      </c>
      <c r="CT90" s="64">
        <v>950</v>
      </c>
      <c r="CU90" s="64">
        <v>1154</v>
      </c>
      <c r="CV90" s="64">
        <v>1488</v>
      </c>
      <c r="CW90" s="64">
        <v>47</v>
      </c>
      <c r="CX90" s="64">
        <v>-88</v>
      </c>
      <c r="CY90" s="64">
        <v>15</v>
      </c>
      <c r="CZ90" s="64">
        <v>47</v>
      </c>
      <c r="DA90" s="64">
        <v>-88</v>
      </c>
      <c r="DB90" s="64">
        <v>15</v>
      </c>
      <c r="DC90" s="64">
        <v>83</v>
      </c>
      <c r="DD90" s="64">
        <v>109</v>
      </c>
      <c r="DE90" s="64">
        <v>88</v>
      </c>
      <c r="DF90" s="64">
        <v>76</v>
      </c>
      <c r="DG90" s="64">
        <v>109</v>
      </c>
      <c r="DH90" s="64">
        <v>88</v>
      </c>
      <c r="DI90" s="64">
        <v>76</v>
      </c>
      <c r="DJ90" s="64">
        <v>109</v>
      </c>
      <c r="DK90" s="64">
        <v>88</v>
      </c>
      <c r="DL90" s="64">
        <v>912</v>
      </c>
      <c r="DM90" s="64">
        <v>1241</v>
      </c>
      <c r="DN90" s="64">
        <v>1473</v>
      </c>
      <c r="DO90" s="64">
        <v>1033</v>
      </c>
      <c r="DP90" s="64">
        <v>1263</v>
      </c>
      <c r="DQ90" s="64">
        <v>1576</v>
      </c>
      <c r="DR90" s="64">
        <v>121</v>
      </c>
      <c r="DS90" s="64">
        <v>22</v>
      </c>
      <c r="DT90" s="64">
        <v>103</v>
      </c>
      <c r="DU90" s="64">
        <v>123</v>
      </c>
      <c r="DV90" s="64">
        <v>21</v>
      </c>
      <c r="DW90" s="64">
        <v>103</v>
      </c>
      <c r="EH90" s="63">
        <v>5.3275862068965516</v>
      </c>
    </row>
    <row r="91" spans="1:138" s="64" customFormat="1">
      <c r="A91" s="64" t="s">
        <v>97</v>
      </c>
      <c r="B91" s="64">
        <v>21</v>
      </c>
      <c r="C91" s="64" t="s">
        <v>44</v>
      </c>
      <c r="D91" s="64" t="s">
        <v>33</v>
      </c>
      <c r="E91" s="64">
        <v>1</v>
      </c>
      <c r="F91" s="64">
        <v>7</v>
      </c>
      <c r="G91" s="64">
        <f>(CN91/600)*21</f>
        <v>68.774999999999991</v>
      </c>
      <c r="H91" s="64">
        <f t="shared" ref="H91:AP91" si="98">(CO91/600)*21</f>
        <v>63.49</v>
      </c>
      <c r="I91" s="64">
        <f t="shared" si="98"/>
        <v>88.13</v>
      </c>
      <c r="J91" s="64">
        <f t="shared" si="98"/>
        <v>0.105</v>
      </c>
      <c r="K91" s="64">
        <f t="shared" si="98"/>
        <v>0</v>
      </c>
      <c r="L91" s="64">
        <f t="shared" si="98"/>
        <v>0</v>
      </c>
      <c r="M91" s="64">
        <f t="shared" si="98"/>
        <v>63.699999999999996</v>
      </c>
      <c r="N91" s="64">
        <f t="shared" si="98"/>
        <v>65.73</v>
      </c>
      <c r="O91" s="64">
        <f t="shared" si="98"/>
        <v>80.325000000000003</v>
      </c>
      <c r="P91" s="64">
        <f t="shared" si="98"/>
        <v>-5.0750000000000002</v>
      </c>
      <c r="Q91" s="64">
        <f t="shared" si="98"/>
        <v>2.2400000000000002</v>
      </c>
      <c r="R91" s="64">
        <f t="shared" si="98"/>
        <v>-7.8049999999999997</v>
      </c>
      <c r="S91" s="64">
        <f t="shared" si="98"/>
        <v>-5.0750000000000002</v>
      </c>
      <c r="T91" s="64">
        <f t="shared" si="98"/>
        <v>2.2400000000000002</v>
      </c>
      <c r="U91" s="64">
        <f t="shared" si="98"/>
        <v>-7.8049999999999997</v>
      </c>
      <c r="V91" s="64">
        <f t="shared" si="98"/>
        <v>5.2149999999999999</v>
      </c>
      <c r="W91" s="64">
        <f t="shared" si="98"/>
        <v>3.3249999999999997</v>
      </c>
      <c r="X91" s="64">
        <f t="shared" si="98"/>
        <v>14.280000000000001</v>
      </c>
      <c r="Y91" s="64">
        <f t="shared" si="98"/>
        <v>5.1100000000000003</v>
      </c>
      <c r="Z91" s="64">
        <f t="shared" si="98"/>
        <v>3.3249999999999997</v>
      </c>
      <c r="AA91" s="64">
        <f t="shared" si="98"/>
        <v>14.280000000000001</v>
      </c>
      <c r="AB91" s="64">
        <f t="shared" si="98"/>
        <v>5.1449999999999996</v>
      </c>
      <c r="AC91" s="64">
        <f t="shared" si="98"/>
        <v>3.3249999999999997</v>
      </c>
      <c r="AD91" s="64">
        <f t="shared" si="98"/>
        <v>14.280000000000001</v>
      </c>
      <c r="AE91" s="64">
        <f t="shared" si="98"/>
        <v>68.88</v>
      </c>
      <c r="AF91" s="64">
        <f t="shared" si="98"/>
        <v>63.49</v>
      </c>
      <c r="AG91" s="64">
        <f t="shared" si="98"/>
        <v>88.13</v>
      </c>
      <c r="AH91" s="64">
        <f t="shared" si="98"/>
        <v>68.915000000000006</v>
      </c>
      <c r="AI91" s="64">
        <f t="shared" si="98"/>
        <v>69.055000000000007</v>
      </c>
      <c r="AJ91" s="64">
        <f t="shared" si="98"/>
        <v>94.605000000000004</v>
      </c>
      <c r="AK91" s="64">
        <f t="shared" si="98"/>
        <v>3.5000000000000003E-2</v>
      </c>
      <c r="AL91" s="64">
        <f t="shared" si="98"/>
        <v>5.5650000000000004</v>
      </c>
      <c r="AM91" s="64">
        <f t="shared" si="98"/>
        <v>6.4750000000000005</v>
      </c>
      <c r="AN91" s="64">
        <f t="shared" si="98"/>
        <v>7.0000000000000007E-2</v>
      </c>
      <c r="AO91" s="64">
        <f t="shared" si="98"/>
        <v>5.5650000000000004</v>
      </c>
      <c r="AP91" s="64">
        <f t="shared" si="98"/>
        <v>6.4750000000000005</v>
      </c>
      <c r="AS91" s="64">
        <f t="shared" si="81"/>
        <v>48.666666666666671</v>
      </c>
      <c r="AT91" s="64" t="e">
        <f t="shared" si="82"/>
        <v>#DIV/0!</v>
      </c>
      <c r="AU91" s="64" t="e">
        <f t="shared" si="83"/>
        <v>#DIV/0!</v>
      </c>
      <c r="AV91" s="64">
        <v>0.16404494382022472</v>
      </c>
      <c r="AZ91" s="64">
        <f t="shared" si="66"/>
        <v>5.0813008130081306E-4</v>
      </c>
      <c r="BA91" s="64">
        <f t="shared" si="67"/>
        <v>8.7651598676957002E-2</v>
      </c>
      <c r="BB91" s="64">
        <f t="shared" si="68"/>
        <v>7.3471008737092947E-2</v>
      </c>
      <c r="BD91" s="64">
        <f t="shared" si="92"/>
        <v>-7.3791348600508913E-2</v>
      </c>
      <c r="BE91" s="64">
        <f t="shared" si="93"/>
        <v>3.5281146637265712E-2</v>
      </c>
      <c r="BF91" s="64">
        <f t="shared" si="87"/>
        <v>-8.8562351072279583E-2</v>
      </c>
      <c r="BH91" s="63">
        <v>-9.5238095238095233E-2</v>
      </c>
      <c r="BJ91" s="63">
        <v>-0.14339622641509434</v>
      </c>
      <c r="BN91" s="172">
        <f t="shared" si="95"/>
        <v>-100.68965517241379</v>
      </c>
      <c r="BO91" s="104">
        <f t="shared" si="96"/>
        <v>148.43749999999997</v>
      </c>
      <c r="BP91" s="173">
        <f t="shared" si="65"/>
        <v>-182.95964125560539</v>
      </c>
      <c r="BQ91" s="172"/>
      <c r="BR91" s="104"/>
      <c r="BS91" s="173"/>
      <c r="BU91" s="63"/>
      <c r="BX91" s="142">
        <f t="shared" si="69"/>
        <v>1</v>
      </c>
      <c r="BY91" s="142">
        <f t="shared" si="70"/>
        <v>0</v>
      </c>
      <c r="BZ91" s="142">
        <f t="shared" si="71"/>
        <v>1</v>
      </c>
      <c r="CA91" s="64">
        <f t="shared" si="72"/>
        <v>0</v>
      </c>
      <c r="CB91" s="64">
        <f t="shared" si="73"/>
        <v>0</v>
      </c>
      <c r="CC91" s="64">
        <f t="shared" si="74"/>
        <v>0</v>
      </c>
      <c r="CD91" s="64">
        <f t="shared" si="75"/>
        <v>0</v>
      </c>
      <c r="CE91" s="64">
        <f t="shared" si="76"/>
        <v>1</v>
      </c>
      <c r="CF91" s="64">
        <f t="shared" si="77"/>
        <v>0</v>
      </c>
      <c r="CG91" s="64">
        <f t="shared" si="78"/>
        <v>0</v>
      </c>
      <c r="CH91" s="64">
        <f t="shared" si="79"/>
        <v>0</v>
      </c>
      <c r="CI91" s="64">
        <f t="shared" si="80"/>
        <v>0</v>
      </c>
      <c r="CL91" s="63">
        <v>-108.17843866171005</v>
      </c>
      <c r="CM91" s="69">
        <f t="shared" si="84"/>
        <v>108.17843866171005</v>
      </c>
      <c r="CN91" s="64">
        <v>1965</v>
      </c>
      <c r="CO91" s="64">
        <v>1814</v>
      </c>
      <c r="CP91" s="64">
        <v>2518</v>
      </c>
      <c r="CQ91" s="64">
        <v>3</v>
      </c>
      <c r="CR91" s="64">
        <v>0</v>
      </c>
      <c r="CS91" s="64">
        <v>0</v>
      </c>
      <c r="CT91" s="64">
        <v>1820</v>
      </c>
      <c r="CU91" s="64">
        <v>1878</v>
      </c>
      <c r="CV91" s="64">
        <v>2295</v>
      </c>
      <c r="CW91" s="64">
        <v>-145</v>
      </c>
      <c r="CX91" s="64">
        <v>64</v>
      </c>
      <c r="CY91" s="64">
        <v>-223</v>
      </c>
      <c r="CZ91" s="64">
        <v>-145</v>
      </c>
      <c r="DA91" s="64">
        <v>64</v>
      </c>
      <c r="DB91" s="64">
        <v>-223</v>
      </c>
      <c r="DC91" s="64">
        <v>149</v>
      </c>
      <c r="DD91" s="64">
        <v>95</v>
      </c>
      <c r="DE91" s="64">
        <v>408</v>
      </c>
      <c r="DF91" s="64">
        <v>146</v>
      </c>
      <c r="DG91" s="64">
        <v>95</v>
      </c>
      <c r="DH91" s="64">
        <v>408</v>
      </c>
      <c r="DI91" s="64">
        <v>147</v>
      </c>
      <c r="DJ91" s="64">
        <v>95</v>
      </c>
      <c r="DK91" s="64">
        <v>408</v>
      </c>
      <c r="DL91" s="64">
        <v>1968</v>
      </c>
      <c r="DM91" s="64">
        <v>1814</v>
      </c>
      <c r="DN91" s="64">
        <v>2518</v>
      </c>
      <c r="DO91" s="64">
        <v>1969</v>
      </c>
      <c r="DP91" s="64">
        <v>1973</v>
      </c>
      <c r="DQ91" s="64">
        <v>2703</v>
      </c>
      <c r="DR91" s="64">
        <v>1</v>
      </c>
      <c r="DS91" s="64">
        <v>159</v>
      </c>
      <c r="DT91" s="64">
        <v>185</v>
      </c>
      <c r="DU91" s="64">
        <v>2</v>
      </c>
      <c r="DV91" s="64">
        <v>159</v>
      </c>
      <c r="DW91" s="64">
        <v>185</v>
      </c>
      <c r="EH91" s="63">
        <v>0.27272727272727271</v>
      </c>
    </row>
    <row r="92" spans="1:138" s="64" customFormat="1">
      <c r="A92" s="64" t="s">
        <v>99</v>
      </c>
      <c r="B92" s="64">
        <v>217</v>
      </c>
      <c r="C92" s="64" t="s">
        <v>44</v>
      </c>
      <c r="D92" s="64" t="s">
        <v>32</v>
      </c>
      <c r="E92" s="64">
        <v>2</v>
      </c>
      <c r="F92" s="64">
        <v>5</v>
      </c>
      <c r="G92" s="64">
        <v>84</v>
      </c>
      <c r="H92" s="64">
        <v>146</v>
      </c>
      <c r="I92" s="64">
        <v>127</v>
      </c>
      <c r="J92" s="64">
        <v>0</v>
      </c>
      <c r="K92" s="64">
        <v>0</v>
      </c>
      <c r="L92" s="64">
        <v>0</v>
      </c>
      <c r="M92" s="64">
        <v>93</v>
      </c>
      <c r="N92" s="64">
        <v>186</v>
      </c>
      <c r="O92" s="64">
        <v>100</v>
      </c>
      <c r="P92" s="64">
        <v>9</v>
      </c>
      <c r="Q92" s="64">
        <v>40</v>
      </c>
      <c r="R92" s="64">
        <v>-27</v>
      </c>
      <c r="S92" s="64">
        <v>9</v>
      </c>
      <c r="T92" s="64">
        <v>40</v>
      </c>
      <c r="U92" s="64">
        <v>-27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84</v>
      </c>
      <c r="AF92" s="64">
        <v>146</v>
      </c>
      <c r="AG92" s="64">
        <v>127</v>
      </c>
      <c r="AH92" s="64">
        <v>93</v>
      </c>
      <c r="AI92" s="64">
        <v>186</v>
      </c>
      <c r="AJ92" s="64">
        <v>100</v>
      </c>
      <c r="AK92" s="64">
        <v>9</v>
      </c>
      <c r="AL92" s="64">
        <v>40</v>
      </c>
      <c r="AM92" s="64">
        <v>-27</v>
      </c>
      <c r="AN92" s="64">
        <v>9</v>
      </c>
      <c r="AO92" s="64">
        <v>40</v>
      </c>
      <c r="AP92" s="64">
        <v>-27</v>
      </c>
      <c r="AS92" s="64" t="e">
        <f t="shared" si="81"/>
        <v>#DIV/0!</v>
      </c>
      <c r="AT92" s="64" t="e">
        <f t="shared" si="82"/>
        <v>#DIV/0!</v>
      </c>
      <c r="AU92" s="64" t="e">
        <f t="shared" si="83"/>
        <v>#DIV/0!</v>
      </c>
      <c r="AZ92" s="64">
        <f t="shared" si="66"/>
        <v>0.10714285714285714</v>
      </c>
      <c r="BA92" s="64">
        <f t="shared" si="67"/>
        <v>0.27397260273972601</v>
      </c>
      <c r="BB92" s="64">
        <f t="shared" si="68"/>
        <v>-0.2125984251968504</v>
      </c>
      <c r="BD92" s="64">
        <f t="shared" si="92"/>
        <v>0.10714285714285714</v>
      </c>
      <c r="BE92" s="64">
        <f t="shared" si="93"/>
        <v>0.27397260273972601</v>
      </c>
      <c r="BF92" s="64">
        <f t="shared" si="87"/>
        <v>-0.2125984251968504</v>
      </c>
      <c r="BH92" s="63">
        <v>-0.15720978656949505</v>
      </c>
      <c r="BJ92" s="63">
        <v>-0.32292787944025836</v>
      </c>
      <c r="BN92" s="172">
        <f t="shared" si="95"/>
        <v>0</v>
      </c>
      <c r="BO92" s="104">
        <f t="shared" si="96"/>
        <v>0</v>
      </c>
      <c r="BP92" s="173">
        <f t="shared" si="65"/>
        <v>0</v>
      </c>
      <c r="BQ92" s="172"/>
      <c r="BR92" s="104"/>
      <c r="BS92" s="173"/>
      <c r="BU92" s="63"/>
      <c r="BX92" s="142">
        <f t="shared" si="69"/>
        <v>0</v>
      </c>
      <c r="BY92" s="142">
        <f t="shared" si="70"/>
        <v>0</v>
      </c>
      <c r="BZ92" s="142">
        <f t="shared" si="71"/>
        <v>1</v>
      </c>
      <c r="CA92" s="64">
        <f t="shared" si="72"/>
        <v>1</v>
      </c>
      <c r="CB92" s="64">
        <f t="shared" si="73"/>
        <v>1</v>
      </c>
      <c r="CC92" s="64">
        <f t="shared" si="74"/>
        <v>1</v>
      </c>
      <c r="CD92" s="64">
        <f t="shared" si="75"/>
        <v>0</v>
      </c>
      <c r="CE92" s="64">
        <f t="shared" si="76"/>
        <v>0</v>
      </c>
      <c r="CF92" s="64">
        <f t="shared" si="77"/>
        <v>0</v>
      </c>
      <c r="CG92" s="64">
        <f t="shared" si="78"/>
        <v>0</v>
      </c>
      <c r="CH92" s="64">
        <f t="shared" si="79"/>
        <v>0</v>
      </c>
      <c r="CI92" s="64">
        <f t="shared" si="80"/>
        <v>0</v>
      </c>
      <c r="CL92" s="63">
        <v>-18.181818181818183</v>
      </c>
      <c r="CM92" s="69">
        <f t="shared" si="84"/>
        <v>18.181818181818183</v>
      </c>
      <c r="EH92" s="63">
        <v>16.071428571428569</v>
      </c>
    </row>
    <row r="93" spans="1:138" s="64" customFormat="1">
      <c r="A93" s="64" t="s">
        <v>135</v>
      </c>
      <c r="B93" s="64">
        <v>269</v>
      </c>
      <c r="C93" s="64" t="s">
        <v>44</v>
      </c>
      <c r="D93" s="64" t="s">
        <v>32</v>
      </c>
      <c r="E93" s="64">
        <v>3</v>
      </c>
      <c r="F93" s="64">
        <v>3</v>
      </c>
      <c r="G93" s="64">
        <v>1049</v>
      </c>
      <c r="H93" s="64">
        <v>1018</v>
      </c>
      <c r="I93" s="64">
        <v>1369</v>
      </c>
      <c r="J93" s="64">
        <v>445</v>
      </c>
      <c r="K93" s="64">
        <v>358</v>
      </c>
      <c r="L93" s="64">
        <v>358</v>
      </c>
      <c r="M93" s="64">
        <v>988</v>
      </c>
      <c r="N93" s="64">
        <v>1109</v>
      </c>
      <c r="O93" s="64">
        <v>1109</v>
      </c>
      <c r="P93" s="64">
        <v>-61</v>
      </c>
      <c r="Q93" s="64">
        <v>91</v>
      </c>
      <c r="R93" s="64">
        <v>-260</v>
      </c>
      <c r="S93" s="64">
        <v>-61</v>
      </c>
      <c r="T93" s="64">
        <v>91</v>
      </c>
      <c r="U93" s="64">
        <v>-260</v>
      </c>
      <c r="V93" s="64">
        <v>518</v>
      </c>
      <c r="W93" s="64">
        <v>413</v>
      </c>
      <c r="X93" s="64">
        <v>676</v>
      </c>
      <c r="Y93" s="64">
        <v>73</v>
      </c>
      <c r="Z93" s="64">
        <v>55</v>
      </c>
      <c r="AA93" s="64">
        <v>318</v>
      </c>
      <c r="AB93" s="64">
        <v>73</v>
      </c>
      <c r="AC93" s="64">
        <v>55</v>
      </c>
      <c r="AD93" s="64">
        <v>318</v>
      </c>
      <c r="AE93" s="64">
        <v>1494</v>
      </c>
      <c r="AF93" s="64">
        <v>1376</v>
      </c>
      <c r="AG93" s="64">
        <v>1727</v>
      </c>
      <c r="AH93" s="64">
        <v>1506</v>
      </c>
      <c r="AI93" s="64">
        <v>1522</v>
      </c>
      <c r="AJ93" s="64">
        <v>1785</v>
      </c>
      <c r="AK93" s="64">
        <v>12</v>
      </c>
      <c r="AL93" s="64">
        <v>146</v>
      </c>
      <c r="AM93" s="64">
        <v>58</v>
      </c>
      <c r="AN93" s="64">
        <v>12</v>
      </c>
      <c r="AO93" s="64">
        <v>146</v>
      </c>
      <c r="AP93" s="64">
        <v>58</v>
      </c>
      <c r="AS93" s="64">
        <f t="shared" si="81"/>
        <v>0.16404494382022472</v>
      </c>
      <c r="AT93" s="64">
        <f t="shared" si="82"/>
        <v>0.15363128491620112</v>
      </c>
      <c r="AU93" s="64">
        <f t="shared" si="83"/>
        <v>0.88826815642458101</v>
      </c>
      <c r="AZ93" s="64">
        <f t="shared" si="66"/>
        <v>8.0321285140562242E-3</v>
      </c>
      <c r="BA93" s="64">
        <f t="shared" si="67"/>
        <v>0.10610465116279069</v>
      </c>
      <c r="BB93" s="64">
        <f t="shared" si="68"/>
        <v>3.35842501447597E-2</v>
      </c>
      <c r="BD93" s="64">
        <f t="shared" si="92"/>
        <v>-5.8150619637750235E-2</v>
      </c>
      <c r="BE93" s="64">
        <f t="shared" si="93"/>
        <v>8.9390962671905702E-2</v>
      </c>
      <c r="BF93" s="64">
        <f t="shared" si="87"/>
        <v>-0.18991964937910885</v>
      </c>
      <c r="BH93" s="63">
        <v>9.5652173913043481E-2</v>
      </c>
      <c r="BJ93" s="63">
        <v>9.5652173913043481E-2</v>
      </c>
      <c r="BN93" s="172">
        <f t="shared" si="95"/>
        <v>-119.67213114754098</v>
      </c>
      <c r="BO93" s="104">
        <f t="shared" si="96"/>
        <v>60.439560439560438</v>
      </c>
      <c r="BP93" s="173">
        <f t="shared" si="65"/>
        <v>-122.30769230769232</v>
      </c>
      <c r="BQ93" s="172"/>
      <c r="BR93" s="104"/>
      <c r="BS93" s="173"/>
      <c r="BU93" s="63"/>
      <c r="BX93" s="142">
        <f t="shared" si="69"/>
        <v>1</v>
      </c>
      <c r="BY93" s="142">
        <f t="shared" si="70"/>
        <v>0</v>
      </c>
      <c r="BZ93" s="142">
        <f t="shared" si="71"/>
        <v>1</v>
      </c>
      <c r="CA93" s="64">
        <f t="shared" si="72"/>
        <v>0</v>
      </c>
      <c r="CB93" s="64">
        <f t="shared" si="73"/>
        <v>0</v>
      </c>
      <c r="CC93" s="64">
        <f t="shared" si="74"/>
        <v>0</v>
      </c>
      <c r="CD93" s="64">
        <f t="shared" si="75"/>
        <v>0</v>
      </c>
      <c r="CE93" s="64">
        <f t="shared" si="76"/>
        <v>1</v>
      </c>
      <c r="CF93" s="64">
        <f t="shared" si="77"/>
        <v>0</v>
      </c>
      <c r="CG93" s="64">
        <f t="shared" si="78"/>
        <v>0</v>
      </c>
      <c r="CH93" s="64">
        <f t="shared" si="79"/>
        <v>0</v>
      </c>
      <c r="CI93" s="64">
        <f t="shared" si="80"/>
        <v>0</v>
      </c>
      <c r="CL93" s="63">
        <v>-82.234042553191472</v>
      </c>
      <c r="CM93" s="69">
        <f t="shared" si="84"/>
        <v>82.234042553191472</v>
      </c>
      <c r="EH93" s="63">
        <v>0.45714285714285713</v>
      </c>
    </row>
    <row r="94" spans="1:138" s="134" customFormat="1">
      <c r="A94" s="134" t="s">
        <v>81</v>
      </c>
      <c r="B94" s="134">
        <v>70</v>
      </c>
      <c r="C94" s="134" t="s">
        <v>45</v>
      </c>
      <c r="D94" s="134" t="s">
        <v>33</v>
      </c>
      <c r="E94" s="134">
        <v>6</v>
      </c>
      <c r="F94" s="134">
        <v>6</v>
      </c>
      <c r="G94" s="134">
        <f>(CN94/370)*70</f>
        <v>817.48648648648646</v>
      </c>
      <c r="H94" s="134">
        <f t="shared" ref="H94:AN94" si="99">(CO94/370)*70</f>
        <v>675.02702702702697</v>
      </c>
      <c r="I94" s="134">
        <f t="shared" si="99"/>
        <v>685.05405405405406</v>
      </c>
      <c r="J94" s="134">
        <f t="shared" si="99"/>
        <v>50.702702702702709</v>
      </c>
      <c r="K94" s="134">
        <f t="shared" si="99"/>
        <v>50.513513513513509</v>
      </c>
      <c r="L94" s="134">
        <f t="shared" si="99"/>
        <v>50.702702702702709</v>
      </c>
      <c r="M94" s="134">
        <f t="shared" si="99"/>
        <v>634.7297297297298</v>
      </c>
      <c r="N94" s="134">
        <f t="shared" si="99"/>
        <v>545.24324324324323</v>
      </c>
      <c r="O94" s="134">
        <f t="shared" si="99"/>
        <v>625.2702702702702</v>
      </c>
      <c r="P94" s="134">
        <f t="shared" si="99"/>
        <v>-182.75675675675674</v>
      </c>
      <c r="Q94" s="134">
        <f t="shared" si="99"/>
        <v>-129.78378378378378</v>
      </c>
      <c r="R94" s="134">
        <f t="shared" si="99"/>
        <v>-59.78378378378379</v>
      </c>
      <c r="S94" s="134">
        <f t="shared" si="99"/>
        <v>-182.75675675675674</v>
      </c>
      <c r="T94" s="134">
        <f t="shared" si="99"/>
        <v>-129.78378378378378</v>
      </c>
      <c r="U94" s="134">
        <f t="shared" si="99"/>
        <v>-59.78378378378379</v>
      </c>
      <c r="V94" s="134">
        <f t="shared" si="99"/>
        <v>103.29729729729731</v>
      </c>
      <c r="W94" s="134">
        <f t="shared" si="99"/>
        <v>105.94594594594595</v>
      </c>
      <c r="X94" s="134">
        <f t="shared" si="99"/>
        <v>97.432432432432435</v>
      </c>
      <c r="Y94" s="134">
        <f t="shared" si="99"/>
        <v>52.594594594594597</v>
      </c>
      <c r="Z94" s="134">
        <f t="shared" si="99"/>
        <v>55.432432432432435</v>
      </c>
      <c r="AA94" s="134">
        <f t="shared" si="99"/>
        <v>46.729729729729726</v>
      </c>
      <c r="AB94" s="134">
        <f t="shared" si="99"/>
        <v>52.594594594594597</v>
      </c>
      <c r="AC94" s="134">
        <f t="shared" si="99"/>
        <v>55.432432432432435</v>
      </c>
      <c r="AD94" s="134">
        <f t="shared" si="99"/>
        <v>46.729729729729726</v>
      </c>
      <c r="AE94" s="134">
        <f t="shared" si="99"/>
        <v>868.18918918918916</v>
      </c>
      <c r="AF94" s="134">
        <f t="shared" si="99"/>
        <v>725.54054054054052</v>
      </c>
      <c r="AG94" s="134">
        <f t="shared" si="99"/>
        <v>735.75675675675677</v>
      </c>
      <c r="AH94" s="134">
        <f t="shared" si="99"/>
        <v>738.02702702702697</v>
      </c>
      <c r="AI94" s="134">
        <f t="shared" si="99"/>
        <v>651.18918918918916</v>
      </c>
      <c r="AJ94" s="134">
        <f t="shared" si="99"/>
        <v>722.70270270270271</v>
      </c>
      <c r="AK94" s="134">
        <f t="shared" si="99"/>
        <v>-130.16216216216216</v>
      </c>
      <c r="AL94" s="134">
        <f t="shared" si="99"/>
        <v>-74.351351351351354</v>
      </c>
      <c r="AM94" s="134">
        <f t="shared" si="99"/>
        <v>-13.054054054054054</v>
      </c>
      <c r="AN94" s="134">
        <f t="shared" si="99"/>
        <v>-130.16216216216216</v>
      </c>
      <c r="AO94" s="134">
        <f>(DV94/370)*70</f>
        <v>-74.351351351351354</v>
      </c>
      <c r="AP94" s="134">
        <f t="shared" ref="AP94" si="100">(DW94/370)*70</f>
        <v>-13.054054054054054</v>
      </c>
      <c r="AS94" s="134">
        <f t="shared" si="81"/>
        <v>1.0373134328358209</v>
      </c>
      <c r="AT94" s="134">
        <f t="shared" si="82"/>
        <v>1.0973782771535583</v>
      </c>
      <c r="AU94" s="134">
        <f t="shared" si="83"/>
        <v>0.92164179104477595</v>
      </c>
      <c r="AV94" s="134">
        <f>AS94</f>
        <v>1.0373134328358209</v>
      </c>
      <c r="AW94" s="134">
        <f t="shared" ref="AW94:AX94" si="101">AT94</f>
        <v>1.0973782771535583</v>
      </c>
      <c r="AX94" s="134">
        <f t="shared" si="101"/>
        <v>0.92164179104477595</v>
      </c>
      <c r="AZ94" s="134">
        <f t="shared" si="66"/>
        <v>-0.14992373066027456</v>
      </c>
      <c r="BA94" s="134">
        <f t="shared" si="67"/>
        <v>-0.10247718383311605</v>
      </c>
      <c r="BB94" s="134">
        <f t="shared" si="68"/>
        <v>-1.7742350218565184E-2</v>
      </c>
      <c r="BD94" s="134">
        <f t="shared" si="92"/>
        <v>-0.22355936125896783</v>
      </c>
      <c r="BE94" s="134">
        <f t="shared" si="93"/>
        <v>-0.19226457399103139</v>
      </c>
      <c r="BF94" s="134">
        <f t="shared" si="87"/>
        <v>-8.7268710301021818E-2</v>
      </c>
      <c r="BH94" s="63">
        <v>-8.1533159620072286E-3</v>
      </c>
      <c r="BJ94" s="63">
        <v>-7.564450474898235E-2</v>
      </c>
      <c r="BN94" s="181">
        <f t="shared" si="95"/>
        <v>-28.778467908902694</v>
      </c>
      <c r="BO94" s="179">
        <f t="shared" si="96"/>
        <v>-42.711370262390673</v>
      </c>
      <c r="BP94" s="182">
        <f t="shared" si="65"/>
        <v>-78.164556962025301</v>
      </c>
      <c r="BQ94" s="181">
        <v>-28.778467908902694</v>
      </c>
      <c r="BR94" s="179">
        <v>-42.711370262390673</v>
      </c>
      <c r="BS94" s="182">
        <v>-78.164556962025301</v>
      </c>
      <c r="BU94" s="63"/>
      <c r="BX94" s="142">
        <f t="shared" si="69"/>
        <v>1</v>
      </c>
      <c r="BY94" s="142">
        <f t="shared" si="70"/>
        <v>1</v>
      </c>
      <c r="BZ94" s="142">
        <f t="shared" si="71"/>
        <v>1</v>
      </c>
      <c r="CA94" s="134">
        <f t="shared" si="72"/>
        <v>0</v>
      </c>
      <c r="CB94" s="134">
        <f t="shared" si="73"/>
        <v>0</v>
      </c>
      <c r="CC94" s="134">
        <f t="shared" si="74"/>
        <v>0</v>
      </c>
      <c r="CD94" s="134">
        <f t="shared" si="75"/>
        <v>0</v>
      </c>
      <c r="CE94" s="134">
        <f t="shared" si="76"/>
        <v>0</v>
      </c>
      <c r="CF94" s="134">
        <f t="shared" si="77"/>
        <v>0</v>
      </c>
      <c r="CG94" s="134">
        <f t="shared" si="78"/>
        <v>0</v>
      </c>
      <c r="CH94" s="134">
        <f t="shared" si="79"/>
        <v>0</v>
      </c>
      <c r="CI94" s="134">
        <f t="shared" si="80"/>
        <v>0</v>
      </c>
      <c r="CL94" s="63">
        <v>-60</v>
      </c>
      <c r="CM94" s="69">
        <f t="shared" si="84"/>
        <v>60</v>
      </c>
      <c r="CN94" s="134">
        <v>4321</v>
      </c>
      <c r="CO94" s="134">
        <v>3568</v>
      </c>
      <c r="CP94" s="134">
        <v>3621</v>
      </c>
      <c r="CQ94" s="134">
        <v>268</v>
      </c>
      <c r="CR94" s="134">
        <v>267</v>
      </c>
      <c r="CS94" s="134">
        <v>268</v>
      </c>
      <c r="CT94" s="134">
        <v>3355</v>
      </c>
      <c r="CU94" s="134">
        <v>2882</v>
      </c>
      <c r="CV94" s="134">
        <v>3305</v>
      </c>
      <c r="CW94" s="134">
        <v>-966</v>
      </c>
      <c r="CX94" s="134">
        <v>-686</v>
      </c>
      <c r="CY94" s="134">
        <v>-316</v>
      </c>
      <c r="CZ94" s="134">
        <v>-966</v>
      </c>
      <c r="DA94" s="134">
        <v>-686</v>
      </c>
      <c r="DB94" s="134">
        <v>-316</v>
      </c>
      <c r="DC94" s="134">
        <v>546</v>
      </c>
      <c r="DD94" s="134">
        <v>560</v>
      </c>
      <c r="DE94" s="134">
        <v>515</v>
      </c>
      <c r="DF94" s="134">
        <v>278</v>
      </c>
      <c r="DG94" s="134">
        <v>293</v>
      </c>
      <c r="DH94" s="134">
        <v>247</v>
      </c>
      <c r="DI94" s="134">
        <v>278</v>
      </c>
      <c r="DJ94" s="134">
        <v>293</v>
      </c>
      <c r="DK94" s="134">
        <v>247</v>
      </c>
      <c r="DL94" s="134">
        <v>4589</v>
      </c>
      <c r="DM94" s="134">
        <v>3835</v>
      </c>
      <c r="DN94" s="134">
        <v>3889</v>
      </c>
      <c r="DO94" s="134">
        <v>3901</v>
      </c>
      <c r="DP94" s="134">
        <v>3442</v>
      </c>
      <c r="DQ94" s="134">
        <v>3820</v>
      </c>
      <c r="DR94" s="134">
        <v>-688</v>
      </c>
      <c r="DS94" s="134">
        <v>-393</v>
      </c>
      <c r="DT94" s="134">
        <v>-69</v>
      </c>
      <c r="DU94" s="134">
        <v>-688</v>
      </c>
      <c r="DV94" s="134">
        <v>-393</v>
      </c>
      <c r="DW94" s="134">
        <v>-69</v>
      </c>
      <c r="EH94" s="63">
        <v>1</v>
      </c>
    </row>
    <row r="95" spans="1:138">
      <c r="BH95" s="63">
        <v>0.23571428571428571</v>
      </c>
      <c r="BJ95" s="63">
        <v>0.25490196078431371</v>
      </c>
      <c r="BU95" s="63"/>
      <c r="CL95" s="63">
        <v>-88.652482269503537</v>
      </c>
      <c r="CM95" s="69">
        <f t="shared" si="84"/>
        <v>88.652482269503537</v>
      </c>
      <c r="EH95" s="63">
        <v>1.0339302544769087</v>
      </c>
    </row>
    <row r="96" spans="1:138">
      <c r="AP96" s="83"/>
      <c r="BH96" s="63">
        <v>-9.6098265895953758E-2</v>
      </c>
      <c r="BJ96" s="63">
        <v>-0.3417630057803468</v>
      </c>
      <c r="BU96" s="63"/>
      <c r="CL96" s="63">
        <v>-67.195767195767203</v>
      </c>
      <c r="CM96" s="69">
        <f t="shared" si="84"/>
        <v>67.195767195767203</v>
      </c>
      <c r="EH96" s="63">
        <v>1.0339302544769087</v>
      </c>
    </row>
    <row r="97" spans="1:138">
      <c r="AP97" s="83"/>
      <c r="BA97" s="83"/>
      <c r="BB97" s="83"/>
      <c r="BC97" s="83"/>
      <c r="BD97" s="83"/>
      <c r="BH97" s="63">
        <v>1.6207455429497568E-3</v>
      </c>
      <c r="BJ97" s="63">
        <v>-5.0086355785837651E-2</v>
      </c>
      <c r="BU97" s="63"/>
      <c r="CL97" s="63">
        <v>-179.06066536203522</v>
      </c>
      <c r="CM97" s="69">
        <f t="shared" si="84"/>
        <v>179.06066536203522</v>
      </c>
      <c r="EH97" s="63">
        <v>0.33193740357064144</v>
      </c>
    </row>
    <row r="98" spans="1:138" ht="17" thickBot="1">
      <c r="G98" s="83"/>
      <c r="N98" s="83"/>
      <c r="U98" s="83"/>
      <c r="AB98" s="83"/>
      <c r="AI98" s="83"/>
      <c r="AP98" s="83"/>
      <c r="AW98" s="83"/>
      <c r="AZ98" s="83"/>
      <c r="BA98" s="83"/>
      <c r="BB98" s="83"/>
      <c r="BC98" s="83"/>
      <c r="BD98" s="83"/>
      <c r="BH98" s="63">
        <v>-5.3921568627450983E-2</v>
      </c>
      <c r="BJ98" s="63">
        <v>-5.6372549019607844E-2</v>
      </c>
      <c r="BU98" s="63"/>
      <c r="CL98" s="63">
        <v>-27.397260273972606</v>
      </c>
      <c r="CM98" s="69">
        <f t="shared" si="84"/>
        <v>27.397260273972606</v>
      </c>
      <c r="EH98" s="63">
        <v>5.416666666666667</v>
      </c>
    </row>
    <row r="99" spans="1:138">
      <c r="A99" t="s">
        <v>573</v>
      </c>
      <c r="B99" s="61" t="s">
        <v>579</v>
      </c>
      <c r="C99" s="61">
        <v>2015</v>
      </c>
      <c r="D99" s="61">
        <v>2016</v>
      </c>
      <c r="E99" s="61">
        <v>2017</v>
      </c>
      <c r="F99" s="60" t="s">
        <v>376</v>
      </c>
      <c r="G99" s="180"/>
      <c r="I99" s="61" t="s">
        <v>570</v>
      </c>
      <c r="J99" s="61">
        <v>2015</v>
      </c>
      <c r="K99" s="61">
        <v>2016</v>
      </c>
      <c r="L99" s="61">
        <v>2017</v>
      </c>
      <c r="M99" s="60" t="s">
        <v>376</v>
      </c>
      <c r="N99" s="180"/>
      <c r="P99" s="61" t="s">
        <v>38</v>
      </c>
      <c r="Q99" s="61">
        <v>2015</v>
      </c>
      <c r="R99" s="61">
        <v>2016</v>
      </c>
      <c r="S99" s="61">
        <v>2017</v>
      </c>
      <c r="T99" s="60" t="s">
        <v>376</v>
      </c>
      <c r="U99" s="180"/>
      <c r="W99" s="61" t="s">
        <v>571</v>
      </c>
      <c r="X99" s="61">
        <v>2015</v>
      </c>
      <c r="Y99" s="61">
        <v>2016</v>
      </c>
      <c r="Z99" s="61">
        <v>2017</v>
      </c>
      <c r="AA99" s="60" t="s">
        <v>376</v>
      </c>
      <c r="AB99" s="180"/>
      <c r="AC99" s="61" t="s">
        <v>568</v>
      </c>
      <c r="AD99" s="61">
        <v>2015</v>
      </c>
      <c r="AE99" s="61">
        <v>2016</v>
      </c>
      <c r="AF99" s="61">
        <v>2017</v>
      </c>
      <c r="AG99" s="60" t="s">
        <v>376</v>
      </c>
      <c r="AI99" s="61" t="s">
        <v>572</v>
      </c>
      <c r="AJ99" s="61">
        <v>2015</v>
      </c>
      <c r="AK99" s="61">
        <v>2016</v>
      </c>
      <c r="AL99" s="61">
        <v>2017</v>
      </c>
      <c r="AM99" s="60" t="s">
        <v>376</v>
      </c>
      <c r="AO99" s="61" t="s">
        <v>45</v>
      </c>
      <c r="AP99" s="61">
        <v>2015</v>
      </c>
      <c r="AQ99" s="61">
        <v>2016</v>
      </c>
      <c r="AR99" s="61">
        <v>2017</v>
      </c>
      <c r="AS99" s="60" t="s">
        <v>376</v>
      </c>
      <c r="AU99" s="61" t="s">
        <v>376</v>
      </c>
      <c r="AV99" s="61">
        <v>2015</v>
      </c>
      <c r="AW99" s="60">
        <v>2016</v>
      </c>
      <c r="AX99" s="60">
        <v>2017</v>
      </c>
      <c r="AY99" s="60" t="s">
        <v>376</v>
      </c>
      <c r="AZ99" s="138"/>
      <c r="BA99" s="83"/>
      <c r="BB99" s="60"/>
      <c r="BC99" s="60"/>
      <c r="BD99" s="60"/>
      <c r="BE99" s="60"/>
      <c r="BF99" s="60"/>
      <c r="BG99" s="60"/>
      <c r="BH99" s="63">
        <v>0</v>
      </c>
      <c r="BJ99" s="63">
        <v>-0.41025641025641024</v>
      </c>
      <c r="BU99" s="63"/>
      <c r="CL99" s="63">
        <v>-198.36065573770492</v>
      </c>
      <c r="CM99" s="69">
        <f t="shared" si="84"/>
        <v>198.36065573770492</v>
      </c>
      <c r="EH99" s="63">
        <v>0</v>
      </c>
    </row>
    <row r="100" spans="1:138">
      <c r="B100" s="58"/>
      <c r="C100" s="58"/>
      <c r="D100" s="58"/>
      <c r="E100" s="58"/>
      <c r="F100" s="58"/>
      <c r="G100" s="58"/>
      <c r="I100" s="58"/>
      <c r="J100" s="58"/>
      <c r="K100" s="58"/>
      <c r="L100" s="58"/>
      <c r="M100" s="58"/>
      <c r="P100" s="58"/>
      <c r="Q100" s="58"/>
      <c r="R100" s="58"/>
      <c r="S100" s="58"/>
      <c r="T100" s="58"/>
      <c r="W100" s="58"/>
      <c r="X100" s="58"/>
      <c r="Y100" s="58"/>
      <c r="Z100" s="58"/>
      <c r="AA100" s="58"/>
      <c r="AC100" s="58"/>
      <c r="AD100" s="58"/>
      <c r="AE100" s="58"/>
      <c r="AF100" s="58"/>
      <c r="AG100" s="58"/>
      <c r="AI100" s="58"/>
      <c r="AJ100" s="58"/>
      <c r="AK100" s="58"/>
      <c r="AL100" s="58"/>
      <c r="AM100" s="58"/>
      <c r="AO100" s="58"/>
      <c r="AP100" s="58"/>
      <c r="AQ100" s="58"/>
      <c r="AR100" s="58"/>
      <c r="AS100" s="58"/>
      <c r="AU100" s="58"/>
      <c r="AV100" s="58"/>
      <c r="AW100" s="58"/>
      <c r="AX100" s="58"/>
      <c r="AY100" s="58"/>
      <c r="AZ100" s="58"/>
      <c r="BA100" s="83"/>
      <c r="BB100" s="58"/>
      <c r="BC100" s="58"/>
      <c r="BD100" s="58"/>
      <c r="BE100" s="58"/>
      <c r="BF100" s="58"/>
      <c r="BG100" s="58"/>
      <c r="BH100" s="63">
        <v>0.54228855721393032</v>
      </c>
      <c r="BJ100" s="63">
        <v>0.54228855721393032</v>
      </c>
      <c r="BU100" s="63"/>
      <c r="CL100" s="63">
        <v>-317.33333333333331</v>
      </c>
      <c r="CM100" s="69">
        <f t="shared" si="84"/>
        <v>317.33333333333331</v>
      </c>
      <c r="EH100" s="63">
        <v>2.7878787878787881</v>
      </c>
    </row>
    <row r="101" spans="1:138">
      <c r="B101" s="58" t="s">
        <v>455</v>
      </c>
      <c r="C101" s="58">
        <v>0.64299368693016057</v>
      </c>
      <c r="D101" s="58">
        <v>0.62938883604478957</v>
      </c>
      <c r="E101" s="58">
        <v>0.97345670738028367</v>
      </c>
      <c r="F101" s="58">
        <v>0.76044695207956237</v>
      </c>
      <c r="G101" s="83"/>
      <c r="I101" s="58" t="s">
        <v>455</v>
      </c>
      <c r="J101" s="58">
        <v>2.8109756097560976</v>
      </c>
      <c r="K101" s="58">
        <v>4.658097178429947</v>
      </c>
      <c r="L101" s="58">
        <v>46.466217605923489</v>
      </c>
      <c r="M101" s="58">
        <v>19.525209775941445</v>
      </c>
      <c r="P101" s="58" t="s">
        <v>455</v>
      </c>
      <c r="Q101" s="58">
        <v>3.2972368215507828</v>
      </c>
      <c r="R101" s="58">
        <v>2.0188243786574716</v>
      </c>
      <c r="S101" s="58">
        <v>2.2501505693685302</v>
      </c>
      <c r="T101" s="58">
        <v>2.5100351156959135</v>
      </c>
      <c r="W101" s="58" t="s">
        <v>455</v>
      </c>
      <c r="X101" s="58">
        <v>20.628099173553718</v>
      </c>
      <c r="Y101" s="58">
        <v>1.5512820512820511</v>
      </c>
      <c r="Z101" s="58">
        <v>3.9829763866007681</v>
      </c>
      <c r="AA101" s="58">
        <v>6.928409915679647</v>
      </c>
      <c r="AC101" s="58" t="s">
        <v>455</v>
      </c>
      <c r="AD101" s="58">
        <v>0.14690026954177898</v>
      </c>
      <c r="AE101" s="58">
        <v>-0.20983935742971888</v>
      </c>
      <c r="AF101" s="58">
        <v>0.22259136212624586</v>
      </c>
      <c r="AG101" s="58">
        <v>5.3217424746101992E-2</v>
      </c>
      <c r="AI101" s="58" t="s">
        <v>455</v>
      </c>
      <c r="AJ101" s="58">
        <v>12.259973779729741</v>
      </c>
      <c r="AK101" s="58">
        <v>1.2648638161160917</v>
      </c>
      <c r="AL101" s="58">
        <v>1.6096010600200543</v>
      </c>
      <c r="AM101" s="58">
        <v>6.3566603206415584</v>
      </c>
      <c r="AO101" s="58" t="s">
        <v>455</v>
      </c>
      <c r="AP101" s="58">
        <v>1.0373134328358209</v>
      </c>
      <c r="AQ101" s="58">
        <v>1.0973782771535583</v>
      </c>
      <c r="AR101" s="58">
        <v>0.92164179104477595</v>
      </c>
      <c r="AS101" s="58">
        <v>1.0187778336780517</v>
      </c>
      <c r="AU101" s="58" t="s">
        <v>455</v>
      </c>
      <c r="AV101" s="58">
        <v>4.202607411797616</v>
      </c>
      <c r="AW101" s="58">
        <v>1.9871791565983268</v>
      </c>
      <c r="AX101" s="58">
        <v>5.7476510037498691</v>
      </c>
      <c r="AY101" s="58">
        <v>3.9742879975033345</v>
      </c>
      <c r="BA101" s="83"/>
      <c r="BB101" s="58"/>
      <c r="BC101" s="58"/>
      <c r="BD101" s="58"/>
      <c r="BE101" s="58"/>
      <c r="BF101" s="58"/>
      <c r="BG101" s="58"/>
      <c r="BH101" s="63">
        <v>0.18404118404118405</v>
      </c>
      <c r="BJ101" s="63">
        <v>-0.34084761045987377</v>
      </c>
      <c r="BU101" s="63"/>
      <c r="BW101" s="64"/>
      <c r="CL101" s="63">
        <v>-40</v>
      </c>
      <c r="CM101" s="69">
        <f t="shared" si="84"/>
        <v>40</v>
      </c>
      <c r="EH101" s="63">
        <v>3.3057851239669422E-2</v>
      </c>
    </row>
    <row r="102" spans="1:138">
      <c r="B102" s="58" t="s">
        <v>456</v>
      </c>
      <c r="C102" s="58">
        <v>0.17477894029934229</v>
      </c>
      <c r="D102" s="58">
        <v>0.26157019797715675</v>
      </c>
      <c r="E102" s="58">
        <v>0.39512440234717028</v>
      </c>
      <c r="F102" s="58">
        <v>0.17124944017271204</v>
      </c>
      <c r="I102" s="58" t="s">
        <v>456</v>
      </c>
      <c r="J102" s="58">
        <v>0.81097560975609762</v>
      </c>
      <c r="K102" s="58">
        <v>3.8691565056822133</v>
      </c>
      <c r="L102" s="58">
        <v>35.407916873422153</v>
      </c>
      <c r="M102" s="58">
        <v>13.454478056837287</v>
      </c>
      <c r="N102" s="83"/>
      <c r="P102" s="58" t="s">
        <v>456</v>
      </c>
      <c r="Q102" s="58">
        <v>1.4387929508139594</v>
      </c>
      <c r="R102" s="58">
        <v>0.59977949721612811</v>
      </c>
      <c r="S102" s="58">
        <v>0.75736267936208634</v>
      </c>
      <c r="T102" s="58">
        <v>0.56429978410489556</v>
      </c>
      <c r="W102" s="58" t="s">
        <v>456</v>
      </c>
      <c r="X102" s="58">
        <v>0</v>
      </c>
      <c r="Y102" s="58">
        <v>1.3974358974358971</v>
      </c>
      <c r="Z102" s="58">
        <v>0</v>
      </c>
      <c r="AA102" s="58">
        <v>4.6376154680286152</v>
      </c>
      <c r="AC102" s="58" t="s">
        <v>456</v>
      </c>
      <c r="AD102" s="58">
        <v>0</v>
      </c>
      <c r="AE102" s="58">
        <v>0</v>
      </c>
      <c r="AF102" s="58">
        <v>0</v>
      </c>
      <c r="AG102" s="58">
        <v>0.13333096459647642</v>
      </c>
      <c r="AI102" s="58" t="s">
        <v>456</v>
      </c>
      <c r="AJ102" s="58">
        <v>9.2542474934686805</v>
      </c>
      <c r="AK102" s="58">
        <v>1.0574263558616561</v>
      </c>
      <c r="AL102" s="58">
        <v>1.1152171854612838</v>
      </c>
      <c r="AM102" s="58">
        <v>4.3134267451166632</v>
      </c>
      <c r="AO102" s="58" t="s">
        <v>456</v>
      </c>
      <c r="AP102" s="58">
        <v>0</v>
      </c>
      <c r="AQ102" s="58">
        <v>0</v>
      </c>
      <c r="AR102" s="58">
        <v>0</v>
      </c>
      <c r="AS102" s="58">
        <v>5.1570354741746365E-2</v>
      </c>
      <c r="AU102" s="58" t="s">
        <v>456</v>
      </c>
      <c r="AV102" s="58">
        <v>1.454705239701874</v>
      </c>
      <c r="AW102" s="58">
        <v>0.55188820606213873</v>
      </c>
      <c r="AX102" s="58">
        <v>3.249174831536775</v>
      </c>
      <c r="AY102" s="58">
        <v>1.2131047409823303</v>
      </c>
      <c r="BA102" s="83"/>
      <c r="BB102" s="58"/>
      <c r="BC102" s="58"/>
      <c r="BD102" s="58"/>
      <c r="BE102" s="58"/>
      <c r="BF102" s="58"/>
      <c r="BG102" s="58"/>
      <c r="BH102" s="63">
        <v>0</v>
      </c>
      <c r="BJ102" s="63">
        <v>0</v>
      </c>
      <c r="BU102" s="63"/>
      <c r="BW102" s="64"/>
      <c r="CL102" s="63">
        <v>-229.6875</v>
      </c>
      <c r="CM102" s="69">
        <f t="shared" si="84"/>
        <v>229.6875</v>
      </c>
      <c r="EH102" s="63">
        <v>1.4931506849315068</v>
      </c>
    </row>
    <row r="103" spans="1:138">
      <c r="B103" s="58" t="s">
        <v>431</v>
      </c>
      <c r="C103" s="58">
        <v>0.59032634032634035</v>
      </c>
      <c r="D103" s="58">
        <v>0.41120185791732544</v>
      </c>
      <c r="E103" s="58">
        <v>0.70661157024793386</v>
      </c>
      <c r="F103" s="58">
        <v>0.62525050100200397</v>
      </c>
      <c r="I103" s="58" t="s">
        <v>431</v>
      </c>
      <c r="J103" s="58">
        <v>2.8109756097560976</v>
      </c>
      <c r="K103" s="58">
        <v>6.4516129032258063E-2</v>
      </c>
      <c r="L103" s="58">
        <v>17.92602495543672</v>
      </c>
      <c r="M103" s="58">
        <v>2</v>
      </c>
      <c r="P103" s="58" t="s">
        <v>431</v>
      </c>
      <c r="Q103" s="58">
        <v>0.91470835697653952</v>
      </c>
      <c r="R103" s="58">
        <v>1</v>
      </c>
      <c r="S103" s="58">
        <v>0.7343499197431782</v>
      </c>
      <c r="T103" s="58">
        <v>0.82051282051282048</v>
      </c>
      <c r="U103" s="83"/>
      <c r="W103" s="58" t="s">
        <v>431</v>
      </c>
      <c r="X103" s="58">
        <v>20.628099173553718</v>
      </c>
      <c r="Y103" s="58">
        <v>1.5512820512820511</v>
      </c>
      <c r="Z103" s="58">
        <v>3.9829763866007681</v>
      </c>
      <c r="AA103" s="58">
        <v>3.4658471676593585</v>
      </c>
      <c r="AC103" s="58" t="s">
        <v>431</v>
      </c>
      <c r="AD103" s="58">
        <v>0.14690026954177898</v>
      </c>
      <c r="AE103" s="58">
        <v>-0.20983935742971888</v>
      </c>
      <c r="AF103" s="58">
        <v>0.22259136212624586</v>
      </c>
      <c r="AG103" s="58">
        <v>0.14690026954177898</v>
      </c>
      <c r="AI103" s="58" t="s">
        <v>431</v>
      </c>
      <c r="AJ103" s="58">
        <v>2.2679738562091503</v>
      </c>
      <c r="AK103" s="58">
        <v>0.26217228464419473</v>
      </c>
      <c r="AL103" s="58">
        <v>0.88826815642458101</v>
      </c>
      <c r="AM103" s="58">
        <v>0.88826815642458101</v>
      </c>
      <c r="AO103" s="58" t="s">
        <v>431</v>
      </c>
      <c r="AP103" s="58">
        <v>1.0373134328358209</v>
      </c>
      <c r="AQ103" s="58">
        <v>1.0973782771535583</v>
      </c>
      <c r="AR103" s="58">
        <v>0.92164179104477595</v>
      </c>
      <c r="AS103" s="58">
        <v>1.0373134328358209</v>
      </c>
      <c r="AU103" s="58" t="s">
        <v>431</v>
      </c>
      <c r="AV103" s="58">
        <v>0.94193707284034245</v>
      </c>
      <c r="AW103" s="58">
        <v>0.6166666666666667</v>
      </c>
      <c r="AX103" s="58">
        <v>0.80769230769230771</v>
      </c>
      <c r="AY103" s="58">
        <v>0.8141025641025641</v>
      </c>
      <c r="BA103" s="83"/>
      <c r="BB103" s="58"/>
      <c r="BC103" s="58"/>
      <c r="BD103" s="58"/>
      <c r="BE103" s="58"/>
      <c r="BF103" s="58"/>
      <c r="BG103" s="58"/>
      <c r="BH103" s="63">
        <v>0.55172413793103448</v>
      </c>
      <c r="BJ103" s="63">
        <v>0.2413793103448276</v>
      </c>
      <c r="BU103" s="63"/>
      <c r="BW103" s="64"/>
      <c r="CL103" s="63">
        <v>-60.775862068965516</v>
      </c>
      <c r="CM103" s="69">
        <f t="shared" si="84"/>
        <v>60.775862068965516</v>
      </c>
      <c r="EH103" s="63">
        <v>0.6166666666666667</v>
      </c>
    </row>
    <row r="104" spans="1:138">
      <c r="B104" s="58" t="s">
        <v>457</v>
      </c>
      <c r="C104" s="58" t="e">
        <v>#N/A</v>
      </c>
      <c r="D104" s="58" t="e">
        <v>#N/A</v>
      </c>
      <c r="E104" s="58" t="e">
        <v>#N/A</v>
      </c>
      <c r="F104" s="58" t="e">
        <v>#N/A</v>
      </c>
      <c r="I104" s="58" t="s">
        <v>457</v>
      </c>
      <c r="J104" s="58" t="e">
        <v>#N/A</v>
      </c>
      <c r="K104" s="58">
        <v>6.4516129032258063E-2</v>
      </c>
      <c r="L104" s="58" t="e">
        <v>#N/A</v>
      </c>
      <c r="M104" s="58">
        <v>6.4516129032258063E-2</v>
      </c>
      <c r="P104" s="58" t="s">
        <v>457</v>
      </c>
      <c r="Q104" s="58">
        <v>1.4921348314606742</v>
      </c>
      <c r="R104" s="58">
        <v>1.0339302544769087</v>
      </c>
      <c r="S104" s="58">
        <v>0</v>
      </c>
      <c r="T104" s="58">
        <v>0</v>
      </c>
      <c r="U104" s="83"/>
      <c r="W104" s="58" t="s">
        <v>457</v>
      </c>
      <c r="X104" s="58" t="e">
        <v>#N/A</v>
      </c>
      <c r="Y104" s="58" t="e">
        <v>#N/A</v>
      </c>
      <c r="Z104" s="58" t="e">
        <v>#N/A</v>
      </c>
      <c r="AA104" s="58" t="e">
        <v>#N/A</v>
      </c>
      <c r="AC104" s="58" t="s">
        <v>457</v>
      </c>
      <c r="AD104" s="58" t="e">
        <v>#N/A</v>
      </c>
      <c r="AE104" s="58" t="e">
        <v>#N/A</v>
      </c>
      <c r="AF104" s="58" t="e">
        <v>#N/A</v>
      </c>
      <c r="AG104" s="58" t="e">
        <v>#N/A</v>
      </c>
      <c r="AI104" s="58" t="s">
        <v>457</v>
      </c>
      <c r="AJ104" s="58" t="e">
        <v>#N/A</v>
      </c>
      <c r="AK104" s="58" t="e">
        <v>#N/A</v>
      </c>
      <c r="AL104" s="58" t="e">
        <v>#N/A</v>
      </c>
      <c r="AM104" s="58" t="e">
        <v>#N/A</v>
      </c>
      <c r="AO104" s="58" t="s">
        <v>457</v>
      </c>
      <c r="AP104" s="58" t="e">
        <v>#N/A</v>
      </c>
      <c r="AQ104" s="58" t="e">
        <v>#N/A</v>
      </c>
      <c r="AR104" s="58" t="e">
        <v>#N/A</v>
      </c>
      <c r="AS104" s="58" t="e">
        <v>#N/A</v>
      </c>
      <c r="AU104" s="58" t="s">
        <v>457</v>
      </c>
      <c r="AV104" s="58">
        <v>1.4921348314606742</v>
      </c>
      <c r="AW104" s="58">
        <v>6.4516129032258063E-2</v>
      </c>
      <c r="AX104" s="58">
        <v>0</v>
      </c>
      <c r="AY104" s="58">
        <v>0</v>
      </c>
      <c r="BA104" s="83"/>
      <c r="BB104" s="58"/>
      <c r="BC104" s="58"/>
      <c r="BD104" s="58"/>
      <c r="BE104" s="58"/>
      <c r="BF104" s="58"/>
      <c r="BG104" s="58"/>
      <c r="BH104" s="63">
        <v>7.3833902161547213E-2</v>
      </c>
      <c r="BJ104" s="63">
        <v>-3.6949974289282303E-2</v>
      </c>
      <c r="BU104" s="63"/>
      <c r="CL104" s="63">
        <v>-195.32710280373834</v>
      </c>
      <c r="CM104" s="69">
        <f t="shared" si="84"/>
        <v>195.32710280373834</v>
      </c>
      <c r="EH104" s="63">
        <v>1.0360824742268042</v>
      </c>
    </row>
    <row r="105" spans="1:138">
      <c r="B105" s="58" t="s">
        <v>458</v>
      </c>
      <c r="C105" s="58">
        <v>0.42811922151775234</v>
      </c>
      <c r="D105" s="58">
        <v>0.64071351696281065</v>
      </c>
      <c r="E105" s="58">
        <v>1.0454009055436386</v>
      </c>
      <c r="F105" s="58">
        <v>0.74645900385076636</v>
      </c>
      <c r="I105" s="58" t="s">
        <v>458</v>
      </c>
      <c r="J105" s="58">
        <v>1.1468927060708638</v>
      </c>
      <c r="K105" s="58">
        <v>8.6516969622909805</v>
      </c>
      <c r="L105" s="58">
        <v>70.815833746844305</v>
      </c>
      <c r="M105" s="58">
        <v>44.623455464599296</v>
      </c>
      <c r="P105" s="58" t="s">
        <v>458</v>
      </c>
      <c r="Q105" s="58">
        <v>7.6133766719330485</v>
      </c>
      <c r="R105" s="58">
        <v>3.2299114404491203</v>
      </c>
      <c r="S105" s="58">
        <v>4.1482462369916702</v>
      </c>
      <c r="T105" s="58">
        <v>5.2634379859225442</v>
      </c>
      <c r="U105" s="83"/>
      <c r="W105" s="58" t="s">
        <v>458</v>
      </c>
      <c r="X105" s="58" t="e">
        <v>#DIV/0!</v>
      </c>
      <c r="Y105" s="58">
        <v>1.9762727987008633</v>
      </c>
      <c r="Z105" s="58" t="e">
        <v>#DIV/0!</v>
      </c>
      <c r="AA105" s="58">
        <v>9.2752309360572305</v>
      </c>
      <c r="AC105" s="58" t="s">
        <v>458</v>
      </c>
      <c r="AD105" s="58" t="e">
        <v>#DIV/0!</v>
      </c>
      <c r="AE105" s="58" t="e">
        <v>#DIV/0!</v>
      </c>
      <c r="AF105" s="58" t="e">
        <v>#DIV/0!</v>
      </c>
      <c r="AG105" s="58">
        <v>0.23093600490326435</v>
      </c>
      <c r="AI105" s="58" t="s">
        <v>458</v>
      </c>
      <c r="AJ105" s="58">
        <v>20.693126476003012</v>
      </c>
      <c r="AK105" s="58">
        <v>1.8315161736147962</v>
      </c>
      <c r="AL105" s="58">
        <v>1.9316128266929069</v>
      </c>
      <c r="AM105" s="58">
        <v>14.306018074235928</v>
      </c>
      <c r="AO105" s="58" t="s">
        <v>458</v>
      </c>
      <c r="AP105" s="58" t="e">
        <v>#DIV/0!</v>
      </c>
      <c r="AQ105" s="58" t="e">
        <v>#DIV/0!</v>
      </c>
      <c r="AR105" s="58" t="e">
        <v>#DIV/0!</v>
      </c>
      <c r="AS105" s="58">
        <v>8.9322474577055264E-2</v>
      </c>
      <c r="AU105" s="58" t="s">
        <v>458</v>
      </c>
      <c r="AV105" s="58">
        <v>9.6494229213102596</v>
      </c>
      <c r="AW105" s="58">
        <v>3.7835549187969808</v>
      </c>
      <c r="AX105" s="58">
        <v>22.275220381332378</v>
      </c>
      <c r="AY105" s="58">
        <v>14.250753998927401</v>
      </c>
      <c r="BA105" s="83"/>
      <c r="BB105" s="58"/>
      <c r="BC105" s="58"/>
      <c r="BD105" s="58"/>
      <c r="BE105" s="58"/>
      <c r="BF105" s="58"/>
      <c r="BG105" s="58"/>
      <c r="BH105" s="63">
        <v>0.26109660574412535</v>
      </c>
      <c r="BJ105" s="63">
        <v>0.17132867132867133</v>
      </c>
      <c r="BU105" s="63"/>
      <c r="CL105" s="63">
        <v>-244.44444444444446</v>
      </c>
      <c r="CM105" s="69">
        <f t="shared" si="84"/>
        <v>244.44444444444446</v>
      </c>
      <c r="EH105" s="63">
        <v>2.6153846153846154</v>
      </c>
    </row>
    <row r="106" spans="1:138">
      <c r="B106" s="58" t="s">
        <v>459</v>
      </c>
      <c r="C106" s="58">
        <v>0.18328606783296628</v>
      </c>
      <c r="D106" s="58">
        <v>0.41051381081885391</v>
      </c>
      <c r="E106" s="58">
        <v>1.0928630533114596</v>
      </c>
      <c r="F106" s="58">
        <v>0.5572010444298785</v>
      </c>
      <c r="I106" s="58" t="s">
        <v>459</v>
      </c>
      <c r="J106" s="58">
        <v>1.315362879238549</v>
      </c>
      <c r="K106" s="58">
        <v>74.851860327314981</v>
      </c>
      <c r="L106" s="58">
        <v>5014.8823092606917</v>
      </c>
      <c r="M106" s="58">
        <v>1991.252777601077</v>
      </c>
      <c r="P106" s="58" t="s">
        <v>459</v>
      </c>
      <c r="Q106" s="58">
        <v>57.96350434873434</v>
      </c>
      <c r="R106" s="58">
        <v>10.432327913144112</v>
      </c>
      <c r="S106" s="58">
        <v>17.207946842715554</v>
      </c>
      <c r="T106" s="58">
        <v>27.703779431652372</v>
      </c>
      <c r="U106" s="83"/>
      <c r="W106" s="58" t="s">
        <v>459</v>
      </c>
      <c r="X106" s="58" t="e">
        <v>#DIV/0!</v>
      </c>
      <c r="Y106" s="58">
        <v>3.9056541748849432</v>
      </c>
      <c r="Z106" s="58" t="e">
        <v>#DIV/0!</v>
      </c>
      <c r="AA106" s="58">
        <v>86.029908917193097</v>
      </c>
      <c r="AC106" s="58" t="s">
        <v>459</v>
      </c>
      <c r="AD106" s="58" t="e">
        <v>#DIV/0!</v>
      </c>
      <c r="AE106" s="58" t="e">
        <v>#DIV/0!</v>
      </c>
      <c r="AF106" s="58" t="e">
        <v>#DIV/0!</v>
      </c>
      <c r="AG106" s="58">
        <v>5.3331438360680536E-2</v>
      </c>
      <c r="AI106" s="58" t="s">
        <v>459</v>
      </c>
      <c r="AJ106" s="58">
        <v>428.2054833518568</v>
      </c>
      <c r="AK106" s="58">
        <v>3.3544514942125847</v>
      </c>
      <c r="AL106" s="58">
        <v>3.7311281122445616</v>
      </c>
      <c r="AM106" s="58">
        <v>204.66215314036504</v>
      </c>
      <c r="AO106" s="58" t="s">
        <v>459</v>
      </c>
      <c r="AP106" s="58" t="e">
        <v>#DIV/0!</v>
      </c>
      <c r="AQ106" s="58" t="e">
        <v>#DIV/0!</v>
      </c>
      <c r="AR106" s="58" t="e">
        <v>#DIV/0!</v>
      </c>
      <c r="AS106" s="58">
        <v>7.978504464568683E-3</v>
      </c>
      <c r="AU106" s="58" t="s">
        <v>459</v>
      </c>
      <c r="AV106" s="58">
        <v>93.111362714307816</v>
      </c>
      <c r="AW106" s="58">
        <v>14.315287823552827</v>
      </c>
      <c r="AX106" s="58">
        <v>496.18544303692534</v>
      </c>
      <c r="AY106" s="58">
        <v>203.08398953794529</v>
      </c>
      <c r="BA106" s="83"/>
      <c r="BB106" s="58"/>
      <c r="BC106" s="58"/>
      <c r="BD106" s="58"/>
      <c r="BE106" s="58"/>
      <c r="BF106" s="58"/>
      <c r="BG106" s="58"/>
      <c r="BH106" s="63">
        <v>5.9978189749182113E-2</v>
      </c>
      <c r="BJ106" s="63">
        <v>-1.152073732718894E-3</v>
      </c>
      <c r="BU106" s="63"/>
      <c r="CL106" s="63">
        <v>-558.33333333333326</v>
      </c>
      <c r="CM106" s="69">
        <f t="shared" si="84"/>
        <v>558.33333333333326</v>
      </c>
      <c r="EH106" s="63">
        <v>4.3620689655172411</v>
      </c>
    </row>
    <row r="107" spans="1:138">
      <c r="B107" s="58" t="s">
        <v>460</v>
      </c>
      <c r="C107" s="58">
        <v>-0.19825860645059823</v>
      </c>
      <c r="D107" s="58">
        <v>4.7172401349415818</v>
      </c>
      <c r="E107" s="58">
        <v>2.8134070306177765</v>
      </c>
      <c r="F107" s="58">
        <v>4.1957821748018027</v>
      </c>
      <c r="I107" s="58" t="s">
        <v>460</v>
      </c>
      <c r="J107" s="58" t="e">
        <v>#DIV/0!</v>
      </c>
      <c r="K107" s="58">
        <v>4.4530580955149528</v>
      </c>
      <c r="L107" s="58">
        <v>2.8905493665053079</v>
      </c>
      <c r="M107" s="58">
        <v>9.2773953806517433</v>
      </c>
      <c r="P107" s="58" t="s">
        <v>460</v>
      </c>
      <c r="Q107" s="58">
        <v>18.441035642977418</v>
      </c>
      <c r="R107" s="58">
        <v>12.750078674374089</v>
      </c>
      <c r="S107" s="58">
        <v>14.259413568896834</v>
      </c>
      <c r="T107" s="58">
        <v>27.480682691933868</v>
      </c>
      <c r="U107" s="83"/>
      <c r="W107" s="58" t="s">
        <v>460</v>
      </c>
      <c r="X107" s="58" t="e">
        <v>#DIV/0!</v>
      </c>
      <c r="Y107" s="58" t="e">
        <v>#DIV/0!</v>
      </c>
      <c r="Z107" s="58" t="e">
        <v>#DIV/0!</v>
      </c>
      <c r="AA107" s="58">
        <v>3.4598848067764649</v>
      </c>
      <c r="AC107" s="58" t="s">
        <v>460</v>
      </c>
      <c r="AD107" s="58" t="e">
        <v>#DIV/0!</v>
      </c>
      <c r="AE107" s="58" t="e">
        <v>#DIV/0!</v>
      </c>
      <c r="AF107" s="58" t="e">
        <v>#DIV/0!</v>
      </c>
      <c r="AG107" s="58" t="e">
        <v>#DIV/0!</v>
      </c>
      <c r="AI107" s="58" t="s">
        <v>460</v>
      </c>
      <c r="AJ107" s="58">
        <v>4.3124912999043001</v>
      </c>
      <c r="AK107" s="58" t="e">
        <v>#DIV/0!</v>
      </c>
      <c r="AL107" s="58" t="e">
        <v>#DIV/0!</v>
      </c>
      <c r="AM107" s="58">
        <v>9.895546799365011</v>
      </c>
      <c r="AO107" s="58" t="s">
        <v>460</v>
      </c>
      <c r="AP107" s="58" t="e">
        <v>#DIV/0!</v>
      </c>
      <c r="AQ107" s="58" t="e">
        <v>#DIV/0!</v>
      </c>
      <c r="AR107" s="58" t="e">
        <v>#DIV/0!</v>
      </c>
      <c r="AS107" s="58" t="e">
        <v>#DIV/0!</v>
      </c>
      <c r="AU107" s="58" t="s">
        <v>460</v>
      </c>
      <c r="AV107" s="58">
        <v>13.467090878635956</v>
      </c>
      <c r="AW107" s="58">
        <v>14.177045798720091</v>
      </c>
      <c r="AX107" s="58">
        <v>40.432269457146923</v>
      </c>
      <c r="AY107" s="58">
        <v>82.221581326060999</v>
      </c>
      <c r="BA107" s="83"/>
      <c r="BB107" s="58"/>
      <c r="BC107" s="58"/>
      <c r="BD107" s="58"/>
      <c r="BE107" s="58"/>
      <c r="BF107" s="58"/>
      <c r="BG107" s="58"/>
      <c r="BH107" s="63">
        <v>8.1081081081081086E-2</v>
      </c>
      <c r="BJ107" s="63">
        <v>4.0540540540540543E-2</v>
      </c>
      <c r="BU107" s="66"/>
      <c r="CL107" s="66">
        <v>-95.376385173863184</v>
      </c>
      <c r="CM107" s="69">
        <f t="shared" si="84"/>
        <v>95.376385173863184</v>
      </c>
      <c r="EH107" s="63">
        <v>0.15662650602409639</v>
      </c>
    </row>
    <row r="108" spans="1:138">
      <c r="B108" s="58" t="s">
        <v>461</v>
      </c>
      <c r="C108" s="58">
        <v>0.60517605844639821</v>
      </c>
      <c r="D108" s="58">
        <v>2.1063103901595341</v>
      </c>
      <c r="E108" s="58">
        <v>1.4573649121883498</v>
      </c>
      <c r="F108" s="58">
        <v>1.8280552783752024</v>
      </c>
      <c r="I108" s="58" t="s">
        <v>461</v>
      </c>
      <c r="J108" s="58" t="e">
        <v>#DIV/0!</v>
      </c>
      <c r="K108" s="58">
        <v>2.1008318052744985</v>
      </c>
      <c r="L108" s="58">
        <v>1.7213618352900966</v>
      </c>
      <c r="M108" s="58">
        <v>2.9920091266869777</v>
      </c>
      <c r="P108" s="58" t="s">
        <v>461</v>
      </c>
      <c r="Q108" s="58">
        <v>4.1079812563053633</v>
      </c>
      <c r="R108" s="58">
        <v>3.229305002449617</v>
      </c>
      <c r="S108" s="58">
        <v>3.462960140417056</v>
      </c>
      <c r="T108" s="58">
        <v>4.7228333832086795</v>
      </c>
      <c r="U108" s="83"/>
      <c r="W108" s="58" t="s">
        <v>461</v>
      </c>
      <c r="X108" s="58" t="e">
        <v>#DIV/0!</v>
      </c>
      <c r="Y108" s="58" t="e">
        <v>#DIV/0!</v>
      </c>
      <c r="Z108" s="58" t="e">
        <v>#DIV/0!</v>
      </c>
      <c r="AA108" s="58">
        <v>1.8143871123289952</v>
      </c>
      <c r="AC108" s="58" t="s">
        <v>461</v>
      </c>
      <c r="AD108" s="58" t="e">
        <v>#DIV/0!</v>
      </c>
      <c r="AE108" s="58" t="e">
        <v>#DIV/0!</v>
      </c>
      <c r="AF108" s="58" t="e">
        <v>#DIV/0!</v>
      </c>
      <c r="AG108" s="58">
        <v>-1.5250838620024298</v>
      </c>
      <c r="AI108" s="58" t="s">
        <v>461</v>
      </c>
      <c r="AJ108" s="58">
        <v>2.065365012672447</v>
      </c>
      <c r="AK108" s="58">
        <v>1.7252097960299642</v>
      </c>
      <c r="AL108" s="58">
        <v>1.4461129319334951</v>
      </c>
      <c r="AM108" s="58">
        <v>3.1046393686767377</v>
      </c>
      <c r="AO108" s="58" t="s">
        <v>461</v>
      </c>
      <c r="AP108" s="58" t="e">
        <v>#DIV/0!</v>
      </c>
      <c r="AQ108" s="58" t="e">
        <v>#DIV/0!</v>
      </c>
      <c r="AR108" s="58" t="e">
        <v>#DIV/0!</v>
      </c>
      <c r="AS108" s="58">
        <v>-0.89359824415596034</v>
      </c>
      <c r="AU108" s="58" t="s">
        <v>461</v>
      </c>
      <c r="AV108" s="58">
        <v>3.6108496371221483</v>
      </c>
      <c r="AW108" s="58">
        <v>3.595604103883137</v>
      </c>
      <c r="AX108" s="58">
        <v>6.2112279006470814</v>
      </c>
      <c r="AY108" s="58">
        <v>8.4080820384369641</v>
      </c>
      <c r="BA108" s="83"/>
      <c r="BB108" s="58"/>
      <c r="BC108" s="58"/>
      <c r="BD108" s="58"/>
      <c r="BE108" s="58"/>
      <c r="BF108" s="58"/>
      <c r="BG108" s="58"/>
      <c r="BH108" s="63">
        <v>-0.43213728549141966</v>
      </c>
      <c r="BJ108" s="63">
        <v>-5.7575757575757579E-2</v>
      </c>
      <c r="BU108" s="66"/>
      <c r="CL108" s="66">
        <v>-39.473684210526315</v>
      </c>
      <c r="CM108" s="69">
        <f t="shared" si="84"/>
        <v>39.473684210526315</v>
      </c>
      <c r="EH108" s="63">
        <v>0.26436781609195403</v>
      </c>
    </row>
    <row r="109" spans="1:138">
      <c r="B109" s="58" t="s">
        <v>462</v>
      </c>
      <c r="C109" s="58">
        <v>1.1779127600522437</v>
      </c>
      <c r="D109" s="58">
        <v>1.7590027700831024</v>
      </c>
      <c r="E109" s="58">
        <v>3.2171037089534607</v>
      </c>
      <c r="F109" s="58">
        <v>3.2171037089534607</v>
      </c>
      <c r="I109" s="58" t="s">
        <v>462</v>
      </c>
      <c r="J109" s="58">
        <v>1.6219512195121952</v>
      </c>
      <c r="K109" s="58">
        <v>19.953333333333337</v>
      </c>
      <c r="L109" s="58">
        <v>149.98717948717945</v>
      </c>
      <c r="M109" s="58">
        <v>150.01999999999998</v>
      </c>
      <c r="P109" s="58" t="s">
        <v>462</v>
      </c>
      <c r="Q109" s="58">
        <v>38.666666666666664</v>
      </c>
      <c r="R109" s="58">
        <v>16.132070664175298</v>
      </c>
      <c r="S109" s="58">
        <v>20.911215563389476</v>
      </c>
      <c r="T109" s="58">
        <v>38.727308759413397</v>
      </c>
      <c r="U109" s="83"/>
      <c r="W109" s="58" t="s">
        <v>462</v>
      </c>
      <c r="X109" s="58">
        <v>0</v>
      </c>
      <c r="Y109" s="58">
        <v>2.7948717948717947</v>
      </c>
      <c r="Z109" s="58">
        <v>0</v>
      </c>
      <c r="AA109" s="58">
        <v>20.474253019707565</v>
      </c>
      <c r="AC109" s="58" t="s">
        <v>462</v>
      </c>
      <c r="AD109" s="58">
        <v>0</v>
      </c>
      <c r="AE109" s="58">
        <v>0</v>
      </c>
      <c r="AF109" s="58">
        <v>0</v>
      </c>
      <c r="AG109" s="58">
        <v>0.43243071955596474</v>
      </c>
      <c r="AI109" s="58" t="s">
        <v>462</v>
      </c>
      <c r="AJ109" s="58">
        <v>48.502621722846449</v>
      </c>
      <c r="AK109" s="58">
        <v>3.2251565938716777</v>
      </c>
      <c r="AL109" s="58">
        <v>3.6556188225182638</v>
      </c>
      <c r="AM109" s="58">
        <v>48.524208566108015</v>
      </c>
      <c r="AO109" s="58" t="s">
        <v>462</v>
      </c>
      <c r="AP109" s="58">
        <v>0</v>
      </c>
      <c r="AQ109" s="58">
        <v>0</v>
      </c>
      <c r="AR109" s="58">
        <v>0</v>
      </c>
      <c r="AS109" s="58">
        <v>0.17573648610878234</v>
      </c>
      <c r="AU109" s="58" t="s">
        <v>462</v>
      </c>
      <c r="AV109" s="58">
        <v>48.666666666666671</v>
      </c>
      <c r="AW109" s="58">
        <v>20.143172690763055</v>
      </c>
      <c r="AX109" s="58">
        <v>150.15686274509801</v>
      </c>
      <c r="AY109" s="58">
        <v>150.2098393574297</v>
      </c>
      <c r="BA109" s="83"/>
      <c r="BB109" s="58"/>
      <c r="BC109" s="58"/>
      <c r="BD109" s="58"/>
      <c r="BE109" s="58"/>
      <c r="BF109" s="58"/>
      <c r="BG109" s="58"/>
      <c r="BH109" s="63">
        <v>0.125</v>
      </c>
      <c r="BJ109" s="63">
        <v>-0.224</v>
      </c>
      <c r="BU109" s="66"/>
      <c r="CL109" s="66">
        <v>-41.399280012521515</v>
      </c>
      <c r="CM109" s="69">
        <f t="shared" si="84"/>
        <v>41.399280012521515</v>
      </c>
      <c r="EH109" s="63">
        <v>1.3103448275862069</v>
      </c>
    </row>
    <row r="110" spans="1:138">
      <c r="B110" s="58" t="s">
        <v>412</v>
      </c>
      <c r="C110" s="58">
        <v>0.13946759259259259</v>
      </c>
      <c r="D110" s="58">
        <v>0.13573407202216067</v>
      </c>
      <c r="E110" s="58">
        <v>-0.15686274509803921</v>
      </c>
      <c r="F110" s="58">
        <v>-0.15686274509803921</v>
      </c>
      <c r="I110" s="58" t="s">
        <v>412</v>
      </c>
      <c r="J110" s="58">
        <v>2</v>
      </c>
      <c r="K110" s="58">
        <v>-0.02</v>
      </c>
      <c r="L110" s="58">
        <v>1.282051282051282E-2</v>
      </c>
      <c r="M110" s="58">
        <v>-0.02</v>
      </c>
      <c r="P110" s="58" t="s">
        <v>412</v>
      </c>
      <c r="Q110" s="58">
        <v>0</v>
      </c>
      <c r="R110" s="58">
        <v>-6.0642092746730082E-2</v>
      </c>
      <c r="S110" s="58">
        <v>-1.932367149758454E-2</v>
      </c>
      <c r="T110" s="58">
        <v>-6.0642092746730082E-2</v>
      </c>
      <c r="U110" s="83"/>
      <c r="W110" s="58" t="s">
        <v>412</v>
      </c>
      <c r="X110" s="58">
        <v>20.628099173553718</v>
      </c>
      <c r="Y110" s="58">
        <v>0.15384615384615385</v>
      </c>
      <c r="Z110" s="58">
        <v>3.9829763866007681</v>
      </c>
      <c r="AA110" s="58">
        <v>0.15384615384615385</v>
      </c>
      <c r="AC110" s="58" t="s">
        <v>412</v>
      </c>
      <c r="AD110" s="58">
        <v>0.14690026954177898</v>
      </c>
      <c r="AE110" s="58">
        <v>-0.20983935742971888</v>
      </c>
      <c r="AF110" s="58">
        <v>0.22259136212624586</v>
      </c>
      <c r="AG110" s="58">
        <v>-0.20983935742971888</v>
      </c>
      <c r="AI110" s="58" t="s">
        <v>412</v>
      </c>
      <c r="AJ110" s="58">
        <v>0.16404494382022472</v>
      </c>
      <c r="AK110" s="58">
        <v>0.15363128491620112</v>
      </c>
      <c r="AL110" s="58">
        <v>0.14245810055865921</v>
      </c>
      <c r="AM110" s="58">
        <v>0.14245810055865921</v>
      </c>
      <c r="AO110" s="58" t="s">
        <v>412</v>
      </c>
      <c r="AP110" s="58">
        <v>1.0373134328358209</v>
      </c>
      <c r="AQ110" s="58">
        <v>1.0973782771535583</v>
      </c>
      <c r="AR110" s="58">
        <v>0.92164179104477595</v>
      </c>
      <c r="AS110" s="58">
        <v>0.92164179104477595</v>
      </c>
      <c r="AU110" s="58" t="s">
        <v>412</v>
      </c>
      <c r="AV110" s="58">
        <v>0</v>
      </c>
      <c r="AW110" s="58">
        <v>-0.20983935742971888</v>
      </c>
      <c r="AX110" s="58">
        <v>-0.15686274509803921</v>
      </c>
      <c r="AY110" s="58">
        <v>-0.20983935742971888</v>
      </c>
      <c r="BA110" s="83"/>
      <c r="BB110" s="58"/>
      <c r="BC110" s="58"/>
      <c r="BD110" s="58"/>
      <c r="BE110" s="58"/>
      <c r="BF110" s="58"/>
      <c r="BG110" s="58"/>
      <c r="BH110" s="63">
        <v>0</v>
      </c>
      <c r="BJ110" s="63">
        <v>0</v>
      </c>
      <c r="BU110" s="66"/>
      <c r="CL110" s="66">
        <v>-16.666666666666664</v>
      </c>
      <c r="CM110" s="69">
        <f t="shared" si="84"/>
        <v>16.666666666666664</v>
      </c>
      <c r="EH110" s="63">
        <v>0.3515625</v>
      </c>
    </row>
    <row r="111" spans="1:138">
      <c r="B111" s="58" t="s">
        <v>413</v>
      </c>
      <c r="C111" s="58">
        <v>1.3173803526448362</v>
      </c>
      <c r="D111" s="58">
        <v>1.8947368421052631</v>
      </c>
      <c r="E111" s="58">
        <v>3.0602409638554215</v>
      </c>
      <c r="F111" s="58">
        <v>3.0602409638554215</v>
      </c>
      <c r="I111" s="58" t="s">
        <v>413</v>
      </c>
      <c r="J111" s="58">
        <v>3.6219512195121952</v>
      </c>
      <c r="K111" s="58">
        <v>19.933333333333337</v>
      </c>
      <c r="L111" s="58">
        <v>149.99999999999997</v>
      </c>
      <c r="M111" s="58">
        <v>149.99999999999997</v>
      </c>
      <c r="P111" s="58" t="s">
        <v>413</v>
      </c>
      <c r="Q111" s="58">
        <v>38.666666666666664</v>
      </c>
      <c r="R111" s="58">
        <v>16.071428571428569</v>
      </c>
      <c r="S111" s="58">
        <v>20.891891891891891</v>
      </c>
      <c r="T111" s="58">
        <v>38.666666666666664</v>
      </c>
      <c r="U111" s="83"/>
      <c r="W111" s="58" t="s">
        <v>413</v>
      </c>
      <c r="X111" s="58">
        <v>20.628099173553718</v>
      </c>
      <c r="Y111" s="58">
        <v>2.9487179487179485</v>
      </c>
      <c r="Z111" s="58">
        <v>3.9829763866007681</v>
      </c>
      <c r="AA111" s="58">
        <v>20.628099173553718</v>
      </c>
      <c r="AC111" s="58" t="s">
        <v>413</v>
      </c>
      <c r="AD111" s="58">
        <v>0.14690026954177898</v>
      </c>
      <c r="AE111" s="58">
        <v>-0.20983935742971888</v>
      </c>
      <c r="AF111" s="58">
        <v>0.22259136212624586</v>
      </c>
      <c r="AG111" s="58">
        <v>0.22259136212624586</v>
      </c>
      <c r="AI111" s="58" t="s">
        <v>413</v>
      </c>
      <c r="AJ111" s="58">
        <v>48.666666666666671</v>
      </c>
      <c r="AK111" s="58">
        <v>3.3787878787878789</v>
      </c>
      <c r="AL111" s="58">
        <v>3.7980769230769229</v>
      </c>
      <c r="AM111" s="58">
        <v>48.666666666666671</v>
      </c>
      <c r="AO111" s="58" t="s">
        <v>413</v>
      </c>
      <c r="AP111" s="58">
        <v>1.0373134328358209</v>
      </c>
      <c r="AQ111" s="58">
        <v>1.0973782771535583</v>
      </c>
      <c r="AR111" s="58">
        <v>0.92164179104477595</v>
      </c>
      <c r="AS111" s="58">
        <v>1.0973782771535583</v>
      </c>
      <c r="AU111" s="58" t="s">
        <v>413</v>
      </c>
      <c r="AV111" s="58">
        <v>48.666666666666671</v>
      </c>
      <c r="AW111" s="58">
        <v>19.933333333333337</v>
      </c>
      <c r="AX111" s="58">
        <v>149.99999999999997</v>
      </c>
      <c r="AY111" s="58">
        <v>149.99999999999997</v>
      </c>
      <c r="BA111" s="83"/>
      <c r="BB111" s="58"/>
      <c r="BC111" s="58"/>
      <c r="BD111" s="58"/>
      <c r="BE111" s="58"/>
      <c r="BF111" s="58"/>
      <c r="BG111" s="58"/>
      <c r="BH111" s="63">
        <v>7.898351648351648E-3</v>
      </c>
      <c r="BJ111" s="63">
        <v>-2.1929824561403508E-3</v>
      </c>
      <c r="BU111" s="66"/>
      <c r="CL111" s="66">
        <v>-740.47983665135268</v>
      </c>
      <c r="CM111" s="69">
        <f t="shared" si="84"/>
        <v>740.47983665135268</v>
      </c>
      <c r="EH111" s="63">
        <v>6.6615384615384619</v>
      </c>
    </row>
    <row r="112" spans="1:138">
      <c r="B112" s="58" t="s">
        <v>463</v>
      </c>
      <c r="C112" s="58">
        <v>3.8579621215809632</v>
      </c>
      <c r="D112" s="58">
        <v>3.7763330162687376</v>
      </c>
      <c r="E112" s="58">
        <v>6.8141969516619856</v>
      </c>
      <c r="F112" s="58">
        <v>14.448492089511685</v>
      </c>
      <c r="I112" s="58" t="s">
        <v>463</v>
      </c>
      <c r="J112" s="58">
        <v>5.6219512195121952</v>
      </c>
      <c r="K112" s="58">
        <v>23.290485892149736</v>
      </c>
      <c r="L112" s="58">
        <v>185.86487042369396</v>
      </c>
      <c r="M112" s="58">
        <v>214.77730753535587</v>
      </c>
      <c r="P112" s="58" t="s">
        <v>463</v>
      </c>
      <c r="Q112" s="58">
        <v>92.322631003421918</v>
      </c>
      <c r="R112" s="58">
        <v>58.545906981066679</v>
      </c>
      <c r="S112" s="58">
        <v>67.504517081055909</v>
      </c>
      <c r="T112" s="58">
        <v>218.37305506554449</v>
      </c>
      <c r="U112" s="83"/>
      <c r="W112" s="58" t="s">
        <v>463</v>
      </c>
      <c r="X112" s="58">
        <v>20.628099173553718</v>
      </c>
      <c r="Y112" s="58">
        <v>3.1025641025641022</v>
      </c>
      <c r="Z112" s="58">
        <v>3.9829763866007681</v>
      </c>
      <c r="AA112" s="58">
        <v>27.713639662718588</v>
      </c>
      <c r="AC112" s="58" t="s">
        <v>463</v>
      </c>
      <c r="AD112" s="58">
        <v>0.14690026954177898</v>
      </c>
      <c r="AE112" s="58">
        <v>-0.20983935742971888</v>
      </c>
      <c r="AF112" s="58">
        <v>0.22259136212624586</v>
      </c>
      <c r="AG112" s="58">
        <v>0.15965227423830597</v>
      </c>
      <c r="AI112" s="58" t="s">
        <v>463</v>
      </c>
      <c r="AJ112" s="58">
        <v>61.299868898648704</v>
      </c>
      <c r="AK112" s="58">
        <v>3.794591448348275</v>
      </c>
      <c r="AL112" s="58">
        <v>4.828803180060163</v>
      </c>
      <c r="AM112" s="58">
        <v>69.923263527057145</v>
      </c>
      <c r="AO112" s="58" t="s">
        <v>463</v>
      </c>
      <c r="AP112" s="58">
        <v>1.0373134328358209</v>
      </c>
      <c r="AQ112" s="58">
        <v>1.0973782771535583</v>
      </c>
      <c r="AR112" s="58">
        <v>0.92164179104477595</v>
      </c>
      <c r="AS112" s="58">
        <v>3.0563335010341555</v>
      </c>
      <c r="AU112" s="58" t="s">
        <v>463</v>
      </c>
      <c r="AV112" s="58">
        <v>184.91472611909509</v>
      </c>
      <c r="AW112" s="58">
        <v>93.397420360121359</v>
      </c>
      <c r="AX112" s="58">
        <v>270.13959717624385</v>
      </c>
      <c r="AY112" s="58">
        <v>548.45174365546018</v>
      </c>
      <c r="BA112" s="83"/>
      <c r="BB112" s="58"/>
      <c r="BC112" s="58"/>
      <c r="BD112" s="58"/>
      <c r="BE112" s="58"/>
      <c r="BF112" s="58"/>
      <c r="BG112" s="58"/>
      <c r="BH112" s="63">
        <v>0.12441314553990611</v>
      </c>
      <c r="BJ112" s="63">
        <v>-0.19033232628398791</v>
      </c>
      <c r="BU112" s="66"/>
      <c r="CL112" s="66">
        <v>-50</v>
      </c>
      <c r="CM112" s="69">
        <f t="shared" si="84"/>
        <v>50</v>
      </c>
      <c r="EH112" s="63">
        <v>7.2380952380952381</v>
      </c>
    </row>
    <row r="113" spans="1:138">
      <c r="B113" s="58" t="s">
        <v>464</v>
      </c>
      <c r="C113" s="58">
        <v>6</v>
      </c>
      <c r="D113" s="58">
        <v>6</v>
      </c>
      <c r="E113" s="58">
        <v>7</v>
      </c>
      <c r="F113" s="58">
        <v>19</v>
      </c>
      <c r="I113" s="58" t="s">
        <v>464</v>
      </c>
      <c r="J113" s="58">
        <v>2</v>
      </c>
      <c r="K113" s="58">
        <v>5</v>
      </c>
      <c r="L113" s="58">
        <v>4</v>
      </c>
      <c r="M113" s="58">
        <v>11</v>
      </c>
      <c r="P113" s="58" t="s">
        <v>464</v>
      </c>
      <c r="Q113" s="58">
        <v>28</v>
      </c>
      <c r="R113" s="58">
        <v>29</v>
      </c>
      <c r="S113" s="58">
        <v>30</v>
      </c>
      <c r="T113" s="58">
        <v>87</v>
      </c>
      <c r="U113" s="83"/>
      <c r="W113" s="58" t="s">
        <v>464</v>
      </c>
      <c r="X113" s="58">
        <v>1</v>
      </c>
      <c r="Y113" s="58">
        <v>2</v>
      </c>
      <c r="Z113" s="58">
        <v>1</v>
      </c>
      <c r="AA113" s="58">
        <v>4</v>
      </c>
      <c r="AC113" s="58" t="s">
        <v>464</v>
      </c>
      <c r="AD113" s="58">
        <v>1</v>
      </c>
      <c r="AE113" s="58">
        <v>1</v>
      </c>
      <c r="AF113" s="58">
        <v>1</v>
      </c>
      <c r="AG113" s="58">
        <v>3</v>
      </c>
      <c r="AI113" s="58" t="s">
        <v>464</v>
      </c>
      <c r="AJ113" s="58">
        <v>5</v>
      </c>
      <c r="AK113" s="58">
        <v>3</v>
      </c>
      <c r="AL113" s="58">
        <v>3</v>
      </c>
      <c r="AM113" s="58">
        <v>11</v>
      </c>
      <c r="AO113" s="58" t="s">
        <v>464</v>
      </c>
      <c r="AP113" s="58">
        <v>1</v>
      </c>
      <c r="AQ113" s="58">
        <v>1</v>
      </c>
      <c r="AR113" s="58">
        <v>1</v>
      </c>
      <c r="AS113" s="58">
        <v>3</v>
      </c>
      <c r="AU113" s="58" t="s">
        <v>464</v>
      </c>
      <c r="AV113" s="58">
        <v>44</v>
      </c>
      <c r="AW113" s="58">
        <v>47</v>
      </c>
      <c r="AX113" s="58">
        <v>47</v>
      </c>
      <c r="AY113" s="58">
        <v>138</v>
      </c>
      <c r="BA113" s="83"/>
      <c r="BB113" s="58"/>
      <c r="BC113" s="58"/>
      <c r="BD113" s="58"/>
      <c r="BE113" s="58"/>
      <c r="BF113" s="58"/>
      <c r="BG113" s="58"/>
      <c r="BH113" s="63">
        <v>-1.0288065843621399E-2</v>
      </c>
      <c r="BJ113" s="63">
        <v>-0.44213649851632048</v>
      </c>
      <c r="BU113" s="45"/>
      <c r="CL113" s="45">
        <v>-21.082621082621085</v>
      </c>
      <c r="CM113" s="69">
        <f t="shared" si="84"/>
        <v>21.082621082621085</v>
      </c>
      <c r="EH113" s="63">
        <v>1.425531914893617</v>
      </c>
    </row>
    <row r="114" spans="1:138" ht="17" thickBot="1">
      <c r="B114" s="59" t="s">
        <v>467</v>
      </c>
      <c r="C114" s="59">
        <v>0.44928356918525325</v>
      </c>
      <c r="D114" s="59">
        <v>0.67238759966387396</v>
      </c>
      <c r="E114" s="59">
        <v>0.96683458277986389</v>
      </c>
      <c r="F114" s="59">
        <v>0.35978172323778973</v>
      </c>
      <c r="I114" s="59" t="s">
        <v>467</v>
      </c>
      <c r="J114" s="59">
        <v>10.304422133605089</v>
      </c>
      <c r="K114" s="59">
        <v>10.742500641445577</v>
      </c>
      <c r="L114" s="59">
        <v>112.68379423161498</v>
      </c>
      <c r="M114" s="59">
        <v>29.978445291635953</v>
      </c>
      <c r="P114" s="59" t="s">
        <v>467</v>
      </c>
      <c r="Q114" s="59">
        <v>2.9521592833767984</v>
      </c>
      <c r="R114" s="59">
        <v>1.2285926055998777</v>
      </c>
      <c r="S114" s="59">
        <v>1.5489806016763852</v>
      </c>
      <c r="T114" s="59">
        <v>1.1217908433954147</v>
      </c>
      <c r="U114" s="83"/>
      <c r="W114" s="59" t="s">
        <v>467</v>
      </c>
      <c r="X114" s="59" t="e">
        <v>#NUM!</v>
      </c>
      <c r="Y114" s="59">
        <v>17.756106618500532</v>
      </c>
      <c r="Z114" s="59" t="e">
        <v>#NUM!</v>
      </c>
      <c r="AA114" s="59">
        <v>14.758962211554239</v>
      </c>
      <c r="AC114" s="59" t="s">
        <v>467</v>
      </c>
      <c r="AD114" s="59" t="e">
        <v>#NUM!</v>
      </c>
      <c r="AE114" s="59" t="e">
        <v>#NUM!</v>
      </c>
      <c r="AF114" s="59" t="e">
        <v>#NUM!</v>
      </c>
      <c r="AG114" s="59">
        <v>0.57367683878115816</v>
      </c>
      <c r="AI114" s="59" t="s">
        <v>467</v>
      </c>
      <c r="AJ114" s="59">
        <v>25.693910155530062</v>
      </c>
      <c r="AK114" s="59">
        <v>4.5497383965571805</v>
      </c>
      <c r="AL114" s="59">
        <v>4.7983922672885049</v>
      </c>
      <c r="AM114" s="59">
        <v>9.6109137159911349</v>
      </c>
      <c r="AO114" s="59" t="s">
        <v>467</v>
      </c>
      <c r="AP114" s="59" t="e">
        <v>#NUM!</v>
      </c>
      <c r="AQ114" s="59" t="e">
        <v>#NUM!</v>
      </c>
      <c r="AR114" s="59" t="e">
        <v>#NUM!</v>
      </c>
      <c r="AS114" s="59">
        <v>0.2218893276037231</v>
      </c>
      <c r="AU114" s="59" t="s">
        <v>467</v>
      </c>
      <c r="AV114" s="59">
        <v>2.9336927090826124</v>
      </c>
      <c r="AW114" s="59">
        <v>1.1108933410780184</v>
      </c>
      <c r="AX114" s="59">
        <v>6.5402497185201547</v>
      </c>
      <c r="AY114" s="59">
        <v>2.3988311786174839</v>
      </c>
      <c r="BA114" s="83"/>
      <c r="BB114" s="59"/>
      <c r="BC114" s="59"/>
      <c r="BD114" s="59"/>
      <c r="BE114" s="59"/>
      <c r="BF114" s="59"/>
      <c r="BG114" s="59"/>
      <c r="BH114" s="63">
        <v>0.15485564304461943</v>
      </c>
      <c r="BJ114" s="63">
        <v>-0.24374999999999999</v>
      </c>
      <c r="BU114" s="45"/>
      <c r="CL114" s="45">
        <v>-28.510638297872344</v>
      </c>
      <c r="CM114" s="69">
        <f t="shared" si="84"/>
        <v>28.510638297872344</v>
      </c>
      <c r="EH114" s="63">
        <v>0.21335268505079827</v>
      </c>
    </row>
    <row r="115" spans="1:138">
      <c r="B115" s="58"/>
      <c r="C115" s="58"/>
      <c r="D115" s="58"/>
      <c r="E115" s="58"/>
      <c r="F115" s="58"/>
      <c r="G115" s="58"/>
      <c r="I115" s="58"/>
      <c r="J115" s="58"/>
      <c r="AW115" s="83"/>
      <c r="BA115" s="83"/>
      <c r="BB115" s="83"/>
      <c r="BC115" s="83"/>
      <c r="BD115" s="83"/>
      <c r="BH115" s="63">
        <v>-0.17391304347826086</v>
      </c>
      <c r="BJ115" s="63">
        <v>-0.17391304347826086</v>
      </c>
      <c r="BU115" s="45"/>
      <c r="CL115" s="45">
        <v>-34.782608695652172</v>
      </c>
      <c r="CM115" s="69">
        <f t="shared" si="84"/>
        <v>34.782608695652172</v>
      </c>
      <c r="EH115" s="63">
        <v>0.79772079772079774</v>
      </c>
    </row>
    <row r="116" spans="1:138" ht="17" thickBot="1">
      <c r="P116" s="83"/>
      <c r="Q116" s="83"/>
      <c r="W116" s="83"/>
      <c r="X116" s="83"/>
      <c r="AW116" s="83"/>
      <c r="BA116" s="83"/>
      <c r="BB116" s="83"/>
      <c r="BC116" s="83"/>
      <c r="BD116" s="83"/>
      <c r="BH116" s="63">
        <v>-0.22443890274314215</v>
      </c>
      <c r="BJ116" s="63">
        <v>-0.22443890274314215</v>
      </c>
      <c r="CL116" s="64">
        <v>-50.533049040511727</v>
      </c>
      <c r="CM116" s="69">
        <f t="shared" si="84"/>
        <v>50.533049040511727</v>
      </c>
      <c r="EH116" s="63">
        <v>1.53125</v>
      </c>
    </row>
    <row r="117" spans="1:138" ht="17" thickBot="1">
      <c r="A117" t="s">
        <v>713</v>
      </c>
      <c r="B117" s="61" t="s">
        <v>569</v>
      </c>
      <c r="C117" s="61">
        <v>2015</v>
      </c>
      <c r="D117" s="61" t="s">
        <v>580</v>
      </c>
      <c r="E117" s="61">
        <v>2017</v>
      </c>
      <c r="F117" s="60" t="s">
        <v>376</v>
      </c>
      <c r="G117" s="61"/>
      <c r="H117" s="83"/>
      <c r="I117" s="61" t="s">
        <v>570</v>
      </c>
      <c r="J117" s="61">
        <v>2015</v>
      </c>
      <c r="K117" s="61">
        <v>2016</v>
      </c>
      <c r="L117" s="61">
        <v>2017</v>
      </c>
      <c r="M117" s="60" t="s">
        <v>376</v>
      </c>
      <c r="N117" s="61"/>
      <c r="P117" s="61" t="s">
        <v>38</v>
      </c>
      <c r="Q117" s="61">
        <v>2015</v>
      </c>
      <c r="R117" s="61">
        <v>2016</v>
      </c>
      <c r="S117" s="61">
        <v>2017</v>
      </c>
      <c r="T117" s="60" t="s">
        <v>376</v>
      </c>
      <c r="U117" s="61"/>
      <c r="W117" s="61" t="s">
        <v>571</v>
      </c>
      <c r="X117" s="61">
        <v>2015</v>
      </c>
      <c r="Y117" s="61">
        <v>2016</v>
      </c>
      <c r="Z117" s="61">
        <v>2017</v>
      </c>
      <c r="AA117" s="60" t="s">
        <v>376</v>
      </c>
      <c r="AB117" s="61"/>
      <c r="AC117" s="61" t="s">
        <v>568</v>
      </c>
      <c r="AD117" s="61">
        <v>2015</v>
      </c>
      <c r="AE117" s="61">
        <v>2016</v>
      </c>
      <c r="AF117" s="61">
        <v>2017</v>
      </c>
      <c r="AG117" s="60" t="s">
        <v>376</v>
      </c>
      <c r="AH117" s="61"/>
      <c r="AI117" s="61" t="s">
        <v>572</v>
      </c>
      <c r="AJ117" s="61">
        <v>2015</v>
      </c>
      <c r="AK117" s="61">
        <v>2016</v>
      </c>
      <c r="AL117" s="61">
        <v>2017</v>
      </c>
      <c r="AM117" s="60" t="s">
        <v>376</v>
      </c>
      <c r="AN117" s="61"/>
      <c r="AO117" s="61" t="s">
        <v>45</v>
      </c>
      <c r="AP117" s="61">
        <v>2015</v>
      </c>
      <c r="AQ117" s="61">
        <v>2016</v>
      </c>
      <c r="AR117" s="61">
        <v>2017</v>
      </c>
      <c r="AS117" s="60" t="s">
        <v>376</v>
      </c>
      <c r="AT117" s="61"/>
      <c r="AU117" s="61" t="s">
        <v>376</v>
      </c>
      <c r="AV117" s="61">
        <v>2015</v>
      </c>
      <c r="AW117" s="60">
        <v>2016</v>
      </c>
      <c r="AX117" s="60">
        <v>2017</v>
      </c>
      <c r="AY117" s="60" t="s">
        <v>376</v>
      </c>
      <c r="AZ117" s="61"/>
      <c r="BA117" s="83"/>
      <c r="BB117" s="61" t="s">
        <v>454</v>
      </c>
      <c r="BC117" s="61"/>
      <c r="BD117" s="83"/>
      <c r="BH117" s="63">
        <v>0.10638297872340426</v>
      </c>
      <c r="BJ117" s="63">
        <v>-0.4</v>
      </c>
      <c r="BL117" s="138"/>
      <c r="BM117" s="83"/>
      <c r="BN117" s="83"/>
      <c r="BP117" s="83"/>
      <c r="BQ117" s="83"/>
      <c r="BS117" s="83"/>
      <c r="BT117" s="83"/>
      <c r="BU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L117" s="64">
        <v>-206.54761904761907</v>
      </c>
      <c r="CM117" s="69">
        <f t="shared" si="84"/>
        <v>206.54761904761907</v>
      </c>
      <c r="EH117" s="63">
        <v>0.14137931034482759</v>
      </c>
    </row>
    <row r="118" spans="1:138">
      <c r="B118" s="58"/>
      <c r="C118" s="58"/>
      <c r="D118" s="58"/>
      <c r="E118" s="58"/>
      <c r="F118" s="58"/>
      <c r="G118" s="58"/>
      <c r="I118" s="58"/>
      <c r="J118" s="58"/>
      <c r="K118" s="58"/>
      <c r="L118" s="58"/>
      <c r="M118" s="58"/>
      <c r="N118" s="58"/>
      <c r="P118" s="58"/>
      <c r="Q118" s="58"/>
      <c r="R118" s="58"/>
      <c r="S118" s="58"/>
      <c r="T118" s="58"/>
      <c r="U118" s="58"/>
      <c r="W118" s="58"/>
      <c r="X118" s="58"/>
      <c r="Y118" s="58"/>
      <c r="Z118" s="58"/>
      <c r="AA118" s="58"/>
      <c r="AB118" s="58"/>
      <c r="AC118" s="58"/>
      <c r="AD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B118" s="58"/>
      <c r="BC118" s="58"/>
      <c r="BH118" s="63">
        <v>-0.17708333333333334</v>
      </c>
      <c r="BJ118" s="63">
        <v>-0.17708333333333334</v>
      </c>
      <c r="BL118" s="83"/>
      <c r="BM118" s="180"/>
      <c r="BN118" s="138"/>
      <c r="BO118" s="138"/>
      <c r="BP118" s="138"/>
      <c r="BQ118" s="180"/>
      <c r="BR118" s="138"/>
      <c r="BS118" s="180"/>
      <c r="BT118" s="138"/>
      <c r="BU118" s="138"/>
      <c r="BV118" s="138"/>
      <c r="BW118" s="138"/>
      <c r="BX118" s="138"/>
      <c r="BY118" s="180"/>
      <c r="BZ118" s="138"/>
      <c r="CA118" s="138"/>
      <c r="CB118" s="138"/>
      <c r="CC118" s="180"/>
      <c r="CD118" s="138"/>
      <c r="CE118" s="180"/>
      <c r="CF118" s="138"/>
      <c r="CG118" s="138"/>
      <c r="CH118" s="138"/>
      <c r="CI118" s="61"/>
      <c r="CL118" s="64">
        <v>-100.68965517241379</v>
      </c>
      <c r="CM118" s="69">
        <f t="shared" si="84"/>
        <v>100.68965517241379</v>
      </c>
      <c r="EH118" s="63">
        <v>0.86297376093294464</v>
      </c>
    </row>
    <row r="119" spans="1:138">
      <c r="B119" s="58" t="s">
        <v>455</v>
      </c>
      <c r="C119" s="58">
        <v>-123.02982849677717</v>
      </c>
      <c r="D119" s="58">
        <v>-258.59522159639283</v>
      </c>
      <c r="E119" s="58">
        <v>-141.87483533514143</v>
      </c>
      <c r="F119" s="58">
        <v>-179.93748288848641</v>
      </c>
      <c r="I119" s="58" t="s">
        <v>455</v>
      </c>
      <c r="J119" s="58">
        <v>-161.61345559876455</v>
      </c>
      <c r="K119" s="58">
        <v>-220.14013573508106</v>
      </c>
      <c r="L119" s="58">
        <v>-351.72373113992029</v>
      </c>
      <c r="M119" s="58">
        <v>-252.0268940269363</v>
      </c>
      <c r="P119" s="58" t="s">
        <v>455</v>
      </c>
      <c r="Q119" s="58">
        <v>-363.64606461374905</v>
      </c>
      <c r="R119" s="58">
        <v>-337.65786182046492</v>
      </c>
      <c r="S119" s="58">
        <v>-143.21958683848416</v>
      </c>
      <c r="T119" s="58">
        <v>-290.60574900224236</v>
      </c>
      <c r="W119" s="58" t="s">
        <v>455</v>
      </c>
      <c r="X119" s="58">
        <v>-67.425034692194743</v>
      </c>
      <c r="Y119" s="58">
        <v>-29.03297333959409</v>
      </c>
      <c r="Z119" s="58">
        <v>-395.23991832567634</v>
      </c>
      <c r="AA119" s="58">
        <v>-163.89930878582172</v>
      </c>
      <c r="AB119" s="58"/>
      <c r="AC119" s="58" t="s">
        <v>455</v>
      </c>
      <c r="AD119" s="237">
        <v>0</v>
      </c>
      <c r="AE119" s="58">
        <v>-21.082621082621085</v>
      </c>
      <c r="AF119" s="58">
        <v>-31.64662349676226</v>
      </c>
      <c r="AG119" s="58">
        <v>-28.125289358715197</v>
      </c>
      <c r="AI119" s="58" t="s">
        <v>455</v>
      </c>
      <c r="AJ119" s="58">
        <v>-119.36061360202139</v>
      </c>
      <c r="AK119" s="58">
        <v>-355.31514406053151</v>
      </c>
      <c r="AL119" s="58">
        <v>-179.66600305355342</v>
      </c>
      <c r="AM119" s="58">
        <v>-205.6410817094449</v>
      </c>
      <c r="AO119" s="58" t="s">
        <v>455</v>
      </c>
      <c r="AP119" s="58">
        <v>-28.778467908902694</v>
      </c>
      <c r="AQ119" s="58">
        <v>-42.711370262390673</v>
      </c>
      <c r="AR119" s="58">
        <v>-78.164556962025301</v>
      </c>
      <c r="AS119" s="58">
        <v>-49.884798377772889</v>
      </c>
      <c r="AU119" s="58" t="s">
        <v>455</v>
      </c>
      <c r="AV119" s="58">
        <v>-268.30827051241675</v>
      </c>
      <c r="AW119" s="58">
        <v>-288.78432741052046</v>
      </c>
      <c r="AX119" s="58">
        <v>-173.73914946584651</v>
      </c>
      <c r="AY119" s="58">
        <v>-246.69285519677942</v>
      </c>
      <c r="BB119" s="58" t="s">
        <v>455</v>
      </c>
      <c r="BC119" s="58">
        <v>246.69285519677942</v>
      </c>
      <c r="BH119" s="63">
        <v>-8.3700440528634359E-2</v>
      </c>
      <c r="BJ119" s="63">
        <v>-8.3700440528634359E-2</v>
      </c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L119" s="64">
        <v>-119.67213114754098</v>
      </c>
      <c r="CM119" s="69">
        <f t="shared" si="84"/>
        <v>119.67213114754098</v>
      </c>
      <c r="EH119" s="63">
        <v>1.5</v>
      </c>
    </row>
    <row r="120" spans="1:138">
      <c r="B120" s="58" t="s">
        <v>456</v>
      </c>
      <c r="C120" s="58">
        <v>43.386794743386304</v>
      </c>
      <c r="D120" s="58">
        <v>193.63916302390385</v>
      </c>
      <c r="E120" s="58">
        <v>55.697363849437593</v>
      </c>
      <c r="F120" s="58">
        <v>75.901956000504455</v>
      </c>
      <c r="I120" s="58" t="s">
        <v>456</v>
      </c>
      <c r="J120" s="58">
        <v>129.40854834419349</v>
      </c>
      <c r="K120" s="58">
        <v>136.21734106251822</v>
      </c>
      <c r="L120" s="58">
        <v>279.47633864242425</v>
      </c>
      <c r="M120" s="58">
        <v>109.9079928021085</v>
      </c>
      <c r="P120" s="58" t="s">
        <v>456</v>
      </c>
      <c r="Q120" s="58">
        <v>202.66621209730454</v>
      </c>
      <c r="R120" s="58">
        <v>156.18409237064284</v>
      </c>
      <c r="S120" s="58">
        <v>25.812407048899519</v>
      </c>
      <c r="T120" s="58">
        <v>90.754553217940497</v>
      </c>
      <c r="W120" s="58" t="s">
        <v>456</v>
      </c>
      <c r="X120" s="58">
        <v>27.951350481668445</v>
      </c>
      <c r="Y120" s="58">
        <v>12.366306672927424</v>
      </c>
      <c r="Z120" s="58">
        <v>345.23991832567634</v>
      </c>
      <c r="AA120" s="58">
        <v>115.79853089478462</v>
      </c>
      <c r="AB120" s="58"/>
      <c r="AC120" s="58" t="s">
        <v>456</v>
      </c>
      <c r="AD120" s="237">
        <v>0</v>
      </c>
      <c r="AE120" s="58">
        <v>0</v>
      </c>
      <c r="AF120" s="58">
        <v>3.1359851988899141</v>
      </c>
      <c r="AG120" s="58">
        <v>3.9595363997562316</v>
      </c>
      <c r="AI120" s="58" t="s">
        <v>456</v>
      </c>
      <c r="AJ120" s="58">
        <v>32.516033601261967</v>
      </c>
      <c r="AK120" s="58">
        <v>288.70779363178303</v>
      </c>
      <c r="AL120" s="58">
        <v>80.990949138996399</v>
      </c>
      <c r="AM120" s="58">
        <v>79.269283653288966</v>
      </c>
      <c r="AO120" s="58" t="s">
        <v>456</v>
      </c>
      <c r="AP120" s="58">
        <v>0</v>
      </c>
      <c r="AQ120" s="58">
        <v>0</v>
      </c>
      <c r="AR120" s="58">
        <v>0</v>
      </c>
      <c r="AS120" s="58">
        <v>14.700793642812352</v>
      </c>
      <c r="AU120" s="58" t="s">
        <v>456</v>
      </c>
      <c r="AV120" s="58">
        <v>125.25150370521355</v>
      </c>
      <c r="AW120" s="58">
        <v>99.980533282900652</v>
      </c>
      <c r="AX120" s="58">
        <v>35.791563288865191</v>
      </c>
      <c r="AY120" s="58">
        <v>56.383928375035083</v>
      </c>
      <c r="BB120" s="58" t="s">
        <v>456</v>
      </c>
      <c r="BC120" s="58">
        <v>56.383928375035083</v>
      </c>
      <c r="BH120" s="63">
        <v>-0.38372093023255816</v>
      </c>
      <c r="BJ120" s="63">
        <v>-0.38372093023255816</v>
      </c>
      <c r="BL120" s="58"/>
      <c r="BM120" s="58"/>
      <c r="BN120" s="58"/>
      <c r="BO120" s="58"/>
      <c r="BP120" s="58"/>
      <c r="BQ120" s="83"/>
      <c r="BR120" s="58"/>
      <c r="BS120" s="58"/>
      <c r="BT120" s="58"/>
      <c r="BU120" s="58"/>
      <c r="BV120" s="58"/>
      <c r="BW120" s="83"/>
      <c r="BX120" s="58"/>
      <c r="BY120" s="58"/>
      <c r="BZ120" s="58"/>
      <c r="CA120" s="58"/>
      <c r="CB120" s="58"/>
      <c r="CC120" s="83"/>
      <c r="CD120" s="58"/>
      <c r="CE120" s="58"/>
      <c r="CF120" s="58"/>
      <c r="CG120" s="58"/>
      <c r="CH120" s="58"/>
      <c r="CL120" s="64">
        <v>-12.915129151291513</v>
      </c>
      <c r="CM120" s="69">
        <f t="shared" si="84"/>
        <v>12.915129151291513</v>
      </c>
      <c r="EH120" s="63">
        <v>4.7301587301587302</v>
      </c>
    </row>
    <row r="121" spans="1:138">
      <c r="B121" s="58" t="s">
        <v>431</v>
      </c>
      <c r="C121" s="58">
        <v>-129.03225806451613</v>
      </c>
      <c r="D121" s="58">
        <v>-68</v>
      </c>
      <c r="E121" s="58">
        <v>-125.9</v>
      </c>
      <c r="F121" s="58">
        <v>-104.58297270481941</v>
      </c>
      <c r="I121" s="58" t="s">
        <v>431</v>
      </c>
      <c r="J121" s="58">
        <v>-45.343511450381676</v>
      </c>
      <c r="K121" s="58">
        <v>-134.02880536647925</v>
      </c>
      <c r="L121" s="58">
        <v>-111.63752913752914</v>
      </c>
      <c r="M121" s="58">
        <v>-69.892473118279568</v>
      </c>
      <c r="P121" s="58" t="s">
        <v>431</v>
      </c>
      <c r="Q121" s="58">
        <v>-131.25</v>
      </c>
      <c r="R121" s="58">
        <v>-114.28571428571428</v>
      </c>
      <c r="S121" s="58">
        <v>-112.10203984367554</v>
      </c>
      <c r="T121" s="58">
        <v>-115.63993915688832</v>
      </c>
      <c r="W121" s="58" t="s">
        <v>431</v>
      </c>
      <c r="X121" s="58">
        <v>-67.425034692194743</v>
      </c>
      <c r="Y121" s="58">
        <v>-29.03297333959409</v>
      </c>
      <c r="Z121" s="58">
        <v>-395.23991832567634</v>
      </c>
      <c r="AA121" s="58">
        <v>-45.699640006260758</v>
      </c>
      <c r="AB121" s="58"/>
      <c r="AC121" s="58" t="s">
        <v>431</v>
      </c>
      <c r="AD121" s="237">
        <v>0</v>
      </c>
      <c r="AE121" s="58">
        <v>-21.082621082621085</v>
      </c>
      <c r="AF121" s="58">
        <v>-31.64662349676226</v>
      </c>
      <c r="AG121" s="58">
        <v>-28.510638297872344</v>
      </c>
      <c r="AI121" s="58" t="s">
        <v>431</v>
      </c>
      <c r="AJ121" s="58">
        <v>-110.18089315997739</v>
      </c>
      <c r="AK121" s="58">
        <v>-123.86363636363637</v>
      </c>
      <c r="AL121" s="58">
        <v>-152.63366678164886</v>
      </c>
      <c r="AM121" s="58">
        <v>-122.30769230769232</v>
      </c>
      <c r="AO121" s="58" t="s">
        <v>431</v>
      </c>
      <c r="AP121" s="58">
        <v>-28.778467908902694</v>
      </c>
      <c r="AQ121" s="58">
        <v>-42.711370262390673</v>
      </c>
      <c r="AR121" s="58">
        <v>-78.164556962025301</v>
      </c>
      <c r="AS121" s="58">
        <v>-42.711370262390673</v>
      </c>
      <c r="AU121" s="58" t="s">
        <v>431</v>
      </c>
      <c r="AV121" s="58">
        <v>-114.90852934188644</v>
      </c>
      <c r="AW121" s="58">
        <v>-102.27272727272727</v>
      </c>
      <c r="AX121" s="58">
        <v>-114.99999999999999</v>
      </c>
      <c r="AY121" s="58">
        <v>-107.03039580144326</v>
      </c>
      <c r="BB121" s="58" t="s">
        <v>431</v>
      </c>
      <c r="BC121" s="58">
        <v>107.03039580144326</v>
      </c>
      <c r="BH121" s="63">
        <v>3.1286210892236384E-2</v>
      </c>
      <c r="BJ121" s="63">
        <v>-0.10348837209302325</v>
      </c>
      <c r="BL121" s="58"/>
      <c r="BM121" s="58"/>
      <c r="BN121" s="58"/>
      <c r="BO121" s="58"/>
      <c r="BP121" s="58"/>
      <c r="BQ121" s="83"/>
      <c r="BR121" s="58"/>
      <c r="BS121" s="58"/>
      <c r="BT121" s="58"/>
      <c r="BU121" s="58"/>
      <c r="BV121" s="58"/>
      <c r="BW121" s="83"/>
      <c r="BX121" s="58"/>
      <c r="BY121" s="58"/>
      <c r="BZ121" s="58"/>
      <c r="CA121" s="58"/>
      <c r="CB121" s="58"/>
      <c r="CC121" s="83"/>
      <c r="CD121" s="58"/>
      <c r="CE121" s="58"/>
      <c r="CF121" s="58"/>
      <c r="CG121" s="58"/>
      <c r="CH121" s="58"/>
      <c r="CL121" s="64">
        <v>-929.16666666666663</v>
      </c>
      <c r="CM121" s="69">
        <f t="shared" si="84"/>
        <v>929.16666666666663</v>
      </c>
      <c r="EH121" s="63">
        <v>7.5714285714285712</v>
      </c>
    </row>
    <row r="122" spans="1:138">
      <c r="B122" s="58" t="s">
        <v>457</v>
      </c>
      <c r="C122" s="58" t="e">
        <v>#N/A</v>
      </c>
      <c r="D122" s="58" t="e">
        <v>#N/A</v>
      </c>
      <c r="E122" s="58" t="e">
        <v>#N/A</v>
      </c>
      <c r="F122" s="58" t="e">
        <v>#N/A</v>
      </c>
      <c r="I122" s="58" t="s">
        <v>457</v>
      </c>
      <c r="J122" s="58" t="e">
        <v>#N/A</v>
      </c>
      <c r="K122" s="58" t="e">
        <v>#N/A</v>
      </c>
      <c r="L122" s="58" t="e">
        <v>#N/A</v>
      </c>
      <c r="M122" s="58" t="e">
        <v>#N/A</v>
      </c>
      <c r="P122" s="58" t="s">
        <v>457</v>
      </c>
      <c r="Q122" s="58" t="e">
        <v>#N/A</v>
      </c>
      <c r="R122" s="58" t="e">
        <v>#N/A</v>
      </c>
      <c r="S122" s="58" t="e">
        <v>#N/A</v>
      </c>
      <c r="T122" s="58">
        <v>-84</v>
      </c>
      <c r="W122" s="58" t="s">
        <v>457</v>
      </c>
      <c r="X122" s="58" t="e">
        <v>#N/A</v>
      </c>
      <c r="Y122" s="58" t="e">
        <v>#N/A</v>
      </c>
      <c r="Z122" s="58" t="e">
        <v>#N/A</v>
      </c>
      <c r="AA122" s="58" t="e">
        <v>#N/A</v>
      </c>
      <c r="AB122" s="58"/>
      <c r="AC122" s="58" t="s">
        <v>457</v>
      </c>
      <c r="AD122" s="237" t="e">
        <v>#N/A</v>
      </c>
      <c r="AE122" s="58" t="e">
        <v>#N/A</v>
      </c>
      <c r="AF122" s="58" t="e">
        <v>#N/A</v>
      </c>
      <c r="AG122" s="58" t="e">
        <v>#N/A</v>
      </c>
      <c r="AI122" s="58" t="s">
        <v>457</v>
      </c>
      <c r="AJ122" s="58" t="e">
        <v>#N/A</v>
      </c>
      <c r="AK122" s="58" t="e">
        <v>#N/A</v>
      </c>
      <c r="AL122" s="58" t="e">
        <v>#N/A</v>
      </c>
      <c r="AM122" s="58" t="e">
        <v>#N/A</v>
      </c>
      <c r="AO122" s="58" t="s">
        <v>457</v>
      </c>
      <c r="AP122" s="58" t="e">
        <v>#N/A</v>
      </c>
      <c r="AQ122" s="58" t="e">
        <v>#N/A</v>
      </c>
      <c r="AR122" s="58" t="e">
        <v>#N/A</v>
      </c>
      <c r="AS122" s="58" t="e">
        <v>#N/A</v>
      </c>
      <c r="AU122" s="58" t="s">
        <v>457</v>
      </c>
      <c r="AV122" s="58" t="e">
        <v>#N/A</v>
      </c>
      <c r="AW122" s="58" t="e">
        <v>#N/A</v>
      </c>
      <c r="AX122" s="58" t="e">
        <v>#N/A</v>
      </c>
      <c r="AY122" s="58">
        <v>-84</v>
      </c>
      <c r="BB122" s="58" t="s">
        <v>457</v>
      </c>
      <c r="BC122" s="58">
        <v>84</v>
      </c>
      <c r="BH122" s="63">
        <v>0.13846153846153847</v>
      </c>
      <c r="BJ122" s="63">
        <v>7.786259541984733E-2</v>
      </c>
      <c r="BL122" s="58"/>
      <c r="BM122" s="58"/>
      <c r="BN122" s="58"/>
      <c r="BO122" s="58"/>
      <c r="BP122" s="58"/>
      <c r="BQ122" s="83"/>
      <c r="BR122" s="58"/>
      <c r="BS122" s="58"/>
      <c r="BT122" s="58"/>
      <c r="BU122" s="58"/>
      <c r="BV122" s="58"/>
      <c r="BW122" s="83"/>
      <c r="BX122" s="58"/>
      <c r="BY122" s="58"/>
      <c r="BZ122" s="58"/>
      <c r="CA122" s="58"/>
      <c r="CB122" s="58"/>
      <c r="CC122" s="83"/>
      <c r="CD122" s="58"/>
      <c r="CE122" s="58"/>
      <c r="CF122" s="58"/>
      <c r="CG122" s="58"/>
      <c r="CH122" s="58"/>
      <c r="CL122" s="64">
        <v>-123.86363636363637</v>
      </c>
      <c r="CM122" s="69">
        <f t="shared" si="84"/>
        <v>123.86363636363637</v>
      </c>
      <c r="EH122" s="63">
        <v>0.18421052631578946</v>
      </c>
    </row>
    <row r="123" spans="1:138">
      <c r="B123" s="58" t="s">
        <v>458</v>
      </c>
      <c r="C123" s="58">
        <v>114.7906690752046</v>
      </c>
      <c r="D123" s="58">
        <v>512.32106944394366</v>
      </c>
      <c r="E123" s="58">
        <v>111.39472769887519</v>
      </c>
      <c r="F123" s="58">
        <v>322.02472675967795</v>
      </c>
      <c r="I123" s="58" t="s">
        <v>458</v>
      </c>
      <c r="J123" s="58">
        <v>224.14218066587642</v>
      </c>
      <c r="K123" s="58">
        <v>272.43468212503643</v>
      </c>
      <c r="L123" s="58">
        <v>558.95267728484851</v>
      </c>
      <c r="M123" s="58">
        <v>364.52357358567588</v>
      </c>
      <c r="P123" s="58" t="s">
        <v>458</v>
      </c>
      <c r="Q123" s="58">
        <v>1053.0845289901852</v>
      </c>
      <c r="R123" s="58">
        <v>811.55634995995229</v>
      </c>
      <c r="S123" s="58">
        <v>121.0709208211357</v>
      </c>
      <c r="T123" s="58">
        <v>791.17985228637338</v>
      </c>
      <c r="W123" s="58" t="s">
        <v>458</v>
      </c>
      <c r="X123" s="58">
        <v>39.52917893781926</v>
      </c>
      <c r="Y123" s="58">
        <v>17.488598613318871</v>
      </c>
      <c r="Z123" s="58">
        <v>488.24297476875114</v>
      </c>
      <c r="AA123" s="58">
        <v>283.64731365613585</v>
      </c>
      <c r="AC123" s="58" t="s">
        <v>458</v>
      </c>
      <c r="AD123" s="237" t="e">
        <v>#DIV/0!</v>
      </c>
      <c r="AE123" s="58" t="e">
        <v>#DIV/0!</v>
      </c>
      <c r="AF123" s="58">
        <v>4.4349527996714047</v>
      </c>
      <c r="AG123" s="58">
        <v>6.8581182187961458</v>
      </c>
      <c r="AI123" s="58" t="s">
        <v>458</v>
      </c>
      <c r="AJ123" s="58">
        <v>65.032067202523933</v>
      </c>
      <c r="AK123" s="58">
        <v>500.05656711135856</v>
      </c>
      <c r="AL123" s="58">
        <v>161.9818982779928</v>
      </c>
      <c r="AM123" s="58">
        <v>262.90647127821222</v>
      </c>
      <c r="AO123" s="58" t="s">
        <v>458</v>
      </c>
      <c r="AP123" s="58" t="e">
        <v>#DIV/0!</v>
      </c>
      <c r="AQ123" s="58" t="e">
        <v>#DIV/0!</v>
      </c>
      <c r="AR123" s="58" t="e">
        <v>#DIV/0!</v>
      </c>
      <c r="AS123" s="58">
        <v>25.46252150093655</v>
      </c>
      <c r="AU123" s="58" t="s">
        <v>458</v>
      </c>
      <c r="AV123" s="58">
        <v>830.82448443600492</v>
      </c>
      <c r="AW123" s="58">
        <v>670.68980654173822</v>
      </c>
      <c r="AX123" s="58">
        <v>223.5182410985127</v>
      </c>
      <c r="AY123" s="58">
        <v>637.91132966278246</v>
      </c>
      <c r="BB123" s="58" t="s">
        <v>458</v>
      </c>
      <c r="BC123" s="58">
        <v>637.91132966278246</v>
      </c>
      <c r="BH123" s="63">
        <v>1.2050290135396517</v>
      </c>
      <c r="BJ123" s="63">
        <v>1.1534493874919407</v>
      </c>
      <c r="BL123" s="58"/>
      <c r="BM123" s="58"/>
      <c r="BN123" s="58"/>
      <c r="BO123" s="58"/>
      <c r="BP123" s="58"/>
      <c r="BQ123" s="83"/>
      <c r="BR123" s="58"/>
      <c r="BS123" s="58"/>
      <c r="BT123" s="58"/>
      <c r="BU123" s="58"/>
      <c r="BV123" s="58"/>
      <c r="BW123" s="83"/>
      <c r="BX123" s="58"/>
      <c r="BY123" s="58"/>
      <c r="BZ123" s="58"/>
      <c r="CA123" s="58"/>
      <c r="CB123" s="58"/>
      <c r="CC123" s="83"/>
      <c r="CD123" s="58"/>
      <c r="CE123" s="58"/>
      <c r="CF123" s="58"/>
      <c r="CG123" s="58"/>
      <c r="CH123" s="58"/>
      <c r="CL123" s="64">
        <v>-14.40677966101695</v>
      </c>
      <c r="CM123" s="69">
        <f t="shared" si="84"/>
        <v>14.40677966101695</v>
      </c>
      <c r="EH123" s="63">
        <v>0.78947368421052633</v>
      </c>
    </row>
    <row r="124" spans="1:138">
      <c r="B124" s="58" t="s">
        <v>459</v>
      </c>
      <c r="C124" s="58">
        <v>13176.897706733136</v>
      </c>
      <c r="D124" s="58">
        <v>262472.87819618615</v>
      </c>
      <c r="E124" s="58">
        <v>12408.78535910655</v>
      </c>
      <c r="F124" s="58">
        <v>103699.92464464523</v>
      </c>
      <c r="I124" s="58" t="s">
        <v>459</v>
      </c>
      <c r="J124" s="58">
        <v>50239.717153654383</v>
      </c>
      <c r="K124" s="58">
        <v>74220.656024569631</v>
      </c>
      <c r="L124" s="58">
        <v>312428.09544390003</v>
      </c>
      <c r="M124" s="58">
        <v>132877.43569967165</v>
      </c>
      <c r="P124" s="58" t="s">
        <v>459</v>
      </c>
      <c r="Q124" s="58">
        <v>1108987.0251984803</v>
      </c>
      <c r="R124" s="58">
        <v>658623.70916032046</v>
      </c>
      <c r="S124" s="58">
        <v>14658.167868477709</v>
      </c>
      <c r="T124" s="58">
        <v>625965.55866388755</v>
      </c>
      <c r="W124" s="58" t="s">
        <v>459</v>
      </c>
      <c r="X124" s="58">
        <v>1562.5559874981336</v>
      </c>
      <c r="Y124" s="58">
        <v>305.85108145777872</v>
      </c>
      <c r="Z124" s="58">
        <v>238381.20241103938</v>
      </c>
      <c r="AA124" s="58">
        <v>80455.798544342309</v>
      </c>
      <c r="AC124" s="58" t="s">
        <v>459</v>
      </c>
      <c r="AD124" s="237" t="e">
        <v>#DIV/0!</v>
      </c>
      <c r="AE124" s="58" t="e">
        <v>#DIV/0!</v>
      </c>
      <c r="AF124" s="58">
        <v>19.668806335313228</v>
      </c>
      <c r="AG124" s="58">
        <v>47.033785502983619</v>
      </c>
      <c r="AI124" s="58" t="s">
        <v>459</v>
      </c>
      <c r="AJ124" s="58">
        <v>4229.1697646335888</v>
      </c>
      <c r="AK124" s="58">
        <v>250056.57031119664</v>
      </c>
      <c r="AL124" s="58">
        <v>26238.135369742002</v>
      </c>
      <c r="AM124" s="58">
        <v>69119.812639961441</v>
      </c>
      <c r="AO124" s="58" t="s">
        <v>459</v>
      </c>
      <c r="AP124" s="58" t="e">
        <v>#DIV/0!</v>
      </c>
      <c r="AQ124" s="58" t="e">
        <v>#DIV/0!</v>
      </c>
      <c r="AR124" s="58" t="e">
        <v>#DIV/0!</v>
      </c>
      <c r="AS124" s="58">
        <v>648.34000118565609</v>
      </c>
      <c r="AU124" s="58" t="s">
        <v>459</v>
      </c>
      <c r="AV124" s="58">
        <v>690269.32393835334</v>
      </c>
      <c r="AW124" s="58">
        <v>449824.81659899425</v>
      </c>
      <c r="AX124" s="58">
        <v>49960.404103772853</v>
      </c>
      <c r="AY124" s="58">
        <v>406930.86451213906</v>
      </c>
      <c r="BB124" s="58" t="s">
        <v>459</v>
      </c>
      <c r="BC124" s="58">
        <v>406930.86451213906</v>
      </c>
      <c r="BH124" s="63">
        <v>0.14772727272727273</v>
      </c>
      <c r="BJ124" s="63">
        <v>7.8947368421052627E-2</v>
      </c>
      <c r="BL124" s="58"/>
      <c r="BM124" s="58"/>
      <c r="BN124" s="58"/>
      <c r="BO124" s="58"/>
      <c r="BP124" s="58"/>
      <c r="BQ124" s="83"/>
      <c r="BR124" s="58"/>
      <c r="BS124" s="58"/>
      <c r="BT124" s="58"/>
      <c r="BU124" s="58"/>
      <c r="BV124" s="58"/>
      <c r="BW124" s="83"/>
      <c r="BX124" s="58"/>
      <c r="BY124" s="58"/>
      <c r="BZ124" s="58"/>
      <c r="CA124" s="58"/>
      <c r="CB124" s="58"/>
      <c r="CC124" s="83"/>
      <c r="CD124" s="58"/>
      <c r="CE124" s="58"/>
      <c r="CF124" s="58"/>
      <c r="CG124" s="58"/>
      <c r="CH124" s="58"/>
      <c r="CL124" s="64">
        <v>-398.98989898989902</v>
      </c>
      <c r="CM124" s="69">
        <f t="shared" si="84"/>
        <v>398.98989898989902</v>
      </c>
      <c r="EH124" s="63">
        <v>1.4921348314606742</v>
      </c>
    </row>
    <row r="125" spans="1:138">
      <c r="B125" s="58" t="s">
        <v>460</v>
      </c>
      <c r="C125" s="58">
        <v>-0.6625921792514573</v>
      </c>
      <c r="D125" s="58">
        <v>6.913570140811375</v>
      </c>
      <c r="E125" s="58">
        <v>1.7093759800983968</v>
      </c>
      <c r="F125" s="58">
        <v>14.748773294803335</v>
      </c>
      <c r="I125" s="58" t="s">
        <v>460</v>
      </c>
      <c r="J125" s="58" t="e">
        <v>#DIV/0!</v>
      </c>
      <c r="K125" s="58">
        <v>2.1790499640280512</v>
      </c>
      <c r="L125" s="58">
        <v>3.6630191874717148</v>
      </c>
      <c r="M125" s="58">
        <v>3.9832589044178262</v>
      </c>
      <c r="P125" s="58" t="s">
        <v>460</v>
      </c>
      <c r="Q125" s="58">
        <v>26.249468154669024</v>
      </c>
      <c r="R125" s="58">
        <v>24.175777763079793</v>
      </c>
      <c r="S125" s="58">
        <v>5.8343694074335151</v>
      </c>
      <c r="T125" s="58">
        <v>35.703647221012595</v>
      </c>
      <c r="W125" s="58" t="s">
        <v>460</v>
      </c>
      <c r="X125" s="58" t="e">
        <v>#DIV/0!</v>
      </c>
      <c r="Y125" s="58" t="e">
        <v>#DIV/0!</v>
      </c>
      <c r="Z125" s="58" t="e">
        <v>#DIV/0!</v>
      </c>
      <c r="AA125" s="58">
        <v>5.8231930768061773</v>
      </c>
      <c r="AC125" s="58" t="s">
        <v>460</v>
      </c>
      <c r="AD125" s="237" t="e">
        <v>#DIV/0!</v>
      </c>
      <c r="AE125" s="58" t="e">
        <v>#DIV/0!</v>
      </c>
      <c r="AF125" s="58" t="e">
        <v>#DIV/0!</v>
      </c>
      <c r="AG125" s="58" t="e">
        <v>#DIV/0!</v>
      </c>
      <c r="AI125" s="58" t="s">
        <v>460</v>
      </c>
      <c r="AJ125" s="58">
        <v>1.4739809289174755</v>
      </c>
      <c r="AK125" s="58" t="e">
        <v>#DIV/0!</v>
      </c>
      <c r="AL125" s="58">
        <v>1.3673837622737484</v>
      </c>
      <c r="AM125" s="58">
        <v>6.5397979273118336</v>
      </c>
      <c r="AO125" s="58" t="s">
        <v>460</v>
      </c>
      <c r="AP125" s="58" t="e">
        <v>#DIV/0!</v>
      </c>
      <c r="AQ125" s="58" t="e">
        <v>#DIV/0!</v>
      </c>
      <c r="AR125" s="58" t="e">
        <v>#DIV/0!</v>
      </c>
      <c r="AS125" s="58" t="e">
        <v>#DIV/0!</v>
      </c>
      <c r="AU125" s="58" t="s">
        <v>460</v>
      </c>
      <c r="AV125" s="58">
        <v>42.132783600911807</v>
      </c>
      <c r="AW125" s="58">
        <v>30.371302368052966</v>
      </c>
      <c r="AX125" s="58">
        <v>11.23036114314738</v>
      </c>
      <c r="AY125" s="58">
        <v>51.485855163011124</v>
      </c>
      <c r="BB125" s="58" t="s">
        <v>460</v>
      </c>
      <c r="BC125" s="58">
        <v>51.485855163011124</v>
      </c>
      <c r="BH125" s="63">
        <v>8.6206896551724137E-3</v>
      </c>
      <c r="BJ125" s="63">
        <v>8.6206896551724137E-3</v>
      </c>
      <c r="BL125" s="58"/>
      <c r="BM125" s="58"/>
      <c r="BN125" s="58"/>
      <c r="BO125" s="58"/>
      <c r="BP125" s="58"/>
      <c r="BQ125" s="83"/>
      <c r="BR125" s="58"/>
      <c r="BS125" s="58"/>
      <c r="BT125" s="58"/>
      <c r="BU125" s="58"/>
      <c r="BV125" s="58"/>
      <c r="BW125" s="83"/>
      <c r="BX125" s="58"/>
      <c r="BY125" s="58"/>
      <c r="BZ125" s="58"/>
      <c r="CA125" s="58"/>
      <c r="CB125" s="58"/>
      <c r="CC125" s="83"/>
      <c r="CD125" s="58"/>
      <c r="CE125" s="58"/>
      <c r="CF125" s="58"/>
      <c r="CG125" s="58"/>
      <c r="CH125" s="58"/>
      <c r="CL125" s="64">
        <v>-182.95964125560539</v>
      </c>
      <c r="CM125" s="69">
        <f t="shared" si="84"/>
        <v>182.95964125560539</v>
      </c>
      <c r="EH125" s="63">
        <v>1.4921348314606742</v>
      </c>
    </row>
    <row r="126" spans="1:138">
      <c r="B126" s="58" t="s">
        <v>461</v>
      </c>
      <c r="C126" s="58">
        <v>-0.65307678987771733</v>
      </c>
      <c r="D126" s="58">
        <v>-2.6243090175219566</v>
      </c>
      <c r="E126" s="58">
        <v>-0.8258659499872083</v>
      </c>
      <c r="F126" s="58">
        <v>-3.7139001112591981</v>
      </c>
      <c r="I126" s="58" t="s">
        <v>461</v>
      </c>
      <c r="J126" s="58">
        <v>-1.7061762904195104</v>
      </c>
      <c r="K126" s="58">
        <v>-1.5037116090876401</v>
      </c>
      <c r="L126" s="58">
        <v>-1.9051567633721653</v>
      </c>
      <c r="M126" s="58">
        <v>-1.9956124709100298</v>
      </c>
      <c r="P126" s="58" t="s">
        <v>461</v>
      </c>
      <c r="Q126" s="58">
        <v>-5.0931412285557691</v>
      </c>
      <c r="R126" s="58">
        <v>-4.8240513947241448</v>
      </c>
      <c r="S126" s="58">
        <v>-2.1030483528771664</v>
      </c>
      <c r="T126" s="58">
        <v>-5.9138479395485763</v>
      </c>
      <c r="W126" s="58" t="s">
        <v>461</v>
      </c>
      <c r="X126" s="58" t="e">
        <v>#DIV/0!</v>
      </c>
      <c r="Y126" s="58" t="e">
        <v>#DIV/0!</v>
      </c>
      <c r="Z126" s="58" t="e">
        <v>#DIV/0!</v>
      </c>
      <c r="AA126" s="58">
        <v>-2.404695944112301</v>
      </c>
      <c r="AC126" s="58" t="s">
        <v>461</v>
      </c>
      <c r="AD126" s="237" t="e">
        <v>#DIV/0!</v>
      </c>
      <c r="AE126" s="58" t="e">
        <v>#DIV/0!</v>
      </c>
      <c r="AF126" s="58" t="e">
        <v>#DIV/0!</v>
      </c>
      <c r="AG126" s="58">
        <v>0.25205098703382223</v>
      </c>
      <c r="AI126" s="58" t="s">
        <v>461</v>
      </c>
      <c r="AJ126" s="58">
        <v>-0.80038656389757989</v>
      </c>
      <c r="AK126" s="58">
        <v>-1.6366221920732247</v>
      </c>
      <c r="AL126" s="58">
        <v>-0.91733134267825289</v>
      </c>
      <c r="AM126" s="58">
        <v>-2.4560985005549516</v>
      </c>
      <c r="AO126" s="58" t="s">
        <v>461</v>
      </c>
      <c r="AP126" s="58" t="e">
        <v>#DIV/0!</v>
      </c>
      <c r="AQ126" s="58" t="e">
        <v>#DIV/0!</v>
      </c>
      <c r="AR126" s="58" t="e">
        <v>#DIV/0!</v>
      </c>
      <c r="AS126" s="58">
        <v>-1.1671413874502257</v>
      </c>
      <c r="AU126" s="58" t="s">
        <v>461</v>
      </c>
      <c r="AV126" s="58">
        <v>-6.4292628566719587</v>
      </c>
      <c r="AW126" s="58">
        <v>-5.2130370175952629</v>
      </c>
      <c r="AX126" s="58">
        <v>-3.088299969937955</v>
      </c>
      <c r="AY126" s="58">
        <v>-6.8625502934171942</v>
      </c>
      <c r="BB126" s="58" t="s">
        <v>461</v>
      </c>
      <c r="BC126" s="58">
        <v>6.8625502934171942</v>
      </c>
      <c r="BH126" s="63">
        <v>0.19222903885480572</v>
      </c>
      <c r="BJ126" s="63">
        <v>0.16939890710382513</v>
      </c>
      <c r="BL126" s="58"/>
      <c r="BM126" s="58"/>
      <c r="BN126" s="58"/>
      <c r="BO126" s="58"/>
      <c r="BP126" s="58"/>
      <c r="BQ126" s="83"/>
      <c r="BR126" s="58"/>
      <c r="BS126" s="58"/>
      <c r="BT126" s="58"/>
      <c r="BU126" s="58"/>
      <c r="BV126" s="58"/>
      <c r="BW126" s="83"/>
      <c r="BX126" s="58"/>
      <c r="BY126" s="58"/>
      <c r="BZ126" s="58"/>
      <c r="CA126" s="58"/>
      <c r="CB126" s="58"/>
      <c r="CC126" s="83"/>
      <c r="CD126" s="58"/>
      <c r="CE126" s="58"/>
      <c r="CF126" s="58"/>
      <c r="CG126" s="58"/>
      <c r="CH126" s="58"/>
      <c r="CL126" s="64">
        <v>-122.30769230769232</v>
      </c>
      <c r="CM126" s="69">
        <f t="shared" si="84"/>
        <v>122.30769230769232</v>
      </c>
      <c r="EH126" s="63">
        <v>0.4539954625661709</v>
      </c>
    </row>
    <row r="127" spans="1:138">
      <c r="B127" s="58" t="s">
        <v>462</v>
      </c>
      <c r="C127" s="58">
        <v>301.97996946191222</v>
      </c>
      <c r="D127" s="58">
        <v>1401.4582686937636</v>
      </c>
      <c r="E127" s="58">
        <v>268.20870463644582</v>
      </c>
      <c r="F127" s="58">
        <v>1406.9881349491197</v>
      </c>
      <c r="I127" s="58" t="s">
        <v>462</v>
      </c>
      <c r="J127" s="58">
        <v>400.50314465408803</v>
      </c>
      <c r="K127" s="58">
        <v>607.90523105794045</v>
      </c>
      <c r="L127" s="58">
        <v>1183.046800382044</v>
      </c>
      <c r="M127" s="58">
        <v>1183.046800382044</v>
      </c>
      <c r="P127" s="58" t="s">
        <v>462</v>
      </c>
      <c r="Q127" s="58">
        <v>5572.5925925925922</v>
      </c>
      <c r="R127" s="58">
        <v>4292.9292929292933</v>
      </c>
      <c r="S127" s="58">
        <v>540.15151515151513</v>
      </c>
      <c r="T127" s="58">
        <v>5592.9292929292933</v>
      </c>
      <c r="W127" s="58" t="s">
        <v>462</v>
      </c>
      <c r="X127" s="58">
        <v>55.902700963336869</v>
      </c>
      <c r="Y127" s="58">
        <v>24.732613345854851</v>
      </c>
      <c r="Z127" s="58">
        <v>690.47983665135268</v>
      </c>
      <c r="AA127" s="58">
        <v>723.81316998468606</v>
      </c>
      <c r="AC127" s="58" t="s">
        <v>462</v>
      </c>
      <c r="AD127" s="237">
        <v>0</v>
      </c>
      <c r="AE127" s="58">
        <v>0</v>
      </c>
      <c r="AF127" s="58">
        <v>6.2719703977798282</v>
      </c>
      <c r="AG127" s="58">
        <v>13.699987613031087</v>
      </c>
      <c r="AI127" s="58" t="s">
        <v>462</v>
      </c>
      <c r="AJ127" s="58">
        <v>156.01457000710735</v>
      </c>
      <c r="AK127" s="58">
        <v>916.25153751537516</v>
      </c>
      <c r="AL127" s="58">
        <v>384.58311932888205</v>
      </c>
      <c r="AM127" s="58">
        <v>916.25153751537516</v>
      </c>
      <c r="AO127" s="58" t="s">
        <v>462</v>
      </c>
      <c r="AP127" s="58">
        <v>0</v>
      </c>
      <c r="AQ127" s="58">
        <v>0</v>
      </c>
      <c r="AR127" s="58">
        <v>0</v>
      </c>
      <c r="AS127" s="58">
        <v>49.386089053122603</v>
      </c>
      <c r="AU127" s="58" t="s">
        <v>462</v>
      </c>
      <c r="AV127" s="58">
        <v>5588.8063167673017</v>
      </c>
      <c r="AW127" s="58">
        <v>4297.7011494252874</v>
      </c>
      <c r="AX127" s="58">
        <v>1183.046800382044</v>
      </c>
      <c r="AY127" s="58">
        <v>5599.7134670487103</v>
      </c>
      <c r="BB127" s="58" t="s">
        <v>462</v>
      </c>
      <c r="BC127" s="58">
        <v>5599.7134670487103</v>
      </c>
      <c r="BG127" t="s">
        <v>559</v>
      </c>
      <c r="BH127" s="63">
        <v>-0.16791979949874686</v>
      </c>
      <c r="BI127" t="s">
        <v>559</v>
      </c>
      <c r="BJ127" s="63">
        <v>-0.39348370927318294</v>
      </c>
      <c r="BL127" s="58"/>
      <c r="BM127" s="58"/>
      <c r="BN127" s="58"/>
      <c r="BO127" s="58"/>
      <c r="BP127" s="58"/>
      <c r="BQ127" s="83"/>
      <c r="BR127" s="58"/>
      <c r="BS127" s="58"/>
      <c r="BT127" s="58"/>
      <c r="BU127" s="58"/>
      <c r="BV127" s="58"/>
      <c r="BW127" s="83"/>
      <c r="BX127" s="58"/>
      <c r="BY127" s="58"/>
      <c r="BZ127" s="58"/>
      <c r="CA127" s="58"/>
      <c r="CB127" s="58"/>
      <c r="CC127" s="83"/>
      <c r="CD127" s="58"/>
      <c r="CE127" s="58"/>
      <c r="CF127" s="58"/>
      <c r="CG127" s="58"/>
      <c r="CH127" s="58"/>
      <c r="CL127" s="134">
        <v>-28.778467908902694</v>
      </c>
      <c r="CM127" s="69">
        <f t="shared" si="84"/>
        <v>28.778467908902694</v>
      </c>
      <c r="EH127" s="63">
        <v>0.52577319587628868</v>
      </c>
    </row>
    <row r="128" spans="1:138">
      <c r="B128" s="58" t="s">
        <v>412</v>
      </c>
      <c r="C128" s="58">
        <v>-313.17365269461078</v>
      </c>
      <c r="D128" s="58">
        <v>-1418.1818181818182</v>
      </c>
      <c r="E128" s="58">
        <v>-291.95402298850576</v>
      </c>
      <c r="F128" s="58">
        <v>-1418.1818181818182</v>
      </c>
      <c r="I128" s="58" t="s">
        <v>412</v>
      </c>
      <c r="J128" s="58">
        <v>-420</v>
      </c>
      <c r="K128" s="58">
        <v>-610.20408163265313</v>
      </c>
      <c r="L128" s="58">
        <v>-1183.3333333333335</v>
      </c>
      <c r="M128" s="58">
        <v>-1183.3333333333335</v>
      </c>
      <c r="P128" s="58" t="s">
        <v>412</v>
      </c>
      <c r="Q128" s="58">
        <v>-5600</v>
      </c>
      <c r="R128" s="58">
        <v>-4300</v>
      </c>
      <c r="S128" s="58">
        <v>-558.33333333333326</v>
      </c>
      <c r="T128" s="58">
        <v>-5600</v>
      </c>
      <c r="W128" s="58" t="s">
        <v>412</v>
      </c>
      <c r="X128" s="58">
        <v>-95.376385173863184</v>
      </c>
      <c r="Y128" s="58">
        <v>-41.399280012521515</v>
      </c>
      <c r="Z128" s="58">
        <v>-740.47983665135268</v>
      </c>
      <c r="AA128" s="58">
        <v>-740.47983665135268</v>
      </c>
      <c r="AC128" s="58" t="s">
        <v>412</v>
      </c>
      <c r="AD128" s="237">
        <v>0</v>
      </c>
      <c r="AE128" s="58">
        <v>-21.082621082621085</v>
      </c>
      <c r="AF128" s="58">
        <v>-34.782608695652172</v>
      </c>
      <c r="AG128" s="58">
        <v>-34.782608695652172</v>
      </c>
      <c r="AI128" s="58" t="s">
        <v>412</v>
      </c>
      <c r="AJ128" s="58">
        <v>-206.54761904761907</v>
      </c>
      <c r="AK128" s="58">
        <v>-929.16666666666663</v>
      </c>
      <c r="AL128" s="58">
        <v>-398.98989898989902</v>
      </c>
      <c r="AM128" s="58">
        <v>-929.16666666666663</v>
      </c>
      <c r="AO128" s="58" t="s">
        <v>412</v>
      </c>
      <c r="AP128" s="58">
        <v>-28.778467908902694</v>
      </c>
      <c r="AQ128" s="58">
        <v>-42.711370262390673</v>
      </c>
      <c r="AR128" s="58">
        <v>-78.164556962025301</v>
      </c>
      <c r="AS128" s="58">
        <v>-78.164556962025301</v>
      </c>
      <c r="AU128" s="58" t="s">
        <v>412</v>
      </c>
      <c r="AV128" s="58">
        <v>-5600</v>
      </c>
      <c r="AW128" s="58">
        <v>-4300</v>
      </c>
      <c r="AX128" s="58">
        <v>-1183.3333333333335</v>
      </c>
      <c r="AY128" s="58">
        <v>-5600</v>
      </c>
      <c r="BB128" s="58" t="s">
        <v>412</v>
      </c>
      <c r="BC128" s="58">
        <v>0.28653295128939826</v>
      </c>
      <c r="BH128" s="63">
        <v>-8.2872928176795577E-2</v>
      </c>
      <c r="BJ128" s="63">
        <v>-0.28839779005524863</v>
      </c>
      <c r="BL128" s="58"/>
      <c r="BM128" s="58"/>
      <c r="BN128" s="58"/>
      <c r="BO128" s="58"/>
      <c r="BP128" s="58"/>
      <c r="BQ128" s="83"/>
      <c r="BR128" s="58"/>
      <c r="BS128" s="58"/>
      <c r="BT128" s="58"/>
      <c r="BU128" s="58"/>
      <c r="BV128" s="58"/>
      <c r="BW128" s="83"/>
      <c r="BX128" s="58"/>
      <c r="BY128" s="58"/>
      <c r="BZ128" s="58"/>
      <c r="CA128" s="58"/>
      <c r="CB128" s="58"/>
      <c r="CC128" s="83"/>
      <c r="CD128" s="58"/>
      <c r="CE128" s="58"/>
      <c r="CF128" s="58"/>
      <c r="CG128" s="58"/>
      <c r="CH128" s="58"/>
      <c r="CL128" s="134">
        <v>-42.711370262390673</v>
      </c>
      <c r="CM128" s="69">
        <f t="shared" si="84"/>
        <v>42.711370262390673</v>
      </c>
      <c r="EH128" s="63">
        <v>1.1428571428571428</v>
      </c>
    </row>
    <row r="129" spans="2:138">
      <c r="B129" s="58" t="s">
        <v>413</v>
      </c>
      <c r="C129" s="58">
        <v>-11.193683232698561</v>
      </c>
      <c r="D129" s="58">
        <v>-16.723549488054605</v>
      </c>
      <c r="E129" s="58">
        <v>-23.745318352059925</v>
      </c>
      <c r="F129" s="58">
        <v>-11.193683232698561</v>
      </c>
      <c r="I129" s="58" t="s">
        <v>413</v>
      </c>
      <c r="J129" s="58">
        <v>-19.49685534591195</v>
      </c>
      <c r="K129" s="58">
        <v>-2.2988505747126435</v>
      </c>
      <c r="L129" s="58">
        <v>-0.28653295128939826</v>
      </c>
      <c r="M129" s="58">
        <v>-0.28653295128939826</v>
      </c>
      <c r="P129" s="58" t="s">
        <v>413</v>
      </c>
      <c r="Q129" s="58">
        <v>-27.407407407407408</v>
      </c>
      <c r="R129" s="58">
        <v>-7.0707070707070701</v>
      </c>
      <c r="S129" s="58">
        <v>-18.181818181818183</v>
      </c>
      <c r="T129" s="58">
        <v>-7.0707070707070701</v>
      </c>
      <c r="W129" s="58" t="s">
        <v>413</v>
      </c>
      <c r="X129" s="58">
        <v>-39.473684210526315</v>
      </c>
      <c r="Y129" s="58">
        <v>-16.666666666666664</v>
      </c>
      <c r="Z129" s="58">
        <v>-50</v>
      </c>
      <c r="AA129" s="58">
        <v>-16.666666666666664</v>
      </c>
      <c r="AC129" s="58" t="s">
        <v>413</v>
      </c>
      <c r="AD129" s="237">
        <v>0</v>
      </c>
      <c r="AE129" s="58">
        <v>-21.082621082621085</v>
      </c>
      <c r="AF129" s="58">
        <v>-28.510638297872344</v>
      </c>
      <c r="AG129" s="58">
        <v>-21.082621082621085</v>
      </c>
      <c r="AI129" s="58" t="s">
        <v>413</v>
      </c>
      <c r="AJ129" s="58">
        <v>-50.533049040511727</v>
      </c>
      <c r="AK129" s="58">
        <v>-12.915129151291513</v>
      </c>
      <c r="AL129" s="58">
        <v>-14.40677966101695</v>
      </c>
      <c r="AM129" s="58">
        <v>-12.915129151291513</v>
      </c>
      <c r="AO129" s="58" t="s">
        <v>413</v>
      </c>
      <c r="AP129" s="58">
        <v>-28.778467908902694</v>
      </c>
      <c r="AQ129" s="58">
        <v>-42.711370262390673</v>
      </c>
      <c r="AR129" s="58">
        <v>-78.164556962025301</v>
      </c>
      <c r="AS129" s="58">
        <v>-28.778467908902694</v>
      </c>
      <c r="AU129" s="58" t="s">
        <v>413</v>
      </c>
      <c r="AV129" s="58">
        <v>-11.193683232698561</v>
      </c>
      <c r="AW129" s="58">
        <v>-2.2988505747126435</v>
      </c>
      <c r="AX129" s="58">
        <v>-0.28653295128939826</v>
      </c>
      <c r="AY129" s="58">
        <v>-0.28653295128939826</v>
      </c>
      <c r="BB129" s="58" t="s">
        <v>413</v>
      </c>
      <c r="BC129" s="58">
        <v>5600</v>
      </c>
      <c r="BH129" s="63">
        <v>1.0235414534288639E-2</v>
      </c>
      <c r="BJ129" s="63">
        <v>-0.37666666666666665</v>
      </c>
      <c r="BL129" s="58"/>
      <c r="BM129" s="58"/>
      <c r="BN129" s="58"/>
      <c r="BO129" s="58"/>
      <c r="BP129" s="58"/>
      <c r="BQ129" s="83"/>
      <c r="BR129" s="58"/>
      <c r="BS129" s="58"/>
      <c r="BT129" s="58"/>
      <c r="BU129" s="58"/>
      <c r="BV129" s="58"/>
      <c r="BW129" s="83"/>
      <c r="BX129" s="58"/>
      <c r="BY129" s="58"/>
      <c r="BZ129" s="58"/>
      <c r="CA129" s="58"/>
      <c r="CB129" s="58"/>
      <c r="CC129" s="83"/>
      <c r="CD129" s="58"/>
      <c r="CE129" s="58"/>
      <c r="CF129" s="58"/>
      <c r="CG129" s="58"/>
      <c r="CH129" s="58"/>
      <c r="CL129" s="134">
        <v>-78.164556962025301</v>
      </c>
      <c r="CM129" s="69">
        <f t="shared" si="84"/>
        <v>78.164556962025301</v>
      </c>
      <c r="EH129" s="63">
        <v>0.17041800643086816</v>
      </c>
    </row>
    <row r="130" spans="2:138">
      <c r="B130" s="58" t="s">
        <v>463</v>
      </c>
      <c r="C130" s="58">
        <v>-861.20879947744015</v>
      </c>
      <c r="D130" s="58">
        <v>-1810.1665511747499</v>
      </c>
      <c r="E130" s="58">
        <v>-567.49934134056571</v>
      </c>
      <c r="F130" s="58">
        <v>-3238.8746919927553</v>
      </c>
      <c r="I130" s="58" t="s">
        <v>463</v>
      </c>
      <c r="J130" s="58">
        <v>-484.84036679629367</v>
      </c>
      <c r="K130" s="58">
        <v>-880.56054294032424</v>
      </c>
      <c r="L130" s="58">
        <v>-1406.8949245596812</v>
      </c>
      <c r="M130" s="58">
        <v>-2772.2958342962993</v>
      </c>
      <c r="P130" s="58" t="s">
        <v>463</v>
      </c>
      <c r="Q130" s="58">
        <v>-9818.4437445712247</v>
      </c>
      <c r="R130" s="58">
        <v>-9116.7622691525521</v>
      </c>
      <c r="S130" s="58">
        <v>-3150.8309104466516</v>
      </c>
      <c r="T130" s="58">
        <v>-22086.036924170421</v>
      </c>
      <c r="W130" s="58" t="s">
        <v>463</v>
      </c>
      <c r="X130" s="58">
        <v>-134.85006938438949</v>
      </c>
      <c r="Y130" s="58">
        <v>-58.06594667918818</v>
      </c>
      <c r="Z130" s="58">
        <v>-790.47983665135268</v>
      </c>
      <c r="AA130" s="58">
        <v>-983.39585271493036</v>
      </c>
      <c r="AC130" s="58" t="s">
        <v>463</v>
      </c>
      <c r="AD130" s="237">
        <v>0</v>
      </c>
      <c r="AE130" s="58">
        <v>-21.082621082621085</v>
      </c>
      <c r="AF130" s="58">
        <v>-63.293246993524519</v>
      </c>
      <c r="AG130" s="58">
        <v>-84.375868076145593</v>
      </c>
      <c r="AI130" s="58" t="s">
        <v>463</v>
      </c>
      <c r="AJ130" s="58">
        <v>-477.44245440808555</v>
      </c>
      <c r="AK130" s="58">
        <v>-1065.9454321815945</v>
      </c>
      <c r="AL130" s="58">
        <v>-718.6640122142137</v>
      </c>
      <c r="AM130" s="58">
        <v>-2262.0518988038939</v>
      </c>
      <c r="AO130" s="58" t="s">
        <v>463</v>
      </c>
      <c r="AP130" s="58">
        <v>-28.778467908902694</v>
      </c>
      <c r="AQ130" s="58">
        <v>-42.711370262390673</v>
      </c>
      <c r="AR130" s="58">
        <v>-78.164556962025301</v>
      </c>
      <c r="AS130" s="58">
        <v>-149.65439513331867</v>
      </c>
      <c r="AU130" s="58" t="s">
        <v>463</v>
      </c>
      <c r="AV130" s="58">
        <v>-11805.563902546337</v>
      </c>
      <c r="AW130" s="58">
        <v>-12995.294733473422</v>
      </c>
      <c r="AX130" s="58">
        <v>-6775.8268291680142</v>
      </c>
      <c r="AY130" s="58">
        <v>-31576.685465187766</v>
      </c>
      <c r="BB130" s="58" t="s">
        <v>463</v>
      </c>
      <c r="BC130" s="58">
        <v>31576.685465187766</v>
      </c>
      <c r="BH130" s="63">
        <v>3.9360393603936041E-2</v>
      </c>
      <c r="BJ130" s="63">
        <v>1.3530135301353014E-2</v>
      </c>
      <c r="BL130" s="58"/>
      <c r="BM130" s="58"/>
      <c r="BN130" s="58"/>
      <c r="BO130" s="58"/>
      <c r="BP130" s="58"/>
      <c r="BQ130" s="83"/>
      <c r="BR130" s="58"/>
      <c r="BS130" s="58"/>
      <c r="BT130" s="58"/>
      <c r="BU130" s="58"/>
      <c r="BV130" s="58"/>
      <c r="BW130" s="83"/>
      <c r="BX130" s="58"/>
      <c r="BY130" s="58"/>
      <c r="BZ130" s="58"/>
      <c r="CA130" s="58"/>
      <c r="CB130" s="58"/>
      <c r="CC130" s="83"/>
      <c r="CD130" s="58"/>
      <c r="CE130" s="58"/>
      <c r="CF130" s="58"/>
      <c r="CG130" s="58"/>
      <c r="CH130" s="58"/>
      <c r="EH130" s="63">
        <v>14.666666666666666</v>
      </c>
    </row>
    <row r="131" spans="2:138">
      <c r="B131" s="58" t="s">
        <v>464</v>
      </c>
      <c r="C131" s="58">
        <v>7</v>
      </c>
      <c r="D131" s="58">
        <v>7</v>
      </c>
      <c r="E131" s="58">
        <v>4</v>
      </c>
      <c r="F131" s="58">
        <v>18</v>
      </c>
      <c r="I131" s="58" t="s">
        <v>464</v>
      </c>
      <c r="J131" s="58">
        <v>3</v>
      </c>
      <c r="K131" s="58">
        <v>4</v>
      </c>
      <c r="L131" s="58">
        <v>4</v>
      </c>
      <c r="M131" s="58">
        <v>11</v>
      </c>
      <c r="P131" s="58" t="s">
        <v>464</v>
      </c>
      <c r="Q131" s="58">
        <v>27</v>
      </c>
      <c r="R131" s="58">
        <v>27</v>
      </c>
      <c r="S131" s="58">
        <v>22</v>
      </c>
      <c r="T131" s="58">
        <v>76</v>
      </c>
      <c r="W131" s="58" t="s">
        <v>464</v>
      </c>
      <c r="X131" s="58">
        <v>2</v>
      </c>
      <c r="Y131" s="58">
        <v>2</v>
      </c>
      <c r="Z131" s="58">
        <v>2</v>
      </c>
      <c r="AA131" s="58">
        <v>6</v>
      </c>
      <c r="AC131" s="58" t="s">
        <v>464</v>
      </c>
      <c r="AD131" s="237">
        <v>1</v>
      </c>
      <c r="AE131" s="58">
        <v>1</v>
      </c>
      <c r="AF131" s="58">
        <v>2</v>
      </c>
      <c r="AG131" s="58">
        <v>3</v>
      </c>
      <c r="AI131" s="58" t="s">
        <v>464</v>
      </c>
      <c r="AJ131" s="58">
        <v>4</v>
      </c>
      <c r="AK131" s="58">
        <v>3</v>
      </c>
      <c r="AL131" s="58">
        <v>4</v>
      </c>
      <c r="AM131" s="58">
        <v>11</v>
      </c>
      <c r="AO131" s="58" t="s">
        <v>464</v>
      </c>
      <c r="AP131" s="58">
        <v>1</v>
      </c>
      <c r="AQ131" s="58">
        <v>1</v>
      </c>
      <c r="AR131" s="58">
        <v>1</v>
      </c>
      <c r="AS131" s="58">
        <v>3</v>
      </c>
      <c r="AU131" s="58" t="s">
        <v>464</v>
      </c>
      <c r="AV131" s="58">
        <v>44</v>
      </c>
      <c r="AW131" s="58">
        <v>45</v>
      </c>
      <c r="AX131" s="58">
        <v>39</v>
      </c>
      <c r="AY131" s="58">
        <v>128</v>
      </c>
      <c r="BB131" s="58" t="s">
        <v>464</v>
      </c>
      <c r="BC131" s="58">
        <v>128</v>
      </c>
      <c r="BH131" s="63">
        <v>0.2</v>
      </c>
      <c r="BJ131" s="63">
        <v>0.29051987767584098</v>
      </c>
      <c r="BL131" s="58"/>
      <c r="BM131" s="58"/>
      <c r="BN131" s="58"/>
      <c r="BO131" s="58"/>
      <c r="BP131" s="58"/>
      <c r="BQ131" s="83"/>
      <c r="BR131" s="58"/>
      <c r="BS131" s="58"/>
      <c r="BT131" s="58"/>
      <c r="BU131" s="58"/>
      <c r="BV131" s="58"/>
      <c r="BW131" s="83"/>
      <c r="BX131" s="58"/>
      <c r="BY131" s="58"/>
      <c r="BZ131" s="58"/>
      <c r="CA131" s="58"/>
      <c r="CB131" s="58"/>
      <c r="CC131" s="83"/>
      <c r="CD131" s="58"/>
      <c r="CE131" s="58"/>
      <c r="CF131" s="58"/>
      <c r="CG131" s="58"/>
      <c r="CH131" s="58"/>
      <c r="EH131" s="63">
        <v>0.16477272727272727</v>
      </c>
    </row>
    <row r="132" spans="2:138" ht="17" thickBot="1">
      <c r="B132" s="59" t="s">
        <v>467</v>
      </c>
      <c r="C132" s="59">
        <v>106.16366224078618</v>
      </c>
      <c r="D132" s="59">
        <v>473.81796284898297</v>
      </c>
      <c r="E132" s="59">
        <v>177.25386979668502</v>
      </c>
      <c r="F132" s="59">
        <v>160.1391291578833</v>
      </c>
      <c r="I132" s="59" t="s">
        <v>467</v>
      </c>
      <c r="J132" s="59">
        <v>556.80004378605929</v>
      </c>
      <c r="K132" s="59">
        <v>433.50437377998179</v>
      </c>
      <c r="L132" s="59">
        <v>889.41844132680137</v>
      </c>
      <c r="M132" s="59">
        <v>244.89026890620573</v>
      </c>
      <c r="P132" s="59" t="s">
        <v>467</v>
      </c>
      <c r="Q132" s="59">
        <v>416.58636518424987</v>
      </c>
      <c r="R132" s="59">
        <v>321.04099971557412</v>
      </c>
      <c r="S132" s="59">
        <v>53.679839064637797</v>
      </c>
      <c r="T132" s="59">
        <v>180.79234095097024</v>
      </c>
      <c r="W132" s="59" t="s">
        <v>467</v>
      </c>
      <c r="X132" s="59">
        <v>355.15558187265441</v>
      </c>
      <c r="Y132" s="59">
        <v>157.12882441653915</v>
      </c>
      <c r="Z132" s="59">
        <v>4386.6890853462737</v>
      </c>
      <c r="AA132" s="59">
        <v>297.669600111504</v>
      </c>
      <c r="AC132" s="59" t="s">
        <v>467</v>
      </c>
      <c r="AD132" s="242" t="e">
        <v>#NUM!</v>
      </c>
      <c r="AE132" s="59" t="e">
        <v>#NUM!</v>
      </c>
      <c r="AF132" s="59">
        <v>39.846469986708769</v>
      </c>
      <c r="AG132" s="59">
        <v>17.036510098953507</v>
      </c>
      <c r="AI132" s="59" t="s">
        <v>467</v>
      </c>
      <c r="AJ132" s="59">
        <v>103.48053099681704</v>
      </c>
      <c r="AK132" s="59">
        <v>1242.2093763697355</v>
      </c>
      <c r="AL132" s="59">
        <v>257.74934684881975</v>
      </c>
      <c r="AM132" s="59">
        <v>176.62297067701363</v>
      </c>
      <c r="AO132" s="59" t="s">
        <v>467</v>
      </c>
      <c r="AP132" s="59" t="e">
        <v>#NUM!</v>
      </c>
      <c r="AQ132" s="59" t="e">
        <v>#NUM!</v>
      </c>
      <c r="AR132" s="59" t="e">
        <v>#NUM!</v>
      </c>
      <c r="AS132" s="59">
        <v>63.2524098967301</v>
      </c>
      <c r="AU132" s="59" t="s">
        <v>467</v>
      </c>
      <c r="AV132" s="59">
        <v>252.59373046385917</v>
      </c>
      <c r="AW132" s="59">
        <v>201.49752485395359</v>
      </c>
      <c r="AX132" s="59">
        <v>72.456231839264618</v>
      </c>
      <c r="AY132" s="59">
        <v>111.57361891180599</v>
      </c>
      <c r="BB132" s="59" t="s">
        <v>467</v>
      </c>
      <c r="BC132" s="59">
        <v>111.57361891180599</v>
      </c>
      <c r="BH132" s="63">
        <v>-7.1428571428571425E-2</v>
      </c>
      <c r="BJ132" s="63">
        <v>-7.4234457160532008E-2</v>
      </c>
      <c r="BL132" s="58"/>
      <c r="BM132" s="58"/>
      <c r="BN132" s="58"/>
      <c r="BO132" s="58"/>
      <c r="BP132" s="58"/>
      <c r="BQ132" s="83"/>
      <c r="BR132" s="58"/>
      <c r="BS132" s="58"/>
      <c r="BT132" s="58"/>
      <c r="BU132" s="58"/>
      <c r="BV132" s="58"/>
      <c r="BW132" s="83"/>
      <c r="BX132" s="58"/>
      <c r="BY132" s="58"/>
      <c r="BZ132" s="58"/>
      <c r="CA132" s="58"/>
      <c r="CB132" s="58"/>
      <c r="CC132" s="83"/>
      <c r="CD132" s="58"/>
      <c r="CE132" s="58"/>
      <c r="CF132" s="58"/>
      <c r="CG132" s="58"/>
      <c r="CH132" s="58"/>
      <c r="EH132" s="63">
        <v>1.2210526315789474</v>
      </c>
    </row>
    <row r="133" spans="2:138">
      <c r="BH133" s="63">
        <v>9.4152046783625737E-2</v>
      </c>
      <c r="BJ133" s="63">
        <v>-6.0992907801418438E-2</v>
      </c>
      <c r="BL133" s="58"/>
      <c r="BM133" s="58"/>
      <c r="BN133" s="58"/>
      <c r="BO133" s="58"/>
      <c r="BP133" s="58"/>
      <c r="BQ133" s="83"/>
      <c r="BR133" s="58"/>
      <c r="BS133" s="58"/>
      <c r="BT133" s="58"/>
      <c r="BU133" s="58"/>
      <c r="BV133" s="58"/>
      <c r="BW133" s="83"/>
      <c r="BX133" s="58"/>
      <c r="BY133" s="58"/>
      <c r="BZ133" s="58"/>
      <c r="CA133" s="58"/>
      <c r="CB133" s="58"/>
      <c r="CC133" s="83"/>
      <c r="CD133" s="58"/>
      <c r="CE133" s="58"/>
      <c r="CF133" s="58"/>
      <c r="CG133" s="58"/>
      <c r="CH133" s="58"/>
      <c r="EH133" s="63">
        <v>0.96644295302013428</v>
      </c>
    </row>
    <row r="134" spans="2:138">
      <c r="BH134" s="63">
        <v>4.6948356807511738E-3</v>
      </c>
      <c r="BJ134" s="63">
        <v>-8.673469387755102E-2</v>
      </c>
      <c r="BL134" s="83"/>
      <c r="BM134" s="83"/>
      <c r="BN134" s="83"/>
      <c r="BP134" s="83"/>
      <c r="BQ134" s="83"/>
      <c r="BS134" s="83"/>
      <c r="BT134" s="83"/>
      <c r="BU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EH134" s="63">
        <v>0.4434389140271493</v>
      </c>
    </row>
    <row r="135" spans="2:138">
      <c r="BH135" s="63">
        <v>-1.5968063872255488E-2</v>
      </c>
      <c r="BJ135" s="63">
        <v>-0.15451174289245984</v>
      </c>
      <c r="BL135" s="83"/>
      <c r="BM135" s="83"/>
      <c r="BN135" s="83"/>
      <c r="BP135" s="83"/>
      <c r="BQ135" s="83"/>
      <c r="BS135" s="83"/>
      <c r="BT135" s="83"/>
      <c r="BU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EH135" s="63">
        <v>3</v>
      </c>
    </row>
    <row r="136" spans="2:138" ht="17" thickBot="1">
      <c r="BH136" s="63">
        <v>6.1443932411674347E-2</v>
      </c>
      <c r="BJ136" s="63">
        <v>5.9907834101382486E-2</v>
      </c>
      <c r="BL136" s="83"/>
      <c r="BM136" s="83"/>
      <c r="BN136" s="83"/>
      <c r="BP136" s="83"/>
      <c r="BQ136" s="83"/>
      <c r="BS136" s="83"/>
      <c r="BT136" s="83"/>
      <c r="BU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EH136" s="63">
        <v>38.666666666666664</v>
      </c>
    </row>
    <row r="137" spans="2:138">
      <c r="BH137" s="63">
        <v>-0.22043386983904828</v>
      </c>
      <c r="BJ137" s="63">
        <v>-0.59973753280839892</v>
      </c>
      <c r="BL137" s="138"/>
      <c r="BM137" s="180"/>
      <c r="BN137" s="138"/>
      <c r="BO137" s="138"/>
      <c r="BP137" s="138"/>
      <c r="BQ137" s="180"/>
      <c r="BR137" s="138"/>
      <c r="BS137" s="180"/>
      <c r="BT137" s="138"/>
      <c r="BU137" s="138"/>
      <c r="BV137" s="138"/>
      <c r="BW137" s="83"/>
      <c r="BX137" s="138"/>
      <c r="BY137" s="180"/>
      <c r="BZ137" s="138"/>
      <c r="CA137" s="138"/>
      <c r="CB137" s="138"/>
      <c r="CC137" s="180"/>
      <c r="CD137" s="138"/>
      <c r="CE137" s="180"/>
      <c r="CF137" s="138"/>
      <c r="CG137" s="138"/>
      <c r="CH137" s="138"/>
      <c r="CI137" s="61"/>
      <c r="EH137" s="63">
        <v>0.3473684210526316</v>
      </c>
    </row>
    <row r="138" spans="2:138">
      <c r="BH138" s="63">
        <v>0.16535433070866143</v>
      </c>
      <c r="BJ138" s="63">
        <v>-4.0650406504065045E-3</v>
      </c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83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EH138" s="63">
        <v>0.58333333333333337</v>
      </c>
    </row>
    <row r="139" spans="2:138">
      <c r="BH139" s="63">
        <v>-2.9354207436399216E-2</v>
      </c>
      <c r="BJ139" s="63">
        <v>-0.23864406779661018</v>
      </c>
      <c r="BL139" s="58"/>
      <c r="BM139" s="58"/>
      <c r="BN139" s="58"/>
      <c r="BO139" s="58"/>
      <c r="BP139" s="58"/>
      <c r="BQ139" s="83"/>
      <c r="BR139" s="58"/>
      <c r="BS139" s="58"/>
      <c r="BT139" s="58"/>
      <c r="BU139" s="58"/>
      <c r="BV139" s="58"/>
      <c r="BW139" s="83"/>
      <c r="BX139" s="58"/>
      <c r="BY139" s="58"/>
      <c r="BZ139" s="58"/>
      <c r="CA139" s="58"/>
      <c r="CB139" s="58"/>
      <c r="CC139" s="83"/>
      <c r="CD139" s="58"/>
      <c r="CE139" s="58"/>
      <c r="CF139" s="58"/>
      <c r="CG139" s="58"/>
      <c r="CH139" s="58"/>
      <c r="EH139" s="63">
        <v>0</v>
      </c>
    </row>
    <row r="140" spans="2:138">
      <c r="BH140" s="63">
        <v>-5.2710843373493979E-2</v>
      </c>
      <c r="BJ140" s="63">
        <v>-6.3862928348909651E-2</v>
      </c>
      <c r="BL140" s="58"/>
      <c r="BM140" s="58"/>
      <c r="BN140" s="58"/>
      <c r="BO140" s="58"/>
      <c r="BP140" s="58"/>
      <c r="BQ140" s="83"/>
      <c r="BR140" s="58"/>
      <c r="BS140" s="58"/>
      <c r="BT140" s="58"/>
      <c r="BU140" s="58"/>
      <c r="BV140" s="58"/>
      <c r="BW140" s="83"/>
      <c r="BX140" s="58"/>
      <c r="BY140" s="58"/>
      <c r="BZ140" s="58"/>
      <c r="CA140" s="58"/>
      <c r="CB140" s="58"/>
      <c r="CC140" s="83"/>
      <c r="CD140" s="58"/>
      <c r="CE140" s="58"/>
      <c r="CF140" s="58"/>
      <c r="CG140" s="58"/>
      <c r="CH140" s="58"/>
    </row>
    <row r="141" spans="2:138">
      <c r="BH141" s="63">
        <v>0.13186628590626576</v>
      </c>
      <c r="BJ141" s="63">
        <v>0.10624684290284558</v>
      </c>
      <c r="BL141" s="58"/>
      <c r="BM141" s="58"/>
      <c r="BN141" s="58"/>
      <c r="BO141" s="58"/>
      <c r="BP141" s="58"/>
      <c r="BQ141" s="83"/>
      <c r="BR141" s="58"/>
      <c r="BS141" s="58"/>
      <c r="BT141" s="58"/>
      <c r="BU141" s="58"/>
      <c r="BV141" s="58"/>
      <c r="BW141" s="83"/>
      <c r="BX141" s="58"/>
      <c r="BY141" s="58"/>
      <c r="BZ141" s="58"/>
      <c r="CA141" s="58"/>
      <c r="CB141" s="58"/>
      <c r="CC141" s="83"/>
      <c r="CD141" s="58"/>
      <c r="CE141" s="58"/>
      <c r="CF141" s="58"/>
      <c r="CG141" s="58"/>
      <c r="CH141" s="58"/>
    </row>
    <row r="142" spans="2:138">
      <c r="BH142" s="63">
        <v>1.1111111111111112E-2</v>
      </c>
      <c r="BJ142" s="63">
        <v>-9.6551724137931033E-2</v>
      </c>
      <c r="BL142" s="58"/>
      <c r="BM142" s="58"/>
      <c r="BN142" s="58"/>
      <c r="BO142" s="58"/>
      <c r="BP142" s="58"/>
      <c r="BQ142" s="83"/>
      <c r="BR142" s="58"/>
      <c r="BS142" s="58"/>
      <c r="BT142" s="58"/>
      <c r="BU142" s="58"/>
      <c r="BV142" s="58"/>
      <c r="BW142" s="83"/>
      <c r="BX142" s="58"/>
      <c r="BY142" s="58"/>
      <c r="BZ142" s="58"/>
      <c r="CA142" s="58"/>
      <c r="CB142" s="58"/>
      <c r="CC142" s="83"/>
      <c r="CD142" s="58"/>
      <c r="CE142" s="58"/>
      <c r="CF142" s="58"/>
      <c r="CG142" s="58"/>
      <c r="CH142" s="58"/>
    </row>
    <row r="143" spans="2:138">
      <c r="BH143" s="63">
        <v>0.27089337175792505</v>
      </c>
      <c r="BJ143" s="63">
        <v>-3.5542747358309319E-2</v>
      </c>
      <c r="BL143" s="58"/>
      <c r="BM143" s="58"/>
      <c r="BN143" s="58"/>
      <c r="BO143" s="58"/>
      <c r="BP143" s="58"/>
      <c r="BQ143" s="83"/>
      <c r="BR143" s="58"/>
      <c r="BS143" s="58"/>
      <c r="BT143" s="58"/>
      <c r="BU143" s="58"/>
      <c r="BV143" s="58"/>
      <c r="BW143" s="83"/>
      <c r="BX143" s="58"/>
      <c r="BY143" s="58"/>
      <c r="BZ143" s="58"/>
      <c r="CA143" s="58"/>
      <c r="CB143" s="58"/>
      <c r="CC143" s="83"/>
      <c r="CD143" s="58"/>
      <c r="CE143" s="58"/>
      <c r="CF143" s="58"/>
      <c r="CG143" s="58"/>
      <c r="CH143" s="58"/>
    </row>
    <row r="144" spans="2:138">
      <c r="BH144" s="63">
        <v>-0.14153846153846153</v>
      </c>
      <c r="BJ144" s="63">
        <v>-0.15396578538102643</v>
      </c>
      <c r="BL144" s="58"/>
      <c r="BM144" s="58"/>
      <c r="BN144" s="58"/>
      <c r="BO144" s="58"/>
      <c r="BP144" s="58"/>
      <c r="BQ144" s="83"/>
      <c r="BR144" s="58"/>
      <c r="BS144" s="58"/>
      <c r="BT144" s="58"/>
      <c r="BU144" s="58"/>
      <c r="BV144" s="58"/>
      <c r="BW144" s="83"/>
      <c r="BX144" s="58"/>
      <c r="BY144" s="58"/>
      <c r="BZ144" s="58"/>
      <c r="CA144" s="58"/>
      <c r="CB144" s="58"/>
      <c r="CC144" s="83"/>
      <c r="CD144" s="58"/>
      <c r="CE144" s="58"/>
      <c r="CF144" s="58"/>
      <c r="CG144" s="58"/>
      <c r="CH144" s="58"/>
    </row>
    <row r="145" spans="1:93">
      <c r="BH145" s="63">
        <v>-2.2271714922048997E-3</v>
      </c>
      <c r="BJ145" s="63">
        <v>-2.2271714922048997E-3</v>
      </c>
      <c r="BL145" s="58"/>
      <c r="BM145" s="58"/>
      <c r="BN145" s="58"/>
      <c r="BO145" s="58"/>
      <c r="BP145" s="58"/>
      <c r="BQ145" s="83"/>
      <c r="BR145" s="58"/>
      <c r="BS145" s="58"/>
      <c r="BT145" s="58"/>
      <c r="BU145" s="58"/>
      <c r="BV145" s="58"/>
      <c r="BW145" s="83"/>
      <c r="BX145" s="58"/>
      <c r="BY145" s="58"/>
      <c r="BZ145" s="58"/>
      <c r="CA145" s="58"/>
      <c r="CB145" s="58"/>
      <c r="CC145" s="83"/>
      <c r="CD145" s="58"/>
      <c r="CE145" s="58"/>
      <c r="CF145" s="58"/>
      <c r="CG145" s="58"/>
      <c r="CH145" s="58"/>
    </row>
    <row r="146" spans="1:93">
      <c r="BH146" s="63">
        <v>0.3300970873786408</v>
      </c>
      <c r="BJ146" s="63">
        <v>-0.30582524271844658</v>
      </c>
      <c r="BL146" s="58"/>
      <c r="BM146" s="58"/>
      <c r="BN146" s="58"/>
      <c r="BO146" s="58"/>
      <c r="BP146" s="58"/>
      <c r="BQ146" s="83"/>
      <c r="BR146" s="58"/>
      <c r="BS146" s="58"/>
      <c r="BT146" s="58"/>
      <c r="BU146" s="58"/>
      <c r="BV146" s="58"/>
      <c r="BW146" s="83"/>
      <c r="BX146" s="58"/>
      <c r="BY146" s="58"/>
      <c r="BZ146" s="58"/>
      <c r="CA146" s="58"/>
      <c r="CB146" s="58"/>
      <c r="CC146" s="83"/>
      <c r="CD146" s="58"/>
      <c r="CE146" s="58"/>
      <c r="CF146" s="58"/>
      <c r="CG146" s="58"/>
      <c r="CH146" s="58"/>
    </row>
    <row r="147" spans="1:93">
      <c r="BH147" s="63">
        <v>-0.37743190661478598</v>
      </c>
      <c r="BJ147" s="63">
        <v>-0.37743190661478598</v>
      </c>
      <c r="BL147" s="58"/>
      <c r="BM147" s="58"/>
      <c r="BN147" s="58"/>
      <c r="BO147" s="58"/>
      <c r="BP147" s="58"/>
      <c r="BQ147" s="83"/>
      <c r="BR147" s="58"/>
      <c r="BS147" s="58"/>
      <c r="BT147" s="58"/>
      <c r="BU147" s="58"/>
      <c r="BV147" s="58"/>
      <c r="BW147" s="83"/>
      <c r="BX147" s="58"/>
      <c r="BY147" s="58"/>
      <c r="BZ147" s="58"/>
      <c r="CA147" s="58"/>
      <c r="CB147" s="58"/>
      <c r="CC147" s="83"/>
      <c r="CD147" s="58"/>
      <c r="CE147" s="58"/>
      <c r="CF147" s="58"/>
      <c r="CG147" s="58"/>
      <c r="CH147" s="58"/>
    </row>
    <row r="148" spans="1:93">
      <c r="BH148" s="63">
        <v>0.18048533872598585</v>
      </c>
      <c r="BJ148" s="63">
        <v>-8.1865284974093261E-2</v>
      </c>
      <c r="BL148" s="58"/>
      <c r="BM148" s="58"/>
      <c r="BN148" s="58"/>
      <c r="BO148" s="58"/>
      <c r="BP148" s="58"/>
      <c r="BQ148" s="83"/>
      <c r="BR148" s="58"/>
      <c r="BS148" s="58"/>
      <c r="BT148" s="58"/>
      <c r="BU148" s="58"/>
      <c r="BV148" s="58"/>
      <c r="BW148" s="83"/>
      <c r="BX148" s="58"/>
      <c r="BY148" s="58"/>
      <c r="BZ148" s="58"/>
      <c r="CA148" s="58"/>
      <c r="CB148" s="58"/>
      <c r="CC148" s="83"/>
      <c r="CD148" s="58"/>
      <c r="CE148" s="58"/>
      <c r="CF148" s="58"/>
      <c r="CG148" s="58"/>
      <c r="CH148" s="58"/>
    </row>
    <row r="149" spans="1:93">
      <c r="BH149" s="63">
        <v>0</v>
      </c>
      <c r="BJ149" s="63">
        <v>0</v>
      </c>
      <c r="BL149" s="58"/>
      <c r="BM149" s="58"/>
      <c r="BN149" s="58"/>
      <c r="BO149" s="58"/>
      <c r="BP149" s="58"/>
      <c r="BQ149" s="83"/>
      <c r="BR149" s="58"/>
      <c r="BS149" s="58"/>
      <c r="BT149" s="58"/>
      <c r="BU149" s="58"/>
      <c r="BV149" s="58"/>
      <c r="BW149" s="83"/>
      <c r="BX149" s="58"/>
      <c r="BY149" s="58"/>
      <c r="BZ149" s="58"/>
      <c r="CA149" s="58"/>
      <c r="CB149" s="58"/>
      <c r="CC149" s="83"/>
      <c r="CD149" s="58"/>
      <c r="CE149" s="58"/>
      <c r="CF149" s="58"/>
      <c r="CG149" s="58"/>
      <c r="CH149" s="58"/>
    </row>
    <row r="150" spans="1:93">
      <c r="BH150" s="63">
        <v>0.43243243243243246</v>
      </c>
      <c r="BJ150" s="63">
        <v>8.1081081081081086E-2</v>
      </c>
      <c r="BL150" s="58"/>
      <c r="BM150" s="58"/>
      <c r="BN150" s="58"/>
      <c r="BO150" s="58"/>
      <c r="BP150" s="58"/>
      <c r="BQ150" s="83"/>
      <c r="BR150" s="58"/>
      <c r="BS150" s="58"/>
      <c r="BT150" s="58"/>
      <c r="BU150" s="58"/>
      <c r="BV150" s="58"/>
      <c r="BW150" s="83"/>
      <c r="BX150" s="58"/>
      <c r="BY150" s="58"/>
      <c r="BZ150" s="58"/>
      <c r="CA150" s="58"/>
      <c r="CB150" s="58"/>
      <c r="CC150" s="83"/>
      <c r="CD150" s="58"/>
      <c r="CE150" s="58"/>
      <c r="CF150" s="58"/>
      <c r="CG150" s="58"/>
      <c r="CH150" s="58"/>
    </row>
    <row r="151" spans="1:93">
      <c r="BH151" s="63">
        <v>0.10775961317061938</v>
      </c>
      <c r="BJ151" s="63">
        <v>4.4331904947409427E-2</v>
      </c>
      <c r="BL151" s="58"/>
      <c r="BM151" s="58"/>
      <c r="BN151" s="58"/>
      <c r="BO151" s="58"/>
      <c r="BP151" s="58"/>
      <c r="BQ151" s="83"/>
      <c r="BR151" s="58"/>
      <c r="BS151" s="58"/>
      <c r="BT151" s="58"/>
      <c r="BU151" s="58"/>
      <c r="BV151" s="58"/>
      <c r="BW151" s="83"/>
      <c r="BX151" s="58"/>
      <c r="BY151" s="58"/>
      <c r="BZ151" s="58"/>
      <c r="CA151" s="58"/>
      <c r="CB151" s="58"/>
      <c r="CC151" s="83"/>
      <c r="CD151" s="58"/>
      <c r="CE151" s="58"/>
      <c r="CF151" s="58"/>
      <c r="CG151" s="58"/>
      <c r="CH151" s="58"/>
    </row>
    <row r="152" spans="1:93">
      <c r="BH152" s="63">
        <v>-4.7923322683706068E-2</v>
      </c>
      <c r="BJ152" s="63">
        <v>-0.26578073089700999</v>
      </c>
      <c r="BL152" s="58"/>
      <c r="BM152" s="58"/>
      <c r="BN152" s="58"/>
      <c r="BO152" s="58"/>
      <c r="BP152" s="58"/>
      <c r="BQ152" s="83"/>
      <c r="BR152" s="58"/>
      <c r="BS152" s="58"/>
      <c r="BT152" s="58"/>
      <c r="BU152" s="58"/>
      <c r="BV152" s="58"/>
      <c r="BW152" s="83"/>
      <c r="BX152" s="58"/>
      <c r="BY152" s="58"/>
      <c r="BZ152" s="58"/>
      <c r="CA152" s="58"/>
      <c r="CB152" s="58"/>
      <c r="CC152" s="83"/>
      <c r="CD152" s="58"/>
      <c r="CE152" s="58"/>
      <c r="CF152" s="58"/>
      <c r="CG152" s="58"/>
      <c r="CH152" s="58"/>
    </row>
    <row r="153" spans="1:93">
      <c r="BH153" s="63">
        <v>-4.8995590396864281E-3</v>
      </c>
      <c r="BJ153" s="63">
        <v>-5.7142857142857143E-3</v>
      </c>
    </row>
    <row r="154" spans="1:93">
      <c r="BH154" s="63">
        <v>0</v>
      </c>
      <c r="BJ154" s="63">
        <v>-3.9473684210526314E-2</v>
      </c>
    </row>
    <row r="155" spans="1:93" ht="17" thickBot="1">
      <c r="BH155" s="63">
        <v>8.8235294117647065E-2</v>
      </c>
      <c r="BJ155" s="63">
        <v>3.3936651583710405E-2</v>
      </c>
    </row>
    <row r="156" spans="1:93">
      <c r="A156" t="s">
        <v>574</v>
      </c>
      <c r="B156" s="61" t="s">
        <v>569</v>
      </c>
      <c r="C156" s="61">
        <v>2015</v>
      </c>
      <c r="D156" s="61">
        <v>2016</v>
      </c>
      <c r="E156" s="61">
        <v>2017</v>
      </c>
      <c r="F156" s="60" t="s">
        <v>376</v>
      </c>
      <c r="G156" s="61"/>
      <c r="H156" s="83"/>
      <c r="I156" s="61" t="s">
        <v>36</v>
      </c>
      <c r="J156" s="61">
        <v>2015</v>
      </c>
      <c r="K156" s="61">
        <v>2016</v>
      </c>
      <c r="L156" s="61">
        <v>2017</v>
      </c>
      <c r="M156" s="60" t="s">
        <v>376</v>
      </c>
      <c r="N156" s="61"/>
      <c r="P156" s="60" t="s">
        <v>46</v>
      </c>
      <c r="Q156" s="61">
        <v>2015</v>
      </c>
      <c r="R156" s="61">
        <v>2016</v>
      </c>
      <c r="S156" s="61">
        <v>2017</v>
      </c>
      <c r="T156" s="60" t="s">
        <v>376</v>
      </c>
      <c r="U156" s="61"/>
      <c r="W156" s="60" t="s">
        <v>37</v>
      </c>
      <c r="X156" s="61">
        <v>2015</v>
      </c>
      <c r="Y156" s="61">
        <v>2016</v>
      </c>
      <c r="Z156" s="61">
        <v>2017</v>
      </c>
      <c r="AA156" s="60" t="s">
        <v>376</v>
      </c>
      <c r="AB156" s="61"/>
      <c r="AC156" s="60" t="s">
        <v>38</v>
      </c>
      <c r="AD156" s="61">
        <v>2015</v>
      </c>
      <c r="AE156" s="61">
        <v>2016</v>
      </c>
      <c r="AF156" s="61">
        <v>2017</v>
      </c>
      <c r="AG156" s="60" t="s">
        <v>376</v>
      </c>
      <c r="AH156" s="61"/>
      <c r="AI156" s="60" t="s">
        <v>576</v>
      </c>
      <c r="AJ156" s="61">
        <v>2015</v>
      </c>
      <c r="AK156" s="61">
        <v>2016</v>
      </c>
      <c r="AL156" s="61">
        <v>2017</v>
      </c>
      <c r="AM156" s="60" t="s">
        <v>376</v>
      </c>
      <c r="AN156" s="61"/>
      <c r="AO156" s="60" t="s">
        <v>40</v>
      </c>
      <c r="AP156" s="61">
        <v>2015</v>
      </c>
      <c r="AQ156" s="61">
        <v>2016</v>
      </c>
      <c r="AR156" s="61">
        <v>2017</v>
      </c>
      <c r="AS156" s="60" t="s">
        <v>376</v>
      </c>
      <c r="AT156" s="61"/>
      <c r="AU156" s="60" t="s">
        <v>571</v>
      </c>
      <c r="AV156" s="61">
        <v>2015</v>
      </c>
      <c r="AW156" s="60">
        <v>2016</v>
      </c>
      <c r="AX156" s="60">
        <v>2017</v>
      </c>
      <c r="AY156" s="60" t="s">
        <v>376</v>
      </c>
      <c r="AZ156" s="61"/>
      <c r="BA156" s="60" t="s">
        <v>34</v>
      </c>
      <c r="BB156" s="61">
        <v>2015</v>
      </c>
      <c r="BC156" s="60">
        <v>2016</v>
      </c>
      <c r="BD156" s="60">
        <v>2017</v>
      </c>
      <c r="BE156" s="60" t="s">
        <v>376</v>
      </c>
      <c r="BF156" s="61"/>
      <c r="BH156" s="63">
        <v>8.6677367576243974E-2</v>
      </c>
      <c r="BJ156" s="63">
        <v>-6.4406779661016947E-2</v>
      </c>
      <c r="BL156" s="60" t="s">
        <v>42</v>
      </c>
      <c r="BM156" s="61">
        <v>2015</v>
      </c>
      <c r="BN156" s="235">
        <v>2016</v>
      </c>
      <c r="BO156" s="60">
        <v>2017</v>
      </c>
      <c r="BP156" s="236" t="s">
        <v>376</v>
      </c>
      <c r="BQ156" s="243"/>
      <c r="BR156" s="60" t="s">
        <v>43</v>
      </c>
      <c r="BS156" s="244">
        <v>2015</v>
      </c>
      <c r="BT156" s="60">
        <v>2016</v>
      </c>
      <c r="BU156" s="235">
        <v>2017</v>
      </c>
      <c r="BV156" s="60" t="s">
        <v>376</v>
      </c>
      <c r="BW156" s="236"/>
      <c r="BX156" s="60" t="s">
        <v>44</v>
      </c>
      <c r="BY156" s="61">
        <v>2015</v>
      </c>
      <c r="BZ156" s="60">
        <v>2016</v>
      </c>
      <c r="CA156" s="60">
        <v>2017</v>
      </c>
      <c r="CB156" s="60" t="s">
        <v>376</v>
      </c>
      <c r="CC156" s="61"/>
      <c r="CD156" s="60" t="s">
        <v>45</v>
      </c>
      <c r="CE156" s="61">
        <v>2015</v>
      </c>
      <c r="CF156" s="60">
        <v>2016</v>
      </c>
      <c r="CG156" s="60">
        <v>2017</v>
      </c>
      <c r="CH156" s="60" t="s">
        <v>376</v>
      </c>
      <c r="CJ156" s="60" t="s">
        <v>376</v>
      </c>
      <c r="CK156" s="61">
        <v>2015</v>
      </c>
      <c r="CL156" s="60">
        <v>2016</v>
      </c>
      <c r="CM156" s="60">
        <v>2017</v>
      </c>
      <c r="CN156" s="60" t="s">
        <v>376</v>
      </c>
      <c r="CO156" s="60"/>
    </row>
    <row r="157" spans="1:93">
      <c r="B157" s="58"/>
      <c r="C157" s="58"/>
      <c r="D157" s="58"/>
      <c r="E157" s="58"/>
      <c r="F157" s="58"/>
      <c r="G157" s="58"/>
      <c r="H157" s="83"/>
      <c r="I157" s="58"/>
      <c r="J157" s="58"/>
      <c r="K157" s="58"/>
      <c r="L157" s="58"/>
      <c r="M157" s="58"/>
      <c r="N157" s="58"/>
      <c r="P157" s="58"/>
      <c r="Q157" s="58"/>
      <c r="R157" s="58"/>
      <c r="S157" s="58"/>
      <c r="T157" s="58"/>
      <c r="U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H157" s="63">
        <v>0</v>
      </c>
      <c r="BJ157" s="63">
        <v>0</v>
      </c>
      <c r="BL157" s="58"/>
      <c r="BM157" s="58"/>
      <c r="BN157" s="218"/>
      <c r="BO157" s="58"/>
      <c r="BP157" s="237"/>
      <c r="BQ157" s="218"/>
      <c r="BR157" s="58"/>
      <c r="BS157" s="237"/>
      <c r="BT157" s="58"/>
      <c r="BU157" s="218"/>
      <c r="BV157" s="58"/>
      <c r="BW157" s="237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J157" s="58"/>
      <c r="CK157" s="58"/>
      <c r="CL157" s="58"/>
      <c r="CM157" s="58"/>
      <c r="CN157" s="58"/>
      <c r="CO157" s="58"/>
    </row>
    <row r="158" spans="1:93">
      <c r="B158" s="58" t="s">
        <v>455</v>
      </c>
      <c r="C158" s="58">
        <v>3.8732341033069634E-2</v>
      </c>
      <c r="D158" s="58">
        <v>6.5657811459450238E-2</v>
      </c>
      <c r="E158" s="58">
        <v>0.16680343085386809</v>
      </c>
      <c r="F158" s="58">
        <v>9.0397861115462635E-2</v>
      </c>
      <c r="G158" s="58"/>
      <c r="H158" s="83"/>
      <c r="I158" s="58" t="s">
        <v>455</v>
      </c>
      <c r="J158" s="58">
        <v>-0.40175438596491225</v>
      </c>
      <c r="K158" s="58">
        <v>-0.19463958460598657</v>
      </c>
      <c r="L158" s="58">
        <v>3.8286046125767373E-2</v>
      </c>
      <c r="M158" s="58">
        <v>-0.18603597481504375</v>
      </c>
      <c r="P158" s="58" t="s">
        <v>455</v>
      </c>
      <c r="Q158" s="58">
        <v>0.61971830985915488</v>
      </c>
      <c r="R158" s="58">
        <v>-0.52500000000000002</v>
      </c>
      <c r="S158" s="58">
        <v>0.55789473684210522</v>
      </c>
      <c r="T158" s="58">
        <v>0.21753768223375336</v>
      </c>
      <c r="W158" s="58" t="s">
        <v>455</v>
      </c>
      <c r="X158" s="58">
        <v>0.10627261366882526</v>
      </c>
      <c r="Y158" s="58">
        <v>7.6465118894925438E-2</v>
      </c>
      <c r="Z158" s="58">
        <v>7.9431806745824299E-2</v>
      </c>
      <c r="AA158" s="58">
        <v>8.738984643652499E-2</v>
      </c>
      <c r="AC158" s="58" t="s">
        <v>455</v>
      </c>
      <c r="AD158" s="58">
        <v>5.3007358020339283E-2</v>
      </c>
      <c r="AE158" s="58">
        <v>7.7657420746178776E-2</v>
      </c>
      <c r="AF158" s="58">
        <v>8.1699596768215504E-2</v>
      </c>
      <c r="AG158" s="58">
        <v>7.0788125178244496E-2</v>
      </c>
      <c r="AI158" s="58" t="s">
        <v>455</v>
      </c>
      <c r="AJ158" s="58">
        <v>0.34795321637426901</v>
      </c>
      <c r="AK158" s="58">
        <v>0.1312127236580517</v>
      </c>
      <c r="AL158" s="58">
        <v>0.3165829145728643</v>
      </c>
      <c r="AM158" s="58">
        <v>0.26524961820172832</v>
      </c>
      <c r="AO158" s="58" t="s">
        <v>455</v>
      </c>
      <c r="AP158" s="58">
        <v>5.0228310502283102E-2</v>
      </c>
      <c r="AQ158" s="58">
        <v>0.19852941176470587</v>
      </c>
      <c r="AR158" s="58">
        <v>6.8322981366459631E-2</v>
      </c>
      <c r="AS158" s="58">
        <v>0.1056935678778162</v>
      </c>
      <c r="AU158" s="58" t="s">
        <v>455</v>
      </c>
      <c r="AV158" s="58">
        <v>7.2843810062477587E-2</v>
      </c>
      <c r="AW158" s="58">
        <v>1.5684829576715593E-2</v>
      </c>
      <c r="AX158" s="58">
        <v>0.19812885731508906</v>
      </c>
      <c r="AY158" s="58">
        <v>9.5552498984760745E-2</v>
      </c>
      <c r="AZ158" s="58"/>
      <c r="BA158" s="58" t="s">
        <v>455</v>
      </c>
      <c r="BB158" s="58">
        <v>3.5059089899702939E-2</v>
      </c>
      <c r="BC158" s="58">
        <v>5.865934600616203E-2</v>
      </c>
      <c r="BD158" s="58">
        <v>3.4160388875702032E-2</v>
      </c>
      <c r="BE158" s="58">
        <v>3.9278489421788722E-2</v>
      </c>
      <c r="BH158" s="63">
        <v>1.4801657785671995E-3</v>
      </c>
      <c r="BJ158" s="63">
        <v>3.0703101013202335E-4</v>
      </c>
      <c r="BL158" s="58" t="s">
        <v>455</v>
      </c>
      <c r="BM158" s="58">
        <v>4.3893129770992363E-2</v>
      </c>
      <c r="BN158" s="218">
        <v>-6.3004846526655903E-2</v>
      </c>
      <c r="BO158" s="58">
        <v>0.14506172839506173</v>
      </c>
      <c r="BP158" s="237">
        <v>4.1983337213132722E-2</v>
      </c>
      <c r="BR158" s="58" t="s">
        <v>455</v>
      </c>
      <c r="BS158" s="237">
        <v>0</v>
      </c>
      <c r="BT158" s="58">
        <v>0</v>
      </c>
      <c r="BU158" s="218">
        <v>0</v>
      </c>
      <c r="BV158" s="58">
        <v>0</v>
      </c>
      <c r="BX158" s="58" t="s">
        <v>455</v>
      </c>
      <c r="BY158" s="58">
        <v>5.1364969239530101E-2</v>
      </c>
      <c r="BZ158" s="58">
        <v>5.4811369369855659E-2</v>
      </c>
      <c r="CA158" s="58">
        <v>-2.2085335284282224E-2</v>
      </c>
      <c r="CB158" s="58">
        <v>2.8030334441701173E-2</v>
      </c>
      <c r="CD158" s="58" t="s">
        <v>455</v>
      </c>
      <c r="CE158" s="58">
        <v>-0.22355936125896783</v>
      </c>
      <c r="CF158" s="58">
        <v>-0.19226457399103139</v>
      </c>
      <c r="CG158" s="58">
        <v>-8.7268710301021818E-2</v>
      </c>
      <c r="CH158" s="58">
        <v>-9.0047754903985269E-2</v>
      </c>
      <c r="CJ158" s="58" t="s">
        <v>455</v>
      </c>
      <c r="CK158" s="58">
        <v>5.3302357478668148E-2</v>
      </c>
      <c r="CL158" s="58">
        <v>5.5904717599613109E-2</v>
      </c>
      <c r="CM158" s="58">
        <v>9.3805327501583935E-2</v>
      </c>
      <c r="CN158" s="58">
        <v>6.7526810085529229E-2</v>
      </c>
    </row>
    <row r="159" spans="1:93">
      <c r="B159" s="58" t="s">
        <v>456</v>
      </c>
      <c r="C159" s="58">
        <v>3.2650193223475156E-2</v>
      </c>
      <c r="D159" s="58">
        <v>5.1742163336301945E-2</v>
      </c>
      <c r="E159" s="58">
        <v>6.8881418698346381E-2</v>
      </c>
      <c r="F159" s="58">
        <v>3.1200321104846308E-2</v>
      </c>
      <c r="G159" s="58"/>
      <c r="H159" s="83"/>
      <c r="I159" s="58" t="s">
        <v>456</v>
      </c>
      <c r="J159" s="58">
        <v>0.3350877192982456</v>
      </c>
      <c r="K159" s="58">
        <v>5.5360415394013367E-2</v>
      </c>
      <c r="L159" s="58">
        <v>0.12838062054089927</v>
      </c>
      <c r="M159" s="58">
        <v>0.12349330968032028</v>
      </c>
      <c r="P159" s="58" t="s">
        <v>456</v>
      </c>
      <c r="Q159" s="58">
        <v>0</v>
      </c>
      <c r="R159" s="58">
        <v>0</v>
      </c>
      <c r="S159" s="58">
        <v>0</v>
      </c>
      <c r="T159" s="58">
        <v>0.37169754536807414</v>
      </c>
      <c r="W159" s="58" t="s">
        <v>456</v>
      </c>
      <c r="X159" s="58">
        <v>0.12881938651636679</v>
      </c>
      <c r="Y159" s="58">
        <v>5.3132239022312656E-2</v>
      </c>
      <c r="Z159" s="58">
        <v>3.8984256825421511E-2</v>
      </c>
      <c r="AA159" s="58">
        <v>4.6606004741360021E-2</v>
      </c>
      <c r="AC159" s="58" t="s">
        <v>456</v>
      </c>
      <c r="AD159" s="58">
        <v>3.7683918173869138E-2</v>
      </c>
      <c r="AE159" s="58">
        <v>3.0056666870259111E-2</v>
      </c>
      <c r="AF159" s="58">
        <v>3.0764415096290354E-2</v>
      </c>
      <c r="AG159" s="58">
        <v>1.8954782657284109E-2</v>
      </c>
      <c r="AI159" s="58" t="s">
        <v>456</v>
      </c>
      <c r="AJ159" s="58">
        <v>0</v>
      </c>
      <c r="AK159" s="58">
        <v>0</v>
      </c>
      <c r="AL159" s="58">
        <v>0</v>
      </c>
      <c r="AM159" s="58">
        <v>6.7627511125188111E-2</v>
      </c>
      <c r="AO159" s="58" t="s">
        <v>456</v>
      </c>
      <c r="AP159" s="58">
        <v>0</v>
      </c>
      <c r="AQ159" s="58">
        <v>0</v>
      </c>
      <c r="AR159" s="58">
        <v>0</v>
      </c>
      <c r="AS159" s="58">
        <v>4.6710900623102021E-2</v>
      </c>
      <c r="AU159" s="58" t="s">
        <v>456</v>
      </c>
      <c r="AV159" s="58">
        <v>0.10807158018705597</v>
      </c>
      <c r="AW159" s="58">
        <v>7.5092470752593773E-2</v>
      </c>
      <c r="AX159" s="58">
        <v>8.2818177398319148E-2</v>
      </c>
      <c r="AY159" s="58">
        <v>5.2208215655538293E-2</v>
      </c>
      <c r="AZ159" s="58"/>
      <c r="BA159" s="58" t="s">
        <v>456</v>
      </c>
      <c r="BB159" s="58">
        <v>4.0295164948988049E-2</v>
      </c>
      <c r="BC159" s="58">
        <v>8.6331676465858362E-2</v>
      </c>
      <c r="BD159" s="58">
        <v>4.4146593766427537E-2</v>
      </c>
      <c r="BE159" s="58">
        <v>3.3422316190662535E-2</v>
      </c>
      <c r="BH159" s="63">
        <v>0.1826625386996904</v>
      </c>
      <c r="BJ159" s="63">
        <v>-0.2</v>
      </c>
      <c r="BL159" s="58" t="s">
        <v>456</v>
      </c>
      <c r="BM159" s="58">
        <v>0</v>
      </c>
      <c r="BN159" s="218">
        <v>0</v>
      </c>
      <c r="BO159" s="58">
        <v>0</v>
      </c>
      <c r="BP159" s="237">
        <v>6.0071236546354496E-2</v>
      </c>
      <c r="BR159" s="58" t="s">
        <v>456</v>
      </c>
      <c r="BS159" s="237">
        <v>0</v>
      </c>
      <c r="BT159" s="58">
        <v>0</v>
      </c>
      <c r="BU159" s="218">
        <v>0</v>
      </c>
      <c r="BV159" s="58">
        <v>0</v>
      </c>
      <c r="BX159" s="58" t="s">
        <v>456</v>
      </c>
      <c r="BY159" s="58">
        <v>5.709072669022968E-2</v>
      </c>
      <c r="BZ159" s="58">
        <v>7.8836973376415875E-2</v>
      </c>
      <c r="CA159" s="58">
        <v>5.9116122138241668E-2</v>
      </c>
      <c r="CB159" s="58">
        <v>3.6875764718865882E-2</v>
      </c>
      <c r="CD159" s="58" t="s">
        <v>456</v>
      </c>
      <c r="CE159" s="58">
        <v>0</v>
      </c>
      <c r="CF159" s="58">
        <v>0</v>
      </c>
      <c r="CG159" s="58">
        <v>0</v>
      </c>
      <c r="CH159" s="58">
        <v>3.866026108506946E-2</v>
      </c>
      <c r="CJ159" s="58" t="s">
        <v>456</v>
      </c>
      <c r="CK159" s="58">
        <v>2.6812191036576175E-2</v>
      </c>
      <c r="CL159" s="58">
        <v>2.055428728533561E-2</v>
      </c>
      <c r="CM159" s="58">
        <v>2.0891481728606973E-2</v>
      </c>
      <c r="CN159" s="58">
        <v>1.3247195891721381E-2</v>
      </c>
    </row>
    <row r="160" spans="1:93">
      <c r="B160" s="58" t="s">
        <v>431</v>
      </c>
      <c r="C160" s="58">
        <v>1.4359294521616982E-2</v>
      </c>
      <c r="D160" s="58">
        <v>0</v>
      </c>
      <c r="E160" s="58">
        <v>7.582690547784024E-2</v>
      </c>
      <c r="F160" s="58">
        <v>2.1988527724665391E-2</v>
      </c>
      <c r="G160" s="58"/>
      <c r="H160" s="83"/>
      <c r="I160" s="58" t="s">
        <v>431</v>
      </c>
      <c r="J160" s="58">
        <v>-0.40175438596491225</v>
      </c>
      <c r="K160" s="58">
        <v>-0.19463958460598657</v>
      </c>
      <c r="L160" s="58">
        <v>3.8286046125767359E-2</v>
      </c>
      <c r="M160" s="58">
        <v>-0.11468687181355251</v>
      </c>
      <c r="P160" s="58" t="s">
        <v>431</v>
      </c>
      <c r="Q160" s="58">
        <v>0.61971830985915488</v>
      </c>
      <c r="R160" s="58">
        <v>-0.52500000000000002</v>
      </c>
      <c r="S160" s="58">
        <v>0.55789473684210522</v>
      </c>
      <c r="T160" s="58">
        <v>0.55789473684210522</v>
      </c>
      <c r="W160" s="58" t="s">
        <v>431</v>
      </c>
      <c r="X160" s="58">
        <v>5.6036912308895792E-3</v>
      </c>
      <c r="Y160" s="58">
        <v>2.1604938271604937E-2</v>
      </c>
      <c r="Z160" s="58">
        <v>7.718751425833828E-2</v>
      </c>
      <c r="AA160" s="58">
        <v>2.9970553114748534E-2</v>
      </c>
      <c r="AC160" s="58" t="s">
        <v>431</v>
      </c>
      <c r="AD160" s="58">
        <v>2.2187004754358162E-2</v>
      </c>
      <c r="AE160" s="58">
        <v>3.9360393603936041E-2</v>
      </c>
      <c r="AF160" s="58">
        <v>2.6490066225165563E-2</v>
      </c>
      <c r="AG160" s="58">
        <v>2.6490066225165563E-2</v>
      </c>
      <c r="AI160" s="58" t="s">
        <v>431</v>
      </c>
      <c r="AJ160" s="58">
        <v>0.34795321637426901</v>
      </c>
      <c r="AK160" s="58">
        <v>0.1312127236580517</v>
      </c>
      <c r="AL160" s="58">
        <v>0.3165829145728643</v>
      </c>
      <c r="AM160" s="58">
        <v>0.3165829145728643</v>
      </c>
      <c r="AO160" s="58" t="s">
        <v>431</v>
      </c>
      <c r="AP160" s="58">
        <v>5.0228310502283102E-2</v>
      </c>
      <c r="AQ160" s="58">
        <v>0.19852941176470587</v>
      </c>
      <c r="AR160" s="58">
        <v>6.8322981366459631E-2</v>
      </c>
      <c r="AS160" s="58">
        <v>6.8322981366459631E-2</v>
      </c>
      <c r="AU160" s="58" t="s">
        <v>431</v>
      </c>
      <c r="AV160" s="58">
        <v>-3.1179138321995462E-3</v>
      </c>
      <c r="AW160" s="58">
        <v>1.8376603065373781E-2</v>
      </c>
      <c r="AX160" s="58">
        <v>0.21454076093512509</v>
      </c>
      <c r="AY160" s="58">
        <v>5.434782608695652E-2</v>
      </c>
      <c r="AZ160" s="58"/>
      <c r="BA160" s="58" t="s">
        <v>431</v>
      </c>
      <c r="BB160" s="58">
        <v>4.6569561781077108E-2</v>
      </c>
      <c r="BC160" s="58">
        <v>3.1937771009713643E-2</v>
      </c>
      <c r="BD160" s="58">
        <v>3.8139755709521422E-3</v>
      </c>
      <c r="BE160" s="58">
        <v>2.7183376712535113E-2</v>
      </c>
      <c r="BH160" s="63">
        <v>0.17533718689788053</v>
      </c>
      <c r="BJ160" s="63">
        <v>-0.20430107526881722</v>
      </c>
      <c r="BL160" s="58" t="s">
        <v>431</v>
      </c>
      <c r="BM160" s="58">
        <v>4.3893129770992363E-2</v>
      </c>
      <c r="BN160" s="218">
        <v>-6.3004846526655903E-2</v>
      </c>
      <c r="BO160" s="58">
        <v>0.14506172839506173</v>
      </c>
      <c r="BP160" s="237">
        <v>4.3893129770992363E-2</v>
      </c>
      <c r="BR160" s="58" t="s">
        <v>431</v>
      </c>
      <c r="BS160" s="237">
        <v>0</v>
      </c>
      <c r="BT160" s="58">
        <v>0</v>
      </c>
      <c r="BU160" s="218">
        <v>0</v>
      </c>
      <c r="BV160" s="58">
        <v>0</v>
      </c>
      <c r="BX160" s="58" t="s">
        <v>431</v>
      </c>
      <c r="BY160" s="58">
        <v>8.0321285140562242E-3</v>
      </c>
      <c r="BZ160" s="58">
        <v>8.7651598676957002E-2</v>
      </c>
      <c r="CA160" s="58">
        <v>3.7905644941368964E-2</v>
      </c>
      <c r="CB160" s="58">
        <v>3.7905644941368964E-2</v>
      </c>
      <c r="CD160" s="58" t="s">
        <v>431</v>
      </c>
      <c r="CE160" s="58">
        <v>-0.22355936125896783</v>
      </c>
      <c r="CF160" s="58">
        <v>-0.19226457399103139</v>
      </c>
      <c r="CG160" s="58">
        <v>-8.7268710301021818E-2</v>
      </c>
      <c r="CH160" s="58">
        <v>-0.10247718383311605</v>
      </c>
      <c r="CJ160" s="58" t="s">
        <v>431</v>
      </c>
      <c r="CK160" s="58">
        <v>1.676829268292683E-2</v>
      </c>
      <c r="CL160" s="58">
        <v>1.77276390008058E-2</v>
      </c>
      <c r="CM160" s="58">
        <v>4.6610169491525424E-2</v>
      </c>
      <c r="CN160" s="58">
        <v>2.883785183906061E-2</v>
      </c>
    </row>
    <row r="161" spans="1:93">
      <c r="B161" s="58" t="s">
        <v>457</v>
      </c>
      <c r="C161" s="58">
        <v>0.25555071832825427</v>
      </c>
      <c r="D161" s="58">
        <v>0.47473139673696779</v>
      </c>
      <c r="E161" s="58">
        <v>0.67386091127098324</v>
      </c>
      <c r="F161" s="58">
        <v>0</v>
      </c>
      <c r="G161" s="58"/>
      <c r="H161" s="83"/>
      <c r="I161" s="58" t="s">
        <v>457</v>
      </c>
      <c r="J161" s="58" t="e">
        <v>#N/A</v>
      </c>
      <c r="K161" s="58" t="e">
        <v>#N/A</v>
      </c>
      <c r="L161" s="58" t="e">
        <v>#N/A</v>
      </c>
      <c r="M161" s="58" t="e">
        <v>#N/A</v>
      </c>
      <c r="P161" s="58" t="s">
        <v>457</v>
      </c>
      <c r="Q161" s="58" t="e">
        <v>#N/A</v>
      </c>
      <c r="R161" s="58" t="e">
        <v>#N/A</v>
      </c>
      <c r="S161" s="58" t="e">
        <v>#N/A</v>
      </c>
      <c r="T161" s="58" t="e">
        <v>#N/A</v>
      </c>
      <c r="W161" s="58" t="s">
        <v>457</v>
      </c>
      <c r="X161" s="58" t="e">
        <v>#N/A</v>
      </c>
      <c r="Y161" s="58" t="e">
        <v>#N/A</v>
      </c>
      <c r="Z161" s="58" t="e">
        <v>#N/A</v>
      </c>
      <c r="AA161" s="58" t="e">
        <v>#N/A</v>
      </c>
      <c r="AC161" s="58" t="s">
        <v>457</v>
      </c>
      <c r="AD161" s="58">
        <v>0</v>
      </c>
      <c r="AE161" s="58">
        <v>0</v>
      </c>
      <c r="AF161" s="58" t="e">
        <v>#N/A</v>
      </c>
      <c r="AG161" s="58">
        <v>0</v>
      </c>
      <c r="AI161" s="58" t="s">
        <v>457</v>
      </c>
      <c r="AJ161" s="58" t="e">
        <v>#N/A</v>
      </c>
      <c r="AK161" s="58" t="e">
        <v>#N/A</v>
      </c>
      <c r="AL161" s="58" t="e">
        <v>#N/A</v>
      </c>
      <c r="AM161" s="58" t="e">
        <v>#N/A</v>
      </c>
      <c r="AO161" s="58" t="s">
        <v>457</v>
      </c>
      <c r="AP161" s="58" t="e">
        <v>#N/A</v>
      </c>
      <c r="AQ161" s="58" t="e">
        <v>#N/A</v>
      </c>
      <c r="AR161" s="58" t="e">
        <v>#N/A</v>
      </c>
      <c r="AS161" s="58" t="e">
        <v>#N/A</v>
      </c>
      <c r="AU161" s="58" t="s">
        <v>457</v>
      </c>
      <c r="AV161" s="58" t="e">
        <v>#N/A</v>
      </c>
      <c r="AW161" s="58" t="e">
        <v>#N/A</v>
      </c>
      <c r="AX161" s="58" t="e">
        <v>#N/A</v>
      </c>
      <c r="AY161" s="58" t="e">
        <v>#N/A</v>
      </c>
      <c r="AZ161" s="58"/>
      <c r="BA161" s="58" t="s">
        <v>457</v>
      </c>
      <c r="BB161" s="58" t="e">
        <v>#N/A</v>
      </c>
      <c r="BC161" s="58" t="e">
        <v>#N/A</v>
      </c>
      <c r="BD161" s="58" t="e">
        <v>#N/A</v>
      </c>
      <c r="BE161" s="58" t="e">
        <v>#N/A</v>
      </c>
      <c r="BH161" s="63">
        <v>0.30122950819672129</v>
      </c>
      <c r="BJ161" s="63">
        <v>-0.18367346938775511</v>
      </c>
      <c r="BL161" s="58" t="s">
        <v>457</v>
      </c>
      <c r="BM161" s="58" t="e">
        <v>#N/A</v>
      </c>
      <c r="BN161" s="218" t="e">
        <v>#N/A</v>
      </c>
      <c r="BO161" s="58" t="e">
        <v>#N/A</v>
      </c>
      <c r="BP161" s="237" t="e">
        <v>#N/A</v>
      </c>
      <c r="BR161" s="58" t="s">
        <v>457</v>
      </c>
      <c r="BS161" s="237" t="e">
        <v>#N/A</v>
      </c>
      <c r="BT161" s="58" t="e">
        <v>#N/A</v>
      </c>
      <c r="BU161" s="218" t="e">
        <v>#N/A</v>
      </c>
      <c r="BV161" s="58" t="e">
        <v>#N/A</v>
      </c>
      <c r="BX161" s="58" t="s">
        <v>457</v>
      </c>
      <c r="BY161" s="58" t="e">
        <v>#N/A</v>
      </c>
      <c r="BZ161" s="58" t="e">
        <v>#N/A</v>
      </c>
      <c r="CA161" s="58" t="e">
        <v>#N/A</v>
      </c>
      <c r="CB161" s="58" t="e">
        <v>#N/A</v>
      </c>
      <c r="CD161" s="58" t="s">
        <v>457</v>
      </c>
      <c r="CE161" s="58" t="e">
        <v>#N/A</v>
      </c>
      <c r="CF161" s="58" t="e">
        <v>#N/A</v>
      </c>
      <c r="CG161" s="58" t="e">
        <v>#N/A</v>
      </c>
      <c r="CH161" s="58" t="e">
        <v>#N/A</v>
      </c>
      <c r="CJ161" s="58" t="s">
        <v>457</v>
      </c>
      <c r="CK161" s="58">
        <v>0</v>
      </c>
      <c r="CL161" s="58">
        <v>0</v>
      </c>
      <c r="CM161" s="58">
        <v>0</v>
      </c>
      <c r="CN161" s="58">
        <v>0</v>
      </c>
    </row>
    <row r="162" spans="1:93">
      <c r="B162" s="58" t="s">
        <v>458</v>
      </c>
      <c r="C162" s="58">
        <v>0.11772194582104653</v>
      </c>
      <c r="D162" s="58">
        <v>0.18655902301246954</v>
      </c>
      <c r="E162" s="58">
        <v>0.24835548704359187</v>
      </c>
      <c r="F162" s="58">
        <v>0.19484594284915249</v>
      </c>
      <c r="G162" s="58"/>
      <c r="H162" s="83"/>
      <c r="I162" s="58" t="s">
        <v>458</v>
      </c>
      <c r="J162" s="58">
        <v>0.47388559721624762</v>
      </c>
      <c r="K162" s="58">
        <v>7.8291450268821977E-2</v>
      </c>
      <c r="L162" s="58">
        <v>0.18155761471481371</v>
      </c>
      <c r="M162" s="58">
        <v>0.30249559536429105</v>
      </c>
      <c r="P162" s="58" t="s">
        <v>458</v>
      </c>
      <c r="Q162" s="58" t="e">
        <v>#DIV/0!</v>
      </c>
      <c r="R162" s="58" t="e">
        <v>#DIV/0!</v>
      </c>
      <c r="S162" s="58" t="e">
        <v>#DIV/0!</v>
      </c>
      <c r="T162" s="58">
        <v>0.64379903362614221</v>
      </c>
      <c r="W162" s="58" t="s">
        <v>458</v>
      </c>
      <c r="X162" s="58">
        <v>0.40736266817730249</v>
      </c>
      <c r="Y162" s="58">
        <v>0.16801889249498594</v>
      </c>
      <c r="Z162" s="58">
        <v>0.12327904445729711</v>
      </c>
      <c r="AA162" s="58">
        <v>0.25527160112035607</v>
      </c>
      <c r="AC162" s="58" t="s">
        <v>458</v>
      </c>
      <c r="AD162" s="58">
        <v>0.25834792698982245</v>
      </c>
      <c r="AE162" s="58">
        <v>0.20605812650181352</v>
      </c>
      <c r="AF162" s="58">
        <v>0.2109102038835303</v>
      </c>
      <c r="AG162" s="58">
        <v>0.2250755734580451</v>
      </c>
      <c r="AI162" s="58" t="s">
        <v>458</v>
      </c>
      <c r="AJ162" s="58" t="e">
        <v>#DIV/0!</v>
      </c>
      <c r="AK162" s="58" t="e">
        <v>#DIV/0!</v>
      </c>
      <c r="AL162" s="58" t="e">
        <v>#DIV/0!</v>
      </c>
      <c r="AM162" s="58">
        <v>0.11713428525825528</v>
      </c>
      <c r="AO162" s="58" t="s">
        <v>458</v>
      </c>
      <c r="AP162" s="58" t="e">
        <v>#DIV/0!</v>
      </c>
      <c r="AQ162" s="58" t="e">
        <v>#DIV/0!</v>
      </c>
      <c r="AR162" s="58" t="e">
        <v>#DIV/0!</v>
      </c>
      <c r="AS162" s="58">
        <v>8.090565314651342E-2</v>
      </c>
      <c r="AU162" s="58" t="s">
        <v>458</v>
      </c>
      <c r="AV162" s="58">
        <v>0.21614316037411194</v>
      </c>
      <c r="AW162" s="58">
        <v>0.15018494150518755</v>
      </c>
      <c r="AX162" s="58">
        <v>0.1656363547966383</v>
      </c>
      <c r="AY162" s="58">
        <v>0.18085456417581039</v>
      </c>
      <c r="AZ162" s="58"/>
      <c r="BA162" s="58" t="s">
        <v>458</v>
      </c>
      <c r="BB162" s="58">
        <v>8.0590329897976098E-2</v>
      </c>
      <c r="BC162" s="58">
        <v>0.17266335293171672</v>
      </c>
      <c r="BD162" s="58">
        <v>8.8293187532855075E-2</v>
      </c>
      <c r="BE162" s="58">
        <v>0.1157782994977188</v>
      </c>
      <c r="BH162" s="63">
        <v>0.39158576051779936</v>
      </c>
      <c r="BJ162" s="63">
        <v>-0.18122977346278318</v>
      </c>
      <c r="BL162" s="58" t="s">
        <v>458</v>
      </c>
      <c r="BM162" s="58" t="e">
        <v>#DIV/0!</v>
      </c>
      <c r="BN162" s="218" t="e">
        <v>#DIV/0!</v>
      </c>
      <c r="BO162" s="58" t="e">
        <v>#DIV/0!</v>
      </c>
      <c r="BP162" s="237">
        <v>0.10404643377177436</v>
      </c>
      <c r="BR162" s="58" t="s">
        <v>458</v>
      </c>
      <c r="BS162" s="237" t="e">
        <v>#DIV/0!</v>
      </c>
      <c r="BT162" s="58" t="e">
        <v>#DIV/0!</v>
      </c>
      <c r="BU162" s="218" t="e">
        <v>#DIV/0!</v>
      </c>
      <c r="BV162" s="58" t="e">
        <v>#DIV/0!</v>
      </c>
      <c r="BX162" s="58" t="s">
        <v>458</v>
      </c>
      <c r="BY162" s="58">
        <v>0.1510478649903054</v>
      </c>
      <c r="BZ162" s="58">
        <v>0.20858302567101653</v>
      </c>
      <c r="CA162" s="58">
        <v>0.15640655765230738</v>
      </c>
      <c r="CB162" s="58">
        <v>0.16898598313358487</v>
      </c>
      <c r="CD162" s="58" t="s">
        <v>458</v>
      </c>
      <c r="CE162" s="58" t="e">
        <v>#DIV/0!</v>
      </c>
      <c r="CF162" s="58" t="e">
        <v>#DIV/0!</v>
      </c>
      <c r="CG162" s="58" t="e">
        <v>#DIV/0!</v>
      </c>
      <c r="CH162" s="58">
        <v>6.6961536433218199E-2</v>
      </c>
      <c r="CJ162" s="58" t="s">
        <v>458</v>
      </c>
      <c r="CK162" s="58">
        <v>0.25856740649376631</v>
      </c>
      <c r="CL162" s="58">
        <v>0.19821836822089459</v>
      </c>
      <c r="CM162" s="58">
        <v>0.20147015367035104</v>
      </c>
      <c r="CN162" s="58">
        <v>0.22127179558006374</v>
      </c>
    </row>
    <row r="163" spans="1:93">
      <c r="B163" s="58" t="s">
        <v>459</v>
      </c>
      <c r="C163" s="58">
        <v>1.3858456527893416E-2</v>
      </c>
      <c r="D163" s="58">
        <v>3.4804269067367138E-2</v>
      </c>
      <c r="E163" s="58">
        <v>6.1680447944659732E-2</v>
      </c>
      <c r="F163" s="58">
        <v>3.7964941444775198E-2</v>
      </c>
      <c r="G163" s="58"/>
      <c r="H163" s="83"/>
      <c r="I163" s="58" t="s">
        <v>459</v>
      </c>
      <c r="J163" s="58">
        <v>0.22456755924899968</v>
      </c>
      <c r="K163" s="58">
        <v>6.1295511851954254E-3</v>
      </c>
      <c r="L163" s="58">
        <v>3.2963167460932745E-2</v>
      </c>
      <c r="M163" s="58">
        <v>9.1503585214796887E-2</v>
      </c>
      <c r="P163" s="58" t="s">
        <v>459</v>
      </c>
      <c r="Q163" s="58" t="e">
        <v>#DIV/0!</v>
      </c>
      <c r="R163" s="58" t="e">
        <v>#DIV/0!</v>
      </c>
      <c r="S163" s="58" t="e">
        <v>#DIV/0!</v>
      </c>
      <c r="T163" s="58">
        <v>0.41447719569795455</v>
      </c>
      <c r="W163" s="58" t="s">
        <v>459</v>
      </c>
      <c r="X163" s="58">
        <v>0.16594434342453107</v>
      </c>
      <c r="Y163" s="58">
        <v>2.8230348235241644E-2</v>
      </c>
      <c r="Z163" s="58">
        <v>1.5197722802304236E-2</v>
      </c>
      <c r="AA163" s="58">
        <v>6.5163590338550167E-2</v>
      </c>
      <c r="AC163" s="58" t="s">
        <v>459</v>
      </c>
      <c r="AD163" s="58">
        <v>6.6743651379938637E-2</v>
      </c>
      <c r="AE163" s="58">
        <v>4.2459951497437386E-2</v>
      </c>
      <c r="AF163" s="58">
        <v>4.4483114102192314E-2</v>
      </c>
      <c r="AG163" s="58">
        <v>5.0659013767467856E-2</v>
      </c>
      <c r="AI163" s="58" t="s">
        <v>459</v>
      </c>
      <c r="AJ163" s="58" t="e">
        <v>#DIV/0!</v>
      </c>
      <c r="AK163" s="58" t="e">
        <v>#DIV/0!</v>
      </c>
      <c r="AL163" s="58" t="e">
        <v>#DIV/0!</v>
      </c>
      <c r="AM163" s="58">
        <v>1.372044078296232E-2</v>
      </c>
      <c r="AO163" s="58" t="s">
        <v>459</v>
      </c>
      <c r="AP163" s="58" t="e">
        <v>#DIV/0!</v>
      </c>
      <c r="AQ163" s="58" t="e">
        <v>#DIV/0!</v>
      </c>
      <c r="AR163" s="58" t="e">
        <v>#DIV/0!</v>
      </c>
      <c r="AS163" s="58">
        <v>6.5457247110639362E-3</v>
      </c>
      <c r="AU163" s="58" t="s">
        <v>459</v>
      </c>
      <c r="AV163" s="58">
        <v>4.6717865776509077E-2</v>
      </c>
      <c r="AW163" s="58">
        <v>2.2555516654916605E-2</v>
      </c>
      <c r="AX163" s="58">
        <v>2.743540203031784E-2</v>
      </c>
      <c r="AY163" s="58">
        <v>3.2708373383222314E-2</v>
      </c>
      <c r="AZ163" s="58"/>
      <c r="BA163" s="58" t="s">
        <v>459</v>
      </c>
      <c r="BB163" s="58">
        <v>6.4948012730646201E-3</v>
      </c>
      <c r="BC163" s="58">
        <v>2.9812633445622572E-2</v>
      </c>
      <c r="BD163" s="58">
        <v>7.7956869647119141E-3</v>
      </c>
      <c r="BE163" s="58">
        <v>1.3404614634583471E-2</v>
      </c>
      <c r="BH163" s="63">
        <v>0.17505470459518599</v>
      </c>
      <c r="BJ163" s="63">
        <v>0.17505470459518599</v>
      </c>
      <c r="BL163" s="58" t="s">
        <v>459</v>
      </c>
      <c r="BM163" s="58" t="e">
        <v>#DIV/0!</v>
      </c>
      <c r="BN163" s="218" t="e">
        <v>#DIV/0!</v>
      </c>
      <c r="BO163" s="58" t="e">
        <v>#DIV/0!</v>
      </c>
      <c r="BP163" s="237">
        <v>1.0825660380624227E-2</v>
      </c>
      <c r="BR163" s="58" t="s">
        <v>459</v>
      </c>
      <c r="BS163" s="237" t="e">
        <v>#DIV/0!</v>
      </c>
      <c r="BT163" s="58" t="e">
        <v>#DIV/0!</v>
      </c>
      <c r="BU163" s="218" t="e">
        <v>#DIV/0!</v>
      </c>
      <c r="BV163" s="58" t="e">
        <v>#DIV/0!</v>
      </c>
      <c r="BX163" s="58" t="s">
        <v>459</v>
      </c>
      <c r="BY163" s="58">
        <v>2.2815457518129523E-2</v>
      </c>
      <c r="BZ163" s="58">
        <v>4.3506878598075942E-2</v>
      </c>
      <c r="CA163" s="58">
        <v>2.4463011276644547E-2</v>
      </c>
      <c r="CB163" s="58">
        <v>2.8556262495624228E-2</v>
      </c>
      <c r="CD163" s="58" t="s">
        <v>459</v>
      </c>
      <c r="CE163" s="58" t="e">
        <v>#DIV/0!</v>
      </c>
      <c r="CF163" s="58" t="e">
        <v>#DIV/0!</v>
      </c>
      <c r="CG163" s="58" t="e">
        <v>#DIV/0!</v>
      </c>
      <c r="CH163" s="58">
        <v>4.483847361497208E-3</v>
      </c>
      <c r="CJ163" s="58" t="s">
        <v>459</v>
      </c>
      <c r="CK163" s="58">
        <v>6.6857103700912593E-2</v>
      </c>
      <c r="CL163" s="58">
        <v>3.9290521500154149E-2</v>
      </c>
      <c r="CM163" s="58">
        <v>4.0590222819954863E-2</v>
      </c>
      <c r="CN163" s="58">
        <v>4.8961207519225516E-2</v>
      </c>
    </row>
    <row r="164" spans="1:93">
      <c r="B164" s="58" t="s">
        <v>460</v>
      </c>
      <c r="C164" s="58">
        <v>0.29339897122879988</v>
      </c>
      <c r="D164" s="58">
        <v>2.5917806737376616</v>
      </c>
      <c r="E164" s="58">
        <v>1.1397238736884225</v>
      </c>
      <c r="F164" s="58">
        <v>2.9238063783102008</v>
      </c>
      <c r="G164" s="58"/>
      <c r="H164" s="83"/>
      <c r="I164" s="58" t="s">
        <v>460</v>
      </c>
      <c r="J164" s="58" t="e">
        <v>#DIV/0!</v>
      </c>
      <c r="K164" s="58" t="e">
        <v>#DIV/0!</v>
      </c>
      <c r="L164" s="58" t="e">
        <v>#DIV/0!</v>
      </c>
      <c r="M164" s="58">
        <v>2.7647719123454699</v>
      </c>
      <c r="P164" s="58" t="s">
        <v>460</v>
      </c>
      <c r="Q164" s="58" t="e">
        <v>#DIV/0!</v>
      </c>
      <c r="R164" s="58" t="e">
        <v>#DIV/0!</v>
      </c>
      <c r="S164" s="58" t="e">
        <v>#DIV/0!</v>
      </c>
      <c r="T164" s="58" t="e">
        <v>#DIV/0!</v>
      </c>
      <c r="W164" s="58" t="s">
        <v>460</v>
      </c>
      <c r="X164" s="58">
        <v>5.9746831493803745</v>
      </c>
      <c r="Y164" s="58">
        <v>5.5061404178846045</v>
      </c>
      <c r="Z164" s="58">
        <v>1.5434963334876564</v>
      </c>
      <c r="AA164" s="58">
        <v>10.903706394620398</v>
      </c>
      <c r="AC164" s="58" t="s">
        <v>460</v>
      </c>
      <c r="AD164" s="58">
        <v>8.0397944274079371</v>
      </c>
      <c r="AE164" s="58">
        <v>6.9288783296396401</v>
      </c>
      <c r="AF164" s="58">
        <v>8.463603625573441</v>
      </c>
      <c r="AG164" s="58">
        <v>7.5591858911624232</v>
      </c>
      <c r="AI164" s="58" t="s">
        <v>460</v>
      </c>
      <c r="AJ164" s="58" t="e">
        <v>#DIV/0!</v>
      </c>
      <c r="AK164" s="58" t="e">
        <v>#DIV/0!</v>
      </c>
      <c r="AL164" s="58" t="e">
        <v>#DIV/0!</v>
      </c>
      <c r="AM164" s="58" t="e">
        <v>#DIV/0!</v>
      </c>
      <c r="AO164" s="58" t="s">
        <v>460</v>
      </c>
      <c r="AP164" s="58" t="e">
        <v>#DIV/0!</v>
      </c>
      <c r="AQ164" s="58" t="e">
        <v>#DIV/0!</v>
      </c>
      <c r="AR164" s="58" t="e">
        <v>#DIV/0!</v>
      </c>
      <c r="AS164" s="58" t="e">
        <v>#DIV/0!</v>
      </c>
      <c r="AU164" s="58" t="s">
        <v>460</v>
      </c>
      <c r="AV164" s="58">
        <v>3.3565483669336835</v>
      </c>
      <c r="AW164" s="58">
        <v>-3.9797555908937792</v>
      </c>
      <c r="AX164" s="58">
        <v>-0.7897917009093387</v>
      </c>
      <c r="AY164" s="58">
        <v>-1.0108231989734469</v>
      </c>
      <c r="AZ164" s="58"/>
      <c r="BA164" s="58" t="s">
        <v>460</v>
      </c>
      <c r="BB164" s="58">
        <v>1.6618372296621597</v>
      </c>
      <c r="BC164" s="58">
        <v>1.0895704846219054</v>
      </c>
      <c r="BD164" s="58">
        <v>2.9576653218939413</v>
      </c>
      <c r="BE164" s="58">
        <v>1.0467717096912086</v>
      </c>
      <c r="BH164" s="63">
        <v>-0.2019704433497537</v>
      </c>
      <c r="BJ164" s="63">
        <v>-0.33333333333333331</v>
      </c>
      <c r="BL164" s="58" t="s">
        <v>460</v>
      </c>
      <c r="BM164" s="58" t="e">
        <v>#DIV/0!</v>
      </c>
      <c r="BN164" s="218" t="e">
        <v>#DIV/0!</v>
      </c>
      <c r="BO164" s="58" t="e">
        <v>#DIV/0!</v>
      </c>
      <c r="BP164" s="237" t="e">
        <v>#DIV/0!</v>
      </c>
      <c r="BR164" s="58" t="s">
        <v>460</v>
      </c>
      <c r="BS164" s="237" t="e">
        <v>#DIV/0!</v>
      </c>
      <c r="BT164" s="58" t="e">
        <v>#DIV/0!</v>
      </c>
      <c r="BU164" s="218" t="e">
        <v>#DIV/0!</v>
      </c>
      <c r="BV164" s="58" t="e">
        <v>#DIV/0!</v>
      </c>
      <c r="BX164" s="58" t="s">
        <v>460</v>
      </c>
      <c r="BY164" s="58">
        <v>1.1742477140168806</v>
      </c>
      <c r="BZ164" s="58">
        <v>3.1419158421283448</v>
      </c>
      <c r="CA164" s="58">
        <v>-0.54695480000719332</v>
      </c>
      <c r="CB164" s="58">
        <v>0.59991378198829048</v>
      </c>
      <c r="CD164" s="58" t="s">
        <v>460</v>
      </c>
      <c r="CE164" s="58" t="e">
        <v>#DIV/0!</v>
      </c>
      <c r="CF164" s="58" t="e">
        <v>#DIV/0!</v>
      </c>
      <c r="CG164" s="58" t="e">
        <v>#DIV/0!</v>
      </c>
      <c r="CH164" s="58" t="e">
        <v>#DIV/0!</v>
      </c>
      <c r="CJ164" s="58" t="s">
        <v>460</v>
      </c>
      <c r="CK164" s="58">
        <v>7.560007273893028</v>
      </c>
      <c r="CL164" s="58">
        <v>4.9537651906066138</v>
      </c>
      <c r="CM164" s="58">
        <v>5.4165689477491608</v>
      </c>
      <c r="CN164" s="58">
        <v>6.7502372279131206</v>
      </c>
    </row>
    <row r="165" spans="1:93">
      <c r="B165" s="58" t="s">
        <v>461</v>
      </c>
      <c r="C165" s="58">
        <v>0.7162306906085355</v>
      </c>
      <c r="D165" s="58">
        <v>1.9285683811800178</v>
      </c>
      <c r="E165" s="58">
        <v>1.477445111875308</v>
      </c>
      <c r="F165" s="58">
        <v>1.820567704382219</v>
      </c>
      <c r="G165" s="58"/>
      <c r="H165" s="83"/>
      <c r="I165" s="58" t="s">
        <v>461</v>
      </c>
      <c r="J165" s="58" t="e">
        <v>#DIV/0!</v>
      </c>
      <c r="K165" s="58" t="e">
        <v>#DIV/0!</v>
      </c>
      <c r="L165" s="58" t="e">
        <v>#DIV/0!</v>
      </c>
      <c r="M165" s="58">
        <v>-1.3093534258247426</v>
      </c>
      <c r="P165" s="58" t="s">
        <v>461</v>
      </c>
      <c r="Q165" s="58" t="e">
        <v>#DIV/0!</v>
      </c>
      <c r="R165" s="58" t="e">
        <v>#DIV/0!</v>
      </c>
      <c r="S165" s="58" t="e">
        <v>#DIV/0!</v>
      </c>
      <c r="T165" s="58">
        <v>-1.7140992098210717</v>
      </c>
      <c r="W165" s="58" t="s">
        <v>461</v>
      </c>
      <c r="X165" s="58">
        <v>2.2403550033159543</v>
      </c>
      <c r="Y165" s="58">
        <v>2.2353365352353909</v>
      </c>
      <c r="Z165" s="58">
        <v>0.92585663212923286</v>
      </c>
      <c r="AA165" s="58">
        <v>2.781434667904596</v>
      </c>
      <c r="AC165" s="58" t="s">
        <v>461</v>
      </c>
      <c r="AD165" s="58">
        <v>1.9200547048017957</v>
      </c>
      <c r="AE165" s="58">
        <v>1.690400049099456</v>
      </c>
      <c r="AF165" s="58">
        <v>2.3633694371871026</v>
      </c>
      <c r="AG165" s="58">
        <v>1.9250433493425527</v>
      </c>
      <c r="AI165" s="58" t="s">
        <v>461</v>
      </c>
      <c r="AJ165" s="58" t="e">
        <v>#DIV/0!</v>
      </c>
      <c r="AK165" s="58" t="e">
        <v>#DIV/0!</v>
      </c>
      <c r="AL165" s="58" t="e">
        <v>#DIV/0!</v>
      </c>
      <c r="AM165" s="58">
        <v>-1.5933395397453762</v>
      </c>
      <c r="AO165" s="58" t="s">
        <v>461</v>
      </c>
      <c r="AP165" s="58" t="e">
        <v>#DIV/0!</v>
      </c>
      <c r="AQ165" s="58" t="e">
        <v>#DIV/0!</v>
      </c>
      <c r="AR165" s="58" t="e">
        <v>#DIV/0!</v>
      </c>
      <c r="AS165" s="58">
        <v>1.6350933228059774</v>
      </c>
      <c r="AU165" s="58" t="s">
        <v>461</v>
      </c>
      <c r="AV165" s="58">
        <v>1.7608091332031244</v>
      </c>
      <c r="AW165" s="58">
        <v>-5.5635212517672353E-2</v>
      </c>
      <c r="AX165" s="58">
        <v>-0.47672343617354274</v>
      </c>
      <c r="AY165" s="58">
        <v>0.45988610880824304</v>
      </c>
      <c r="AZ165" s="58"/>
      <c r="BA165" s="58" t="s">
        <v>461</v>
      </c>
      <c r="BB165" s="58">
        <v>-0.82006359214641256</v>
      </c>
      <c r="BC165" s="58">
        <v>0.84168143989813671</v>
      </c>
      <c r="BD165" s="58">
        <v>1.6798564324471053</v>
      </c>
      <c r="BE165" s="58">
        <v>0.62915964640594857</v>
      </c>
      <c r="BH165" s="63">
        <v>0.1640625</v>
      </c>
      <c r="BJ165" s="63">
        <v>0.1640625</v>
      </c>
      <c r="BL165" s="58" t="s">
        <v>461</v>
      </c>
      <c r="BM165" s="58" t="e">
        <v>#DIV/0!</v>
      </c>
      <c r="BN165" s="218" t="e">
        <v>#DIV/0!</v>
      </c>
      <c r="BO165" s="58" t="e">
        <v>#DIV/0!</v>
      </c>
      <c r="BP165" s="237">
        <v>-8.2570548020663215E-2</v>
      </c>
      <c r="BR165" s="58" t="s">
        <v>461</v>
      </c>
      <c r="BS165" s="237" t="e">
        <v>#DIV/0!</v>
      </c>
      <c r="BT165" s="58" t="e">
        <v>#DIV/0!</v>
      </c>
      <c r="BU165" s="218" t="e">
        <v>#DIV/0!</v>
      </c>
      <c r="BV165" s="58" t="e">
        <v>#DIV/0!</v>
      </c>
      <c r="BX165" s="58" t="s">
        <v>461</v>
      </c>
      <c r="BY165" s="58">
        <v>7.3350357622631174E-2</v>
      </c>
      <c r="BZ165" s="58">
        <v>-1.5091262553010278</v>
      </c>
      <c r="CA165" s="58">
        <v>-1.1422646874580658</v>
      </c>
      <c r="CB165" s="58">
        <v>-0.7845777187259082</v>
      </c>
      <c r="CD165" s="58" t="s">
        <v>461</v>
      </c>
      <c r="CE165" s="58" t="e">
        <v>#DIV/0!</v>
      </c>
      <c r="CF165" s="58" t="e">
        <v>#DIV/0!</v>
      </c>
      <c r="CG165" s="58" t="e">
        <v>#DIV/0!</v>
      </c>
      <c r="CH165" s="58">
        <v>0.80651198263830737</v>
      </c>
      <c r="CJ165" s="58" t="s">
        <v>461</v>
      </c>
      <c r="CK165" s="58">
        <v>1.6234414815289486</v>
      </c>
      <c r="CL165" s="58">
        <v>1.0201024673775425</v>
      </c>
      <c r="CM165" s="58">
        <v>1.8363350416353164</v>
      </c>
      <c r="CN165" s="58">
        <v>1.5036243797564801</v>
      </c>
    </row>
    <row r="166" spans="1:93">
      <c r="B166" s="58" t="s">
        <v>462</v>
      </c>
      <c r="C166" s="58">
        <v>0.40341244595952797</v>
      </c>
      <c r="D166" s="58">
        <v>0.57375737076294187</v>
      </c>
      <c r="E166" s="58">
        <v>0.75661841066127666</v>
      </c>
      <c r="F166" s="58">
        <v>0.82172263890225694</v>
      </c>
      <c r="G166" s="58"/>
      <c r="H166" s="83"/>
      <c r="I166" s="58" t="s">
        <v>462</v>
      </c>
      <c r="J166" s="58">
        <v>0.6701754385964912</v>
      </c>
      <c r="K166" s="58">
        <v>0.11072083078802689</v>
      </c>
      <c r="L166" s="58">
        <v>0.25676124108179854</v>
      </c>
      <c r="M166" s="58">
        <v>0.90350877192982448</v>
      </c>
      <c r="P166" s="58" t="s">
        <v>462</v>
      </c>
      <c r="Q166" s="58">
        <v>0</v>
      </c>
      <c r="R166" s="58">
        <v>0</v>
      </c>
      <c r="S166" s="58">
        <v>0</v>
      </c>
      <c r="T166" s="58">
        <v>1.1447183098591549</v>
      </c>
      <c r="W166" s="58" t="s">
        <v>462</v>
      </c>
      <c r="X166" s="58">
        <v>1.4669211195928753</v>
      </c>
      <c r="Y166" s="58">
        <v>0.56782726405254869</v>
      </c>
      <c r="Z166" s="58">
        <v>0.42771412984178936</v>
      </c>
      <c r="AA166" s="58">
        <v>1.4669211195928753</v>
      </c>
      <c r="AC166" s="58" t="s">
        <v>462</v>
      </c>
      <c r="AD166" s="58">
        <v>1.6371662990310714</v>
      </c>
      <c r="AE166" s="58">
        <v>1.3481698201007912</v>
      </c>
      <c r="AF166" s="58">
        <v>1.2722232050577751</v>
      </c>
      <c r="AG166" s="58">
        <v>1.6371662990310714</v>
      </c>
      <c r="AI166" s="58" t="s">
        <v>462</v>
      </c>
      <c r="AJ166" s="58">
        <v>0</v>
      </c>
      <c r="AK166" s="58">
        <v>0</v>
      </c>
      <c r="AL166" s="58">
        <v>0</v>
      </c>
      <c r="AM166" s="58">
        <v>0.21674049271621731</v>
      </c>
      <c r="AO166" s="58" t="s">
        <v>462</v>
      </c>
      <c r="AP166" s="58">
        <v>0</v>
      </c>
      <c r="AQ166" s="58">
        <v>0</v>
      </c>
      <c r="AR166" s="58">
        <v>0</v>
      </c>
      <c r="AS166" s="58">
        <v>0.14830110126242277</v>
      </c>
      <c r="AU166" s="58" t="s">
        <v>462</v>
      </c>
      <c r="AV166" s="58">
        <v>0.48384588572807463</v>
      </c>
      <c r="AW166" s="58">
        <v>0.32038260290768411</v>
      </c>
      <c r="AX166" s="58">
        <v>0.38370417766037629</v>
      </c>
      <c r="AY166" s="58">
        <v>0.53792672218697668</v>
      </c>
      <c r="AZ166" s="58"/>
      <c r="BA166" s="58" t="s">
        <v>462</v>
      </c>
      <c r="BB166" s="58">
        <v>0.19390694806376085</v>
      </c>
      <c r="BC166" s="58">
        <v>0.40945206173809462</v>
      </c>
      <c r="BD166" s="58">
        <v>0.19686132392366298</v>
      </c>
      <c r="BE166" s="58">
        <v>0.44133487087208856</v>
      </c>
      <c r="BH166" s="63">
        <v>0.28837209302325584</v>
      </c>
      <c r="BJ166" s="63">
        <v>0.28837209302325584</v>
      </c>
      <c r="BL166" s="58" t="s">
        <v>462</v>
      </c>
      <c r="BM166" s="58">
        <v>0</v>
      </c>
      <c r="BN166" s="218">
        <v>0</v>
      </c>
      <c r="BO166" s="58">
        <v>0</v>
      </c>
      <c r="BP166" s="237">
        <v>0.20806657492171765</v>
      </c>
      <c r="BR166" s="58" t="s">
        <v>462</v>
      </c>
      <c r="BS166" s="237">
        <v>0</v>
      </c>
      <c r="BT166" s="58">
        <v>0</v>
      </c>
      <c r="BU166" s="218">
        <v>0</v>
      </c>
      <c r="BV166" s="58">
        <v>0</v>
      </c>
      <c r="BX166" s="58" t="s">
        <v>462</v>
      </c>
      <c r="BY166" s="58">
        <v>0.49095423447082792</v>
      </c>
      <c r="BZ166" s="58">
        <v>0.64014793245268176</v>
      </c>
      <c r="CA166" s="58">
        <v>0.39958868111360779</v>
      </c>
      <c r="CB166" s="58">
        <v>0.66491746807773566</v>
      </c>
      <c r="CD166" s="58" t="s">
        <v>462</v>
      </c>
      <c r="CE166" s="58">
        <v>0</v>
      </c>
      <c r="CF166" s="58">
        <v>0</v>
      </c>
      <c r="CG166" s="58">
        <v>0</v>
      </c>
      <c r="CH166" s="58">
        <v>0.13218138044170938</v>
      </c>
      <c r="CJ166" s="58" t="s">
        <v>462</v>
      </c>
      <c r="CK166" s="58">
        <v>1.9418711188028097</v>
      </c>
      <c r="CL166" s="58">
        <v>1.4957379134860052</v>
      </c>
      <c r="CM166" s="58">
        <v>1.3019335970650059</v>
      </c>
      <c r="CN166" s="58">
        <v>1.9418711188028097</v>
      </c>
    </row>
    <row r="167" spans="1:93">
      <c r="B167" s="58" t="s">
        <v>412</v>
      </c>
      <c r="C167" s="58">
        <v>-0.1478617276312737</v>
      </c>
      <c r="D167" s="58">
        <v>-9.9025974025974031E-2</v>
      </c>
      <c r="E167" s="58">
        <v>-8.2757499390293462E-2</v>
      </c>
      <c r="F167" s="58">
        <v>-0.1478617276312737</v>
      </c>
      <c r="G167" s="58"/>
      <c r="H167" s="83"/>
      <c r="I167" s="58" t="s">
        <v>412</v>
      </c>
      <c r="J167" s="58">
        <v>-0.73684210526315785</v>
      </c>
      <c r="K167" s="58">
        <v>-0.25</v>
      </c>
      <c r="L167" s="58">
        <v>-9.0094574415131912E-2</v>
      </c>
      <c r="M167" s="58">
        <v>-0.73684210526315785</v>
      </c>
      <c r="P167" s="58" t="s">
        <v>412</v>
      </c>
      <c r="Q167" s="58">
        <v>0.61971830985915488</v>
      </c>
      <c r="R167" s="58">
        <v>-0.52500000000000002</v>
      </c>
      <c r="S167" s="58">
        <v>0.55789473684210522</v>
      </c>
      <c r="T167" s="58">
        <v>-0.52500000000000002</v>
      </c>
      <c r="W167" s="58" t="s">
        <v>412</v>
      </c>
      <c r="X167" s="58">
        <v>-0.30025445292620867</v>
      </c>
      <c r="Y167" s="58">
        <v>-5.8568004793289392E-2</v>
      </c>
      <c r="Z167" s="58">
        <v>-8.1560283687943241E-2</v>
      </c>
      <c r="AA167" s="58">
        <v>-0.30025445292620867</v>
      </c>
      <c r="AC167" s="58" t="s">
        <v>412</v>
      </c>
      <c r="AD167" s="58">
        <v>-0.43213728549141966</v>
      </c>
      <c r="AE167" s="58">
        <v>-0.37743190661478598</v>
      </c>
      <c r="AF167" s="58">
        <v>-0.24852652259332023</v>
      </c>
      <c r="AG167" s="58">
        <v>-0.43213728549141966</v>
      </c>
      <c r="AI167" s="58" t="s">
        <v>412</v>
      </c>
      <c r="AJ167" s="58">
        <v>0.34795321637426901</v>
      </c>
      <c r="AK167" s="58">
        <v>0.1312127236580517</v>
      </c>
      <c r="AL167" s="58">
        <v>0.3165829145728643</v>
      </c>
      <c r="AM167" s="58">
        <v>0.1312127236580517</v>
      </c>
      <c r="AO167" s="58" t="s">
        <v>412</v>
      </c>
      <c r="AP167" s="58">
        <v>5.0228310502283102E-2</v>
      </c>
      <c r="AQ167" s="58">
        <v>0.19852941176470587</v>
      </c>
      <c r="AR167" s="58">
        <v>6.8322981366459631E-2</v>
      </c>
      <c r="AS167" s="58">
        <v>5.0228310502283102E-2</v>
      </c>
      <c r="AU167" s="58" t="s">
        <v>412</v>
      </c>
      <c r="AV167" s="58">
        <v>-9.3117408906882596E-2</v>
      </c>
      <c r="AW167" s="58">
        <v>-0.14719824536578466</v>
      </c>
      <c r="AX167" s="58">
        <v>-1.0135135135135136E-2</v>
      </c>
      <c r="AY167" s="58">
        <v>-0.14719824536578466</v>
      </c>
      <c r="AZ167" s="58"/>
      <c r="BA167" s="58" t="s">
        <v>412</v>
      </c>
      <c r="BB167" s="58">
        <v>-7.340485601355165E-2</v>
      </c>
      <c r="BC167" s="58">
        <v>-0.11934510986643689</v>
      </c>
      <c r="BD167" s="58">
        <v>-3.3923859781379573E-2</v>
      </c>
      <c r="BE167" s="58">
        <v>-0.15122791900043084</v>
      </c>
      <c r="BH167" s="63">
        <v>6.2921348314606745E-2</v>
      </c>
      <c r="BJ167" s="63">
        <v>6.2921348314606745E-2</v>
      </c>
      <c r="BL167" s="58" t="s">
        <v>412</v>
      </c>
      <c r="BM167" s="58">
        <v>4.3893129770992363E-2</v>
      </c>
      <c r="BN167" s="218">
        <v>-6.3004846526655903E-2</v>
      </c>
      <c r="BO167" s="58">
        <v>0.14506172839506173</v>
      </c>
      <c r="BP167" s="237">
        <v>-6.3004846526655903E-2</v>
      </c>
      <c r="BR167" s="58" t="s">
        <v>412</v>
      </c>
      <c r="BS167" s="237">
        <v>0</v>
      </c>
      <c r="BT167" s="58">
        <v>0</v>
      </c>
      <c r="BU167" s="218">
        <v>0</v>
      </c>
      <c r="BV167" s="58">
        <v>0</v>
      </c>
      <c r="BX167" s="58" t="s">
        <v>412</v>
      </c>
      <c r="BY167" s="58">
        <v>-0.19221209610604806</v>
      </c>
      <c r="BZ167" s="58">
        <v>-0.3661753297129558</v>
      </c>
      <c r="CA167" s="58">
        <v>-0.27823691460055094</v>
      </c>
      <c r="CB167" s="58">
        <v>-0.3661753297129558</v>
      </c>
      <c r="CD167" s="58" t="s">
        <v>412</v>
      </c>
      <c r="CE167" s="58">
        <v>-0.22355936125896783</v>
      </c>
      <c r="CF167" s="58">
        <v>-0.19226457399103139</v>
      </c>
      <c r="CG167" s="58">
        <v>-8.7268710301021818E-2</v>
      </c>
      <c r="CH167" s="58">
        <v>-0.14992373066027456</v>
      </c>
      <c r="CJ167" s="58" t="s">
        <v>412</v>
      </c>
      <c r="CK167" s="58">
        <v>-0.73684210526315785</v>
      </c>
      <c r="CL167" s="58">
        <v>-0.52500000000000002</v>
      </c>
      <c r="CM167" s="58">
        <v>-0.27823691460055094</v>
      </c>
      <c r="CN167" s="58">
        <v>-0.73684210526315785</v>
      </c>
    </row>
    <row r="168" spans="1:93">
      <c r="B168" s="58" t="s">
        <v>413</v>
      </c>
      <c r="C168" s="58">
        <v>0.25555071832825427</v>
      </c>
      <c r="D168" s="58">
        <v>0.47473139673696779</v>
      </c>
      <c r="E168" s="58">
        <v>0.67386091127098324</v>
      </c>
      <c r="F168" s="58">
        <v>0.67386091127098324</v>
      </c>
      <c r="G168" s="58"/>
      <c r="H168" s="83"/>
      <c r="I168" s="58" t="s">
        <v>413</v>
      </c>
      <c r="J168" s="58">
        <v>-6.6666666666666666E-2</v>
      </c>
      <c r="K168" s="58">
        <v>-0.13927916921197311</v>
      </c>
      <c r="L168" s="58">
        <v>0.16666666666666666</v>
      </c>
      <c r="M168" s="58">
        <v>0.16666666666666666</v>
      </c>
      <c r="P168" s="58" t="s">
        <v>413</v>
      </c>
      <c r="Q168" s="58">
        <v>0.61971830985915488</v>
      </c>
      <c r="R168" s="58">
        <v>-0.52500000000000002</v>
      </c>
      <c r="S168" s="58">
        <v>0.55789473684210522</v>
      </c>
      <c r="T168" s="58">
        <v>0.61971830985915488</v>
      </c>
      <c r="W168" s="58" t="s">
        <v>413</v>
      </c>
      <c r="X168" s="58">
        <v>1.1666666666666667</v>
      </c>
      <c r="Y168" s="58">
        <v>0.5092592592592593</v>
      </c>
      <c r="Z168" s="58">
        <v>0.34615384615384615</v>
      </c>
      <c r="AA168" s="58">
        <v>1.1666666666666667</v>
      </c>
      <c r="AC168" s="58" t="s">
        <v>413</v>
      </c>
      <c r="AD168" s="58">
        <v>1.2050290135396517</v>
      </c>
      <c r="AE168" s="58">
        <v>0.97073791348600513</v>
      </c>
      <c r="AF168" s="58">
        <v>1.0236966824644549</v>
      </c>
      <c r="AG168" s="58">
        <v>1.2050290135396517</v>
      </c>
      <c r="AI168" s="58" t="s">
        <v>413</v>
      </c>
      <c r="AJ168" s="58">
        <v>0.34795321637426901</v>
      </c>
      <c r="AK168" s="58">
        <v>0.1312127236580517</v>
      </c>
      <c r="AL168" s="58">
        <v>0.3165829145728643</v>
      </c>
      <c r="AM168" s="58">
        <v>0.34795321637426901</v>
      </c>
      <c r="AO168" s="58" t="s">
        <v>413</v>
      </c>
      <c r="AP168" s="58">
        <v>5.0228310502283102E-2</v>
      </c>
      <c r="AQ168" s="58">
        <v>0.19852941176470587</v>
      </c>
      <c r="AR168" s="58">
        <v>6.8322981366459631E-2</v>
      </c>
      <c r="AS168" s="58">
        <v>0.19852941176470587</v>
      </c>
      <c r="AU168" s="58" t="s">
        <v>413</v>
      </c>
      <c r="AV168" s="58">
        <v>0.39072847682119205</v>
      </c>
      <c r="AW168" s="58">
        <v>0.17318435754189945</v>
      </c>
      <c r="AX168" s="58">
        <v>0.37356904252524115</v>
      </c>
      <c r="AY168" s="58">
        <v>0.39072847682119205</v>
      </c>
      <c r="AZ168" s="58"/>
      <c r="BA168" s="58" t="s">
        <v>413</v>
      </c>
      <c r="BB168" s="58">
        <v>0.1205020920502092</v>
      </c>
      <c r="BC168" s="58">
        <v>0.29010695187165775</v>
      </c>
      <c r="BD168" s="58">
        <v>0.16293746414228341</v>
      </c>
      <c r="BE168" s="58">
        <v>0.29010695187165775</v>
      </c>
      <c r="BH168" s="63">
        <v>-3.7356321839080463E-2</v>
      </c>
      <c r="BJ168" s="63">
        <v>-0.43730407523510972</v>
      </c>
      <c r="BL168" s="58" t="s">
        <v>413</v>
      </c>
      <c r="BM168" s="58">
        <v>4.3893129770992363E-2</v>
      </c>
      <c r="BN168" s="218">
        <v>-6.3004846526655903E-2</v>
      </c>
      <c r="BO168" s="58">
        <v>0.14506172839506173</v>
      </c>
      <c r="BP168" s="237">
        <v>0.14506172839506173</v>
      </c>
      <c r="BR168" s="58" t="s">
        <v>413</v>
      </c>
      <c r="BS168" s="237">
        <v>0</v>
      </c>
      <c r="BT168" s="58">
        <v>0</v>
      </c>
      <c r="BU168" s="218">
        <v>0</v>
      </c>
      <c r="BV168" s="58">
        <v>0</v>
      </c>
      <c r="BX168" s="58" t="s">
        <v>413</v>
      </c>
      <c r="BY168" s="58">
        <v>0.29874213836477986</v>
      </c>
      <c r="BZ168" s="58">
        <v>0.27397260273972601</v>
      </c>
      <c r="CA168" s="58">
        <v>0.12135176651305683</v>
      </c>
      <c r="CB168" s="58">
        <v>0.29874213836477986</v>
      </c>
      <c r="CD168" s="58" t="s">
        <v>413</v>
      </c>
      <c r="CE168" s="58">
        <v>-0.22355936125896783</v>
      </c>
      <c r="CF168" s="58">
        <v>-0.19226457399103139</v>
      </c>
      <c r="CG168" s="58">
        <v>-8.7268710301021818E-2</v>
      </c>
      <c r="CH168" s="58">
        <v>-1.7742350218565184E-2</v>
      </c>
      <c r="CJ168" s="58" t="s">
        <v>413</v>
      </c>
      <c r="CK168" s="58">
        <v>1.2050290135396517</v>
      </c>
      <c r="CL168" s="58">
        <v>0.97073791348600513</v>
      </c>
      <c r="CM168" s="58">
        <v>1.0236966824644549</v>
      </c>
      <c r="CN168" s="58">
        <v>1.2050290135396517</v>
      </c>
    </row>
    <row r="169" spans="1:93">
      <c r="B169" s="58" t="s">
        <v>463</v>
      </c>
      <c r="C169" s="58">
        <v>0.50352043342990527</v>
      </c>
      <c r="D169" s="58">
        <v>0.85355154897285312</v>
      </c>
      <c r="E169" s="58">
        <v>2.1684446011002851</v>
      </c>
      <c r="F169" s="58">
        <v>3.5255165835030429</v>
      </c>
      <c r="G169" s="58"/>
      <c r="H169" s="83"/>
      <c r="I169" s="58" t="s">
        <v>463</v>
      </c>
      <c r="J169" s="58">
        <v>-0.80350877192982451</v>
      </c>
      <c r="K169" s="58">
        <v>-0.38927916921197314</v>
      </c>
      <c r="L169" s="58">
        <v>7.6572092251534746E-2</v>
      </c>
      <c r="M169" s="58">
        <v>-1.1162158488902625</v>
      </c>
      <c r="P169" s="58" t="s">
        <v>463</v>
      </c>
      <c r="Q169" s="58">
        <v>0.61971830985915488</v>
      </c>
      <c r="R169" s="58">
        <v>-0.52500000000000002</v>
      </c>
      <c r="S169" s="58">
        <v>0.55789473684210522</v>
      </c>
      <c r="T169" s="58">
        <v>0.65261304670126008</v>
      </c>
      <c r="W169" s="58" t="s">
        <v>463</v>
      </c>
      <c r="X169" s="58">
        <v>1.0627261366882526</v>
      </c>
      <c r="Y169" s="58">
        <v>0.76465118894925432</v>
      </c>
      <c r="Z169" s="58">
        <v>0.79431806745824296</v>
      </c>
      <c r="AA169" s="58">
        <v>2.6216953930957496</v>
      </c>
      <c r="AC169" s="58" t="s">
        <v>463</v>
      </c>
      <c r="AD169" s="58">
        <v>2.4913458269559463</v>
      </c>
      <c r="AE169" s="58">
        <v>3.6498987750704024</v>
      </c>
      <c r="AF169" s="58">
        <v>3.839881048106129</v>
      </c>
      <c r="AG169" s="58">
        <v>9.9811256501324745</v>
      </c>
      <c r="AI169" s="58" t="s">
        <v>463</v>
      </c>
      <c r="AJ169" s="58">
        <v>0.34795321637426901</v>
      </c>
      <c r="AK169" s="58">
        <v>0.1312127236580517</v>
      </c>
      <c r="AL169" s="58">
        <v>0.3165829145728643</v>
      </c>
      <c r="AM169" s="58">
        <v>0.79574885460518496</v>
      </c>
      <c r="AO169" s="58" t="s">
        <v>463</v>
      </c>
      <c r="AP169" s="58">
        <v>5.0228310502283102E-2</v>
      </c>
      <c r="AQ169" s="58">
        <v>0.19852941176470587</v>
      </c>
      <c r="AR169" s="58">
        <v>6.8322981366459631E-2</v>
      </c>
      <c r="AS169" s="58">
        <v>0.31708070363344859</v>
      </c>
      <c r="AU169" s="58" t="s">
        <v>463</v>
      </c>
      <c r="AV169" s="58">
        <v>0.29137524024991035</v>
      </c>
      <c r="AW169" s="58">
        <v>6.2739318306862371E-2</v>
      </c>
      <c r="AX169" s="58">
        <v>0.79251542926035623</v>
      </c>
      <c r="AY169" s="58">
        <v>1.1466299878171289</v>
      </c>
      <c r="AZ169" s="58"/>
      <c r="BA169" s="58" t="s">
        <v>463</v>
      </c>
      <c r="BB169" s="58">
        <v>0.14023635959881176</v>
      </c>
      <c r="BC169" s="58">
        <v>0.23463738402464812</v>
      </c>
      <c r="BD169" s="58">
        <v>0.13664155550280813</v>
      </c>
      <c r="BE169" s="58">
        <v>0.47134187306146469</v>
      </c>
      <c r="BH169" s="63">
        <v>1.5384615384615385E-2</v>
      </c>
      <c r="BJ169" s="63">
        <v>-1.1441647597254004E-2</v>
      </c>
      <c r="BL169" s="58" t="s">
        <v>463</v>
      </c>
      <c r="BM169" s="58">
        <v>4.3893129770992363E-2</v>
      </c>
      <c r="BN169" s="218">
        <v>-6.3004846526655903E-2</v>
      </c>
      <c r="BO169" s="58">
        <v>0.14506172839506173</v>
      </c>
      <c r="BP169" s="237">
        <v>0.12595001163939817</v>
      </c>
      <c r="BR169" s="58" t="s">
        <v>463</v>
      </c>
      <c r="BS169" s="237">
        <v>0</v>
      </c>
      <c r="BT169" s="58">
        <v>0</v>
      </c>
      <c r="BU169" s="218">
        <v>0</v>
      </c>
      <c r="BV169" s="58">
        <v>0</v>
      </c>
      <c r="BX169" s="58" t="s">
        <v>463</v>
      </c>
      <c r="BY169" s="58">
        <v>0.3595547846767107</v>
      </c>
      <c r="BZ169" s="58">
        <v>0.38367958558898962</v>
      </c>
      <c r="CA169" s="58">
        <v>-0.15459734698997557</v>
      </c>
      <c r="CB169" s="58">
        <v>0.58863702327572465</v>
      </c>
      <c r="CD169" s="58" t="s">
        <v>463</v>
      </c>
      <c r="CE169" s="58">
        <v>-0.22355936125896783</v>
      </c>
      <c r="CF169" s="58">
        <v>-0.19226457399103139</v>
      </c>
      <c r="CG169" s="58">
        <v>-8.7268710301021818E-2</v>
      </c>
      <c r="CH169" s="58">
        <v>-0.27014326471195582</v>
      </c>
      <c r="CJ169" s="58" t="s">
        <v>463</v>
      </c>
      <c r="CK169" s="58">
        <v>4.9571192455161377</v>
      </c>
      <c r="CL169" s="58">
        <v>5.1991387367640192</v>
      </c>
      <c r="CM169" s="58">
        <v>8.7238954576473056</v>
      </c>
      <c r="CN169" s="58">
        <v>18.839980013862654</v>
      </c>
    </row>
    <row r="170" spans="1:93">
      <c r="B170" s="58" t="s">
        <v>464</v>
      </c>
      <c r="C170" s="58">
        <v>13</v>
      </c>
      <c r="D170" s="58">
        <v>13</v>
      </c>
      <c r="E170" s="58">
        <v>13</v>
      </c>
      <c r="F170" s="58">
        <v>39</v>
      </c>
      <c r="G170" s="58"/>
      <c r="H170" s="83"/>
      <c r="I170" s="58" t="s">
        <v>464</v>
      </c>
      <c r="J170" s="58">
        <v>2</v>
      </c>
      <c r="K170" s="58">
        <v>2</v>
      </c>
      <c r="L170" s="58">
        <v>2</v>
      </c>
      <c r="M170" s="58">
        <v>6</v>
      </c>
      <c r="P170" s="58" t="s">
        <v>464</v>
      </c>
      <c r="Q170" s="58">
        <v>1</v>
      </c>
      <c r="R170" s="58">
        <v>1</v>
      </c>
      <c r="S170" s="58">
        <v>1</v>
      </c>
      <c r="T170" s="58">
        <v>3</v>
      </c>
      <c r="W170" s="58" t="s">
        <v>464</v>
      </c>
      <c r="X170" s="58">
        <v>10</v>
      </c>
      <c r="Y170" s="58">
        <v>10</v>
      </c>
      <c r="Z170" s="58">
        <v>10</v>
      </c>
      <c r="AA170" s="58">
        <v>30</v>
      </c>
      <c r="AC170" s="58" t="s">
        <v>464</v>
      </c>
      <c r="AD170" s="58">
        <v>47</v>
      </c>
      <c r="AE170" s="58">
        <v>47</v>
      </c>
      <c r="AF170" s="58">
        <v>47</v>
      </c>
      <c r="AG170" s="58">
        <v>141</v>
      </c>
      <c r="AI170" s="58" t="s">
        <v>464</v>
      </c>
      <c r="AJ170" s="58">
        <v>1</v>
      </c>
      <c r="AK170" s="58">
        <v>1</v>
      </c>
      <c r="AL170" s="58">
        <v>1</v>
      </c>
      <c r="AM170" s="58">
        <v>3</v>
      </c>
      <c r="AO170" s="58" t="s">
        <v>464</v>
      </c>
      <c r="AP170" s="58">
        <v>1</v>
      </c>
      <c r="AQ170" s="58">
        <v>1</v>
      </c>
      <c r="AR170" s="58">
        <v>1</v>
      </c>
      <c r="AS170" s="58">
        <v>3</v>
      </c>
      <c r="AU170" s="58" t="s">
        <v>464</v>
      </c>
      <c r="AV170" s="58">
        <v>4</v>
      </c>
      <c r="AW170" s="58">
        <v>4</v>
      </c>
      <c r="AX170" s="58">
        <v>4</v>
      </c>
      <c r="AY170" s="58">
        <v>12</v>
      </c>
      <c r="AZ170" s="58"/>
      <c r="BA170" s="58" t="s">
        <v>464</v>
      </c>
      <c r="BB170" s="58">
        <v>4</v>
      </c>
      <c r="BC170" s="58">
        <v>4</v>
      </c>
      <c r="BD170" s="58">
        <v>4</v>
      </c>
      <c r="BE170" s="58">
        <v>12</v>
      </c>
      <c r="BH170" s="63">
        <v>0.97073791348600513</v>
      </c>
      <c r="BJ170" s="63">
        <v>1.1715686274509804</v>
      </c>
      <c r="BL170" s="58" t="s">
        <v>464</v>
      </c>
      <c r="BM170" s="58">
        <v>1</v>
      </c>
      <c r="BN170" s="218">
        <v>1</v>
      </c>
      <c r="BO170" s="58">
        <v>1</v>
      </c>
      <c r="BP170" s="237">
        <v>3</v>
      </c>
      <c r="BR170" s="58" t="s">
        <v>464</v>
      </c>
      <c r="BS170" s="237">
        <v>1</v>
      </c>
      <c r="BT170" s="58">
        <v>1</v>
      </c>
      <c r="BU170" s="218">
        <v>1</v>
      </c>
      <c r="BV170" s="58">
        <v>3</v>
      </c>
      <c r="BX170" s="58" t="s">
        <v>464</v>
      </c>
      <c r="BY170" s="58">
        <v>7</v>
      </c>
      <c r="BZ170" s="58">
        <v>7</v>
      </c>
      <c r="CA170" s="58">
        <v>7</v>
      </c>
      <c r="CB170" s="58">
        <v>21</v>
      </c>
      <c r="CD170" s="58" t="s">
        <v>464</v>
      </c>
      <c r="CE170" s="58">
        <v>1</v>
      </c>
      <c r="CF170" s="58">
        <v>1</v>
      </c>
      <c r="CG170" s="58">
        <v>1</v>
      </c>
      <c r="CH170" s="58">
        <v>3</v>
      </c>
      <c r="CJ170" s="58" t="s">
        <v>464</v>
      </c>
      <c r="CK170" s="58">
        <v>93</v>
      </c>
      <c r="CL170" s="58">
        <v>93</v>
      </c>
      <c r="CM170" s="58">
        <v>93</v>
      </c>
      <c r="CN170" s="58">
        <v>279</v>
      </c>
    </row>
    <row r="171" spans="1:93" ht="17" thickBot="1">
      <c r="B171" s="59" t="s">
        <v>467</v>
      </c>
      <c r="C171" s="59">
        <v>7.1138659886421651E-2</v>
      </c>
      <c r="D171" s="59">
        <v>0.11273648931187194</v>
      </c>
      <c r="E171" s="59">
        <v>0.1500797187856372</v>
      </c>
      <c r="F171" s="59">
        <v>6.3161747956830341E-2</v>
      </c>
      <c r="G171" s="59"/>
      <c r="H171" s="83"/>
      <c r="I171" s="59" t="s">
        <v>467</v>
      </c>
      <c r="J171" s="59">
        <v>4.2576931659813448</v>
      </c>
      <c r="K171" s="59">
        <v>0.70342077227601107</v>
      </c>
      <c r="L171" s="59">
        <v>1.6312304487498206</v>
      </c>
      <c r="M171" s="59">
        <v>0.31744965868684161</v>
      </c>
      <c r="P171" s="59" t="s">
        <v>467</v>
      </c>
      <c r="Q171" s="59" t="e">
        <v>#NUM!</v>
      </c>
      <c r="R171" s="59" t="e">
        <v>#NUM!</v>
      </c>
      <c r="S171" s="59" t="e">
        <v>#NUM!</v>
      </c>
      <c r="T171" s="59">
        <v>1.5992854582191187</v>
      </c>
      <c r="W171" s="59" t="s">
        <v>467</v>
      </c>
      <c r="X171" s="59">
        <v>0.29140969791526961</v>
      </c>
      <c r="Y171" s="59">
        <v>0.12019347507983087</v>
      </c>
      <c r="Z171" s="59">
        <v>8.8188515813992077E-2</v>
      </c>
      <c r="AA171" s="59">
        <v>9.5319982398406833E-2</v>
      </c>
      <c r="AC171" s="59" t="s">
        <v>467</v>
      </c>
      <c r="AD171" s="59">
        <v>7.5853793042221104E-2</v>
      </c>
      <c r="AE171" s="59">
        <v>6.0500932461332001E-2</v>
      </c>
      <c r="AF171" s="59">
        <v>6.1925555750653324E-2</v>
      </c>
      <c r="AG171" s="59">
        <v>3.7474623557875508E-2</v>
      </c>
      <c r="AI171" s="59" t="s">
        <v>467</v>
      </c>
      <c r="AJ171" s="59" t="e">
        <v>#NUM!</v>
      </c>
      <c r="AK171" s="59" t="e">
        <v>#NUM!</v>
      </c>
      <c r="AL171" s="59" t="e">
        <v>#NUM!</v>
      </c>
      <c r="AM171" s="59">
        <v>0.29097769534895274</v>
      </c>
      <c r="AO171" s="59" t="s">
        <v>467</v>
      </c>
      <c r="AP171" s="59" t="e">
        <v>#NUM!</v>
      </c>
      <c r="AQ171" s="59" t="e">
        <v>#NUM!</v>
      </c>
      <c r="AR171" s="59" t="e">
        <v>#NUM!</v>
      </c>
      <c r="AS171" s="59">
        <v>0.20098078407504574</v>
      </c>
      <c r="AU171" s="59" t="s">
        <v>467</v>
      </c>
      <c r="AV171" s="59">
        <v>0.34393200107246824</v>
      </c>
      <c r="AW171" s="59">
        <v>0.23897775610121694</v>
      </c>
      <c r="AX171" s="59">
        <v>0.26356440267161146</v>
      </c>
      <c r="AY171" s="59">
        <v>0.11490950789270372</v>
      </c>
      <c r="AZ171" s="59"/>
      <c r="BA171" s="59" t="s">
        <v>467</v>
      </c>
      <c r="BB171" s="59">
        <v>0.12823719881270459</v>
      </c>
      <c r="BC171" s="59">
        <v>0.27474592479771937</v>
      </c>
      <c r="BD171" s="59">
        <v>0.14049416422282809</v>
      </c>
      <c r="BE171" s="59">
        <v>7.3562021951538742E-2</v>
      </c>
      <c r="BH171" s="63">
        <v>0.10077519379844961</v>
      </c>
      <c r="BJ171" s="63">
        <v>-0.25</v>
      </c>
      <c r="BL171" s="59" t="s">
        <v>467</v>
      </c>
      <c r="BM171" s="59" t="e">
        <v>#NUM!</v>
      </c>
      <c r="BN171" s="238" t="e">
        <v>#NUM!</v>
      </c>
      <c r="BO171" s="59" t="e">
        <v>#NUM!</v>
      </c>
      <c r="BP171" s="242">
        <v>0.25846566990559783</v>
      </c>
      <c r="BR171" s="59" t="s">
        <v>467</v>
      </c>
      <c r="BS171" s="242" t="e">
        <v>#NUM!</v>
      </c>
      <c r="BT171" s="59" t="e">
        <v>#NUM!</v>
      </c>
      <c r="BU171" s="238" t="e">
        <v>#NUM!</v>
      </c>
      <c r="BV171" s="59" t="e">
        <v>#NUM!</v>
      </c>
      <c r="BX171" s="59" t="s">
        <v>467</v>
      </c>
      <c r="BY171" s="59">
        <v>0.13969597572880138</v>
      </c>
      <c r="BZ171" s="59">
        <v>0.19290712446315239</v>
      </c>
      <c r="CA171" s="59">
        <v>0.14465193985379698</v>
      </c>
      <c r="CB171" s="59">
        <v>7.6921497293530428E-2</v>
      </c>
      <c r="CD171" s="59" t="s">
        <v>467</v>
      </c>
      <c r="CE171" s="59" t="e">
        <v>#NUM!</v>
      </c>
      <c r="CF171" s="59" t="e">
        <v>#NUM!</v>
      </c>
      <c r="CG171" s="59" t="e">
        <v>#NUM!</v>
      </c>
      <c r="CH171" s="59">
        <v>0.166341677890501</v>
      </c>
      <c r="CJ171" s="59" t="s">
        <v>467</v>
      </c>
      <c r="CK171" s="59">
        <v>5.325132574522367E-2</v>
      </c>
      <c r="CL171" s="59">
        <v>4.082258873208764E-2</v>
      </c>
      <c r="CM171" s="59">
        <v>4.1492286002020845E-2</v>
      </c>
      <c r="CN171" s="59">
        <v>2.6077555181575264E-2</v>
      </c>
    </row>
    <row r="172" spans="1:93">
      <c r="E172" s="83"/>
      <c r="F172" s="83"/>
      <c r="G172" s="83"/>
      <c r="H172" s="83"/>
      <c r="I172" s="83"/>
      <c r="J172" s="83"/>
      <c r="P172" s="83"/>
      <c r="Q172" s="83"/>
      <c r="W172" s="83"/>
      <c r="X172" s="83"/>
      <c r="AJ172" s="83"/>
      <c r="AK172" s="83"/>
      <c r="AL172" s="83"/>
      <c r="AM172" s="83"/>
      <c r="BH172" s="63">
        <v>5.7873485868102287E-2</v>
      </c>
      <c r="BJ172" s="63">
        <v>5.7873485868102287E-2</v>
      </c>
    </row>
    <row r="173" spans="1:93">
      <c r="W173" s="83"/>
      <c r="X173" s="83"/>
      <c r="AJ173" s="83"/>
      <c r="AK173" s="83"/>
      <c r="AL173" s="83"/>
      <c r="AM173" s="83"/>
      <c r="BH173" s="63">
        <v>1.658374792703151E-3</v>
      </c>
      <c r="BJ173" s="63">
        <v>-9.2631578947368426E-2</v>
      </c>
    </row>
    <row r="174" spans="1:93" ht="17" thickBot="1">
      <c r="BG174" t="s">
        <v>559</v>
      </c>
      <c r="BH174" s="63">
        <v>-0.2177650429799427</v>
      </c>
      <c r="BI174" t="s">
        <v>559</v>
      </c>
      <c r="BJ174" s="63">
        <v>-0.42979942693409739</v>
      </c>
    </row>
    <row r="175" spans="1:93">
      <c r="A175" t="s">
        <v>577</v>
      </c>
      <c r="B175" s="61" t="s">
        <v>569</v>
      </c>
      <c r="C175" s="61">
        <v>2015</v>
      </c>
      <c r="D175" s="61">
        <v>2016</v>
      </c>
      <c r="E175" s="61">
        <v>2017</v>
      </c>
      <c r="F175" s="60" t="s">
        <v>376</v>
      </c>
      <c r="G175" s="61"/>
      <c r="I175" s="61" t="s">
        <v>36</v>
      </c>
      <c r="J175" s="61">
        <v>2015</v>
      </c>
      <c r="K175" s="61">
        <v>2016</v>
      </c>
      <c r="L175" s="61">
        <v>2017</v>
      </c>
      <c r="M175" s="60" t="s">
        <v>376</v>
      </c>
      <c r="N175" s="60"/>
      <c r="P175" s="60" t="s">
        <v>46</v>
      </c>
      <c r="Q175" s="61">
        <v>2015</v>
      </c>
      <c r="R175" s="61">
        <v>2016</v>
      </c>
      <c r="S175" s="61">
        <v>2017</v>
      </c>
      <c r="T175" s="60" t="s">
        <v>376</v>
      </c>
      <c r="U175" s="61"/>
      <c r="W175" s="60" t="s">
        <v>37</v>
      </c>
      <c r="X175" s="61">
        <v>2015</v>
      </c>
      <c r="Y175" s="61">
        <v>2016</v>
      </c>
      <c r="Z175" s="61">
        <v>2017</v>
      </c>
      <c r="AA175" s="60" t="s">
        <v>376</v>
      </c>
      <c r="AB175" s="61"/>
      <c r="AC175" s="60" t="s">
        <v>38</v>
      </c>
      <c r="AD175" s="61">
        <v>2015</v>
      </c>
      <c r="AE175" s="61">
        <v>2016</v>
      </c>
      <c r="AF175" s="61">
        <v>2017</v>
      </c>
      <c r="AG175" s="60" t="s">
        <v>376</v>
      </c>
      <c r="AH175" s="61"/>
      <c r="AI175" s="60" t="s">
        <v>576</v>
      </c>
      <c r="AJ175" s="61">
        <v>2015</v>
      </c>
      <c r="AK175" s="61">
        <v>2016</v>
      </c>
      <c r="AL175" s="61">
        <v>2017</v>
      </c>
      <c r="AM175" s="60" t="s">
        <v>376</v>
      </c>
      <c r="AN175" s="61"/>
      <c r="AO175" s="60" t="s">
        <v>40</v>
      </c>
      <c r="AP175" s="61">
        <v>2015</v>
      </c>
      <c r="AQ175" s="61">
        <v>2016</v>
      </c>
      <c r="AR175" s="61">
        <v>2017</v>
      </c>
      <c r="AS175" s="60" t="s">
        <v>376</v>
      </c>
      <c r="AT175" s="61"/>
      <c r="AU175" s="60" t="s">
        <v>571</v>
      </c>
      <c r="AV175" s="61">
        <v>2015</v>
      </c>
      <c r="AW175" s="60">
        <v>2016</v>
      </c>
      <c r="AX175" s="60">
        <v>2017</v>
      </c>
      <c r="AY175" s="60" t="s">
        <v>376</v>
      </c>
      <c r="AZ175" s="61"/>
      <c r="BA175" s="60" t="s">
        <v>34</v>
      </c>
      <c r="BB175" s="61">
        <v>2015</v>
      </c>
      <c r="BC175" s="60">
        <v>2016</v>
      </c>
      <c r="BD175" s="60">
        <v>2017</v>
      </c>
      <c r="BE175" s="60" t="s">
        <v>376</v>
      </c>
      <c r="BF175" s="61"/>
      <c r="BH175" s="63">
        <v>2.2999080036798528E-2</v>
      </c>
      <c r="BJ175" s="63">
        <v>-0.14351425942962281</v>
      </c>
      <c r="BL175" s="60" t="s">
        <v>42</v>
      </c>
      <c r="BM175" s="61">
        <v>2015</v>
      </c>
      <c r="BN175" s="235">
        <v>2016</v>
      </c>
      <c r="BO175" s="60">
        <v>2017</v>
      </c>
      <c r="BP175" s="236" t="s">
        <v>376</v>
      </c>
      <c r="BQ175" s="243"/>
      <c r="BR175" s="60" t="s">
        <v>43</v>
      </c>
      <c r="BS175" s="244">
        <v>2015</v>
      </c>
      <c r="BT175" s="60">
        <v>2016</v>
      </c>
      <c r="BU175" s="235">
        <v>2017</v>
      </c>
      <c r="BV175" s="60" t="s">
        <v>376</v>
      </c>
      <c r="BX175" s="60" t="s">
        <v>44</v>
      </c>
      <c r="BY175" s="61">
        <v>2015</v>
      </c>
      <c r="BZ175" s="60">
        <v>2016</v>
      </c>
      <c r="CA175" s="60">
        <v>2017</v>
      </c>
      <c r="CB175" s="60" t="s">
        <v>376</v>
      </c>
      <c r="CC175" s="61"/>
      <c r="CD175" s="60" t="s">
        <v>45</v>
      </c>
      <c r="CE175" s="61">
        <v>2015</v>
      </c>
      <c r="CF175" s="60">
        <v>2016</v>
      </c>
      <c r="CG175" s="60">
        <v>2017</v>
      </c>
      <c r="CH175" s="60" t="s">
        <v>376</v>
      </c>
      <c r="CJ175" s="60" t="s">
        <v>376</v>
      </c>
      <c r="CK175" s="61">
        <v>2015</v>
      </c>
      <c r="CL175" s="60">
        <v>2016</v>
      </c>
      <c r="CM175" s="60">
        <v>2017</v>
      </c>
      <c r="CN175" s="60" t="s">
        <v>376</v>
      </c>
      <c r="CO175" s="61"/>
    </row>
    <row r="176" spans="1:93">
      <c r="B176" s="58"/>
      <c r="C176" s="58"/>
      <c r="D176" s="58"/>
      <c r="E176" s="58"/>
      <c r="F176" s="58"/>
      <c r="G176" s="58"/>
      <c r="I176" s="58"/>
      <c r="J176" s="58"/>
      <c r="K176" s="58"/>
      <c r="L176" s="58"/>
      <c r="M176" s="58"/>
      <c r="N176" s="58"/>
      <c r="P176" s="58"/>
      <c r="Q176" s="58"/>
      <c r="R176" s="58"/>
      <c r="S176" s="58"/>
      <c r="T176" s="58"/>
      <c r="U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H176" s="63">
        <v>0.13907284768211919</v>
      </c>
      <c r="BJ176" s="63">
        <v>-0.26310483870967744</v>
      </c>
      <c r="BL176" s="58"/>
      <c r="BM176" s="58"/>
      <c r="BN176" s="218"/>
      <c r="BO176" s="58"/>
      <c r="BP176" s="237"/>
      <c r="BQ176" s="218"/>
      <c r="BR176" s="58"/>
      <c r="BS176" s="237"/>
      <c r="BT176" s="58"/>
      <c r="BU176" s="218"/>
      <c r="BV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J176" s="58"/>
      <c r="CK176" s="58"/>
      <c r="CL176" s="58"/>
      <c r="CM176" s="58"/>
      <c r="CN176" s="58"/>
      <c r="CO176" s="58"/>
    </row>
    <row r="177" spans="2:92">
      <c r="B177" s="58" t="s">
        <v>455</v>
      </c>
      <c r="C177" s="58">
        <v>-5.3715150164986847E-3</v>
      </c>
      <c r="D177" s="58">
        <v>3.485585416916704E-2</v>
      </c>
      <c r="E177" s="58">
        <v>0.14387532967209654</v>
      </c>
      <c r="F177" s="58">
        <v>5.7786556274921637E-2</v>
      </c>
      <c r="I177" s="58" t="s">
        <v>455</v>
      </c>
      <c r="J177" s="58">
        <v>-0.43508771929824558</v>
      </c>
      <c r="K177" s="58">
        <v>-0.19433414783139891</v>
      </c>
      <c r="L177" s="58">
        <v>3.8286046125767373E-2</v>
      </c>
      <c r="M177" s="58">
        <v>-0.19704527366795901</v>
      </c>
      <c r="P177" s="58" t="s">
        <v>455</v>
      </c>
      <c r="Q177" s="58">
        <v>0.61971830985915488</v>
      </c>
      <c r="R177" s="58">
        <v>-0.52500000000000002</v>
      </c>
      <c r="S177" s="58">
        <v>0.55789473684210522</v>
      </c>
      <c r="T177" s="58">
        <v>0.21753768223375336</v>
      </c>
      <c r="W177" s="58" t="s">
        <v>455</v>
      </c>
      <c r="X177" s="58">
        <v>7.2528884880802419E-2</v>
      </c>
      <c r="Y177" s="58">
        <v>4.3815241072004407E-2</v>
      </c>
      <c r="Z177" s="58">
        <v>3.9276085003193538E-2</v>
      </c>
      <c r="AA177" s="58">
        <v>5.1873403652000126E-2</v>
      </c>
      <c r="AC177" s="58" t="s">
        <v>455</v>
      </c>
      <c r="AD177" s="58">
        <v>-7.2115999030682568E-2</v>
      </c>
      <c r="AE177" s="58">
        <v>-6.6262079061011808E-2</v>
      </c>
      <c r="AF177" s="58">
        <v>-3.8106990139418255E-2</v>
      </c>
      <c r="AG177" s="58">
        <v>-5.8828356077037562E-2</v>
      </c>
      <c r="AI177" s="58" t="s">
        <v>455</v>
      </c>
      <c r="AJ177" s="58">
        <v>0.34795321637426901</v>
      </c>
      <c r="AK177" s="58">
        <v>0.12922465208747516</v>
      </c>
      <c r="AL177" s="58">
        <v>0.3165829145728643</v>
      </c>
      <c r="AM177" s="58">
        <v>0.26458692767820285</v>
      </c>
      <c r="AO177" s="58" t="s">
        <v>455</v>
      </c>
      <c r="AP177" s="58">
        <v>5.0228310502283102E-2</v>
      </c>
      <c r="AQ177" s="58">
        <v>0.19852941176470587</v>
      </c>
      <c r="AR177" s="58">
        <v>6.8322981366459631E-2</v>
      </c>
      <c r="AS177" s="58">
        <v>0.1056935678778162</v>
      </c>
      <c r="AU177" s="58" t="s">
        <v>455</v>
      </c>
      <c r="AV177" s="58">
        <v>2.0324844081091642E-2</v>
      </c>
      <c r="AW177" s="58">
        <v>-1.8678320407147158E-2</v>
      </c>
      <c r="AX177" s="58">
        <v>8.0910260402277501E-2</v>
      </c>
      <c r="AY177" s="58">
        <v>2.7518928025407324E-2</v>
      </c>
      <c r="BA177" s="58" t="s">
        <v>455</v>
      </c>
      <c r="BB177" s="58">
        <v>7.445064081169124E-2</v>
      </c>
      <c r="BC177" s="58">
        <v>5.4083412716478235E-2</v>
      </c>
      <c r="BD177" s="58">
        <v>2.8692965649185019E-2</v>
      </c>
      <c r="BE177" s="58">
        <v>5.2409006392451489E-2</v>
      </c>
      <c r="BH177" s="63">
        <v>5.9792027729636051E-2</v>
      </c>
      <c r="BJ177" s="63">
        <v>5.9792027729636051E-2</v>
      </c>
      <c r="BL177" s="58" t="s">
        <v>455</v>
      </c>
      <c r="BM177" s="58">
        <v>4.3893129770992363E-2</v>
      </c>
      <c r="BN177" s="218">
        <v>-6.3004846526655903E-2</v>
      </c>
      <c r="BO177" s="58">
        <v>0.14506172839506173</v>
      </c>
      <c r="BP177" s="237">
        <v>4.1983337213132736E-2</v>
      </c>
      <c r="BR177" s="58" t="s">
        <v>455</v>
      </c>
      <c r="BS177" s="237">
        <v>0</v>
      </c>
      <c r="BT177" s="58">
        <v>0</v>
      </c>
      <c r="BU177" s="218">
        <v>0</v>
      </c>
      <c r="BV177" s="58">
        <v>0</v>
      </c>
      <c r="BX177" s="58" t="s">
        <v>455</v>
      </c>
      <c r="BY177" s="58">
        <v>-3.4966951100935589E-2</v>
      </c>
      <c r="BZ177" s="58">
        <v>2.7208837577694794E-3</v>
      </c>
      <c r="CA177" s="58">
        <v>-0.12250091880846635</v>
      </c>
      <c r="CB177" s="58">
        <v>-5.1582328717210815E-2</v>
      </c>
      <c r="CD177" s="58" t="s">
        <v>455</v>
      </c>
      <c r="CE177" s="58">
        <v>-0.22355936125896783</v>
      </c>
      <c r="CF177" s="58">
        <v>-0.19226457399103139</v>
      </c>
      <c r="CG177" s="58">
        <v>-8.7268710301021818E-2</v>
      </c>
      <c r="CH177" s="58">
        <v>-0.16769754851700702</v>
      </c>
      <c r="CJ177" s="58" t="s">
        <v>455</v>
      </c>
      <c r="CK177" s="58">
        <v>-2.8296788734760395E-2</v>
      </c>
      <c r="CL177" s="58">
        <v>-3.1221035459515406E-2</v>
      </c>
      <c r="CM177" s="58">
        <v>1.2152514138603477E-2</v>
      </c>
      <c r="CN177" s="58">
        <v>-1.5788436685224116E-2</v>
      </c>
    </row>
    <row r="178" spans="2:92">
      <c r="B178" s="58" t="s">
        <v>456</v>
      </c>
      <c r="C178" s="58">
        <v>3.6022749867396585E-2</v>
      </c>
      <c r="D178" s="58">
        <v>5.6233517378517971E-2</v>
      </c>
      <c r="E178" s="58">
        <v>7.323576664101368E-2</v>
      </c>
      <c r="F178" s="58">
        <v>3.3743866236193611E-2</v>
      </c>
      <c r="I178" s="58" t="s">
        <v>456</v>
      </c>
      <c r="J178" s="58">
        <v>0.30175438596491228</v>
      </c>
      <c r="K178" s="58">
        <v>5.56658521686011E-2</v>
      </c>
      <c r="L178" s="58">
        <v>0.12838062054089927</v>
      </c>
      <c r="M178" s="58">
        <v>0.1218437158762516</v>
      </c>
      <c r="P178" s="58" t="s">
        <v>456</v>
      </c>
      <c r="Q178" s="58">
        <v>0</v>
      </c>
      <c r="R178" s="58">
        <v>0</v>
      </c>
      <c r="S178" s="58">
        <v>0</v>
      </c>
      <c r="T178" s="58">
        <v>0.37169754536807414</v>
      </c>
      <c r="W178" s="58" t="s">
        <v>456</v>
      </c>
      <c r="X178" s="58">
        <v>0.13446559595501062</v>
      </c>
      <c r="Y178" s="58">
        <v>5.7803772804929265E-2</v>
      </c>
      <c r="Z178" s="58">
        <v>4.5028248868803265E-2</v>
      </c>
      <c r="AA178" s="58">
        <v>4.9328667600041336E-2</v>
      </c>
      <c r="AC178" s="58" t="s">
        <v>456</v>
      </c>
      <c r="AD178" s="58">
        <v>4.0222334024930945E-2</v>
      </c>
      <c r="AE178" s="58">
        <v>3.8109032158667289E-2</v>
      </c>
      <c r="AF178" s="58">
        <v>3.6330809094317892E-2</v>
      </c>
      <c r="AG178" s="58">
        <v>2.1963392529595761E-2</v>
      </c>
      <c r="AI178" s="58" t="s">
        <v>456</v>
      </c>
      <c r="AJ178" s="58">
        <v>0</v>
      </c>
      <c r="AK178" s="58">
        <v>0</v>
      </c>
      <c r="AL178" s="58">
        <v>0</v>
      </c>
      <c r="AM178" s="58">
        <v>6.8284291015828058E-2</v>
      </c>
      <c r="AO178" s="58" t="s">
        <v>456</v>
      </c>
      <c r="AP178" s="58">
        <v>0</v>
      </c>
      <c r="AQ178" s="58">
        <v>0</v>
      </c>
      <c r="AR178" s="58">
        <v>0</v>
      </c>
      <c r="AS178" s="58">
        <v>4.6710900623102021E-2</v>
      </c>
      <c r="AU178" s="58" t="s">
        <v>456</v>
      </c>
      <c r="AV178" s="58">
        <v>0.12178284573089355</v>
      </c>
      <c r="AW178" s="58">
        <v>8.9010031781511886E-2</v>
      </c>
      <c r="AX178" s="58">
        <v>8.2233812779331408E-2</v>
      </c>
      <c r="AY178" s="58">
        <v>5.3253344378794504E-2</v>
      </c>
      <c r="BA178" s="58" t="s">
        <v>456</v>
      </c>
      <c r="BB178" s="58">
        <v>1.8083673202086058E-2</v>
      </c>
      <c r="BC178" s="58">
        <v>9.136543472264487E-2</v>
      </c>
      <c r="BD178" s="58">
        <v>4.6902803414804711E-2</v>
      </c>
      <c r="BE178" s="58">
        <v>3.1944408375432977E-2</v>
      </c>
      <c r="BH178" s="63">
        <v>0.19808306709265175</v>
      </c>
      <c r="BJ178" s="63">
        <v>0.10273972602739725</v>
      </c>
      <c r="BL178" s="58" t="s">
        <v>456</v>
      </c>
      <c r="BM178" s="58">
        <v>0</v>
      </c>
      <c r="BN178" s="218">
        <v>0</v>
      </c>
      <c r="BO178" s="58">
        <v>0</v>
      </c>
      <c r="BP178" s="237">
        <v>6.007123654635449E-2</v>
      </c>
      <c r="BR178" s="58" t="s">
        <v>456</v>
      </c>
      <c r="BS178" s="237">
        <v>0</v>
      </c>
      <c r="BT178" s="58">
        <v>0</v>
      </c>
      <c r="BU178" s="218">
        <v>0</v>
      </c>
      <c r="BV178" s="58">
        <v>0</v>
      </c>
      <c r="BX178" s="58" t="s">
        <v>456</v>
      </c>
      <c r="BY178" s="58">
        <v>9.7092918939454848E-2</v>
      </c>
      <c r="BZ178" s="58">
        <v>0.1003555888609734</v>
      </c>
      <c r="CA178" s="58">
        <v>7.4577954293066753E-2</v>
      </c>
      <c r="CB178" s="58">
        <v>5.1415830639518031E-2</v>
      </c>
      <c r="CD178" s="58" t="s">
        <v>456</v>
      </c>
      <c r="CE178" s="58">
        <v>0</v>
      </c>
      <c r="CF178" s="58">
        <v>0</v>
      </c>
      <c r="CG178" s="58">
        <v>0</v>
      </c>
      <c r="CH178" s="58">
        <v>4.12166610329536E-2</v>
      </c>
      <c r="CJ178" s="58" t="s">
        <v>456</v>
      </c>
      <c r="CK178" s="58">
        <v>2.9171411874658281E-2</v>
      </c>
      <c r="CL178" s="58">
        <v>2.4582479559813915E-2</v>
      </c>
      <c r="CM178" s="58">
        <v>2.4577476208965127E-2</v>
      </c>
      <c r="CN178" s="58">
        <v>1.5118752007367597E-2</v>
      </c>
    </row>
    <row r="179" spans="2:92">
      <c r="B179" s="58" t="s">
        <v>431</v>
      </c>
      <c r="C179" s="58">
        <v>-4.6883773161145427E-2</v>
      </c>
      <c r="D179" s="58">
        <v>-5.3554040895813044E-3</v>
      </c>
      <c r="E179" s="58">
        <v>3.9316476799110864E-2</v>
      </c>
      <c r="F179" s="58">
        <v>0</v>
      </c>
      <c r="I179" s="58" t="s">
        <v>431</v>
      </c>
      <c r="J179" s="58">
        <v>-0.43508771929824558</v>
      </c>
      <c r="K179" s="58">
        <v>-0.19433414783139891</v>
      </c>
      <c r="L179" s="58">
        <v>3.8286046125767359E-2</v>
      </c>
      <c r="M179" s="58">
        <v>-0.13600081449806556</v>
      </c>
      <c r="P179" s="58" t="s">
        <v>431</v>
      </c>
      <c r="Q179" s="58">
        <v>0.61971830985915488</v>
      </c>
      <c r="R179" s="58">
        <v>-0.52500000000000002</v>
      </c>
      <c r="S179" s="58">
        <v>0.55789473684210522</v>
      </c>
      <c r="T179" s="58">
        <v>0.55789473684210522</v>
      </c>
      <c r="W179" s="58" t="s">
        <v>431</v>
      </c>
      <c r="X179" s="58">
        <v>-2.341983009147753E-2</v>
      </c>
      <c r="Y179" s="58">
        <v>-5.5696980876836916E-4</v>
      </c>
      <c r="Z179" s="58">
        <v>3.2590983161325366E-3</v>
      </c>
      <c r="AA179" s="58">
        <v>-1.2852066524917717E-2</v>
      </c>
      <c r="AC179" s="58" t="s">
        <v>431</v>
      </c>
      <c r="AD179" s="58">
        <v>-0.10324483775811209</v>
      </c>
      <c r="AE179" s="58">
        <v>-6.3862928348909651E-2</v>
      </c>
      <c r="AF179" s="58">
        <v>-2.5586353944562899E-2</v>
      </c>
      <c r="AG179" s="58">
        <v>-6.3862928348909651E-2</v>
      </c>
      <c r="AI179" s="58" t="s">
        <v>431</v>
      </c>
      <c r="AJ179" s="58">
        <v>0.34795321637426901</v>
      </c>
      <c r="AK179" s="58">
        <v>0.12922465208747516</v>
      </c>
      <c r="AL179" s="58">
        <v>0.3165829145728643</v>
      </c>
      <c r="AM179" s="58">
        <v>0.3165829145728643</v>
      </c>
      <c r="AO179" s="58" t="s">
        <v>431</v>
      </c>
      <c r="AP179" s="58">
        <v>5.0228310502283102E-2</v>
      </c>
      <c r="AQ179" s="58">
        <v>0.19852941176470587</v>
      </c>
      <c r="AR179" s="58">
        <v>6.8322981366459631E-2</v>
      </c>
      <c r="AS179" s="58">
        <v>6.8322981366459631E-2</v>
      </c>
      <c r="AU179" s="58" t="s">
        <v>431</v>
      </c>
      <c r="AV179" s="58">
        <v>-6.7857698490898719E-2</v>
      </c>
      <c r="AW179" s="58">
        <v>6.7287784679088969E-3</v>
      </c>
      <c r="AX179" s="58">
        <v>6.6284078838663982E-2</v>
      </c>
      <c r="AY179" s="58">
        <v>-1.0135135135135136E-2</v>
      </c>
      <c r="BA179" s="58" t="s">
        <v>431</v>
      </c>
      <c r="BB179" s="58">
        <v>6.9759878927207863E-2</v>
      </c>
      <c r="BC179" s="58">
        <v>3.8727308997343016E-2</v>
      </c>
      <c r="BD179" s="58">
        <v>1.9254917262859963E-3</v>
      </c>
      <c r="BE179" s="58">
        <v>4.6569561781077108E-2</v>
      </c>
      <c r="BH179" s="63">
        <v>1.4008620689655173E-2</v>
      </c>
      <c r="BJ179" s="63">
        <v>1.7817982456140351E-2</v>
      </c>
      <c r="BL179" s="58" t="s">
        <v>431</v>
      </c>
      <c r="BM179" s="58">
        <v>4.3893129770992363E-2</v>
      </c>
      <c r="BN179" s="218">
        <v>-6.3004846526655903E-2</v>
      </c>
      <c r="BO179" s="58">
        <v>0.14506172839506173</v>
      </c>
      <c r="BP179" s="237">
        <v>4.3893129770992363E-2</v>
      </c>
      <c r="BR179" s="58" t="s">
        <v>431</v>
      </c>
      <c r="BS179" s="237">
        <v>0</v>
      </c>
      <c r="BT179" s="58">
        <v>0</v>
      </c>
      <c r="BU179" s="218">
        <v>0</v>
      </c>
      <c r="BV179" s="58">
        <v>0</v>
      </c>
      <c r="BX179" s="58" t="s">
        <v>431</v>
      </c>
      <c r="BY179" s="58">
        <v>-3.1002029894814542E-2</v>
      </c>
      <c r="BZ179" s="58">
        <v>3.5281146637265712E-2</v>
      </c>
      <c r="CA179" s="58">
        <v>-8.8562351072279583E-2</v>
      </c>
      <c r="CB179" s="58">
        <v>-1.3692946058091286E-2</v>
      </c>
      <c r="CD179" s="58" t="s">
        <v>431</v>
      </c>
      <c r="CE179" s="58">
        <v>-0.22355936125896783</v>
      </c>
      <c r="CF179" s="58">
        <v>-0.19226457399103139</v>
      </c>
      <c r="CG179" s="58">
        <v>-8.7268710301021818E-2</v>
      </c>
      <c r="CH179" s="58">
        <v>-0.19226457399103139</v>
      </c>
      <c r="CJ179" s="58" t="s">
        <v>431</v>
      </c>
      <c r="CK179" s="58">
        <v>-4.9929676511954992E-2</v>
      </c>
      <c r="CL179" s="58">
        <v>-3.1257856364702921E-2</v>
      </c>
      <c r="CM179" s="58">
        <v>0</v>
      </c>
      <c r="CN179" s="58">
        <v>-1.7045454545454544E-2</v>
      </c>
    </row>
    <row r="180" spans="2:92">
      <c r="B180" s="58" t="s">
        <v>457</v>
      </c>
      <c r="C180" s="58">
        <v>0</v>
      </c>
      <c r="D180" s="58">
        <v>0.47075208913649025</v>
      </c>
      <c r="E180" s="58">
        <v>0.67386091127098324</v>
      </c>
      <c r="F180" s="58">
        <v>0</v>
      </c>
      <c r="I180" s="58" t="s">
        <v>457</v>
      </c>
      <c r="J180" s="58" t="e">
        <v>#N/A</v>
      </c>
      <c r="K180" s="58" t="e">
        <v>#N/A</v>
      </c>
      <c r="L180" s="58" t="e">
        <v>#N/A</v>
      </c>
      <c r="M180" s="58" t="e">
        <v>#N/A</v>
      </c>
      <c r="P180" s="58" t="s">
        <v>457</v>
      </c>
      <c r="Q180" s="58" t="e">
        <v>#N/A</v>
      </c>
      <c r="R180" s="58" t="e">
        <v>#N/A</v>
      </c>
      <c r="S180" s="58" t="e">
        <v>#N/A</v>
      </c>
      <c r="T180" s="58" t="e">
        <v>#N/A</v>
      </c>
      <c r="W180" s="58" t="s">
        <v>457</v>
      </c>
      <c r="X180" s="58" t="e">
        <v>#N/A</v>
      </c>
      <c r="Y180" s="58" t="e">
        <v>#N/A</v>
      </c>
      <c r="Z180" s="58" t="e">
        <v>#N/A</v>
      </c>
      <c r="AA180" s="58" t="e">
        <v>#N/A</v>
      </c>
      <c r="AC180" s="58" t="s">
        <v>457</v>
      </c>
      <c r="AD180" s="58">
        <v>0</v>
      </c>
      <c r="AE180" s="58">
        <v>0</v>
      </c>
      <c r="AF180" s="58" t="e">
        <v>#N/A</v>
      </c>
      <c r="AG180" s="58">
        <v>0</v>
      </c>
      <c r="AI180" s="58" t="s">
        <v>457</v>
      </c>
      <c r="AJ180" s="58" t="e">
        <v>#N/A</v>
      </c>
      <c r="AK180" s="58" t="e">
        <v>#N/A</v>
      </c>
      <c r="AL180" s="58" t="e">
        <v>#N/A</v>
      </c>
      <c r="AM180" s="58" t="e">
        <v>#N/A</v>
      </c>
      <c r="AO180" s="58" t="s">
        <v>457</v>
      </c>
      <c r="AP180" s="58" t="e">
        <v>#N/A</v>
      </c>
      <c r="AQ180" s="58" t="e">
        <v>#N/A</v>
      </c>
      <c r="AR180" s="58" t="e">
        <v>#N/A</v>
      </c>
      <c r="AS180" s="58" t="e">
        <v>#N/A</v>
      </c>
      <c r="AU180" s="58" t="s">
        <v>457</v>
      </c>
      <c r="AV180" s="58" t="e">
        <v>#N/A</v>
      </c>
      <c r="AW180" s="58" t="e">
        <v>#N/A</v>
      </c>
      <c r="AX180" s="58" t="e">
        <v>#N/A</v>
      </c>
      <c r="AY180" s="58" t="e">
        <v>#N/A</v>
      </c>
      <c r="BA180" s="58" t="s">
        <v>457</v>
      </c>
      <c r="BB180" s="58" t="e">
        <v>#N/A</v>
      </c>
      <c r="BC180" s="58" t="e">
        <v>#N/A</v>
      </c>
      <c r="BD180" s="58" t="e">
        <v>#N/A</v>
      </c>
      <c r="BE180" s="58" t="e">
        <v>#N/A</v>
      </c>
      <c r="BH180" s="63">
        <v>-1.4001806684733513E-2</v>
      </c>
      <c r="BJ180" s="63">
        <v>-0.19929185634800203</v>
      </c>
      <c r="BL180" s="58" t="s">
        <v>457</v>
      </c>
      <c r="BM180" s="58" t="e">
        <v>#N/A</v>
      </c>
      <c r="BN180" s="218" t="e">
        <v>#N/A</v>
      </c>
      <c r="BO180" s="58" t="e">
        <v>#N/A</v>
      </c>
      <c r="BP180" s="237" t="e">
        <v>#N/A</v>
      </c>
      <c r="BR180" s="58" t="s">
        <v>457</v>
      </c>
      <c r="BS180" s="237" t="e">
        <v>#N/A</v>
      </c>
      <c r="BT180" s="58" t="e">
        <v>#N/A</v>
      </c>
      <c r="BU180" s="218" t="e">
        <v>#N/A</v>
      </c>
      <c r="BV180" s="58" t="e">
        <v>#N/A</v>
      </c>
      <c r="BX180" s="58" t="s">
        <v>457</v>
      </c>
      <c r="BY180" s="58" t="e">
        <v>#N/A</v>
      </c>
      <c r="BZ180" s="58" t="e">
        <v>#N/A</v>
      </c>
      <c r="CA180" s="58" t="e">
        <v>#N/A</v>
      </c>
      <c r="CB180" s="58" t="e">
        <v>#N/A</v>
      </c>
      <c r="CD180" s="58" t="s">
        <v>457</v>
      </c>
      <c r="CE180" s="58" t="e">
        <v>#N/A</v>
      </c>
      <c r="CF180" s="58" t="e">
        <v>#N/A</v>
      </c>
      <c r="CG180" s="58" t="e">
        <v>#N/A</v>
      </c>
      <c r="CH180" s="58" t="e">
        <v>#N/A</v>
      </c>
      <c r="CJ180" s="58" t="s">
        <v>457</v>
      </c>
      <c r="CK180" s="58">
        <v>0</v>
      </c>
      <c r="CL180" s="58">
        <v>0</v>
      </c>
      <c r="CM180" s="58">
        <v>0</v>
      </c>
      <c r="CN180" s="58">
        <v>0</v>
      </c>
    </row>
    <row r="181" spans="2:92">
      <c r="B181" s="58" t="s">
        <v>458</v>
      </c>
      <c r="C181" s="58">
        <v>0.12988187173011201</v>
      </c>
      <c r="D181" s="58">
        <v>0.20275283030794186</v>
      </c>
      <c r="E181" s="58">
        <v>0.26405531182208997</v>
      </c>
      <c r="F181" s="58">
        <v>0.2107303771032524</v>
      </c>
      <c r="I181" s="58" t="s">
        <v>458</v>
      </c>
      <c r="J181" s="58">
        <v>0.42674514513714445</v>
      </c>
      <c r="K181" s="58">
        <v>7.8723403097891442E-2</v>
      </c>
      <c r="L181" s="58">
        <v>0.18155761471481371</v>
      </c>
      <c r="M181" s="58">
        <v>0.29845493226146613</v>
      </c>
      <c r="P181" s="58" t="s">
        <v>458</v>
      </c>
      <c r="Q181" s="58" t="e">
        <v>#DIV/0!</v>
      </c>
      <c r="R181" s="58" t="e">
        <v>#DIV/0!</v>
      </c>
      <c r="S181" s="58" t="e">
        <v>#DIV/0!</v>
      </c>
      <c r="T181" s="58">
        <v>0.64379903362614221</v>
      </c>
      <c r="W181" s="58" t="s">
        <v>458</v>
      </c>
      <c r="X181" s="58">
        <v>0.42521755014975771</v>
      </c>
      <c r="Y181" s="58">
        <v>0.18279157941447632</v>
      </c>
      <c r="Z181" s="58">
        <v>0.14239182547431867</v>
      </c>
      <c r="AA181" s="58">
        <v>0.27018423976216865</v>
      </c>
      <c r="AC181" s="58" t="s">
        <v>458</v>
      </c>
      <c r="AD181" s="58">
        <v>0.27575042929688526</v>
      </c>
      <c r="AE181" s="58">
        <v>0.26126236163539873</v>
      </c>
      <c r="AF181" s="58">
        <v>0.24907147850375252</v>
      </c>
      <c r="AG181" s="58">
        <v>0.26080083628831313</v>
      </c>
      <c r="AI181" s="58" t="s">
        <v>458</v>
      </c>
      <c r="AJ181" s="58" t="e">
        <v>#DIV/0!</v>
      </c>
      <c r="AK181" s="58" t="e">
        <v>#DIV/0!</v>
      </c>
      <c r="AL181" s="58" t="e">
        <v>#DIV/0!</v>
      </c>
      <c r="AM181" s="58">
        <v>0.11827186139823322</v>
      </c>
      <c r="AO181" s="58" t="s">
        <v>458</v>
      </c>
      <c r="AP181" s="58" t="e">
        <v>#DIV/0!</v>
      </c>
      <c r="AQ181" s="58" t="e">
        <v>#DIV/0!</v>
      </c>
      <c r="AR181" s="58" t="e">
        <v>#DIV/0!</v>
      </c>
      <c r="AS181" s="58">
        <v>8.090565314651342E-2</v>
      </c>
      <c r="AU181" s="58" t="s">
        <v>458</v>
      </c>
      <c r="AV181" s="58">
        <v>0.24356569146178711</v>
      </c>
      <c r="AW181" s="58">
        <v>0.17802006356302377</v>
      </c>
      <c r="AX181" s="58">
        <v>0.16446762555866282</v>
      </c>
      <c r="AY181" s="58">
        <v>0.1844749962740691</v>
      </c>
      <c r="BA181" s="58" t="s">
        <v>458</v>
      </c>
      <c r="BB181" s="58">
        <v>3.6167346404172115E-2</v>
      </c>
      <c r="BC181" s="58">
        <v>0.18273086944528974</v>
      </c>
      <c r="BD181" s="58">
        <v>9.3805606829609423E-2</v>
      </c>
      <c r="BE181" s="58">
        <v>0.11065867664795739</v>
      </c>
      <c r="BH181" s="63">
        <v>2.6490066225165563E-2</v>
      </c>
      <c r="BJ181" s="63">
        <v>2.7586206896551724E-2</v>
      </c>
      <c r="BL181" s="58" t="s">
        <v>458</v>
      </c>
      <c r="BM181" s="58" t="e">
        <v>#DIV/0!</v>
      </c>
      <c r="BN181" s="218" t="e">
        <v>#DIV/0!</v>
      </c>
      <c r="BO181" s="58" t="e">
        <v>#DIV/0!</v>
      </c>
      <c r="BP181" s="237">
        <v>0.10404643377177435</v>
      </c>
      <c r="BR181" s="58" t="s">
        <v>458</v>
      </c>
      <c r="BS181" s="237" t="e">
        <v>#DIV/0!</v>
      </c>
      <c r="BT181" s="58" t="e">
        <v>#DIV/0!</v>
      </c>
      <c r="BU181" s="218" t="e">
        <v>#DIV/0!</v>
      </c>
      <c r="BV181" s="58" t="e">
        <v>#DIV/0!</v>
      </c>
      <c r="BX181" s="58" t="s">
        <v>458</v>
      </c>
      <c r="BY181" s="58">
        <v>0.25688371757915068</v>
      </c>
      <c r="BZ181" s="58">
        <v>0.26551593080157943</v>
      </c>
      <c r="CA181" s="58">
        <v>0.19731472034739647</v>
      </c>
      <c r="CB181" s="58">
        <v>0.23561693582462112</v>
      </c>
      <c r="CD181" s="58" t="s">
        <v>458</v>
      </c>
      <c r="CE181" s="58" t="e">
        <v>#DIV/0!</v>
      </c>
      <c r="CF181" s="58" t="e">
        <v>#DIV/0!</v>
      </c>
      <c r="CG181" s="58" t="e">
        <v>#DIV/0!</v>
      </c>
      <c r="CH181" s="58">
        <v>7.1389351027419959E-2</v>
      </c>
      <c r="CJ181" s="58" t="s">
        <v>458</v>
      </c>
      <c r="CK181" s="58">
        <v>0.28131890832428724</v>
      </c>
      <c r="CL181" s="58">
        <v>0.23706484771409322</v>
      </c>
      <c r="CM181" s="58">
        <v>0.23701659714587278</v>
      </c>
      <c r="CN181" s="58">
        <v>0.25253294591125852</v>
      </c>
    </row>
    <row r="182" spans="2:92">
      <c r="B182" s="58" t="s">
        <v>459</v>
      </c>
      <c r="C182" s="58">
        <v>1.686930060411727E-2</v>
      </c>
      <c r="D182" s="58">
        <v>4.1108710197881072E-2</v>
      </c>
      <c r="E182" s="58">
        <v>6.9725207701461164E-2</v>
      </c>
      <c r="F182" s="58">
        <v>4.4407291834078967E-2</v>
      </c>
      <c r="I182" s="58" t="s">
        <v>459</v>
      </c>
      <c r="J182" s="58">
        <v>0.18211141889812249</v>
      </c>
      <c r="K182" s="58">
        <v>6.1973741953131045E-3</v>
      </c>
      <c r="L182" s="58">
        <v>3.2963167460932745E-2</v>
      </c>
      <c r="M182" s="58">
        <v>8.9075346591196342E-2</v>
      </c>
      <c r="P182" s="58" t="s">
        <v>459</v>
      </c>
      <c r="Q182" s="58" t="e">
        <v>#DIV/0!</v>
      </c>
      <c r="R182" s="58" t="e">
        <v>#DIV/0!</v>
      </c>
      <c r="S182" s="58" t="e">
        <v>#DIV/0!</v>
      </c>
      <c r="T182" s="58">
        <v>0.41447719569795455</v>
      </c>
      <c r="W182" s="58" t="s">
        <v>459</v>
      </c>
      <c r="X182" s="58">
        <v>0.18080996495536172</v>
      </c>
      <c r="Y182" s="58">
        <v>3.3412761504838809E-2</v>
      </c>
      <c r="Z182" s="58">
        <v>2.0275431961908827E-2</v>
      </c>
      <c r="AA182" s="58">
        <v>7.2999523415861037E-2</v>
      </c>
      <c r="AC182" s="58" t="s">
        <v>459</v>
      </c>
      <c r="AD182" s="58">
        <v>7.6038299257416508E-2</v>
      </c>
      <c r="AE182" s="58">
        <v>6.8258021607305874E-2</v>
      </c>
      <c r="AF182" s="58">
        <v>6.2036601404045252E-2</v>
      </c>
      <c r="AG182" s="58">
        <v>6.8017076208683511E-2</v>
      </c>
      <c r="AI182" s="58" t="s">
        <v>459</v>
      </c>
      <c r="AJ182" s="58" t="e">
        <v>#DIV/0!</v>
      </c>
      <c r="AK182" s="58" t="e">
        <v>#DIV/0!</v>
      </c>
      <c r="AL182" s="58" t="e">
        <v>#DIV/0!</v>
      </c>
      <c r="AM182" s="58">
        <v>1.3988233198602887E-2</v>
      </c>
      <c r="AO182" s="58" t="s">
        <v>459</v>
      </c>
      <c r="AP182" s="58" t="e">
        <v>#DIV/0!</v>
      </c>
      <c r="AQ182" s="58" t="e">
        <v>#DIV/0!</v>
      </c>
      <c r="AR182" s="58" t="e">
        <v>#DIV/0!</v>
      </c>
      <c r="AS182" s="58">
        <v>6.5457247110639362E-3</v>
      </c>
      <c r="AU182" s="58" t="s">
        <v>459</v>
      </c>
      <c r="AV182" s="58">
        <v>5.9324246057258473E-2</v>
      </c>
      <c r="AW182" s="58">
        <v>3.169114303098302E-2</v>
      </c>
      <c r="AX182" s="58">
        <v>2.7049599856904517E-2</v>
      </c>
      <c r="AY182" s="58">
        <v>3.4031024250317808E-2</v>
      </c>
      <c r="BA182" s="58" t="s">
        <v>459</v>
      </c>
      <c r="BB182" s="58">
        <v>1.3080769459193817E-3</v>
      </c>
      <c r="BC182" s="58">
        <v>3.3390570648231525E-2</v>
      </c>
      <c r="BD182" s="58">
        <v>8.7994918726712664E-3</v>
      </c>
      <c r="BE182" s="58">
        <v>1.2245342717477192E-2</v>
      </c>
      <c r="BH182" s="63">
        <v>-6.2280421590546149E-2</v>
      </c>
      <c r="BJ182" s="63">
        <v>-0.10932944606413994</v>
      </c>
      <c r="BL182" s="58" t="s">
        <v>459</v>
      </c>
      <c r="BM182" s="58" t="e">
        <v>#DIV/0!</v>
      </c>
      <c r="BN182" s="218" t="e">
        <v>#DIV/0!</v>
      </c>
      <c r="BO182" s="58" t="e">
        <v>#DIV/0!</v>
      </c>
      <c r="BP182" s="237">
        <v>1.0825660380624226E-2</v>
      </c>
      <c r="BR182" s="58" t="s">
        <v>459</v>
      </c>
      <c r="BS182" s="237" t="e">
        <v>#DIV/0!</v>
      </c>
      <c r="BT182" s="58" t="e">
        <v>#DIV/0!</v>
      </c>
      <c r="BU182" s="218" t="e">
        <v>#DIV/0!</v>
      </c>
      <c r="BV182" s="58" t="e">
        <v>#DIV/0!</v>
      </c>
      <c r="BX182" s="58" t="s">
        <v>459</v>
      </c>
      <c r="BY182" s="58">
        <v>6.5989244357284857E-2</v>
      </c>
      <c r="BZ182" s="58">
        <v>7.0498709509429117E-2</v>
      </c>
      <c r="CA182" s="58">
        <v>3.893309886577128E-2</v>
      </c>
      <c r="CB182" s="58">
        <v>5.5515340447383633E-2</v>
      </c>
      <c r="CD182" s="58" t="s">
        <v>459</v>
      </c>
      <c r="CE182" s="58" t="e">
        <v>#DIV/0!</v>
      </c>
      <c r="CF182" s="58" t="e">
        <v>#DIV/0!</v>
      </c>
      <c r="CG182" s="58" t="e">
        <v>#DIV/0!</v>
      </c>
      <c r="CH182" s="58">
        <v>5.0964394401161878E-3</v>
      </c>
      <c r="CJ182" s="58" t="s">
        <v>459</v>
      </c>
      <c r="CK182" s="58">
        <v>7.9140328180768729E-2</v>
      </c>
      <c r="CL182" s="58">
        <v>5.619974202170621E-2</v>
      </c>
      <c r="CM182" s="58">
        <v>5.6176867322608952E-2</v>
      </c>
      <c r="CN182" s="58">
        <v>6.377288877061861E-2</v>
      </c>
    </row>
    <row r="183" spans="2:92">
      <c r="B183" s="58" t="s">
        <v>460</v>
      </c>
      <c r="C183" s="58">
        <v>1.0953100911657709</v>
      </c>
      <c r="D183" s="58">
        <v>2.1903226360799546</v>
      </c>
      <c r="E183" s="58">
        <v>0.87488919878278049</v>
      </c>
      <c r="F183" s="58">
        <v>2.4684310207760909</v>
      </c>
      <c r="I183" s="58" t="s">
        <v>460</v>
      </c>
      <c r="J183" s="58" t="e">
        <v>#DIV/0!</v>
      </c>
      <c r="K183" s="58" t="e">
        <v>#DIV/0!</v>
      </c>
      <c r="L183" s="58" t="e">
        <v>#DIV/0!</v>
      </c>
      <c r="M183" s="58">
        <v>2.7989820207425726</v>
      </c>
      <c r="P183" s="58" t="s">
        <v>460</v>
      </c>
      <c r="Q183" s="58" t="e">
        <v>#DIV/0!</v>
      </c>
      <c r="R183" s="58" t="e">
        <v>#DIV/0!</v>
      </c>
      <c r="S183" s="58" t="e">
        <v>#DIV/0!</v>
      </c>
      <c r="T183" s="58" t="e">
        <v>#DIV/0!</v>
      </c>
      <c r="W183" s="58" t="s">
        <v>460</v>
      </c>
      <c r="X183" s="58">
        <v>5.5123629070275344</v>
      </c>
      <c r="Y183" s="58">
        <v>5.1064584247600857</v>
      </c>
      <c r="Z183" s="58">
        <v>1.7131875269229493</v>
      </c>
      <c r="AA183" s="58">
        <v>9.6744180714590939</v>
      </c>
      <c r="AC183" s="58" t="s">
        <v>460</v>
      </c>
      <c r="AD183" s="58">
        <v>7.7558726915145053</v>
      </c>
      <c r="AE183" s="58">
        <v>10.266136085861802</v>
      </c>
      <c r="AF183" s="58">
        <v>7.5635721645243104</v>
      </c>
      <c r="AG183" s="58">
        <v>7.7929083787868709</v>
      </c>
      <c r="AI183" s="58" t="s">
        <v>460</v>
      </c>
      <c r="AJ183" s="58" t="e">
        <v>#DIV/0!</v>
      </c>
      <c r="AK183" s="58" t="e">
        <v>#DIV/0!</v>
      </c>
      <c r="AL183" s="58" t="e">
        <v>#DIV/0!</v>
      </c>
      <c r="AM183" s="58" t="e">
        <v>#DIV/0!</v>
      </c>
      <c r="AO183" s="58" t="s">
        <v>460</v>
      </c>
      <c r="AP183" s="58" t="e">
        <v>#DIV/0!</v>
      </c>
      <c r="AQ183" s="58" t="e">
        <v>#DIV/0!</v>
      </c>
      <c r="AR183" s="58" t="e">
        <v>#DIV/0!</v>
      </c>
      <c r="AS183" s="58" t="e">
        <v>#DIV/0!</v>
      </c>
      <c r="AU183" s="58" t="s">
        <v>460</v>
      </c>
      <c r="AV183" s="58">
        <v>2.233578655473023</v>
      </c>
      <c r="AW183" s="58">
        <v>-3.0574595875290544</v>
      </c>
      <c r="AX183" s="58">
        <v>-2.8023606425849596</v>
      </c>
      <c r="AY183" s="58">
        <v>-0.62791893910504148</v>
      </c>
      <c r="BA183" s="58" t="s">
        <v>460</v>
      </c>
      <c r="BB183" s="58">
        <v>-0.93968097121488725</v>
      </c>
      <c r="BC183" s="58">
        <v>1.1034375062188104</v>
      </c>
      <c r="BD183" s="58">
        <v>2.4357784664763873</v>
      </c>
      <c r="BE183" s="58">
        <v>1.4585829096223568</v>
      </c>
      <c r="BH183" s="63">
        <v>0.24817518248175183</v>
      </c>
      <c r="BJ183" s="63">
        <v>0.24817518248175183</v>
      </c>
      <c r="BL183" s="58" t="s">
        <v>460</v>
      </c>
      <c r="BM183" s="58" t="e">
        <v>#DIV/0!</v>
      </c>
      <c r="BN183" s="218" t="e">
        <v>#DIV/0!</v>
      </c>
      <c r="BO183" s="58" t="e">
        <v>#DIV/0!</v>
      </c>
      <c r="BP183" s="237" t="e">
        <v>#DIV/0!</v>
      </c>
      <c r="BR183" s="58" t="s">
        <v>460</v>
      </c>
      <c r="BS183" s="237" t="e">
        <v>#DIV/0!</v>
      </c>
      <c r="BT183" s="58" t="e">
        <v>#DIV/0!</v>
      </c>
      <c r="BU183" s="218" t="e">
        <v>#DIV/0!</v>
      </c>
      <c r="BV183" s="58" t="e">
        <v>#DIV/0!</v>
      </c>
      <c r="BX183" s="58" t="s">
        <v>460</v>
      </c>
      <c r="BY183" s="58">
        <v>2.934342592450669</v>
      </c>
      <c r="BZ183" s="58">
        <v>2.9434047862584709</v>
      </c>
      <c r="CA183" s="58">
        <v>1.1275954911586936</v>
      </c>
      <c r="CB183" s="58">
        <v>0.43601308659591131</v>
      </c>
      <c r="CD183" s="58" t="s">
        <v>460</v>
      </c>
      <c r="CE183" s="58" t="e">
        <v>#DIV/0!</v>
      </c>
      <c r="CF183" s="58" t="e">
        <v>#DIV/0!</v>
      </c>
      <c r="CG183" s="58" t="e">
        <v>#DIV/0!</v>
      </c>
      <c r="CH183" s="58" t="e">
        <v>#DIV/0!</v>
      </c>
      <c r="CJ183" s="58" t="s">
        <v>460</v>
      </c>
      <c r="CK183" s="58">
        <v>5.9851470215410156</v>
      </c>
      <c r="CL183" s="58">
        <v>6.7998344810936207</v>
      </c>
      <c r="CM183" s="58">
        <v>4.3827134200128501</v>
      </c>
      <c r="CN183" s="58">
        <v>5.6430309860069494</v>
      </c>
    </row>
    <row r="184" spans="2:92">
      <c r="B184" s="58" t="s">
        <v>461</v>
      </c>
      <c r="C184" s="58">
        <v>1.1944836795045963</v>
      </c>
      <c r="D184" s="58">
        <v>1.7554840276179005</v>
      </c>
      <c r="E184" s="58">
        <v>1.3540791409850912</v>
      </c>
      <c r="F184" s="58">
        <v>1.7101443652370256</v>
      </c>
      <c r="I184" s="58" t="s">
        <v>461</v>
      </c>
      <c r="J184" s="58" t="e">
        <v>#DIV/0!</v>
      </c>
      <c r="K184" s="58" t="e">
        <v>#DIV/0!</v>
      </c>
      <c r="L184" s="58" t="e">
        <v>#DIV/0!</v>
      </c>
      <c r="M184" s="58">
        <v>-1.2146685692406212</v>
      </c>
      <c r="P184" s="58" t="s">
        <v>461</v>
      </c>
      <c r="Q184" s="58" t="e">
        <v>#DIV/0!</v>
      </c>
      <c r="R184" s="58" t="e">
        <v>#DIV/0!</v>
      </c>
      <c r="S184" s="58" t="e">
        <v>#DIV/0!</v>
      </c>
      <c r="T184" s="58">
        <v>-1.7140992098210717</v>
      </c>
      <c r="W184" s="58" t="s">
        <v>461</v>
      </c>
      <c r="X184" s="58">
        <v>2.1615401006325281</v>
      </c>
      <c r="Y184" s="58">
        <v>2.1863856173653833</v>
      </c>
      <c r="Z184" s="58">
        <v>0.96892909343381528</v>
      </c>
      <c r="AA184" s="58">
        <v>2.6216740633127573</v>
      </c>
      <c r="AC184" s="58" t="s">
        <v>461</v>
      </c>
      <c r="AD184" s="58">
        <v>1.9979196669512733</v>
      </c>
      <c r="AE184" s="58">
        <v>2.115327865024204</v>
      </c>
      <c r="AF184" s="58">
        <v>1.893346364601183</v>
      </c>
      <c r="AG184" s="58">
        <v>1.9455507749224159</v>
      </c>
      <c r="AI184" s="58" t="s">
        <v>461</v>
      </c>
      <c r="AJ184" s="58" t="e">
        <v>#DIV/0!</v>
      </c>
      <c r="AK184" s="58" t="e">
        <v>#DIV/0!</v>
      </c>
      <c r="AL184" s="58" t="e">
        <v>#DIV/0!</v>
      </c>
      <c r="AM184" s="58">
        <v>-1.595975272835261</v>
      </c>
      <c r="AO184" s="58" t="s">
        <v>461</v>
      </c>
      <c r="AP184" s="58" t="e">
        <v>#DIV/0!</v>
      </c>
      <c r="AQ184" s="58" t="e">
        <v>#DIV/0!</v>
      </c>
      <c r="AR184" s="58" t="e">
        <v>#DIV/0!</v>
      </c>
      <c r="AS184" s="58">
        <v>1.6350933228059774</v>
      </c>
      <c r="AU184" s="58" t="s">
        <v>461</v>
      </c>
      <c r="AV184" s="58">
        <v>1.5678208608849471</v>
      </c>
      <c r="AW184" s="58">
        <v>-0.45847562124748642</v>
      </c>
      <c r="AX184" s="58">
        <v>0.33091482322884813</v>
      </c>
      <c r="AY184" s="58">
        <v>0.49529481106465018</v>
      </c>
      <c r="BA184" s="58" t="s">
        <v>461</v>
      </c>
      <c r="BB184" s="58">
        <v>0.59621149897508641</v>
      </c>
      <c r="BC184" s="58">
        <v>0.48094659373496135</v>
      </c>
      <c r="BD184" s="58">
        <v>1.4704672275672472</v>
      </c>
      <c r="BE184" s="58">
        <v>0.41369913309525208</v>
      </c>
      <c r="BH184" s="63">
        <v>4.6610169491525424E-2</v>
      </c>
      <c r="BJ184" s="63">
        <v>-0.32737030411449014</v>
      </c>
      <c r="BL184" s="58" t="s">
        <v>461</v>
      </c>
      <c r="BM184" s="58" t="e">
        <v>#DIV/0!</v>
      </c>
      <c r="BN184" s="218" t="e">
        <v>#DIV/0!</v>
      </c>
      <c r="BO184" s="58" t="e">
        <v>#DIV/0!</v>
      </c>
      <c r="BP184" s="237">
        <v>-8.257054802066538E-2</v>
      </c>
      <c r="BR184" s="58" t="s">
        <v>461</v>
      </c>
      <c r="BS184" s="237" t="e">
        <v>#DIV/0!</v>
      </c>
      <c r="BT184" s="58" t="e">
        <v>#DIV/0!</v>
      </c>
      <c r="BU184" s="218" t="e">
        <v>#DIV/0!</v>
      </c>
      <c r="BV184" s="58" t="e">
        <v>#DIV/0!</v>
      </c>
      <c r="BX184" s="58" t="s">
        <v>461</v>
      </c>
      <c r="BY184" s="58">
        <v>-1.210814228900585</v>
      </c>
      <c r="BZ184" s="58">
        <v>-1.491418747057967</v>
      </c>
      <c r="CA184" s="58">
        <v>-0.91791222905519032</v>
      </c>
      <c r="CB184" s="58">
        <v>-0.84594498811776286</v>
      </c>
      <c r="CD184" s="58" t="s">
        <v>461</v>
      </c>
      <c r="CE184" s="58" t="e">
        <v>#DIV/0!</v>
      </c>
      <c r="CF184" s="58" t="e">
        <v>#DIV/0!</v>
      </c>
      <c r="CG184" s="58" t="e">
        <v>#DIV/0!</v>
      </c>
      <c r="CH184" s="58">
        <v>1.3651853151969848</v>
      </c>
      <c r="CJ184" s="58" t="s">
        <v>461</v>
      </c>
      <c r="CK184" s="58">
        <v>1.5232748835589995</v>
      </c>
      <c r="CL184" s="58">
        <v>1.3202113524803811</v>
      </c>
      <c r="CM184" s="58">
        <v>1.3161301875446818</v>
      </c>
      <c r="CN184" s="58">
        <v>1.3804272632826784</v>
      </c>
    </row>
    <row r="185" spans="2:92">
      <c r="B185" s="58" t="s">
        <v>462</v>
      </c>
      <c r="C185" s="58">
        <v>0.4455546319357287</v>
      </c>
      <c r="D185" s="58">
        <v>0.62555085074639738</v>
      </c>
      <c r="E185" s="58">
        <v>0.80049722316625926</v>
      </c>
      <c r="F185" s="58">
        <v>0.86604157716404762</v>
      </c>
      <c r="I185" s="58" t="s">
        <v>462</v>
      </c>
      <c r="J185" s="58">
        <v>0.60350877192982455</v>
      </c>
      <c r="K185" s="58">
        <v>0.11133170433720219</v>
      </c>
      <c r="L185" s="58">
        <v>0.25676124108179854</v>
      </c>
      <c r="M185" s="58">
        <v>0.90350877192982448</v>
      </c>
      <c r="P185" s="58" t="s">
        <v>462</v>
      </c>
      <c r="Q185" s="58">
        <v>0</v>
      </c>
      <c r="R185" s="58">
        <v>0</v>
      </c>
      <c r="S185" s="58">
        <v>0</v>
      </c>
      <c r="T185" s="58">
        <v>1.1447183098591549</v>
      </c>
      <c r="W185" s="58" t="s">
        <v>462</v>
      </c>
      <c r="X185" s="58">
        <v>1.4669211195928753</v>
      </c>
      <c r="Y185" s="58">
        <v>0.60664145821213888</v>
      </c>
      <c r="Z185" s="58">
        <v>0.51948717948717948</v>
      </c>
      <c r="AA185" s="58">
        <v>1.4669211195928753</v>
      </c>
      <c r="AC185" s="58" t="s">
        <v>462</v>
      </c>
      <c r="AD185" s="58">
        <v>1.7075797107346293</v>
      </c>
      <c r="AE185" s="58">
        <v>1.7713061602593794</v>
      </c>
      <c r="AF185" s="58">
        <v>1.5779488818779446</v>
      </c>
      <c r="AG185" s="58">
        <v>1.7713061602593794</v>
      </c>
      <c r="AI185" s="58" t="s">
        <v>462</v>
      </c>
      <c r="AJ185" s="58">
        <v>0</v>
      </c>
      <c r="AK185" s="58">
        <v>0</v>
      </c>
      <c r="AL185" s="58">
        <v>0</v>
      </c>
      <c r="AM185" s="58">
        <v>0.21872856428679385</v>
      </c>
      <c r="AO185" s="58" t="s">
        <v>462</v>
      </c>
      <c r="AP185" s="58">
        <v>0</v>
      </c>
      <c r="AQ185" s="58">
        <v>0</v>
      </c>
      <c r="AR185" s="58">
        <v>0</v>
      </c>
      <c r="AS185" s="58">
        <v>0.14830110126242277</v>
      </c>
      <c r="AU185" s="58" t="s">
        <v>462</v>
      </c>
      <c r="AV185" s="58">
        <v>0.52470708099847174</v>
      </c>
      <c r="AW185" s="58">
        <v>0.37867363186049585</v>
      </c>
      <c r="AX185" s="58">
        <v>0.36141330391352189</v>
      </c>
      <c r="AY185" s="58">
        <v>0.60428316236476909</v>
      </c>
      <c r="BA185" s="58" t="s">
        <v>462</v>
      </c>
      <c r="BB185" s="58">
        <v>8.2721378708069171E-2</v>
      </c>
      <c r="BC185" s="58">
        <v>0.44133487087208856</v>
      </c>
      <c r="BD185" s="58">
        <v>0.21495404914039876</v>
      </c>
      <c r="BE185" s="58">
        <v>0.44133487087208856</v>
      </c>
      <c r="BH185" s="63">
        <v>1.8779342723004695E-2</v>
      </c>
      <c r="BJ185" s="63">
        <v>-8.6956521739130432E-2</v>
      </c>
      <c r="BL185" s="58" t="s">
        <v>462</v>
      </c>
      <c r="BM185" s="58">
        <v>0</v>
      </c>
      <c r="BN185" s="218">
        <v>0</v>
      </c>
      <c r="BO185" s="58">
        <v>0</v>
      </c>
      <c r="BP185" s="237">
        <v>0.20806657492171765</v>
      </c>
      <c r="BR185" s="58" t="s">
        <v>462</v>
      </c>
      <c r="BS185" s="237">
        <v>0</v>
      </c>
      <c r="BT185" s="58">
        <v>0</v>
      </c>
      <c r="BU185" s="218">
        <v>0</v>
      </c>
      <c r="BV185" s="58">
        <v>0</v>
      </c>
      <c r="BX185" s="58" t="s">
        <v>462</v>
      </c>
      <c r="BY185" s="58">
        <v>0.83844294388837026</v>
      </c>
      <c r="BZ185" s="58">
        <v>0.80430528375733856</v>
      </c>
      <c r="CA185" s="58">
        <v>0.60561989236805003</v>
      </c>
      <c r="CB185" s="58">
        <v>0.83844294388837026</v>
      </c>
      <c r="CD185" s="58" t="s">
        <v>462</v>
      </c>
      <c r="CE185" s="58">
        <v>0</v>
      </c>
      <c r="CF185" s="58">
        <v>0</v>
      </c>
      <c r="CG185" s="58">
        <v>0</v>
      </c>
      <c r="CH185" s="58">
        <v>0.13629065095794601</v>
      </c>
      <c r="CJ185" s="58" t="s">
        <v>462</v>
      </c>
      <c r="CK185" s="58">
        <v>1.9035087719298245</v>
      </c>
      <c r="CL185" s="58">
        <v>1.7713061602593794</v>
      </c>
      <c r="CM185" s="58">
        <v>1.5779488818779446</v>
      </c>
      <c r="CN185" s="58">
        <v>1.9084107327141382</v>
      </c>
    </row>
    <row r="186" spans="2:92">
      <c r="B186" s="58" t="s">
        <v>412</v>
      </c>
      <c r="C186" s="58">
        <v>-0.19218066589306437</v>
      </c>
      <c r="D186" s="58">
        <v>-0.15479876160990713</v>
      </c>
      <c r="E186" s="58">
        <v>-0.12663631189527602</v>
      </c>
      <c r="F186" s="58">
        <v>-0.19218066589306437</v>
      </c>
      <c r="I186" s="58" t="s">
        <v>412</v>
      </c>
      <c r="J186" s="58">
        <v>-0.73684210526315785</v>
      </c>
      <c r="K186" s="58">
        <v>-0.25</v>
      </c>
      <c r="L186" s="58">
        <v>-9.0094574415131912E-2</v>
      </c>
      <c r="M186" s="58">
        <v>-0.73684210526315785</v>
      </c>
      <c r="P186" s="58" t="s">
        <v>412</v>
      </c>
      <c r="Q186" s="58">
        <v>0.61971830985915488</v>
      </c>
      <c r="R186" s="58">
        <v>-0.52500000000000002</v>
      </c>
      <c r="S186" s="58">
        <v>0.55789473684210522</v>
      </c>
      <c r="T186" s="58">
        <v>-0.52500000000000002</v>
      </c>
      <c r="W186" s="58" t="s">
        <v>412</v>
      </c>
      <c r="X186" s="58">
        <v>-0.30025445292620867</v>
      </c>
      <c r="Y186" s="58">
        <v>-9.7382198952879584E-2</v>
      </c>
      <c r="Z186" s="58">
        <v>-0.17333333333333334</v>
      </c>
      <c r="AA186" s="58">
        <v>-0.30025445292620867</v>
      </c>
      <c r="AC186" s="58" t="s">
        <v>412</v>
      </c>
      <c r="AD186" s="58">
        <v>-0.55413032324268852</v>
      </c>
      <c r="AE186" s="58">
        <v>-0.59973753280839892</v>
      </c>
      <c r="AF186" s="58">
        <v>-0.55425219941348969</v>
      </c>
      <c r="AG186" s="58">
        <v>-0.59973753280839892</v>
      </c>
      <c r="AI186" s="58" t="s">
        <v>412</v>
      </c>
      <c r="AJ186" s="58">
        <v>0.34795321637426901</v>
      </c>
      <c r="AK186" s="58">
        <v>0.12922465208747516</v>
      </c>
      <c r="AL186" s="58">
        <v>0.3165829145728643</v>
      </c>
      <c r="AM186" s="58">
        <v>0.12922465208747516</v>
      </c>
      <c r="AO186" s="58" t="s">
        <v>412</v>
      </c>
      <c r="AP186" s="58">
        <v>5.0228310502283102E-2</v>
      </c>
      <c r="AQ186" s="58">
        <v>0.19852941176470587</v>
      </c>
      <c r="AR186" s="58">
        <v>6.8322981366459631E-2</v>
      </c>
      <c r="AS186" s="58">
        <v>5.0228310502283102E-2</v>
      </c>
      <c r="AU186" s="58" t="s">
        <v>412</v>
      </c>
      <c r="AV186" s="58">
        <v>-0.15384615384615385</v>
      </c>
      <c r="AW186" s="58">
        <v>-0.23342223521245115</v>
      </c>
      <c r="AX186" s="58">
        <v>-8.5170209990869952E-2</v>
      </c>
      <c r="AY186" s="58">
        <v>-0.23342223521245115</v>
      </c>
      <c r="BA186" s="58" t="s">
        <v>412</v>
      </c>
      <c r="BB186" s="58">
        <v>3.7780713342140025E-2</v>
      </c>
      <c r="BC186" s="58">
        <v>-0.15122791900043084</v>
      </c>
      <c r="BD186" s="58">
        <v>-5.2016584998115338E-2</v>
      </c>
      <c r="BE186" s="58">
        <v>-0.15122791900043084</v>
      </c>
      <c r="BH186" s="63">
        <v>1.7067494181536073E-2</v>
      </c>
      <c r="BJ186" s="63">
        <v>-0.2203112203112203</v>
      </c>
      <c r="BL186" s="58" t="s">
        <v>412</v>
      </c>
      <c r="BM186" s="58">
        <v>4.3893129770992363E-2</v>
      </c>
      <c r="BN186" s="218">
        <v>-6.3004846526655903E-2</v>
      </c>
      <c r="BO186" s="58">
        <v>0.14506172839506173</v>
      </c>
      <c r="BP186" s="237">
        <v>-6.3004846526655903E-2</v>
      </c>
      <c r="BR186" s="58" t="s">
        <v>412</v>
      </c>
      <c r="BS186" s="237">
        <v>0</v>
      </c>
      <c r="BT186" s="58">
        <v>0</v>
      </c>
      <c r="BU186" s="218">
        <v>0</v>
      </c>
      <c r="BV186" s="58">
        <v>0</v>
      </c>
      <c r="BX186" s="58" t="s">
        <v>412</v>
      </c>
      <c r="BY186" s="58">
        <v>-0.53970080552359034</v>
      </c>
      <c r="BZ186" s="58">
        <v>-0.53033268101761255</v>
      </c>
      <c r="CA186" s="58">
        <v>-0.48426812585499318</v>
      </c>
      <c r="CB186" s="58">
        <v>-0.53970080552359034</v>
      </c>
      <c r="CD186" s="58" t="s">
        <v>412</v>
      </c>
      <c r="CE186" s="58">
        <v>-0.22355936125896783</v>
      </c>
      <c r="CF186" s="58">
        <v>-0.19226457399103139</v>
      </c>
      <c r="CG186" s="58">
        <v>-8.7268710301021818E-2</v>
      </c>
      <c r="CH186" s="58">
        <v>-0.22355936125896783</v>
      </c>
      <c r="CJ186" s="58" t="s">
        <v>412</v>
      </c>
      <c r="CK186" s="58">
        <v>-0.73684210526315785</v>
      </c>
      <c r="CL186" s="58">
        <v>-0.59973753280839892</v>
      </c>
      <c r="CM186" s="58">
        <v>-0.55425219941348969</v>
      </c>
      <c r="CN186" s="58">
        <v>-0.73684210526315785</v>
      </c>
    </row>
    <row r="187" spans="2:92">
      <c r="B187" s="58" t="s">
        <v>413</v>
      </c>
      <c r="C187" s="58">
        <v>0.25337396604266432</v>
      </c>
      <c r="D187" s="58">
        <v>0.47075208913649025</v>
      </c>
      <c r="E187" s="58">
        <v>0.67386091127098324</v>
      </c>
      <c r="F187" s="58">
        <v>0.67386091127098324</v>
      </c>
      <c r="I187" s="58" t="s">
        <v>413</v>
      </c>
      <c r="J187" s="58">
        <v>-0.13333333333333333</v>
      </c>
      <c r="K187" s="58">
        <v>-0.13866829566279781</v>
      </c>
      <c r="L187" s="58">
        <v>0.16666666666666666</v>
      </c>
      <c r="M187" s="58">
        <v>0.16666666666666666</v>
      </c>
      <c r="P187" s="58" t="s">
        <v>413</v>
      </c>
      <c r="Q187" s="58">
        <v>0.61971830985915488</v>
      </c>
      <c r="R187" s="58">
        <v>-0.52500000000000002</v>
      </c>
      <c r="S187" s="58">
        <v>0.55789473684210522</v>
      </c>
      <c r="T187" s="58">
        <v>0.61971830985915488</v>
      </c>
      <c r="W187" s="58" t="s">
        <v>413</v>
      </c>
      <c r="X187" s="58">
        <v>1.1666666666666667</v>
      </c>
      <c r="Y187" s="58">
        <v>0.5092592592592593</v>
      </c>
      <c r="Z187" s="58">
        <v>0.34615384615384615</v>
      </c>
      <c r="AA187" s="58">
        <v>1.1666666666666667</v>
      </c>
      <c r="AC187" s="58" t="s">
        <v>413</v>
      </c>
      <c r="AD187" s="58">
        <v>1.1534493874919407</v>
      </c>
      <c r="AE187" s="58">
        <v>1.1715686274509804</v>
      </c>
      <c r="AF187" s="58">
        <v>1.0236966824644549</v>
      </c>
      <c r="AG187" s="58">
        <v>1.1715686274509804</v>
      </c>
      <c r="AI187" s="58" t="s">
        <v>413</v>
      </c>
      <c r="AJ187" s="58">
        <v>0.34795321637426901</v>
      </c>
      <c r="AK187" s="58">
        <v>0.12922465208747516</v>
      </c>
      <c r="AL187" s="58">
        <v>0.3165829145728643</v>
      </c>
      <c r="AM187" s="58">
        <v>0.34795321637426901</v>
      </c>
      <c r="AO187" s="58" t="s">
        <v>413</v>
      </c>
      <c r="AP187" s="58">
        <v>5.0228310502283102E-2</v>
      </c>
      <c r="AQ187" s="58">
        <v>0.19852941176470587</v>
      </c>
      <c r="AR187" s="58">
        <v>6.8322981366459631E-2</v>
      </c>
      <c r="AS187" s="58">
        <v>0.19852941176470587</v>
      </c>
      <c r="AU187" s="58" t="s">
        <v>413</v>
      </c>
      <c r="AV187" s="58">
        <v>0.37086092715231789</v>
      </c>
      <c r="AW187" s="58">
        <v>0.14525139664804471</v>
      </c>
      <c r="AX187" s="58">
        <v>0.27624309392265195</v>
      </c>
      <c r="AY187" s="58">
        <v>0.37086092715231789</v>
      </c>
      <c r="BA187" s="58" t="s">
        <v>413</v>
      </c>
      <c r="BB187" s="58">
        <v>0.1205020920502092</v>
      </c>
      <c r="BC187" s="58">
        <v>0.29010695187165775</v>
      </c>
      <c r="BD187" s="58">
        <v>0.16293746414228341</v>
      </c>
      <c r="BE187" s="58">
        <v>0.29010695187165775</v>
      </c>
      <c r="BH187" s="63">
        <v>-5.0704225352112678E-2</v>
      </c>
      <c r="BJ187" s="63">
        <v>-6.2588904694167849E-2</v>
      </c>
      <c r="BL187" s="58" t="s">
        <v>413</v>
      </c>
      <c r="BM187" s="58">
        <v>4.3893129770992363E-2</v>
      </c>
      <c r="BN187" s="218">
        <v>-6.3004846526655903E-2</v>
      </c>
      <c r="BO187" s="58">
        <v>0.14506172839506173</v>
      </c>
      <c r="BP187" s="237">
        <v>0.14506172839506173</v>
      </c>
      <c r="BR187" s="58" t="s">
        <v>413</v>
      </c>
      <c r="BS187" s="237">
        <v>0</v>
      </c>
      <c r="BT187" s="58">
        <v>0</v>
      </c>
      <c r="BU187" s="218">
        <v>0</v>
      </c>
      <c r="BV187" s="58">
        <v>0</v>
      </c>
      <c r="BX187" s="58" t="s">
        <v>413</v>
      </c>
      <c r="BY187" s="58">
        <v>0.29874213836477986</v>
      </c>
      <c r="BZ187" s="58">
        <v>0.27397260273972601</v>
      </c>
      <c r="CA187" s="58">
        <v>0.12135176651305683</v>
      </c>
      <c r="CB187" s="58">
        <v>0.29874213836477986</v>
      </c>
      <c r="CD187" s="58" t="s">
        <v>413</v>
      </c>
      <c r="CE187" s="58">
        <v>-0.22355936125896783</v>
      </c>
      <c r="CF187" s="58">
        <v>-0.19226457399103139</v>
      </c>
      <c r="CG187" s="58">
        <v>-8.7268710301021818E-2</v>
      </c>
      <c r="CH187" s="58">
        <v>-8.7268710301021818E-2</v>
      </c>
      <c r="CJ187" s="58" t="s">
        <v>413</v>
      </c>
      <c r="CK187" s="58">
        <v>1.1666666666666667</v>
      </c>
      <c r="CL187" s="58">
        <v>1.1715686274509804</v>
      </c>
      <c r="CM187" s="58">
        <v>1.0236966824644549</v>
      </c>
      <c r="CN187" s="58">
        <v>1.1715686274509804</v>
      </c>
    </row>
    <row r="188" spans="2:92">
      <c r="B188" s="58" t="s">
        <v>463</v>
      </c>
      <c r="C188" s="58">
        <v>-6.9829695214482901E-2</v>
      </c>
      <c r="D188" s="58">
        <v>0.45312610419917154</v>
      </c>
      <c r="E188" s="58">
        <v>1.8703792857372552</v>
      </c>
      <c r="F188" s="58">
        <v>2.2536756947219438</v>
      </c>
      <c r="I188" s="58" t="s">
        <v>463</v>
      </c>
      <c r="J188" s="58">
        <v>-0.87017543859649116</v>
      </c>
      <c r="K188" s="58">
        <v>-0.38866829566279781</v>
      </c>
      <c r="L188" s="58">
        <v>7.6572092251534746E-2</v>
      </c>
      <c r="M188" s="58">
        <v>-1.1822716420077541</v>
      </c>
      <c r="P188" s="58" t="s">
        <v>463</v>
      </c>
      <c r="Q188" s="58">
        <v>0.61971830985915488</v>
      </c>
      <c r="R188" s="58">
        <v>-0.52500000000000002</v>
      </c>
      <c r="S188" s="58">
        <v>0.55789473684210522</v>
      </c>
      <c r="T188" s="58">
        <v>0.65261304670126008</v>
      </c>
      <c r="W188" s="58" t="s">
        <v>463</v>
      </c>
      <c r="X188" s="58">
        <v>0.72528884880802424</v>
      </c>
      <c r="Y188" s="58">
        <v>0.43815241072004407</v>
      </c>
      <c r="Z188" s="58">
        <v>0.39276085003193539</v>
      </c>
      <c r="AA188" s="58">
        <v>1.5562021095600038</v>
      </c>
      <c r="AC188" s="58" t="s">
        <v>463</v>
      </c>
      <c r="AD188" s="58">
        <v>-3.3894519544420807</v>
      </c>
      <c r="AE188" s="58">
        <v>-3.1143177158675552</v>
      </c>
      <c r="AF188" s="58">
        <v>-1.7910285365526579</v>
      </c>
      <c r="AG188" s="58">
        <v>-8.2947982068622963</v>
      </c>
      <c r="AI188" s="58" t="s">
        <v>463</v>
      </c>
      <c r="AJ188" s="58">
        <v>0.34795321637426901</v>
      </c>
      <c r="AK188" s="58">
        <v>0.12922465208747516</v>
      </c>
      <c r="AL188" s="58">
        <v>0.3165829145728643</v>
      </c>
      <c r="AM188" s="58">
        <v>0.79376078303460851</v>
      </c>
      <c r="AO188" s="58" t="s">
        <v>463</v>
      </c>
      <c r="AP188" s="58">
        <v>5.0228310502283102E-2</v>
      </c>
      <c r="AQ188" s="58">
        <v>0.19852941176470587</v>
      </c>
      <c r="AR188" s="58">
        <v>6.8322981366459631E-2</v>
      </c>
      <c r="AS188" s="58">
        <v>0.31708070363344859</v>
      </c>
      <c r="AU188" s="58" t="s">
        <v>463</v>
      </c>
      <c r="AV188" s="58">
        <v>8.1299376324366568E-2</v>
      </c>
      <c r="AW188" s="58">
        <v>-7.4713281628588632E-2</v>
      </c>
      <c r="AX188" s="58">
        <v>0.32364104160911</v>
      </c>
      <c r="AY188" s="58">
        <v>0.33022713630488787</v>
      </c>
      <c r="BA188" s="58" t="s">
        <v>463</v>
      </c>
      <c r="BB188" s="58">
        <v>0.29780256324676496</v>
      </c>
      <c r="BC188" s="58">
        <v>0.21633365086591294</v>
      </c>
      <c r="BD188" s="58">
        <v>0.11477186259674008</v>
      </c>
      <c r="BE188" s="58">
        <v>0.62890807670941784</v>
      </c>
      <c r="BH188" s="63">
        <v>-2.5373026742593525E-2</v>
      </c>
      <c r="BJ188" s="63">
        <v>-6.7938710610002895E-2</v>
      </c>
      <c r="BL188" s="58" t="s">
        <v>463</v>
      </c>
      <c r="BM188" s="58">
        <v>4.3893129770992363E-2</v>
      </c>
      <c r="BN188" s="218">
        <v>-6.3004846526655903E-2</v>
      </c>
      <c r="BO188" s="58">
        <v>0.14506172839506173</v>
      </c>
      <c r="BP188" s="237">
        <v>0.1259500116393982</v>
      </c>
      <c r="BR188" s="58" t="s">
        <v>463</v>
      </c>
      <c r="BS188" s="237">
        <v>0</v>
      </c>
      <c r="BT188" s="58">
        <v>0</v>
      </c>
      <c r="BU188" s="218">
        <v>0</v>
      </c>
      <c r="BV188" s="58">
        <v>0</v>
      </c>
      <c r="BX188" s="58" t="s">
        <v>463</v>
      </c>
      <c r="BY188" s="58">
        <v>-0.24476865770654913</v>
      </c>
      <c r="BZ188" s="58">
        <v>1.9046186304386356E-2</v>
      </c>
      <c r="CA188" s="58">
        <v>-0.85750643165926443</v>
      </c>
      <c r="CB188" s="58">
        <v>-1.0832289030614271</v>
      </c>
      <c r="CD188" s="58" t="s">
        <v>463</v>
      </c>
      <c r="CE188" s="58">
        <v>-0.22355936125896783</v>
      </c>
      <c r="CF188" s="58">
        <v>-0.19226457399103139</v>
      </c>
      <c r="CG188" s="58">
        <v>-8.7268710301021818E-2</v>
      </c>
      <c r="CH188" s="58">
        <v>-0.50309264555102107</v>
      </c>
      <c r="CJ188" s="58" t="s">
        <v>463</v>
      </c>
      <c r="CK188" s="58">
        <v>-2.6316013523327166</v>
      </c>
      <c r="CL188" s="58">
        <v>-2.9035562977349327</v>
      </c>
      <c r="CM188" s="58">
        <v>1.1301838148901233</v>
      </c>
      <c r="CN188" s="58">
        <v>-4.4049738351775289</v>
      </c>
    </row>
    <row r="189" spans="2:92">
      <c r="B189" s="58" t="s">
        <v>464</v>
      </c>
      <c r="C189" s="58">
        <v>13</v>
      </c>
      <c r="D189" s="58">
        <v>13</v>
      </c>
      <c r="E189" s="58">
        <v>13</v>
      </c>
      <c r="F189" s="58">
        <v>39</v>
      </c>
      <c r="I189" s="58" t="s">
        <v>464</v>
      </c>
      <c r="J189" s="58">
        <v>2</v>
      </c>
      <c r="K189" s="58">
        <v>2</v>
      </c>
      <c r="L189" s="58">
        <v>2</v>
      </c>
      <c r="M189" s="58">
        <v>6</v>
      </c>
      <c r="P189" s="58" t="s">
        <v>464</v>
      </c>
      <c r="Q189" s="58">
        <v>1</v>
      </c>
      <c r="R189" s="58">
        <v>1</v>
      </c>
      <c r="S189" s="58">
        <v>1</v>
      </c>
      <c r="T189" s="58">
        <v>3</v>
      </c>
      <c r="W189" s="58" t="s">
        <v>464</v>
      </c>
      <c r="X189" s="58">
        <v>10</v>
      </c>
      <c r="Y189" s="58">
        <v>10</v>
      </c>
      <c r="Z189" s="58">
        <v>10</v>
      </c>
      <c r="AA189" s="58">
        <v>30</v>
      </c>
      <c r="AC189" s="58" t="s">
        <v>464</v>
      </c>
      <c r="AD189" s="58">
        <v>47</v>
      </c>
      <c r="AE189" s="58">
        <v>47</v>
      </c>
      <c r="AF189" s="58">
        <v>47</v>
      </c>
      <c r="AG189" s="58">
        <v>141</v>
      </c>
      <c r="AI189" s="58" t="s">
        <v>464</v>
      </c>
      <c r="AJ189" s="58">
        <v>1</v>
      </c>
      <c r="AK189" s="58">
        <v>1</v>
      </c>
      <c r="AL189" s="58">
        <v>1</v>
      </c>
      <c r="AM189" s="58">
        <v>3</v>
      </c>
      <c r="AO189" s="58" t="s">
        <v>464</v>
      </c>
      <c r="AP189" s="58">
        <v>1</v>
      </c>
      <c r="AQ189" s="58">
        <v>1</v>
      </c>
      <c r="AR189" s="58">
        <v>1</v>
      </c>
      <c r="AS189" s="58">
        <v>3</v>
      </c>
      <c r="AU189" s="58" t="s">
        <v>464</v>
      </c>
      <c r="AV189" s="58">
        <v>4</v>
      </c>
      <c r="AW189" s="58">
        <v>4</v>
      </c>
      <c r="AX189" s="58">
        <v>4</v>
      </c>
      <c r="AY189" s="58">
        <v>12</v>
      </c>
      <c r="BA189" s="58" t="s">
        <v>464</v>
      </c>
      <c r="BB189" s="58">
        <v>4</v>
      </c>
      <c r="BC189" s="58">
        <v>4</v>
      </c>
      <c r="BD189" s="58">
        <v>4</v>
      </c>
      <c r="BE189" s="58">
        <v>12</v>
      </c>
      <c r="BH189" s="63">
        <v>-0.05</v>
      </c>
      <c r="BJ189" s="63">
        <v>-0.15384615384615385</v>
      </c>
      <c r="BL189" s="58" t="s">
        <v>464</v>
      </c>
      <c r="BM189" s="58">
        <v>1</v>
      </c>
      <c r="BN189" s="218">
        <v>1</v>
      </c>
      <c r="BO189" s="58">
        <v>1</v>
      </c>
      <c r="BP189" s="237">
        <v>3</v>
      </c>
      <c r="BR189" s="58" t="s">
        <v>464</v>
      </c>
      <c r="BS189" s="237">
        <v>1</v>
      </c>
      <c r="BT189" s="58">
        <v>1</v>
      </c>
      <c r="BU189" s="218">
        <v>1</v>
      </c>
      <c r="BV189" s="58">
        <v>3</v>
      </c>
      <c r="BX189" s="58" t="s">
        <v>464</v>
      </c>
      <c r="BY189" s="58">
        <v>7</v>
      </c>
      <c r="BZ189" s="58">
        <v>7</v>
      </c>
      <c r="CA189" s="58">
        <v>7</v>
      </c>
      <c r="CB189" s="58">
        <v>21</v>
      </c>
      <c r="CD189" s="58" t="s">
        <v>464</v>
      </c>
      <c r="CE189" s="58">
        <v>1</v>
      </c>
      <c r="CF189" s="58">
        <v>1</v>
      </c>
      <c r="CG189" s="58">
        <v>1</v>
      </c>
      <c r="CH189" s="58">
        <v>3</v>
      </c>
      <c r="CJ189" s="58" t="s">
        <v>464</v>
      </c>
      <c r="CK189" s="58">
        <v>93</v>
      </c>
      <c r="CL189" s="58">
        <v>93</v>
      </c>
      <c r="CM189" s="58">
        <v>93</v>
      </c>
      <c r="CN189" s="58">
        <v>279</v>
      </c>
    </row>
    <row r="190" spans="2:92" ht="17" thickBot="1">
      <c r="B190" s="59" t="s">
        <v>467</v>
      </c>
      <c r="C190" s="59">
        <v>7.8486829570977121E-2</v>
      </c>
      <c r="D190" s="59">
        <v>0.12252230912162998</v>
      </c>
      <c r="E190" s="59">
        <v>0.1595670279479558</v>
      </c>
      <c r="F190" s="59">
        <v>6.8310885876376529E-2</v>
      </c>
      <c r="I190" s="59" t="s">
        <v>467</v>
      </c>
      <c r="J190" s="59">
        <v>3.8341530081088551</v>
      </c>
      <c r="K190" s="59">
        <v>0.70730171446787971</v>
      </c>
      <c r="L190" s="59">
        <v>1.6312304487498206</v>
      </c>
      <c r="M190" s="59">
        <v>0.31320924281792445</v>
      </c>
      <c r="P190" s="59" t="s">
        <v>467</v>
      </c>
      <c r="Q190" s="59" t="e">
        <v>#NUM!</v>
      </c>
      <c r="R190" s="59" t="e">
        <v>#NUM!</v>
      </c>
      <c r="S190" s="59" t="e">
        <v>#NUM!</v>
      </c>
      <c r="T190" s="59">
        <v>1.5992854582191187</v>
      </c>
      <c r="W190" s="59" t="s">
        <v>467</v>
      </c>
      <c r="X190" s="59">
        <v>0.30418231103955662</v>
      </c>
      <c r="Y190" s="59">
        <v>0.13076121868743082</v>
      </c>
      <c r="Z190" s="59">
        <v>0.10186097570682347</v>
      </c>
      <c r="AA190" s="59">
        <v>0.10088845318251562</v>
      </c>
      <c r="AC190" s="59" t="s">
        <v>467</v>
      </c>
      <c r="AD190" s="59">
        <v>8.0963359137050744E-2</v>
      </c>
      <c r="AE190" s="59">
        <v>7.6709503111260402E-2</v>
      </c>
      <c r="AF190" s="59">
        <v>7.313012573113449E-2</v>
      </c>
      <c r="AG190" s="59">
        <v>4.3422806896926347E-2</v>
      </c>
      <c r="AI190" s="59" t="s">
        <v>467</v>
      </c>
      <c r="AJ190" s="59" t="e">
        <v>#NUM!</v>
      </c>
      <c r="AK190" s="59" t="e">
        <v>#NUM!</v>
      </c>
      <c r="AL190" s="59" t="e">
        <v>#NUM!</v>
      </c>
      <c r="AM190" s="59">
        <v>0.29380359113825927</v>
      </c>
      <c r="AO190" s="59" t="s">
        <v>467</v>
      </c>
      <c r="AP190" s="59" t="e">
        <v>#NUM!</v>
      </c>
      <c r="AQ190" s="59" t="e">
        <v>#NUM!</v>
      </c>
      <c r="AR190" s="59" t="e">
        <v>#NUM!</v>
      </c>
      <c r="AS190" s="59">
        <v>0.20098078407504574</v>
      </c>
      <c r="AU190" s="59" t="s">
        <v>467</v>
      </c>
      <c r="AV190" s="59">
        <v>0.38756736744321796</v>
      </c>
      <c r="AW190" s="59">
        <v>0.28326964677625793</v>
      </c>
      <c r="AX190" s="59">
        <v>0.26170469364897542</v>
      </c>
      <c r="AY190" s="59">
        <v>0.11720982070297617</v>
      </c>
      <c r="BA190" s="59" t="s">
        <v>467</v>
      </c>
      <c r="BB190" s="59">
        <v>5.7550318967936769E-2</v>
      </c>
      <c r="BC190" s="59">
        <v>0.29076559016372094</v>
      </c>
      <c r="BD190" s="59">
        <v>0.14926565343489331</v>
      </c>
      <c r="BE190" s="59">
        <v>7.0309168782235018E-2</v>
      </c>
      <c r="BH190" s="63">
        <v>-5.0861361771944218E-2</v>
      </c>
      <c r="BJ190" s="63">
        <v>-0.34700574241181298</v>
      </c>
      <c r="BL190" s="59" t="s">
        <v>467</v>
      </c>
      <c r="BM190" s="59" t="e">
        <v>#NUM!</v>
      </c>
      <c r="BN190" s="238" t="e">
        <v>#NUM!</v>
      </c>
      <c r="BO190" s="59" t="e">
        <v>#NUM!</v>
      </c>
      <c r="BP190" s="242">
        <v>0.25846566990559777</v>
      </c>
      <c r="BR190" s="59" t="s">
        <v>467</v>
      </c>
      <c r="BS190" s="242" t="e">
        <v>#NUM!</v>
      </c>
      <c r="BT190" s="59" t="e">
        <v>#NUM!</v>
      </c>
      <c r="BU190" s="238" t="e">
        <v>#NUM!</v>
      </c>
      <c r="BV190" s="59" t="e">
        <v>#NUM!</v>
      </c>
      <c r="BX190" s="59" t="s">
        <v>467</v>
      </c>
      <c r="BY190" s="59">
        <v>0.23757781401520986</v>
      </c>
      <c r="BZ190" s="59">
        <v>0.24556127971254782</v>
      </c>
      <c r="CA190" s="59">
        <v>0.18248568019385283</v>
      </c>
      <c r="CB190" s="59">
        <v>0.1072515433248469</v>
      </c>
      <c r="CD190" s="59" t="s">
        <v>467</v>
      </c>
      <c r="CE190" s="59" t="e">
        <v>#NUM!</v>
      </c>
      <c r="CF190" s="59" t="e">
        <v>#NUM!</v>
      </c>
      <c r="CG190" s="59" t="e">
        <v>#NUM!</v>
      </c>
      <c r="CH190" s="59">
        <v>0.17734097910459609</v>
      </c>
      <c r="CJ190" s="59" t="s">
        <v>467</v>
      </c>
      <c r="CK190" s="59">
        <v>5.7936941970404519E-2</v>
      </c>
      <c r="CL190" s="59">
        <v>4.8822926290477249E-2</v>
      </c>
      <c r="CM190" s="59">
        <v>4.8812989203817568E-2</v>
      </c>
      <c r="CN190" s="59">
        <v>2.9761776980671565E-2</v>
      </c>
    </row>
    <row r="191" spans="2:92">
      <c r="BH191" s="63">
        <v>0.11238095238095239</v>
      </c>
      <c r="BJ191" s="63">
        <v>7.6152304609218444E-2</v>
      </c>
    </row>
    <row r="192" spans="2:92">
      <c r="BH192" s="63">
        <v>-3.052064631956912E-2</v>
      </c>
      <c r="BJ192" s="63">
        <v>-3.231597845601436E-2</v>
      </c>
    </row>
    <row r="193" spans="60:62">
      <c r="BH193" s="63">
        <v>-0.18181818181818182</v>
      </c>
      <c r="BJ193" s="63">
        <v>-0.55425219941348969</v>
      </c>
    </row>
    <row r="194" spans="60:62">
      <c r="BH194" s="63">
        <v>1.0236966824644549</v>
      </c>
      <c r="BJ194" s="63">
        <v>1.0236966824644549</v>
      </c>
    </row>
    <row r="195" spans="60:62">
      <c r="BH195" s="63">
        <v>6.0586869326578002E-2</v>
      </c>
      <c r="BJ195" s="63">
        <v>-0.14637639644800918</v>
      </c>
    </row>
    <row r="196" spans="60:62">
      <c r="BH196" s="63">
        <v>-0.24852652259332023</v>
      </c>
      <c r="BJ196" s="63">
        <v>-0.24852652259332023</v>
      </c>
    </row>
    <row r="197" spans="60:62">
      <c r="BH197" s="63">
        <v>0.49484536082474229</v>
      </c>
      <c r="BJ197" s="63">
        <v>9.2783505154639179E-2</v>
      </c>
    </row>
    <row r="198" spans="60:62">
      <c r="BH198" s="63">
        <v>-6.7796610169491511E-2</v>
      </c>
      <c r="BJ198" s="63">
        <v>-0.10511159107271419</v>
      </c>
    </row>
    <row r="199" spans="60:62">
      <c r="BH199" s="63">
        <v>0.25589225589225589</v>
      </c>
      <c r="BJ199" s="63">
        <v>2.1660649819494584E-2</v>
      </c>
    </row>
    <row r="200" spans="60:62">
      <c r="BH200" s="63">
        <v>-4.0064102564102561E-3</v>
      </c>
      <c r="BJ200" s="63">
        <v>-9.6061479346781938E-4</v>
      </c>
    </row>
    <row r="201" spans="60:62">
      <c r="BH201" s="63">
        <v>0</v>
      </c>
      <c r="BJ201" s="63">
        <v>0</v>
      </c>
    </row>
    <row r="202" spans="60:62">
      <c r="BH202" s="63">
        <v>0.21039603960396039</v>
      </c>
      <c r="BJ202" s="63">
        <v>9.405940594059406E-2</v>
      </c>
    </row>
    <row r="203" spans="60:62">
      <c r="BH203" s="63">
        <v>9.3167701863354033E-2</v>
      </c>
      <c r="BJ203" s="63">
        <v>-9.6979332273449917E-2</v>
      </c>
    </row>
    <row r="204" spans="60:62">
      <c r="BH204" s="63">
        <v>5.3892215568862277E-2</v>
      </c>
      <c r="BJ204" s="63">
        <v>5.3892215568862277E-2</v>
      </c>
    </row>
    <row r="205" spans="60:62">
      <c r="BH205" s="63">
        <v>1.2698412698412698E-3</v>
      </c>
      <c r="BI205" s="132"/>
      <c r="BJ205" s="63">
        <v>6.4913988964621875E-4</v>
      </c>
    </row>
    <row r="206" spans="60:62">
      <c r="BH206" s="63">
        <v>0.23381770145310435</v>
      </c>
      <c r="BJ206" s="63">
        <v>8.153078202995008E-2</v>
      </c>
    </row>
    <row r="207" spans="60:62">
      <c r="BH207" s="63">
        <v>0.27257525083612039</v>
      </c>
      <c r="BJ207" s="63">
        <v>-0.22796352583586627</v>
      </c>
    </row>
    <row r="208" spans="60:62">
      <c r="BH208" s="63">
        <v>0.16081330868761554</v>
      </c>
      <c r="BJ208" s="63">
        <v>4.5317220543806644E-2</v>
      </c>
    </row>
    <row r="209" spans="60:62">
      <c r="BH209" s="63">
        <v>-5.4744525547445258E-2</v>
      </c>
      <c r="BJ209" s="63">
        <v>-9.1240875912408759E-2</v>
      </c>
    </row>
    <row r="210" spans="60:62">
      <c r="BH210" s="63">
        <v>8.2872928176795577E-3</v>
      </c>
      <c r="BJ210" s="63">
        <v>8.2872928176795577E-3</v>
      </c>
    </row>
    <row r="211" spans="60:62">
      <c r="BH211" s="63">
        <v>0.25538461538461538</v>
      </c>
      <c r="BJ211" s="63">
        <v>-0.22456140350877193</v>
      </c>
    </row>
    <row r="212" spans="60:62">
      <c r="BH212" s="63">
        <v>7.03125E-2</v>
      </c>
      <c r="BJ212" s="63">
        <v>7.03125E-2</v>
      </c>
    </row>
    <row r="213" spans="60:62">
      <c r="BH213" s="63">
        <v>3.6065573770491806E-2</v>
      </c>
      <c r="BJ213" s="63">
        <v>3.6065573770491806E-2</v>
      </c>
    </row>
    <row r="214" spans="60:62">
      <c r="BH214" s="63">
        <v>1.4669926650366748E-2</v>
      </c>
      <c r="BJ214" s="63">
        <v>1.4669926650366748E-2</v>
      </c>
    </row>
    <row r="215" spans="60:62">
      <c r="BH215" s="63">
        <v>-0.11818181818181818</v>
      </c>
      <c r="BJ215" s="63">
        <v>-0.31057563587684067</v>
      </c>
    </row>
    <row r="216" spans="60:62">
      <c r="BH216" s="63">
        <v>0.61606268364348682</v>
      </c>
      <c r="BJ216" s="63">
        <v>0.68130630630630629</v>
      </c>
    </row>
    <row r="217" spans="60:62">
      <c r="BH217" s="63">
        <v>6.9434989788972085E-2</v>
      </c>
      <c r="BJ217" s="63">
        <v>-0.14479025710419485</v>
      </c>
    </row>
    <row r="218" spans="60:62">
      <c r="BH218" s="63">
        <v>7.9295154185022032E-2</v>
      </c>
      <c r="BJ218" s="63">
        <v>8.9820359281437126E-2</v>
      </c>
    </row>
    <row r="219" spans="60:62">
      <c r="BH219" s="63">
        <v>2.0569620253164556E-2</v>
      </c>
      <c r="BJ219" s="63">
        <v>-1.7045454545454544E-2</v>
      </c>
    </row>
    <row r="220" spans="60:62">
      <c r="BH220" s="63">
        <v>8.1967213114754092E-2</v>
      </c>
      <c r="BJ220" s="63">
        <v>-2.5586353944562899E-2</v>
      </c>
    </row>
    <row r="221" spans="60:62">
      <c r="BH221" s="32">
        <v>0.34795321637426901</v>
      </c>
      <c r="BJ221" s="32">
        <v>0.3165829145728643</v>
      </c>
    </row>
    <row r="222" spans="60:62">
      <c r="BH222" s="32">
        <v>0.1312127236580517</v>
      </c>
      <c r="BJ222" s="32">
        <v>0.12922465208747516</v>
      </c>
    </row>
    <row r="223" spans="60:62">
      <c r="BH223" s="32">
        <v>0.3165829145728643</v>
      </c>
      <c r="BJ223" s="32">
        <v>0.34795321637426901</v>
      </c>
    </row>
    <row r="224" spans="60:62">
      <c r="BH224" s="133">
        <v>6.8322981366459631E-2</v>
      </c>
      <c r="BJ224" s="133">
        <v>6.8322981366459631E-2</v>
      </c>
    </row>
    <row r="225" spans="59:63">
      <c r="BH225" s="133">
        <v>0.19852941176470587</v>
      </c>
      <c r="BJ225" s="133">
        <v>0.19852941176470587</v>
      </c>
    </row>
    <row r="226" spans="59:63">
      <c r="BH226" s="133">
        <v>5.0228310502283102E-2</v>
      </c>
      <c r="BJ226" s="133">
        <v>5.0228310502283102E-2</v>
      </c>
    </row>
    <row r="227" spans="59:63">
      <c r="BH227" s="66">
        <v>-6.2358276643990924E-3</v>
      </c>
      <c r="BJ227" s="66">
        <v>-0.13571539698179744</v>
      </c>
    </row>
    <row r="228" spans="59:63">
      <c r="BH228" s="66">
        <v>-9.3117408906882596E-2</v>
      </c>
      <c r="BJ228" s="66">
        <v>-0.15384615384615385</v>
      </c>
    </row>
    <row r="229" spans="59:63">
      <c r="BH229" s="66">
        <v>0.39072847682119205</v>
      </c>
      <c r="BJ229" s="66">
        <v>0.37086092715231789</v>
      </c>
    </row>
    <row r="230" spans="59:63">
      <c r="BH230" s="66">
        <v>0</v>
      </c>
      <c r="BJ230" s="66">
        <v>0</v>
      </c>
    </row>
    <row r="231" spans="59:63">
      <c r="BH231" s="66">
        <v>-0.14719824536578466</v>
      </c>
      <c r="BJ231" s="66">
        <v>-0.23342223521245115</v>
      </c>
      <c r="BK231" t="s">
        <v>559</v>
      </c>
    </row>
    <row r="232" spans="59:63">
      <c r="BH232" s="66">
        <v>0.17318435754189945</v>
      </c>
      <c r="BJ232" s="66">
        <v>0.14525139664804471</v>
      </c>
    </row>
    <row r="233" spans="59:63">
      <c r="BH233" s="66">
        <v>-7.1942446043165464E-2</v>
      </c>
      <c r="BJ233" s="66">
        <v>-9.5238095238095233E-2</v>
      </c>
    </row>
    <row r="234" spans="59:63">
      <c r="BH234" s="66">
        <v>0.10869565217391304</v>
      </c>
      <c r="BJ234" s="66">
        <v>0.10869565217391304</v>
      </c>
    </row>
    <row r="235" spans="59:63">
      <c r="BG235" t="s">
        <v>559</v>
      </c>
      <c r="BH235" s="66">
        <v>0.37356904252524115</v>
      </c>
      <c r="BJ235" s="66">
        <v>-8.5170209990869952E-2</v>
      </c>
    </row>
    <row r="236" spans="59:63">
      <c r="BH236" s="66">
        <v>-1.0135135135135136E-2</v>
      </c>
      <c r="BJ236" s="66">
        <v>-2.0270270270270271E-2</v>
      </c>
    </row>
    <row r="237" spans="59:63">
      <c r="BH237" s="66">
        <v>0.27624309392265195</v>
      </c>
      <c r="BJ237" s="66">
        <v>0.27624309392265195</v>
      </c>
    </row>
    <row r="238" spans="59:63">
      <c r="BH238" s="66">
        <v>0.15283842794759825</v>
      </c>
      <c r="BJ238" s="66">
        <v>0.15283842794759825</v>
      </c>
    </row>
    <row r="239" spans="59:63">
      <c r="BH239" s="45">
        <v>-7.340485601355165E-2</v>
      </c>
      <c r="BJ239" s="45">
        <v>8.4161347634401529E-2</v>
      </c>
    </row>
    <row r="240" spans="59:63">
      <c r="BH240" s="45">
        <v>5.5358410220014191E-2</v>
      </c>
      <c r="BJ240" s="45">
        <v>5.5358410220014191E-2</v>
      </c>
    </row>
    <row r="241" spans="59:63">
      <c r="BH241" s="45">
        <v>3.7780713342140025E-2</v>
      </c>
      <c r="BJ241" s="45">
        <v>3.7780713342140025E-2</v>
      </c>
    </row>
    <row r="242" spans="59:63">
      <c r="BH242" s="45">
        <v>0.1205020920502092</v>
      </c>
      <c r="BJ242" s="45">
        <v>0.1205020920502092</v>
      </c>
    </row>
    <row r="243" spans="59:63">
      <c r="BG243" t="s">
        <v>559</v>
      </c>
      <c r="BH243" s="45">
        <v>8.3938445140230508E-3</v>
      </c>
      <c r="BJ243" s="45">
        <v>8.3938445140230508E-3</v>
      </c>
      <c r="BK243" t="s">
        <v>559</v>
      </c>
    </row>
    <row r="244" spans="59:63">
      <c r="BH244" s="45">
        <v>6.9060773480662987E-2</v>
      </c>
      <c r="BJ244" s="45">
        <v>6.9060773480662987E-2</v>
      </c>
    </row>
    <row r="245" spans="59:63">
      <c r="BH245" s="45">
        <v>-0.15122791900043084</v>
      </c>
      <c r="BJ245" s="45">
        <v>-0.15122791900043084</v>
      </c>
    </row>
    <row r="246" spans="59:63">
      <c r="BH246" s="45">
        <v>0.29010695187165775</v>
      </c>
      <c r="BJ246" s="45">
        <v>0.29010695187165775</v>
      </c>
    </row>
    <row r="247" spans="59:63">
      <c r="BH247" s="45">
        <v>-1.2735056630358206E-2</v>
      </c>
      <c r="BJ247" s="45">
        <v>-1.2735056630358206E-2</v>
      </c>
      <c r="BK247" t="s">
        <v>559</v>
      </c>
    </row>
    <row r="248" spans="59:63">
      <c r="BH248" s="45">
        <v>1.6586040082930201E-2</v>
      </c>
      <c r="BJ248" s="45">
        <v>1.6586040082930201E-2</v>
      </c>
    </row>
    <row r="249" spans="59:63">
      <c r="BH249" s="45">
        <v>-5.2016584998115338E-2</v>
      </c>
      <c r="BJ249" s="45">
        <v>-5.2016584998115338E-2</v>
      </c>
    </row>
    <row r="250" spans="59:63">
      <c r="BH250" s="45">
        <v>0.16293746414228341</v>
      </c>
      <c r="BJ250" s="45">
        <v>0.16293746414228341</v>
      </c>
    </row>
    <row r="251" spans="59:63">
      <c r="BH251" s="68">
        <v>0.14506172839506173</v>
      </c>
      <c r="BJ251" s="68">
        <v>4.3893129770992363E-2</v>
      </c>
    </row>
    <row r="252" spans="59:63">
      <c r="BH252" s="68">
        <v>4.3893129770992363E-2</v>
      </c>
      <c r="BJ252" s="68">
        <v>-6.3004846526655903E-2</v>
      </c>
    </row>
    <row r="253" spans="59:63">
      <c r="BH253" s="68">
        <v>-6.3004846526655903E-2</v>
      </c>
      <c r="BJ253" s="68">
        <v>0.14506172839506173</v>
      </c>
    </row>
    <row r="254" spans="59:63">
      <c r="BH254" s="47">
        <v>0</v>
      </c>
      <c r="BJ254" s="47">
        <v>0</v>
      </c>
    </row>
    <row r="255" spans="59:63">
      <c r="BH255" s="47">
        <v>0</v>
      </c>
      <c r="BJ255" s="47">
        <v>0</v>
      </c>
    </row>
    <row r="256" spans="59:63">
      <c r="BH256" s="47">
        <v>0</v>
      </c>
      <c r="BJ256" s="47">
        <v>0</v>
      </c>
    </row>
    <row r="257" spans="59:62">
      <c r="BH257" s="64">
        <v>0.29874213836477986</v>
      </c>
      <c r="BJ257" s="64">
        <v>0.29874213836477986</v>
      </c>
    </row>
    <row r="258" spans="59:62">
      <c r="BH258" s="64">
        <v>-0.19221209610604806</v>
      </c>
      <c r="BJ258" s="64">
        <v>-0.53970080552359034</v>
      </c>
    </row>
    <row r="259" spans="59:62">
      <c r="BH259" s="64">
        <v>4.6661880832735104E-3</v>
      </c>
      <c r="BJ259" s="64">
        <v>-3.1002029894814542E-2</v>
      </c>
    </row>
    <row r="260" spans="59:62">
      <c r="BH260" s="64">
        <v>0.13267543859649122</v>
      </c>
      <c r="BJ260" s="64">
        <v>5.1991150442477874E-2</v>
      </c>
    </row>
    <row r="261" spans="59:62">
      <c r="BH261" s="64">
        <v>5.0813008130081306E-4</v>
      </c>
      <c r="BJ261" s="64">
        <v>-7.3791348600508913E-2</v>
      </c>
    </row>
    <row r="262" spans="59:62">
      <c r="BH262" s="64">
        <v>0.10714285714285714</v>
      </c>
      <c r="BJ262" s="64">
        <v>0.10714285714285714</v>
      </c>
    </row>
    <row r="263" spans="59:62">
      <c r="BH263" s="64">
        <v>8.0321285140562242E-3</v>
      </c>
      <c r="BJ263" s="64">
        <v>-5.8150619637750235E-2</v>
      </c>
    </row>
    <row r="264" spans="59:62">
      <c r="BG264" t="s">
        <v>559</v>
      </c>
      <c r="BH264" s="64">
        <v>0.22893954410307235</v>
      </c>
      <c r="BI264" t="s">
        <v>559</v>
      </c>
      <c r="BJ264" s="64">
        <v>0.22893954410307235</v>
      </c>
    </row>
    <row r="265" spans="59:62">
      <c r="BH265" s="64">
        <v>-0.3661753297129558</v>
      </c>
      <c r="BJ265" s="64">
        <v>-0.53033268101761255</v>
      </c>
    </row>
    <row r="266" spans="59:62">
      <c r="BH266" s="64">
        <v>3.5458879618593564E-2</v>
      </c>
      <c r="BJ266" s="64">
        <v>-7.29483282674772E-3</v>
      </c>
    </row>
    <row r="267" spans="59:62">
      <c r="BH267" s="64">
        <v>1.77276390008058E-2</v>
      </c>
      <c r="BJ267" s="64">
        <v>-7.0910556003223199E-2</v>
      </c>
    </row>
    <row r="268" spans="59:62">
      <c r="BH268" s="64">
        <v>8.7651598676957002E-2</v>
      </c>
      <c r="BJ268" s="64">
        <v>3.5281146637265712E-2</v>
      </c>
    </row>
    <row r="269" spans="59:62">
      <c r="BH269" s="64">
        <v>0.27397260273972601</v>
      </c>
      <c r="BJ269" s="64">
        <v>0.27397260273972601</v>
      </c>
    </row>
    <row r="270" spans="59:62">
      <c r="BH270" s="64">
        <v>0.10610465116279069</v>
      </c>
      <c r="BJ270" s="64">
        <v>8.9390962671905702E-2</v>
      </c>
    </row>
    <row r="271" spans="59:62">
      <c r="BG271" t="s">
        <v>559</v>
      </c>
      <c r="BH271" s="64">
        <v>0.12135176651305683</v>
      </c>
      <c r="BI271" t="s">
        <v>559</v>
      </c>
      <c r="BJ271" s="64">
        <v>0.12135176651305683</v>
      </c>
    </row>
    <row r="272" spans="59:62">
      <c r="BH272" s="64">
        <v>-0.27823691460055094</v>
      </c>
      <c r="BJ272" s="64">
        <v>-0.48426812585499318</v>
      </c>
    </row>
    <row r="273" spans="1:62">
      <c r="BH273" s="64">
        <v>3.7905644941368964E-2</v>
      </c>
      <c r="BJ273" s="64">
        <v>-1.3692946058091286E-2</v>
      </c>
    </row>
    <row r="274" spans="1:62">
      <c r="BH274" s="64">
        <v>6.9925322471147314E-2</v>
      </c>
      <c r="BJ274" s="64">
        <v>1.0183299389002035E-2</v>
      </c>
    </row>
    <row r="275" spans="1:62">
      <c r="BH275" s="64">
        <v>7.3471008737092947E-2</v>
      </c>
      <c r="BJ275" s="64">
        <v>-8.8562351072279583E-2</v>
      </c>
    </row>
    <row r="276" spans="1:62">
      <c r="BH276" s="64">
        <v>-0.2125984251968504</v>
      </c>
      <c r="BJ276" s="64">
        <v>-0.2125984251968504</v>
      </c>
    </row>
    <row r="277" spans="1:62">
      <c r="BH277" s="64">
        <v>3.35842501447597E-2</v>
      </c>
      <c r="BJ277" s="64">
        <v>-0.18991964937910885</v>
      </c>
    </row>
    <row r="278" spans="1:62">
      <c r="BH278" s="134">
        <v>-0.14992373066027456</v>
      </c>
      <c r="BJ278" s="134">
        <v>-8.7268710301021818E-2</v>
      </c>
    </row>
    <row r="279" spans="1:62">
      <c r="BH279" s="134">
        <v>-1.7742350218565184E-2</v>
      </c>
      <c r="BJ279" s="134">
        <v>-0.19226457399103139</v>
      </c>
    </row>
    <row r="280" spans="1:62">
      <c r="BH280" s="134">
        <v>-0.10247718383311605</v>
      </c>
      <c r="BJ280" s="134">
        <v>-0.22355936125896783</v>
      </c>
    </row>
    <row r="284" spans="1:62" ht="17" thickBot="1"/>
    <row r="285" spans="1:62">
      <c r="A285" t="s">
        <v>573</v>
      </c>
      <c r="B285" s="61" t="s">
        <v>31</v>
      </c>
      <c r="C285" s="61">
        <v>2015</v>
      </c>
      <c r="D285" s="61">
        <v>2016</v>
      </c>
      <c r="E285" s="61">
        <v>2017</v>
      </c>
      <c r="F285" s="60" t="s">
        <v>376</v>
      </c>
      <c r="G285" s="180"/>
      <c r="I285" s="61" t="s">
        <v>570</v>
      </c>
      <c r="J285" s="61">
        <v>2015</v>
      </c>
      <c r="K285" s="61">
        <v>2016</v>
      </c>
      <c r="L285" s="61">
        <v>2017</v>
      </c>
      <c r="M285" s="60" t="s">
        <v>376</v>
      </c>
      <c r="N285" s="180"/>
      <c r="P285" s="61" t="s">
        <v>38</v>
      </c>
      <c r="Q285" s="61">
        <v>2015</v>
      </c>
      <c r="R285" s="61">
        <v>2016</v>
      </c>
      <c r="S285" s="61">
        <v>2017</v>
      </c>
      <c r="T285" s="60" t="s">
        <v>376</v>
      </c>
      <c r="U285" s="180"/>
      <c r="W285" s="61" t="s">
        <v>571</v>
      </c>
      <c r="X285" s="61">
        <v>2015</v>
      </c>
      <c r="Y285" s="61">
        <v>2016</v>
      </c>
      <c r="Z285" s="61">
        <v>2017</v>
      </c>
      <c r="AA285" s="60" t="s">
        <v>376</v>
      </c>
      <c r="AB285" s="180"/>
      <c r="AC285" s="61" t="s">
        <v>568</v>
      </c>
      <c r="AD285" s="61">
        <v>2015</v>
      </c>
      <c r="AE285" s="61">
        <v>2016</v>
      </c>
      <c r="AF285" s="61">
        <v>2017</v>
      </c>
      <c r="AG285" s="60" t="s">
        <v>376</v>
      </c>
      <c r="AH285" s="180"/>
      <c r="AI285" s="61" t="s">
        <v>572</v>
      </c>
      <c r="AJ285" s="61">
        <v>2015</v>
      </c>
      <c r="AK285" s="61">
        <v>2016</v>
      </c>
      <c r="AL285" s="61">
        <v>2017</v>
      </c>
      <c r="AM285" s="60" t="s">
        <v>376</v>
      </c>
      <c r="AO285" s="61" t="s">
        <v>45</v>
      </c>
      <c r="AP285" s="61">
        <v>2015</v>
      </c>
      <c r="AQ285" s="61">
        <v>2016</v>
      </c>
      <c r="AR285" s="61">
        <v>2017</v>
      </c>
      <c r="AS285" s="60" t="s">
        <v>376</v>
      </c>
      <c r="AU285" s="61" t="s">
        <v>376</v>
      </c>
      <c r="AV285" s="61">
        <v>2015</v>
      </c>
      <c r="AW285" s="60">
        <v>2016</v>
      </c>
      <c r="AX285" s="60">
        <v>2017</v>
      </c>
      <c r="AY285" s="60" t="s">
        <v>376</v>
      </c>
      <c r="AZ285" s="138"/>
      <c r="BA285" s="83"/>
      <c r="BB285" s="180"/>
      <c r="BC285" s="180"/>
      <c r="BD285" s="83"/>
    </row>
    <row r="286" spans="1:62">
      <c r="B286" s="58"/>
      <c r="C286" s="58"/>
      <c r="D286" s="58"/>
      <c r="E286" s="58"/>
      <c r="F286" s="58"/>
      <c r="G286" s="58"/>
      <c r="I286" s="58"/>
      <c r="J286" s="58"/>
      <c r="K286" s="58"/>
      <c r="L286" s="58"/>
      <c r="M286" s="58"/>
      <c r="N286" s="58"/>
      <c r="P286" s="58"/>
      <c r="Q286" s="58"/>
      <c r="R286" s="58"/>
      <c r="S286" s="58"/>
      <c r="T286" s="58"/>
      <c r="U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O286" s="58"/>
      <c r="AP286" s="58"/>
      <c r="AQ286" s="58"/>
      <c r="AR286" s="58"/>
      <c r="AS286" s="58"/>
      <c r="AU286" s="58"/>
      <c r="AV286" s="58"/>
      <c r="AW286" s="58"/>
      <c r="AX286" s="58"/>
      <c r="AY286" s="58"/>
      <c r="AZ286" s="58"/>
      <c r="BA286" s="83"/>
      <c r="BB286" s="58"/>
      <c r="BC286" s="58"/>
      <c r="BD286" s="83"/>
    </row>
    <row r="287" spans="1:62">
      <c r="B287" s="58" t="s">
        <v>455</v>
      </c>
      <c r="C287" s="175">
        <v>0.64299368693016057</v>
      </c>
      <c r="D287" s="175">
        <v>0.62938883604478957</v>
      </c>
      <c r="E287" s="175">
        <v>0.97345670738028367</v>
      </c>
      <c r="F287" s="175">
        <v>0.76044695207956237</v>
      </c>
      <c r="G287" s="83"/>
      <c r="I287" s="58" t="s">
        <v>455</v>
      </c>
      <c r="J287" s="175">
        <v>2.8109756097560976</v>
      </c>
      <c r="K287" s="175">
        <v>4.658097178429947</v>
      </c>
      <c r="L287" s="175">
        <v>46.466217605923489</v>
      </c>
      <c r="M287" s="175">
        <v>19.525209775941445</v>
      </c>
      <c r="N287" s="83"/>
      <c r="P287" s="58" t="s">
        <v>455</v>
      </c>
      <c r="Q287" s="175">
        <v>3.2972368215507828</v>
      </c>
      <c r="R287" s="175">
        <v>2.0188243786574716</v>
      </c>
      <c r="S287" s="175">
        <v>2.2501505693685302</v>
      </c>
      <c r="T287" s="175">
        <v>2.5100351156959135</v>
      </c>
      <c r="U287" s="83"/>
      <c r="W287" s="58" t="s">
        <v>455</v>
      </c>
      <c r="X287" s="175">
        <v>20.628099173553718</v>
      </c>
      <c r="Y287" s="175">
        <v>1.5512820512820511</v>
      </c>
      <c r="Z287" s="175">
        <v>3.9829763866007681</v>
      </c>
      <c r="AA287" s="175">
        <v>6.928409915679647</v>
      </c>
      <c r="AB287" s="83"/>
      <c r="AC287" s="58" t="s">
        <v>455</v>
      </c>
      <c r="AD287" s="175">
        <v>0.14690026954177898</v>
      </c>
      <c r="AE287" s="175">
        <v>-0.20983935742971888</v>
      </c>
      <c r="AF287" s="175">
        <v>0.22259136212624586</v>
      </c>
      <c r="AG287" s="175">
        <v>5.3217424746101992E-2</v>
      </c>
      <c r="AI287" s="58" t="s">
        <v>455</v>
      </c>
      <c r="AJ287" s="175">
        <v>12.259973779729741</v>
      </c>
      <c r="AK287" s="175">
        <v>1.2648638161160917</v>
      </c>
      <c r="AL287" s="175">
        <v>1.6096010600200543</v>
      </c>
      <c r="AM287" s="175">
        <v>6.3566603206415584</v>
      </c>
      <c r="AO287" s="58" t="s">
        <v>455</v>
      </c>
      <c r="AP287" s="175">
        <v>1.0373134328358209</v>
      </c>
      <c r="AQ287" s="175">
        <v>1.0973782771535583</v>
      </c>
      <c r="AR287" s="175">
        <v>0.92164179104477595</v>
      </c>
      <c r="AS287" s="175">
        <v>1.0187778336780517</v>
      </c>
      <c r="AU287" s="58" t="s">
        <v>455</v>
      </c>
      <c r="AV287" s="175">
        <v>4.202607411797616</v>
      </c>
      <c r="AW287" s="175">
        <v>1.9871791565983268</v>
      </c>
      <c r="AX287" s="175">
        <v>5.7476510037498691</v>
      </c>
      <c r="AY287" s="175">
        <v>3.9742879975033345</v>
      </c>
      <c r="BA287" s="83"/>
      <c r="BB287" s="58"/>
      <c r="BC287" s="83"/>
      <c r="BD287" s="83"/>
    </row>
    <row r="288" spans="1:62">
      <c r="B288" s="58" t="s">
        <v>456</v>
      </c>
      <c r="C288" s="175">
        <v>0.17477894029934229</v>
      </c>
      <c r="D288" s="175">
        <v>0.26157019797715675</v>
      </c>
      <c r="E288" s="175">
        <v>0.39512440234717028</v>
      </c>
      <c r="F288" s="175">
        <v>0.17124944017271204</v>
      </c>
      <c r="I288" s="58" t="s">
        <v>456</v>
      </c>
      <c r="J288" s="175">
        <v>0.81097560975609762</v>
      </c>
      <c r="K288" s="175">
        <v>3.8691565056822133</v>
      </c>
      <c r="L288" s="175">
        <v>35.407916873422153</v>
      </c>
      <c r="M288" s="175">
        <v>13.454478056837287</v>
      </c>
      <c r="N288" s="83"/>
      <c r="P288" s="58" t="s">
        <v>456</v>
      </c>
      <c r="Q288" s="175">
        <v>1.4387929508139594</v>
      </c>
      <c r="R288" s="175">
        <v>0.59977949721612811</v>
      </c>
      <c r="S288" s="175">
        <v>0.75736267936208634</v>
      </c>
      <c r="T288" s="175">
        <v>0.56429978410489556</v>
      </c>
      <c r="U288" s="83"/>
      <c r="W288" s="58" t="s">
        <v>456</v>
      </c>
      <c r="X288" s="175">
        <v>0</v>
      </c>
      <c r="Y288" s="175">
        <v>1.3974358974358971</v>
      </c>
      <c r="Z288" s="175">
        <v>0</v>
      </c>
      <c r="AA288" s="175">
        <v>4.6376154680286152</v>
      </c>
      <c r="AC288" s="58" t="s">
        <v>456</v>
      </c>
      <c r="AD288" s="175">
        <v>0</v>
      </c>
      <c r="AE288" s="175">
        <v>0</v>
      </c>
      <c r="AF288" s="175">
        <v>0</v>
      </c>
      <c r="AG288" s="175">
        <v>0.13333096459647642</v>
      </c>
      <c r="AI288" s="58" t="s">
        <v>456</v>
      </c>
      <c r="AJ288" s="175">
        <v>9.2542474934686805</v>
      </c>
      <c r="AK288" s="175">
        <v>1.0574263558616561</v>
      </c>
      <c r="AL288" s="175">
        <v>1.1152171854612838</v>
      </c>
      <c r="AM288" s="175">
        <v>4.3134267451166632</v>
      </c>
      <c r="AO288" s="58" t="s">
        <v>456</v>
      </c>
      <c r="AP288" s="175">
        <v>0</v>
      </c>
      <c r="AQ288" s="175">
        <v>0</v>
      </c>
      <c r="AR288" s="175">
        <v>0</v>
      </c>
      <c r="AS288" s="175">
        <v>5.1570354741746365E-2</v>
      </c>
      <c r="AU288" s="58" t="s">
        <v>456</v>
      </c>
      <c r="AV288" s="175">
        <v>1.454705239701874</v>
      </c>
      <c r="AW288" s="175">
        <v>0.55188820606213873</v>
      </c>
      <c r="AX288" s="175">
        <v>3.249174831536775</v>
      </c>
      <c r="AY288" s="175">
        <v>1.2131047409823303</v>
      </c>
      <c r="BA288" s="83"/>
      <c r="BB288" s="58"/>
      <c r="BC288" s="83"/>
      <c r="BD288" s="83"/>
    </row>
    <row r="289" spans="2:56">
      <c r="B289" s="58" t="s">
        <v>431</v>
      </c>
      <c r="C289" s="175">
        <v>0.59032634032634035</v>
      </c>
      <c r="D289" s="175">
        <v>0.41120185791732544</v>
      </c>
      <c r="E289" s="175">
        <v>0.70661157024793386</v>
      </c>
      <c r="F289" s="175">
        <v>0.62525050100200397</v>
      </c>
      <c r="I289" s="58" t="s">
        <v>431</v>
      </c>
      <c r="J289" s="175">
        <v>2.8109756097560976</v>
      </c>
      <c r="K289" s="175">
        <v>6.4516129032258063E-2</v>
      </c>
      <c r="L289" s="175">
        <v>17.92602495543672</v>
      </c>
      <c r="M289" s="175">
        <v>2</v>
      </c>
      <c r="P289" s="58" t="s">
        <v>431</v>
      </c>
      <c r="Q289" s="175">
        <v>0.91470835697653952</v>
      </c>
      <c r="R289" s="175">
        <v>1</v>
      </c>
      <c r="S289" s="175">
        <v>0.7343499197431782</v>
      </c>
      <c r="T289" s="175">
        <v>0.82051282051282048</v>
      </c>
      <c r="U289" s="83"/>
      <c r="W289" s="58" t="s">
        <v>431</v>
      </c>
      <c r="X289" s="175">
        <v>20.628099173553718</v>
      </c>
      <c r="Y289" s="175">
        <v>1.5512820512820511</v>
      </c>
      <c r="Z289" s="175">
        <v>3.9829763866007681</v>
      </c>
      <c r="AA289" s="175">
        <v>3.4658471676593585</v>
      </c>
      <c r="AC289" s="58" t="s">
        <v>431</v>
      </c>
      <c r="AD289" s="175">
        <v>0.14690026954177898</v>
      </c>
      <c r="AE289" s="175">
        <v>-0.20983935742971888</v>
      </c>
      <c r="AF289" s="175">
        <v>0.22259136212624586</v>
      </c>
      <c r="AG289" s="175">
        <v>0.14690026954177898</v>
      </c>
      <c r="AI289" s="58" t="s">
        <v>431</v>
      </c>
      <c r="AJ289" s="175">
        <v>2.2679738562091503</v>
      </c>
      <c r="AK289" s="175">
        <v>0.26217228464419473</v>
      </c>
      <c r="AL289" s="175">
        <v>0.88826815642458101</v>
      </c>
      <c r="AM289" s="175">
        <v>0.88826815642458101</v>
      </c>
      <c r="AO289" s="58" t="s">
        <v>431</v>
      </c>
      <c r="AP289" s="175">
        <v>1.0373134328358209</v>
      </c>
      <c r="AQ289" s="175">
        <v>1.0973782771535583</v>
      </c>
      <c r="AR289" s="175">
        <v>0.92164179104477595</v>
      </c>
      <c r="AS289" s="175">
        <v>1.0373134328358209</v>
      </c>
      <c r="AU289" s="58" t="s">
        <v>431</v>
      </c>
      <c r="AV289" s="175">
        <v>0.94193707284034245</v>
      </c>
      <c r="AW289" s="175">
        <v>0.6166666666666667</v>
      </c>
      <c r="AX289" s="175">
        <v>0.80769230769230771</v>
      </c>
      <c r="AY289" s="175">
        <v>0.8141025641025641</v>
      </c>
      <c r="BA289" s="83"/>
      <c r="BB289" s="58"/>
      <c r="BC289" s="83"/>
      <c r="BD289" s="83"/>
    </row>
    <row r="290" spans="2:56">
      <c r="B290" s="58" t="s">
        <v>458</v>
      </c>
      <c r="C290" s="175">
        <v>0.42811922151775234</v>
      </c>
      <c r="D290" s="175">
        <v>0.64071351696281065</v>
      </c>
      <c r="E290" s="175">
        <v>1.0454009055436386</v>
      </c>
      <c r="F290" s="175">
        <v>0.74645900385076636</v>
      </c>
      <c r="I290" s="58" t="s">
        <v>458</v>
      </c>
      <c r="J290" s="175">
        <v>1.1468927060708638</v>
      </c>
      <c r="K290" s="175">
        <v>8.6516969622909805</v>
      </c>
      <c r="L290" s="175">
        <v>70.815833746844305</v>
      </c>
      <c r="M290" s="175">
        <v>44.623455464599296</v>
      </c>
      <c r="P290" s="58" t="s">
        <v>458</v>
      </c>
      <c r="Q290" s="175">
        <v>7.6133766719330485</v>
      </c>
      <c r="R290" s="175">
        <v>3.2299114404491203</v>
      </c>
      <c r="S290" s="175">
        <v>4.1482462369916702</v>
      </c>
      <c r="T290" s="175">
        <v>5.2634379859225442</v>
      </c>
      <c r="U290" s="83"/>
      <c r="W290" s="58" t="s">
        <v>458</v>
      </c>
      <c r="X290" s="175" t="e">
        <v>#DIV/0!</v>
      </c>
      <c r="Y290" s="175">
        <v>1.9762727987008633</v>
      </c>
      <c r="Z290" s="175" t="e">
        <v>#DIV/0!</v>
      </c>
      <c r="AA290" s="175">
        <v>9.2752309360572305</v>
      </c>
      <c r="AC290" s="58" t="s">
        <v>458</v>
      </c>
      <c r="AD290" s="175" t="e">
        <v>#DIV/0!</v>
      </c>
      <c r="AE290" s="175" t="e">
        <v>#DIV/0!</v>
      </c>
      <c r="AF290" s="175" t="e">
        <v>#DIV/0!</v>
      </c>
      <c r="AG290" s="175">
        <v>0.23093600490326435</v>
      </c>
      <c r="AI290" s="58" t="s">
        <v>458</v>
      </c>
      <c r="AJ290" s="175">
        <v>20.693126476003012</v>
      </c>
      <c r="AK290" s="175">
        <v>1.8315161736147962</v>
      </c>
      <c r="AL290" s="175">
        <v>1.9316128266929069</v>
      </c>
      <c r="AM290" s="175">
        <v>14.306018074235928</v>
      </c>
      <c r="AO290" s="58" t="s">
        <v>458</v>
      </c>
      <c r="AP290" s="175" t="e">
        <v>#DIV/0!</v>
      </c>
      <c r="AQ290" s="175" t="e">
        <v>#DIV/0!</v>
      </c>
      <c r="AR290" s="175" t="e">
        <v>#DIV/0!</v>
      </c>
      <c r="AS290" s="175">
        <v>8.9322474577055264E-2</v>
      </c>
      <c r="AU290" s="58" t="s">
        <v>458</v>
      </c>
      <c r="AV290" s="175">
        <v>9.6494229213102596</v>
      </c>
      <c r="AW290" s="175">
        <v>3.7835549187969808</v>
      </c>
      <c r="AX290" s="175">
        <v>22.275220381332378</v>
      </c>
      <c r="AY290" s="175">
        <v>14.250753998927401</v>
      </c>
      <c r="BA290" s="83"/>
      <c r="BB290" s="58"/>
      <c r="BC290" s="83"/>
      <c r="BD290" s="83"/>
    </row>
    <row r="291" spans="2:56">
      <c r="B291" s="58" t="s">
        <v>412</v>
      </c>
      <c r="C291" s="175">
        <v>0.13946759259259259</v>
      </c>
      <c r="D291" s="175">
        <v>0.13573407202216067</v>
      </c>
      <c r="E291" s="175">
        <v>-0.15686274509803921</v>
      </c>
      <c r="F291" s="175">
        <v>-0.15686274509803921</v>
      </c>
      <c r="I291" s="58" t="s">
        <v>412</v>
      </c>
      <c r="J291" s="175">
        <v>2</v>
      </c>
      <c r="K291" s="175">
        <v>-0.02</v>
      </c>
      <c r="L291" s="175">
        <v>1.282051282051282E-2</v>
      </c>
      <c r="M291" s="175">
        <v>-0.02</v>
      </c>
      <c r="P291" s="58" t="s">
        <v>412</v>
      </c>
      <c r="Q291" s="175">
        <v>0</v>
      </c>
      <c r="R291" s="175">
        <v>-6.0642092746730082E-2</v>
      </c>
      <c r="S291" s="175">
        <v>-1.932367149758454E-2</v>
      </c>
      <c r="T291" s="175">
        <v>-6.0642092746730082E-2</v>
      </c>
      <c r="U291" s="83"/>
      <c r="W291" s="58" t="s">
        <v>412</v>
      </c>
      <c r="X291" s="175">
        <v>20.628099173553718</v>
      </c>
      <c r="Y291" s="175">
        <v>0.15384615384615385</v>
      </c>
      <c r="Z291" s="175">
        <v>3.9829763866007681</v>
      </c>
      <c r="AA291" s="175">
        <v>0.15384615384615385</v>
      </c>
      <c r="AC291" s="58" t="s">
        <v>412</v>
      </c>
      <c r="AD291" s="175">
        <v>0.14690026954177898</v>
      </c>
      <c r="AE291" s="175">
        <v>-0.20983935742971888</v>
      </c>
      <c r="AF291" s="175">
        <v>0.22259136212624586</v>
      </c>
      <c r="AG291" s="175">
        <v>-0.20983935742971888</v>
      </c>
      <c r="AI291" s="58" t="s">
        <v>412</v>
      </c>
      <c r="AJ291" s="175">
        <v>0.16404494382022472</v>
      </c>
      <c r="AK291" s="175">
        <v>0.15363128491620112</v>
      </c>
      <c r="AL291" s="175">
        <v>0.14245810055865921</v>
      </c>
      <c r="AM291" s="175">
        <v>0.14245810055865921</v>
      </c>
      <c r="AO291" s="58" t="s">
        <v>412</v>
      </c>
      <c r="AP291" s="175">
        <v>1.0373134328358209</v>
      </c>
      <c r="AQ291" s="175">
        <v>1.0973782771535583</v>
      </c>
      <c r="AR291" s="175">
        <v>0.92164179104477595</v>
      </c>
      <c r="AS291" s="175">
        <v>0.92164179104477595</v>
      </c>
      <c r="AU291" s="58" t="s">
        <v>412</v>
      </c>
      <c r="AV291" s="175">
        <v>0</v>
      </c>
      <c r="AW291" s="175">
        <v>-0.20983935742971888</v>
      </c>
      <c r="AX291" s="175">
        <v>-0.15686274509803921</v>
      </c>
      <c r="AY291" s="175">
        <v>-0.20983935742971888</v>
      </c>
      <c r="BA291" s="83"/>
      <c r="BB291" s="58"/>
      <c r="BC291" s="83"/>
      <c r="BD291" s="83"/>
    </row>
    <row r="292" spans="2:56">
      <c r="B292" s="58" t="s">
        <v>413</v>
      </c>
      <c r="C292" s="175">
        <v>1.3173803526448362</v>
      </c>
      <c r="D292" s="175">
        <v>1.8947368421052631</v>
      </c>
      <c r="E292" s="175">
        <v>3.0602409638554215</v>
      </c>
      <c r="F292" s="175">
        <v>3.0602409638554215</v>
      </c>
      <c r="I292" s="58" t="s">
        <v>413</v>
      </c>
      <c r="J292" s="175">
        <v>3.6219512195121952</v>
      </c>
      <c r="K292" s="175">
        <v>19.933333333333337</v>
      </c>
      <c r="L292" s="175">
        <v>149.99999999999997</v>
      </c>
      <c r="M292" s="175">
        <v>149.99999999999997</v>
      </c>
      <c r="P292" s="58" t="s">
        <v>413</v>
      </c>
      <c r="Q292" s="175">
        <v>38.666666666666664</v>
      </c>
      <c r="R292" s="175">
        <v>16.071428571428569</v>
      </c>
      <c r="S292" s="175">
        <v>20.891891891891891</v>
      </c>
      <c r="T292" s="175">
        <v>38.666666666666664</v>
      </c>
      <c r="U292" s="83"/>
      <c r="W292" s="58" t="s">
        <v>413</v>
      </c>
      <c r="X292" s="175">
        <v>20.628099173553718</v>
      </c>
      <c r="Y292" s="175">
        <v>2.9487179487179485</v>
      </c>
      <c r="Z292" s="175">
        <v>3.9829763866007681</v>
      </c>
      <c r="AA292" s="175">
        <v>20.628099173553718</v>
      </c>
      <c r="AC292" s="58" t="s">
        <v>413</v>
      </c>
      <c r="AD292" s="175">
        <v>0.14690026954177898</v>
      </c>
      <c r="AE292" s="175">
        <v>-0.20983935742971888</v>
      </c>
      <c r="AF292" s="175">
        <v>0.22259136212624586</v>
      </c>
      <c r="AG292" s="175">
        <v>0.22259136212624586</v>
      </c>
      <c r="AI292" s="58" t="s">
        <v>413</v>
      </c>
      <c r="AJ292" s="175">
        <v>48.666666666666671</v>
      </c>
      <c r="AK292" s="175">
        <v>3.3787878787878789</v>
      </c>
      <c r="AL292" s="175">
        <v>3.7980769230769229</v>
      </c>
      <c r="AM292" s="175">
        <v>48.666666666666671</v>
      </c>
      <c r="AO292" s="58" t="s">
        <v>413</v>
      </c>
      <c r="AP292" s="175">
        <v>1.0373134328358209</v>
      </c>
      <c r="AQ292" s="175">
        <v>1.0973782771535583</v>
      </c>
      <c r="AR292" s="175">
        <v>0.92164179104477595</v>
      </c>
      <c r="AS292" s="175">
        <v>1.0973782771535583</v>
      </c>
      <c r="AU292" s="58" t="s">
        <v>413</v>
      </c>
      <c r="AV292" s="175">
        <v>48.666666666666671</v>
      </c>
      <c r="AW292" s="175">
        <v>19.933333333333337</v>
      </c>
      <c r="AX292" s="175">
        <v>149.99999999999997</v>
      </c>
      <c r="AY292" s="175">
        <v>149.99999999999997</v>
      </c>
      <c r="BA292" s="83"/>
      <c r="BB292" s="58"/>
      <c r="BC292" s="83"/>
      <c r="BD292" s="83"/>
    </row>
    <row r="293" spans="2:56">
      <c r="B293" s="58" t="s">
        <v>464</v>
      </c>
      <c r="C293" s="175">
        <v>6</v>
      </c>
      <c r="D293" s="175">
        <v>6</v>
      </c>
      <c r="E293" s="175">
        <v>7</v>
      </c>
      <c r="F293" s="175">
        <v>19</v>
      </c>
      <c r="I293" s="58" t="s">
        <v>464</v>
      </c>
      <c r="J293" s="175">
        <v>2</v>
      </c>
      <c r="K293" s="175">
        <v>5</v>
      </c>
      <c r="L293" s="175">
        <v>4</v>
      </c>
      <c r="M293" s="175">
        <v>11</v>
      </c>
      <c r="P293" s="58" t="s">
        <v>464</v>
      </c>
      <c r="Q293" s="175">
        <v>28</v>
      </c>
      <c r="R293" s="175">
        <v>29</v>
      </c>
      <c r="S293" s="175">
        <v>30</v>
      </c>
      <c r="T293" s="175">
        <v>87</v>
      </c>
      <c r="U293" s="83"/>
      <c r="W293" s="58" t="s">
        <v>464</v>
      </c>
      <c r="X293" s="175">
        <v>1</v>
      </c>
      <c r="Y293" s="175">
        <v>2</v>
      </c>
      <c r="Z293" s="175">
        <v>1</v>
      </c>
      <c r="AA293" s="175">
        <v>4</v>
      </c>
      <c r="AC293" s="58" t="s">
        <v>464</v>
      </c>
      <c r="AD293" s="175">
        <v>1</v>
      </c>
      <c r="AE293" s="175">
        <v>1</v>
      </c>
      <c r="AF293" s="175">
        <v>1</v>
      </c>
      <c r="AG293" s="175">
        <v>3</v>
      </c>
      <c r="AI293" s="58" t="s">
        <v>464</v>
      </c>
      <c r="AJ293" s="175">
        <v>5</v>
      </c>
      <c r="AK293" s="175">
        <v>3</v>
      </c>
      <c r="AL293" s="175">
        <v>3</v>
      </c>
      <c r="AM293" s="175">
        <v>11</v>
      </c>
      <c r="AO293" s="58" t="s">
        <v>464</v>
      </c>
      <c r="AP293" s="175">
        <v>1</v>
      </c>
      <c r="AQ293" s="175">
        <v>1</v>
      </c>
      <c r="AR293" s="175">
        <v>1</v>
      </c>
      <c r="AS293" s="175">
        <v>3</v>
      </c>
      <c r="AU293" s="58" t="s">
        <v>464</v>
      </c>
      <c r="AV293" s="175">
        <v>44</v>
      </c>
      <c r="AW293" s="175">
        <v>47</v>
      </c>
      <c r="AX293" s="175">
        <v>47</v>
      </c>
      <c r="AY293" s="175">
        <v>138</v>
      </c>
      <c r="BA293" s="83"/>
      <c r="BB293" s="58"/>
      <c r="BC293" s="83"/>
      <c r="BD293" s="83"/>
    </row>
    <row r="294" spans="2:56" ht="17" thickBot="1">
      <c r="B294" s="59" t="s">
        <v>467</v>
      </c>
      <c r="C294" s="192">
        <v>0.44928356918525325</v>
      </c>
      <c r="D294" s="192">
        <v>0.67238759966387396</v>
      </c>
      <c r="E294" s="192">
        <v>0.96683458277986389</v>
      </c>
      <c r="F294" s="192">
        <v>0.35978172323778973</v>
      </c>
      <c r="I294" s="59" t="s">
        <v>467</v>
      </c>
      <c r="J294" s="192">
        <v>10.304422133605089</v>
      </c>
      <c r="K294" s="192">
        <v>10.742500641445577</v>
      </c>
      <c r="L294" s="192">
        <v>112.68379423161498</v>
      </c>
      <c r="M294" s="192">
        <v>29.978445291635953</v>
      </c>
      <c r="P294" s="59" t="s">
        <v>467</v>
      </c>
      <c r="Q294" s="192">
        <v>2.9521592833767984</v>
      </c>
      <c r="R294" s="192">
        <v>1.2285926055998777</v>
      </c>
      <c r="S294" s="192">
        <v>1.5489806016763852</v>
      </c>
      <c r="T294" s="192">
        <v>1.1217908433954147</v>
      </c>
      <c r="U294" s="83"/>
      <c r="W294" s="59" t="s">
        <v>467</v>
      </c>
      <c r="X294" s="192" t="e">
        <v>#NUM!</v>
      </c>
      <c r="Y294" s="192">
        <v>17.756106618500532</v>
      </c>
      <c r="Z294" s="192" t="e">
        <v>#NUM!</v>
      </c>
      <c r="AA294" s="192">
        <v>14.758962211554239</v>
      </c>
      <c r="AC294" s="59" t="s">
        <v>467</v>
      </c>
      <c r="AD294" s="192" t="e">
        <v>#NUM!</v>
      </c>
      <c r="AE294" s="192" t="e">
        <v>#NUM!</v>
      </c>
      <c r="AF294" s="192" t="e">
        <v>#NUM!</v>
      </c>
      <c r="AG294" s="192">
        <v>0.57367683878115816</v>
      </c>
      <c r="AI294" s="59" t="s">
        <v>467</v>
      </c>
      <c r="AJ294" s="192">
        <v>25.693910155530062</v>
      </c>
      <c r="AK294" s="192">
        <v>4.5497383965571805</v>
      </c>
      <c r="AL294" s="192">
        <v>4.7983922672885049</v>
      </c>
      <c r="AM294" s="192">
        <v>9.6109137159911349</v>
      </c>
      <c r="AO294" s="59" t="s">
        <v>467</v>
      </c>
      <c r="AP294" s="192" t="e">
        <v>#NUM!</v>
      </c>
      <c r="AQ294" s="192" t="e">
        <v>#NUM!</v>
      </c>
      <c r="AR294" s="192" t="e">
        <v>#NUM!</v>
      </c>
      <c r="AS294" s="192">
        <v>0.2218893276037231</v>
      </c>
      <c r="AU294" s="59" t="s">
        <v>467</v>
      </c>
      <c r="AV294" s="192">
        <v>2.9336927090826124</v>
      </c>
      <c r="AW294" s="192">
        <v>1.1108933410780184</v>
      </c>
      <c r="AX294" s="192">
        <v>6.5402497185201547</v>
      </c>
      <c r="AY294" s="192">
        <v>2.3988311786174839</v>
      </c>
      <c r="BA294" s="83"/>
      <c r="BB294" s="58"/>
      <c r="BC294" s="83"/>
      <c r="BD294" s="83"/>
    </row>
    <row r="295" spans="2:56">
      <c r="B295" s="58"/>
      <c r="C295" s="58"/>
      <c r="D295" s="58"/>
      <c r="E295" s="58"/>
      <c r="F295" s="58"/>
      <c r="G295" s="58"/>
      <c r="I295" s="58"/>
      <c r="J295" s="58"/>
      <c r="AW295" s="83"/>
      <c r="BA295" s="83"/>
      <c r="BB295" s="83"/>
      <c r="BC295" s="83"/>
      <c r="BD295" s="83"/>
    </row>
    <row r="296" spans="2:56" ht="17" thickBot="1">
      <c r="P296" s="83"/>
      <c r="Q296" s="83"/>
      <c r="W296" s="83"/>
      <c r="X296" s="83"/>
      <c r="AW296" s="83"/>
      <c r="BA296" s="83"/>
      <c r="BB296" s="83"/>
      <c r="BC296" s="83"/>
      <c r="BD296" s="83"/>
    </row>
    <row r="297" spans="2:56">
      <c r="B297" s="61" t="s">
        <v>569</v>
      </c>
      <c r="C297" s="249">
        <v>2015</v>
      </c>
      <c r="D297" s="249">
        <v>2016</v>
      </c>
      <c r="E297" s="249">
        <v>2017</v>
      </c>
      <c r="F297" s="250" t="s">
        <v>376</v>
      </c>
      <c r="G297" s="249"/>
      <c r="H297" s="190"/>
      <c r="I297" s="249" t="s">
        <v>570</v>
      </c>
      <c r="J297" s="249">
        <v>2015</v>
      </c>
      <c r="K297" s="249">
        <v>2016</v>
      </c>
      <c r="L297" s="249">
        <v>2017</v>
      </c>
      <c r="M297" s="250" t="s">
        <v>376</v>
      </c>
      <c r="N297" s="249"/>
      <c r="O297" s="11"/>
      <c r="P297" s="249" t="s">
        <v>38</v>
      </c>
      <c r="Q297" s="249">
        <v>2015</v>
      </c>
      <c r="R297" s="249">
        <v>2016</v>
      </c>
      <c r="S297" s="249">
        <v>2017</v>
      </c>
      <c r="T297" s="250" t="s">
        <v>376</v>
      </c>
      <c r="U297" s="249"/>
      <c r="V297" s="11"/>
      <c r="W297" s="249" t="s">
        <v>571</v>
      </c>
      <c r="X297" s="249">
        <v>2015</v>
      </c>
      <c r="Y297" s="249">
        <v>2016</v>
      </c>
      <c r="Z297" s="249">
        <v>2017</v>
      </c>
      <c r="AA297" s="250" t="s">
        <v>376</v>
      </c>
      <c r="AB297" s="249"/>
      <c r="AC297" s="249" t="s">
        <v>568</v>
      </c>
      <c r="AD297" s="249">
        <v>2015</v>
      </c>
      <c r="AE297" s="249">
        <v>2016</v>
      </c>
      <c r="AF297" s="249">
        <v>2017</v>
      </c>
      <c r="AG297" s="250" t="s">
        <v>376</v>
      </c>
      <c r="AH297" s="249"/>
      <c r="AI297" s="249" t="s">
        <v>572</v>
      </c>
      <c r="AJ297" s="249">
        <v>2015</v>
      </c>
      <c r="AK297" s="249">
        <v>2016</v>
      </c>
      <c r="AL297" s="249">
        <v>2017</v>
      </c>
      <c r="AM297" s="250" t="s">
        <v>376</v>
      </c>
      <c r="AN297" s="249"/>
      <c r="AO297" s="249" t="s">
        <v>45</v>
      </c>
      <c r="AP297" s="249">
        <v>2015</v>
      </c>
      <c r="AQ297" s="249">
        <v>2016</v>
      </c>
      <c r="AR297" s="249">
        <v>2017</v>
      </c>
      <c r="AS297" s="250" t="s">
        <v>376</v>
      </c>
      <c r="AT297" s="249"/>
      <c r="AU297" s="249" t="s">
        <v>376</v>
      </c>
      <c r="AV297" s="249">
        <v>2015</v>
      </c>
      <c r="AW297" s="250">
        <v>2016</v>
      </c>
      <c r="AX297" s="250">
        <v>2017</v>
      </c>
      <c r="AY297" s="250" t="s">
        <v>376</v>
      </c>
      <c r="AZ297" s="61"/>
      <c r="BA297" s="83"/>
      <c r="BB297" s="83"/>
      <c r="BC297" s="83"/>
      <c r="BD297" s="83"/>
    </row>
    <row r="298" spans="2:56">
      <c r="B298" s="58"/>
      <c r="C298" s="177"/>
      <c r="D298" s="177"/>
      <c r="E298" s="177"/>
      <c r="F298" s="177"/>
      <c r="G298" s="177"/>
      <c r="H298" s="6"/>
      <c r="I298" s="177"/>
      <c r="J298" s="177"/>
      <c r="K298" s="177"/>
      <c r="L298" s="177"/>
      <c r="M298" s="177"/>
      <c r="N298" s="177"/>
      <c r="O298" s="6"/>
      <c r="P298" s="177"/>
      <c r="Q298" s="177"/>
      <c r="R298" s="177"/>
      <c r="S298" s="177"/>
      <c r="T298" s="177"/>
      <c r="U298" s="177"/>
      <c r="V298" s="6"/>
      <c r="W298" s="177"/>
      <c r="X298" s="177"/>
      <c r="Y298" s="177"/>
      <c r="Z298" s="177"/>
      <c r="AA298" s="177"/>
      <c r="AB298" s="177"/>
      <c r="AC298" s="177"/>
      <c r="AD298" s="177"/>
      <c r="AE298" s="6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58"/>
    </row>
    <row r="299" spans="2:56">
      <c r="B299" s="58" t="s">
        <v>455</v>
      </c>
      <c r="C299" s="177">
        <f>(-123.029828496777)*(-1)</f>
        <v>123.029828496777</v>
      </c>
      <c r="D299" s="177">
        <v>-258.59522159639283</v>
      </c>
      <c r="E299" s="177">
        <v>-141.87483533514143</v>
      </c>
      <c r="F299" s="177">
        <v>-179.93748288848641</v>
      </c>
      <c r="G299" s="6"/>
      <c r="H299" s="6"/>
      <c r="I299" s="177" t="s">
        <v>455</v>
      </c>
      <c r="J299" s="177">
        <v>-161.61345559876455</v>
      </c>
      <c r="K299" s="177">
        <v>-220.14013573508106</v>
      </c>
      <c r="L299" s="177">
        <v>-351.72373113992029</v>
      </c>
      <c r="M299" s="177">
        <v>-252.0268940269363</v>
      </c>
      <c r="N299" s="6"/>
      <c r="O299" s="6"/>
      <c r="P299" s="177" t="s">
        <v>455</v>
      </c>
      <c r="Q299" s="177">
        <v>-363.64606461374905</v>
      </c>
      <c r="R299" s="177">
        <v>-337.65786182046492</v>
      </c>
      <c r="S299" s="177">
        <v>-143.21958683848416</v>
      </c>
      <c r="T299" s="177">
        <v>-290.60574900224236</v>
      </c>
      <c r="U299" s="6"/>
      <c r="V299" s="6"/>
      <c r="W299" s="177" t="s">
        <v>455</v>
      </c>
      <c r="X299" s="177">
        <v>-67.425034692194743</v>
      </c>
      <c r="Y299" s="177">
        <v>-29.03297333959409</v>
      </c>
      <c r="Z299" s="177">
        <v>-395.23991832567634</v>
      </c>
      <c r="AA299" s="177">
        <v>-163.89930878582172</v>
      </c>
      <c r="AB299" s="6"/>
      <c r="AC299" s="177" t="s">
        <v>455</v>
      </c>
      <c r="AD299" s="247">
        <v>0</v>
      </c>
      <c r="AE299" s="177">
        <v>-21.082621082621085</v>
      </c>
      <c r="AF299" s="177">
        <v>-31.64662349676226</v>
      </c>
      <c r="AG299" s="177">
        <v>-28.125289358715197</v>
      </c>
      <c r="AH299" s="6"/>
      <c r="AI299" s="177" t="s">
        <v>455</v>
      </c>
      <c r="AJ299" s="177">
        <v>-119.36061360202139</v>
      </c>
      <c r="AK299" s="177">
        <v>-355.31514406053151</v>
      </c>
      <c r="AL299" s="177">
        <v>-179.66600305355342</v>
      </c>
      <c r="AM299" s="177">
        <v>-205.6410817094449</v>
      </c>
      <c r="AN299" s="6"/>
      <c r="AO299" s="177" t="s">
        <v>455</v>
      </c>
      <c r="AP299" s="177">
        <v>-28.778467908902694</v>
      </c>
      <c r="AQ299" s="177">
        <v>-42.711370262390673</v>
      </c>
      <c r="AR299" s="177">
        <v>-78.164556962025301</v>
      </c>
      <c r="AS299" s="177">
        <v>-49.884798377772889</v>
      </c>
      <c r="AT299" s="6"/>
      <c r="AU299" s="177" t="s">
        <v>455</v>
      </c>
      <c r="AV299" s="177">
        <v>-268.30827051241675</v>
      </c>
      <c r="AW299" s="177">
        <v>-288.78432741052046</v>
      </c>
      <c r="AX299" s="177">
        <v>-173.73914946584651</v>
      </c>
      <c r="AY299" s="177">
        <v>-246.69285519677942</v>
      </c>
    </row>
    <row r="300" spans="2:56">
      <c r="B300" s="58" t="s">
        <v>456</v>
      </c>
      <c r="C300" s="177">
        <v>43.386794743386304</v>
      </c>
      <c r="D300" s="177">
        <v>193.63916302390385</v>
      </c>
      <c r="E300" s="177">
        <v>55.697363849437593</v>
      </c>
      <c r="F300" s="177">
        <v>75.901956000504455</v>
      </c>
      <c r="G300" s="6"/>
      <c r="H300" s="6"/>
      <c r="I300" s="177" t="s">
        <v>456</v>
      </c>
      <c r="J300" s="177">
        <v>129.40854834419349</v>
      </c>
      <c r="K300" s="177">
        <v>136.21734106251822</v>
      </c>
      <c r="L300" s="177">
        <v>279.47633864242425</v>
      </c>
      <c r="M300" s="177">
        <v>109.9079928021085</v>
      </c>
      <c r="N300" s="6"/>
      <c r="O300" s="6"/>
      <c r="P300" s="177" t="s">
        <v>456</v>
      </c>
      <c r="Q300" s="177">
        <v>202.66621209730454</v>
      </c>
      <c r="R300" s="177">
        <v>156.18409237064284</v>
      </c>
      <c r="S300" s="177">
        <v>25.812407048899519</v>
      </c>
      <c r="T300" s="177">
        <v>90.754553217940497</v>
      </c>
      <c r="U300" s="6"/>
      <c r="V300" s="6"/>
      <c r="W300" s="177" t="s">
        <v>456</v>
      </c>
      <c r="X300" s="177">
        <v>27.951350481668445</v>
      </c>
      <c r="Y300" s="177">
        <v>12.366306672927424</v>
      </c>
      <c r="Z300" s="177">
        <v>345.23991832567634</v>
      </c>
      <c r="AA300" s="177">
        <v>115.79853089478462</v>
      </c>
      <c r="AB300" s="6"/>
      <c r="AC300" s="177" t="s">
        <v>456</v>
      </c>
      <c r="AD300" s="247">
        <v>0</v>
      </c>
      <c r="AE300" s="177">
        <v>0</v>
      </c>
      <c r="AF300" s="177">
        <v>3.1359851988899141</v>
      </c>
      <c r="AG300" s="177">
        <v>3.9595363997562316</v>
      </c>
      <c r="AH300" s="6"/>
      <c r="AI300" s="177" t="s">
        <v>456</v>
      </c>
      <c r="AJ300" s="177">
        <v>32.516033601261967</v>
      </c>
      <c r="AK300" s="177">
        <v>288.70779363178303</v>
      </c>
      <c r="AL300" s="177">
        <v>80.990949138996399</v>
      </c>
      <c r="AM300" s="177">
        <v>79.269283653288966</v>
      </c>
      <c r="AN300" s="6"/>
      <c r="AO300" s="177" t="s">
        <v>456</v>
      </c>
      <c r="AP300" s="177">
        <v>0</v>
      </c>
      <c r="AQ300" s="177">
        <v>0</v>
      </c>
      <c r="AR300" s="177">
        <v>0</v>
      </c>
      <c r="AS300" s="177">
        <v>14.700793642812352</v>
      </c>
      <c r="AT300" s="6"/>
      <c r="AU300" s="177" t="s">
        <v>456</v>
      </c>
      <c r="AV300" s="177">
        <v>125.25150370521355</v>
      </c>
      <c r="AW300" s="177">
        <v>99.980533282900652</v>
      </c>
      <c r="AX300" s="177">
        <v>35.791563288865191</v>
      </c>
      <c r="AY300" s="177">
        <v>56.383928375035083</v>
      </c>
    </row>
    <row r="301" spans="2:56">
      <c r="B301" s="58" t="s">
        <v>431</v>
      </c>
      <c r="C301" s="177">
        <v>-129.03225806451613</v>
      </c>
      <c r="D301" s="177">
        <v>-68</v>
      </c>
      <c r="E301" s="177">
        <v>-125.9</v>
      </c>
      <c r="F301" s="177">
        <v>-104.58297270481941</v>
      </c>
      <c r="G301" s="6"/>
      <c r="H301" s="6"/>
      <c r="I301" s="177" t="s">
        <v>431</v>
      </c>
      <c r="J301" s="177">
        <v>-45.343511450381676</v>
      </c>
      <c r="K301" s="177">
        <v>-134.02880536647925</v>
      </c>
      <c r="L301" s="177">
        <v>-111.63752913752914</v>
      </c>
      <c r="M301" s="177">
        <v>-69.892473118279568</v>
      </c>
      <c r="N301" s="6"/>
      <c r="O301" s="6"/>
      <c r="P301" s="177" t="s">
        <v>431</v>
      </c>
      <c r="Q301" s="177">
        <v>-131.25</v>
      </c>
      <c r="R301" s="177">
        <v>-114.28571428571428</v>
      </c>
      <c r="S301" s="177">
        <v>-112.10203984367554</v>
      </c>
      <c r="T301" s="177">
        <v>-115.63993915688832</v>
      </c>
      <c r="U301" s="6"/>
      <c r="V301" s="6"/>
      <c r="W301" s="177" t="s">
        <v>431</v>
      </c>
      <c r="X301" s="177">
        <v>-67.425034692194743</v>
      </c>
      <c r="Y301" s="177">
        <v>-29.03297333959409</v>
      </c>
      <c r="Z301" s="177">
        <v>-395.23991832567634</v>
      </c>
      <c r="AA301" s="177">
        <v>-45.699640006260758</v>
      </c>
      <c r="AB301" s="6"/>
      <c r="AC301" s="177" t="s">
        <v>431</v>
      </c>
      <c r="AD301" s="247">
        <v>0</v>
      </c>
      <c r="AE301" s="177">
        <v>-21.082621082621085</v>
      </c>
      <c r="AF301" s="177">
        <v>-31.64662349676226</v>
      </c>
      <c r="AG301" s="177">
        <v>-28.510638297872344</v>
      </c>
      <c r="AH301" s="6"/>
      <c r="AI301" s="177" t="s">
        <v>431</v>
      </c>
      <c r="AJ301" s="177">
        <v>-110.18089315997739</v>
      </c>
      <c r="AK301" s="177">
        <v>-123.86363636363637</v>
      </c>
      <c r="AL301" s="177">
        <v>-152.63366678164886</v>
      </c>
      <c r="AM301" s="177">
        <v>-122.30769230769232</v>
      </c>
      <c r="AN301" s="6"/>
      <c r="AO301" s="177" t="s">
        <v>431</v>
      </c>
      <c r="AP301" s="177">
        <v>-28.778467908902694</v>
      </c>
      <c r="AQ301" s="177">
        <v>-42.711370262390673</v>
      </c>
      <c r="AR301" s="177">
        <v>-78.164556962025301</v>
      </c>
      <c r="AS301" s="177">
        <v>-42.711370262390673</v>
      </c>
      <c r="AT301" s="6"/>
      <c r="AU301" s="177" t="s">
        <v>431</v>
      </c>
      <c r="AV301" s="177">
        <v>-114.90852934188644</v>
      </c>
      <c r="AW301" s="177">
        <v>-102.27272727272727</v>
      </c>
      <c r="AX301" s="177">
        <v>-114.99999999999999</v>
      </c>
      <c r="AY301" s="177">
        <v>-107.03039580144326</v>
      </c>
    </row>
    <row r="302" spans="2:56">
      <c r="B302" s="58" t="s">
        <v>458</v>
      </c>
      <c r="C302" s="177">
        <v>114.7906690752046</v>
      </c>
      <c r="D302" s="177">
        <v>512.32106944394366</v>
      </c>
      <c r="E302" s="177">
        <v>111.39472769887519</v>
      </c>
      <c r="F302" s="177">
        <v>322.02472675967795</v>
      </c>
      <c r="G302" s="6"/>
      <c r="H302" s="6"/>
      <c r="I302" s="177" t="s">
        <v>458</v>
      </c>
      <c r="J302" s="177">
        <v>224.14218066587642</v>
      </c>
      <c r="K302" s="177">
        <v>272.43468212503643</v>
      </c>
      <c r="L302" s="177">
        <v>558.95267728484851</v>
      </c>
      <c r="M302" s="177">
        <v>364.52357358567588</v>
      </c>
      <c r="N302" s="6"/>
      <c r="O302" s="6"/>
      <c r="P302" s="177" t="s">
        <v>458</v>
      </c>
      <c r="Q302" s="177">
        <v>1053.0845289901852</v>
      </c>
      <c r="R302" s="177">
        <v>811.55634995995229</v>
      </c>
      <c r="S302" s="177">
        <v>121.0709208211357</v>
      </c>
      <c r="T302" s="177">
        <v>791.17985228637338</v>
      </c>
      <c r="U302" s="6"/>
      <c r="V302" s="6"/>
      <c r="W302" s="177" t="s">
        <v>458</v>
      </c>
      <c r="X302" s="177">
        <v>39.52917893781926</v>
      </c>
      <c r="Y302" s="177">
        <v>17.488598613318871</v>
      </c>
      <c r="Z302" s="177">
        <v>488.24297476875114</v>
      </c>
      <c r="AA302" s="177">
        <v>283.64731365613585</v>
      </c>
      <c r="AB302" s="6"/>
      <c r="AC302" s="177" t="s">
        <v>458</v>
      </c>
      <c r="AD302" s="247" t="e">
        <v>#DIV/0!</v>
      </c>
      <c r="AE302" s="177" t="e">
        <v>#DIV/0!</v>
      </c>
      <c r="AF302" s="177">
        <v>4.4349527996714047</v>
      </c>
      <c r="AG302" s="177">
        <v>6.8581182187961458</v>
      </c>
      <c r="AH302" s="6"/>
      <c r="AI302" s="177" t="s">
        <v>458</v>
      </c>
      <c r="AJ302" s="177">
        <v>65.032067202523933</v>
      </c>
      <c r="AK302" s="177">
        <v>500.05656711135856</v>
      </c>
      <c r="AL302" s="177">
        <v>161.9818982779928</v>
      </c>
      <c r="AM302" s="177">
        <v>262.90647127821222</v>
      </c>
      <c r="AN302" s="6"/>
      <c r="AO302" s="177" t="s">
        <v>458</v>
      </c>
      <c r="AP302" s="177" t="e">
        <v>#DIV/0!</v>
      </c>
      <c r="AQ302" s="177" t="e">
        <v>#DIV/0!</v>
      </c>
      <c r="AR302" s="177" t="e">
        <v>#DIV/0!</v>
      </c>
      <c r="AS302" s="177">
        <v>25.46252150093655</v>
      </c>
      <c r="AT302" s="6"/>
      <c r="AU302" s="177" t="s">
        <v>458</v>
      </c>
      <c r="AV302" s="177">
        <v>830.82448443600492</v>
      </c>
      <c r="AW302" s="177">
        <v>670.68980654173822</v>
      </c>
      <c r="AX302" s="177">
        <v>223.5182410985127</v>
      </c>
      <c r="AY302" s="177">
        <v>637.91132966278246</v>
      </c>
    </row>
    <row r="303" spans="2:56">
      <c r="B303" s="58" t="s">
        <v>412</v>
      </c>
      <c r="C303" s="177">
        <v>-313.17365269461078</v>
      </c>
      <c r="D303" s="177">
        <v>-1418.1818181818182</v>
      </c>
      <c r="E303" s="177">
        <v>-291.95402298850576</v>
      </c>
      <c r="F303" s="177">
        <v>-1418.1818181818182</v>
      </c>
      <c r="G303" s="6"/>
      <c r="H303" s="6"/>
      <c r="I303" s="177" t="s">
        <v>412</v>
      </c>
      <c r="J303" s="177">
        <v>-420</v>
      </c>
      <c r="K303" s="177">
        <v>-610.20408163265313</v>
      </c>
      <c r="L303" s="177">
        <v>-1183.3333333333335</v>
      </c>
      <c r="M303" s="177">
        <v>-1183.3333333333335</v>
      </c>
      <c r="N303" s="6"/>
      <c r="O303" s="6"/>
      <c r="P303" s="177" t="s">
        <v>412</v>
      </c>
      <c r="Q303" s="177">
        <v>-5600</v>
      </c>
      <c r="R303" s="177">
        <v>-4300</v>
      </c>
      <c r="S303" s="177">
        <v>-558.33333333333326</v>
      </c>
      <c r="T303" s="177">
        <v>-5600</v>
      </c>
      <c r="U303" s="6"/>
      <c r="V303" s="6"/>
      <c r="W303" s="177" t="s">
        <v>412</v>
      </c>
      <c r="X303" s="177">
        <v>-95.376385173863184</v>
      </c>
      <c r="Y303" s="177">
        <v>-41.399280012521515</v>
      </c>
      <c r="Z303" s="177">
        <v>-740.47983665135268</v>
      </c>
      <c r="AA303" s="177">
        <v>-740.47983665135268</v>
      </c>
      <c r="AB303" s="6"/>
      <c r="AC303" s="177" t="s">
        <v>412</v>
      </c>
      <c r="AD303" s="247">
        <v>0</v>
      </c>
      <c r="AE303" s="177">
        <v>-21.082621082621085</v>
      </c>
      <c r="AF303" s="177">
        <v>-34.782608695652172</v>
      </c>
      <c r="AG303" s="177">
        <v>-34.782608695652172</v>
      </c>
      <c r="AH303" s="6"/>
      <c r="AI303" s="177" t="s">
        <v>412</v>
      </c>
      <c r="AJ303" s="177">
        <v>-206.54761904761907</v>
      </c>
      <c r="AK303" s="177">
        <v>-929.16666666666663</v>
      </c>
      <c r="AL303" s="177">
        <v>-398.98989898989902</v>
      </c>
      <c r="AM303" s="177">
        <v>-929.16666666666663</v>
      </c>
      <c r="AN303" s="6"/>
      <c r="AO303" s="177" t="s">
        <v>412</v>
      </c>
      <c r="AP303" s="177">
        <v>-28.778467908902694</v>
      </c>
      <c r="AQ303" s="177">
        <v>-42.711370262390673</v>
      </c>
      <c r="AR303" s="177">
        <v>-78.164556962025301</v>
      </c>
      <c r="AS303" s="177">
        <v>-78.164556962025301</v>
      </c>
      <c r="AT303" s="6"/>
      <c r="AU303" s="177" t="s">
        <v>412</v>
      </c>
      <c r="AV303" s="177">
        <v>-5600</v>
      </c>
      <c r="AW303" s="177">
        <v>-4300</v>
      </c>
      <c r="AX303" s="177">
        <v>-1183.3333333333335</v>
      </c>
      <c r="AY303" s="177">
        <v>-5600</v>
      </c>
    </row>
    <row r="304" spans="2:56">
      <c r="B304" s="58" t="s">
        <v>413</v>
      </c>
      <c r="C304" s="177">
        <v>-11.193683232698561</v>
      </c>
      <c r="D304" s="177">
        <v>-16.723549488054605</v>
      </c>
      <c r="E304" s="177">
        <v>-23.745318352059925</v>
      </c>
      <c r="F304" s="177">
        <v>-11.193683232698561</v>
      </c>
      <c r="G304" s="6"/>
      <c r="H304" s="6"/>
      <c r="I304" s="177" t="s">
        <v>413</v>
      </c>
      <c r="J304" s="177">
        <v>-19.49685534591195</v>
      </c>
      <c r="K304" s="177">
        <v>-2.2988505747126435</v>
      </c>
      <c r="L304" s="177">
        <v>-0.28653295128939826</v>
      </c>
      <c r="M304" s="177">
        <v>-0.28653295128939826</v>
      </c>
      <c r="N304" s="6"/>
      <c r="O304" s="6"/>
      <c r="P304" s="177" t="s">
        <v>413</v>
      </c>
      <c r="Q304" s="177">
        <v>-27.407407407407408</v>
      </c>
      <c r="R304" s="177">
        <v>-7.0707070707070701</v>
      </c>
      <c r="S304" s="177">
        <v>-18.181818181818183</v>
      </c>
      <c r="T304" s="177">
        <v>-7.0707070707070701</v>
      </c>
      <c r="U304" s="6"/>
      <c r="V304" s="6"/>
      <c r="W304" s="177" t="s">
        <v>413</v>
      </c>
      <c r="X304" s="177">
        <v>-39.473684210526315</v>
      </c>
      <c r="Y304" s="177">
        <v>-16.666666666666664</v>
      </c>
      <c r="Z304" s="177">
        <v>-50</v>
      </c>
      <c r="AA304" s="177">
        <v>-16.666666666666664</v>
      </c>
      <c r="AB304" s="6"/>
      <c r="AC304" s="177" t="s">
        <v>413</v>
      </c>
      <c r="AD304" s="247">
        <v>0</v>
      </c>
      <c r="AE304" s="177">
        <v>-21.082621082621085</v>
      </c>
      <c r="AF304" s="177">
        <v>-28.510638297872344</v>
      </c>
      <c r="AG304" s="177">
        <v>-21.082621082621085</v>
      </c>
      <c r="AH304" s="6"/>
      <c r="AI304" s="177" t="s">
        <v>413</v>
      </c>
      <c r="AJ304" s="177">
        <v>-50.533049040511727</v>
      </c>
      <c r="AK304" s="177">
        <v>-12.915129151291513</v>
      </c>
      <c r="AL304" s="177">
        <v>-14.40677966101695</v>
      </c>
      <c r="AM304" s="177">
        <v>-12.915129151291513</v>
      </c>
      <c r="AN304" s="6"/>
      <c r="AO304" s="177" t="s">
        <v>413</v>
      </c>
      <c r="AP304" s="177">
        <v>-28.778467908902694</v>
      </c>
      <c r="AQ304" s="177">
        <v>-42.711370262390673</v>
      </c>
      <c r="AR304" s="177">
        <v>-78.164556962025301</v>
      </c>
      <c r="AS304" s="177">
        <v>-28.778467908902694</v>
      </c>
      <c r="AT304" s="6"/>
      <c r="AU304" s="177" t="s">
        <v>413</v>
      </c>
      <c r="AV304" s="177">
        <v>-11.193683232698561</v>
      </c>
      <c r="AW304" s="177">
        <v>-2.2988505747126435</v>
      </c>
      <c r="AX304" s="177">
        <v>-0.28653295128939826</v>
      </c>
      <c r="AY304" s="177">
        <v>-0.28653295128939826</v>
      </c>
    </row>
    <row r="305" spans="2:51">
      <c r="B305" s="58" t="s">
        <v>464</v>
      </c>
      <c r="C305" s="177">
        <v>7</v>
      </c>
      <c r="D305" s="177">
        <v>7</v>
      </c>
      <c r="E305" s="177">
        <v>4</v>
      </c>
      <c r="F305" s="177">
        <v>18</v>
      </c>
      <c r="G305" s="6"/>
      <c r="H305" s="6"/>
      <c r="I305" s="177" t="s">
        <v>464</v>
      </c>
      <c r="J305" s="177">
        <v>3</v>
      </c>
      <c r="K305" s="177">
        <v>4</v>
      </c>
      <c r="L305" s="177">
        <v>4</v>
      </c>
      <c r="M305" s="177">
        <v>11</v>
      </c>
      <c r="N305" s="6"/>
      <c r="O305" s="6"/>
      <c r="P305" s="177" t="s">
        <v>464</v>
      </c>
      <c r="Q305" s="177">
        <v>27</v>
      </c>
      <c r="R305" s="177">
        <v>27</v>
      </c>
      <c r="S305" s="177">
        <v>22</v>
      </c>
      <c r="T305" s="177">
        <v>76</v>
      </c>
      <c r="U305" s="6"/>
      <c r="V305" s="6"/>
      <c r="W305" s="177" t="s">
        <v>464</v>
      </c>
      <c r="X305" s="177">
        <v>2</v>
      </c>
      <c r="Y305" s="177">
        <v>2</v>
      </c>
      <c r="Z305" s="177">
        <v>2</v>
      </c>
      <c r="AA305" s="177">
        <v>6</v>
      </c>
      <c r="AB305" s="6"/>
      <c r="AC305" s="177" t="s">
        <v>464</v>
      </c>
      <c r="AD305" s="247">
        <v>1</v>
      </c>
      <c r="AE305" s="177">
        <v>1</v>
      </c>
      <c r="AF305" s="177">
        <v>2</v>
      </c>
      <c r="AG305" s="177">
        <v>3</v>
      </c>
      <c r="AH305" s="6"/>
      <c r="AI305" s="177" t="s">
        <v>464</v>
      </c>
      <c r="AJ305" s="177">
        <v>4</v>
      </c>
      <c r="AK305" s="177">
        <v>3</v>
      </c>
      <c r="AL305" s="177">
        <v>4</v>
      </c>
      <c r="AM305" s="177">
        <v>11</v>
      </c>
      <c r="AN305" s="6"/>
      <c r="AO305" s="177" t="s">
        <v>464</v>
      </c>
      <c r="AP305" s="177">
        <v>1</v>
      </c>
      <c r="AQ305" s="177">
        <v>1</v>
      </c>
      <c r="AR305" s="177">
        <v>1</v>
      </c>
      <c r="AS305" s="177">
        <v>3</v>
      </c>
      <c r="AT305" s="6"/>
      <c r="AU305" s="177" t="s">
        <v>464</v>
      </c>
      <c r="AV305" s="177">
        <v>44</v>
      </c>
      <c r="AW305" s="177">
        <v>45</v>
      </c>
      <c r="AX305" s="177">
        <v>39</v>
      </c>
      <c r="AY305" s="177">
        <v>128</v>
      </c>
    </row>
    <row r="306" spans="2:51" ht="17" thickBot="1">
      <c r="B306" s="59" t="s">
        <v>467</v>
      </c>
      <c r="C306" s="193">
        <v>106.16366224078618</v>
      </c>
      <c r="D306" s="193">
        <v>473.81796284898297</v>
      </c>
      <c r="E306" s="193">
        <v>177.25386979668502</v>
      </c>
      <c r="F306" s="193">
        <v>160.1391291578833</v>
      </c>
      <c r="G306" s="6"/>
      <c r="H306" s="6"/>
      <c r="I306" s="193" t="s">
        <v>467</v>
      </c>
      <c r="J306" s="193">
        <v>556.80004378605929</v>
      </c>
      <c r="K306" s="193">
        <v>433.50437377998179</v>
      </c>
      <c r="L306" s="193">
        <v>889.41844132680137</v>
      </c>
      <c r="M306" s="193">
        <v>244.89026890620573</v>
      </c>
      <c r="N306" s="6"/>
      <c r="O306" s="6"/>
      <c r="P306" s="193" t="s">
        <v>467</v>
      </c>
      <c r="Q306" s="193">
        <v>416.58636518424987</v>
      </c>
      <c r="R306" s="193">
        <v>321.04099971557412</v>
      </c>
      <c r="S306" s="193">
        <v>53.679839064637797</v>
      </c>
      <c r="T306" s="193">
        <v>180.79234095097024</v>
      </c>
      <c r="U306" s="6"/>
      <c r="V306" s="6"/>
      <c r="W306" s="193" t="s">
        <v>467</v>
      </c>
      <c r="X306" s="193">
        <v>355.15558187265441</v>
      </c>
      <c r="Y306" s="193">
        <v>157.12882441653915</v>
      </c>
      <c r="Z306" s="193">
        <v>4386.6890853462737</v>
      </c>
      <c r="AA306" s="193">
        <v>297.669600111504</v>
      </c>
      <c r="AB306" s="6"/>
      <c r="AC306" s="193" t="s">
        <v>467</v>
      </c>
      <c r="AD306" s="248" t="e">
        <v>#NUM!</v>
      </c>
      <c r="AE306" s="193" t="e">
        <v>#NUM!</v>
      </c>
      <c r="AF306" s="193">
        <v>39.846469986708769</v>
      </c>
      <c r="AG306" s="193">
        <v>17.036510098953507</v>
      </c>
      <c r="AH306" s="6"/>
      <c r="AI306" s="193" t="s">
        <v>467</v>
      </c>
      <c r="AJ306" s="193">
        <v>103.48053099681704</v>
      </c>
      <c r="AK306" s="193">
        <v>1242.2093763697355</v>
      </c>
      <c r="AL306" s="193">
        <v>257.74934684881975</v>
      </c>
      <c r="AM306" s="193">
        <v>176.62297067701363</v>
      </c>
      <c r="AN306" s="6"/>
      <c r="AO306" s="193" t="s">
        <v>467</v>
      </c>
      <c r="AP306" s="193" t="e">
        <v>#NUM!</v>
      </c>
      <c r="AQ306" s="193" t="e">
        <v>#NUM!</v>
      </c>
      <c r="AR306" s="193" t="e">
        <v>#NUM!</v>
      </c>
      <c r="AS306" s="193">
        <v>63.2524098967301</v>
      </c>
      <c r="AT306" s="6"/>
      <c r="AU306" s="193" t="s">
        <v>467</v>
      </c>
      <c r="AV306" s="193">
        <v>252.59373046385917</v>
      </c>
      <c r="AW306" s="193">
        <v>201.49752485395359</v>
      </c>
      <c r="AX306" s="193">
        <v>72.456231839264618</v>
      </c>
      <c r="AY306" s="193">
        <v>111.57361891180599</v>
      </c>
    </row>
    <row r="329" spans="1:88" ht="17" thickBot="1"/>
    <row r="330" spans="1:88">
      <c r="A330" t="s">
        <v>574</v>
      </c>
      <c r="B330" s="61" t="s">
        <v>569</v>
      </c>
      <c r="C330" s="61">
        <v>2015</v>
      </c>
      <c r="D330" s="61">
        <v>2016</v>
      </c>
      <c r="E330" s="61">
        <v>2017</v>
      </c>
      <c r="F330" s="60" t="s">
        <v>376</v>
      </c>
      <c r="G330" s="61"/>
      <c r="H330" s="83"/>
      <c r="I330" s="61" t="s">
        <v>36</v>
      </c>
      <c r="J330" s="61">
        <v>2015</v>
      </c>
      <c r="K330" s="61">
        <v>2016</v>
      </c>
      <c r="L330" s="61">
        <v>2017</v>
      </c>
      <c r="M330" s="60" t="s">
        <v>376</v>
      </c>
      <c r="N330" s="61"/>
      <c r="P330" s="60" t="s">
        <v>46</v>
      </c>
      <c r="Q330" s="61">
        <v>2015</v>
      </c>
      <c r="R330" s="61">
        <v>2016</v>
      </c>
      <c r="S330" s="61">
        <v>2017</v>
      </c>
      <c r="T330" s="60" t="s">
        <v>376</v>
      </c>
      <c r="U330" s="61"/>
      <c r="W330" s="60" t="s">
        <v>37</v>
      </c>
      <c r="X330" s="61">
        <v>2015</v>
      </c>
      <c r="Y330" s="61">
        <v>2016</v>
      </c>
      <c r="Z330" s="61">
        <v>2017</v>
      </c>
      <c r="AA330" s="60" t="s">
        <v>376</v>
      </c>
      <c r="AB330" s="61"/>
      <c r="AC330" s="60" t="s">
        <v>38</v>
      </c>
      <c r="AD330" s="61">
        <v>2015</v>
      </c>
      <c r="AE330" s="61">
        <v>2016</v>
      </c>
      <c r="AF330" s="61">
        <v>2017</v>
      </c>
      <c r="AG330" s="60" t="s">
        <v>376</v>
      </c>
      <c r="AH330" s="61"/>
      <c r="AI330" s="60" t="s">
        <v>576</v>
      </c>
      <c r="AJ330" s="61">
        <v>2015</v>
      </c>
      <c r="AK330" s="61">
        <v>2016</v>
      </c>
      <c r="AL330" s="61">
        <v>2017</v>
      </c>
      <c r="AM330" s="60" t="s">
        <v>376</v>
      </c>
      <c r="AN330" s="61"/>
      <c r="AO330" s="60" t="s">
        <v>40</v>
      </c>
      <c r="AP330" s="61">
        <v>2015</v>
      </c>
      <c r="AQ330" s="61">
        <v>2016</v>
      </c>
      <c r="AR330" s="61">
        <v>2017</v>
      </c>
      <c r="AS330" s="60" t="s">
        <v>376</v>
      </c>
      <c r="AT330" s="61"/>
      <c r="AU330" s="60" t="s">
        <v>571</v>
      </c>
      <c r="AV330" s="61">
        <v>2015</v>
      </c>
      <c r="AW330" s="60">
        <v>2016</v>
      </c>
      <c r="AX330" s="60">
        <v>2017</v>
      </c>
      <c r="AY330" s="60" t="s">
        <v>376</v>
      </c>
      <c r="AZ330" s="61"/>
      <c r="BA330" s="60" t="s">
        <v>34</v>
      </c>
      <c r="BB330" s="61">
        <v>2015</v>
      </c>
      <c r="BC330" s="60">
        <v>2016</v>
      </c>
      <c r="BD330" s="60">
        <v>2017</v>
      </c>
      <c r="BE330" s="60" t="s">
        <v>376</v>
      </c>
      <c r="BF330" s="61"/>
      <c r="BH330" s="60" t="s">
        <v>42</v>
      </c>
      <c r="BI330" s="61">
        <v>2015</v>
      </c>
      <c r="BJ330" s="235">
        <v>2016</v>
      </c>
      <c r="BK330" s="60">
        <v>2017</v>
      </c>
      <c r="BL330" s="236" t="s">
        <v>376</v>
      </c>
      <c r="BM330" s="243"/>
      <c r="BN330" s="60" t="s">
        <v>43</v>
      </c>
      <c r="BO330" s="244">
        <v>2015</v>
      </c>
      <c r="BP330" s="60">
        <v>2016</v>
      </c>
      <c r="BQ330" s="235">
        <v>2017</v>
      </c>
      <c r="BR330" s="60" t="s">
        <v>376</v>
      </c>
      <c r="BS330" s="236"/>
      <c r="BT330" s="60" t="s">
        <v>44</v>
      </c>
      <c r="BU330" s="61">
        <v>2015</v>
      </c>
      <c r="BV330" s="60">
        <v>2016</v>
      </c>
      <c r="BW330" s="60">
        <v>2017</v>
      </c>
      <c r="BX330" s="60" t="s">
        <v>376</v>
      </c>
      <c r="BY330" s="61"/>
      <c r="BZ330" s="60" t="s">
        <v>45</v>
      </c>
      <c r="CA330" s="61">
        <v>2015</v>
      </c>
      <c r="CB330" s="60">
        <v>2016</v>
      </c>
      <c r="CC330" s="60">
        <v>2017</v>
      </c>
      <c r="CD330" s="60" t="s">
        <v>376</v>
      </c>
      <c r="CF330" s="60" t="s">
        <v>376</v>
      </c>
      <c r="CG330" s="61">
        <v>2015</v>
      </c>
      <c r="CH330" s="60">
        <v>2016</v>
      </c>
      <c r="CI330" s="60">
        <v>2017</v>
      </c>
      <c r="CJ330" s="60" t="s">
        <v>376</v>
      </c>
    </row>
    <row r="331" spans="1:88">
      <c r="B331" s="58"/>
      <c r="C331" s="58"/>
      <c r="D331" s="58"/>
      <c r="E331" s="58"/>
      <c r="F331" s="58"/>
      <c r="G331" s="58"/>
      <c r="H331" s="83"/>
      <c r="I331" s="58"/>
      <c r="J331" s="58"/>
      <c r="K331" s="58"/>
      <c r="L331" s="58"/>
      <c r="M331" s="58"/>
      <c r="N331" s="58"/>
      <c r="P331" s="58"/>
      <c r="Q331" s="58"/>
      <c r="R331" s="58"/>
      <c r="S331" s="58"/>
      <c r="T331" s="58"/>
      <c r="U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H331" s="58"/>
      <c r="BI331" s="58"/>
      <c r="BJ331" s="218"/>
      <c r="BK331" s="58"/>
      <c r="BL331" s="237"/>
      <c r="BM331" s="218"/>
      <c r="BN331" s="58"/>
      <c r="BO331" s="237"/>
      <c r="BP331" s="58"/>
      <c r="BQ331" s="218"/>
      <c r="BR331" s="58"/>
      <c r="BS331" s="237"/>
      <c r="BT331" s="58"/>
      <c r="BU331" s="58"/>
      <c r="BV331" s="58"/>
      <c r="BW331" s="58"/>
      <c r="BX331" s="58"/>
      <c r="BY331" s="58"/>
      <c r="BZ331" s="58"/>
      <c r="CA331" s="58"/>
      <c r="CB331" s="58"/>
      <c r="CC331" s="58"/>
      <c r="CD331" s="58"/>
      <c r="CF331" s="58"/>
      <c r="CG331" s="58"/>
      <c r="CH331" s="58"/>
      <c r="CI331" s="58"/>
      <c r="CJ331" s="58"/>
    </row>
    <row r="332" spans="1:88">
      <c r="B332" s="58" t="s">
        <v>455</v>
      </c>
      <c r="C332" s="175">
        <v>3.8732341033069634E-2</v>
      </c>
      <c r="D332" s="175">
        <v>6.5657811459450238E-2</v>
      </c>
      <c r="E332" s="175">
        <v>0.16680343085386809</v>
      </c>
      <c r="F332" s="175">
        <v>9.0397861115462635E-2</v>
      </c>
      <c r="G332" s="175"/>
      <c r="H332" s="174"/>
      <c r="I332" s="175" t="s">
        <v>455</v>
      </c>
      <c r="J332" s="175">
        <v>-0.40175438596491225</v>
      </c>
      <c r="K332" s="175">
        <v>-0.19463958460598657</v>
      </c>
      <c r="L332" s="175">
        <v>3.8286046125767373E-2</v>
      </c>
      <c r="M332" s="175">
        <v>-0.18603597481504375</v>
      </c>
      <c r="N332" s="15"/>
      <c r="O332" s="15"/>
      <c r="P332" s="175" t="s">
        <v>455</v>
      </c>
      <c r="Q332" s="175">
        <v>0.61971830985915488</v>
      </c>
      <c r="R332" s="175">
        <v>-0.52500000000000002</v>
      </c>
      <c r="S332" s="175">
        <v>0.55789473684210522</v>
      </c>
      <c r="T332" s="175">
        <v>0.21753768223375336</v>
      </c>
      <c r="U332" s="15"/>
      <c r="V332" s="15"/>
      <c r="W332" s="175" t="s">
        <v>455</v>
      </c>
      <c r="X332" s="175">
        <v>0.10627261366882526</v>
      </c>
      <c r="Y332" s="175">
        <v>7.6465118894925438E-2</v>
      </c>
      <c r="Z332" s="175">
        <v>7.9431806745824299E-2</v>
      </c>
      <c r="AA332" s="175">
        <v>8.738984643652499E-2</v>
      </c>
      <c r="AB332" s="15"/>
      <c r="AC332" s="175" t="s">
        <v>455</v>
      </c>
      <c r="AD332" s="175">
        <v>5.3007358020339283E-2</v>
      </c>
      <c r="AE332" s="175">
        <v>7.7657420746178776E-2</v>
      </c>
      <c r="AF332" s="175">
        <v>8.1699596768215504E-2</v>
      </c>
      <c r="AG332" s="175">
        <v>7.0788125178244496E-2</v>
      </c>
      <c r="AH332" s="15"/>
      <c r="AI332" s="175" t="s">
        <v>455</v>
      </c>
      <c r="AJ332" s="175">
        <v>0.34795321637426901</v>
      </c>
      <c r="AK332" s="175">
        <v>0.1312127236580517</v>
      </c>
      <c r="AL332" s="175">
        <v>0.3165829145728643</v>
      </c>
      <c r="AM332" s="175">
        <v>0.26524961820172832</v>
      </c>
      <c r="AN332" s="15"/>
      <c r="AO332" s="175" t="s">
        <v>455</v>
      </c>
      <c r="AP332" s="175">
        <v>5.0228310502283102E-2</v>
      </c>
      <c r="AQ332" s="175">
        <v>0.19852941176470587</v>
      </c>
      <c r="AR332" s="175">
        <v>6.8322981366459631E-2</v>
      </c>
      <c r="AS332" s="175">
        <v>0.1056935678778162</v>
      </c>
      <c r="AT332" s="15"/>
      <c r="AU332" s="175" t="s">
        <v>455</v>
      </c>
      <c r="AV332" s="175">
        <v>7.2843810062477587E-2</v>
      </c>
      <c r="AW332" s="175">
        <v>1.5684829576715593E-2</v>
      </c>
      <c r="AX332" s="175">
        <v>0.19812885731508906</v>
      </c>
      <c r="AY332" s="175">
        <v>9.5552498984760745E-2</v>
      </c>
      <c r="AZ332" s="175"/>
      <c r="BA332" s="175" t="s">
        <v>455</v>
      </c>
      <c r="BB332" s="175">
        <v>3.5059089899702939E-2</v>
      </c>
      <c r="BC332" s="175">
        <v>5.865934600616203E-2</v>
      </c>
      <c r="BD332" s="175">
        <v>3.4160388875702032E-2</v>
      </c>
      <c r="BE332" s="175">
        <v>3.9278489421788722E-2</v>
      </c>
      <c r="BF332" s="15"/>
      <c r="BG332" s="15"/>
      <c r="BH332" s="175" t="s">
        <v>455</v>
      </c>
      <c r="BI332" s="175">
        <v>4.3893129770992363E-2</v>
      </c>
      <c r="BJ332" s="251">
        <v>-6.3004846526655903E-2</v>
      </c>
      <c r="BK332" s="175">
        <v>0.14506172839506173</v>
      </c>
      <c r="BL332" s="245">
        <v>4.1983337213132722E-2</v>
      </c>
      <c r="BM332" s="252"/>
      <c r="BN332" s="175" t="s">
        <v>455</v>
      </c>
      <c r="BO332" s="245">
        <v>0</v>
      </c>
      <c r="BP332" s="175">
        <v>0</v>
      </c>
      <c r="BQ332" s="251">
        <v>0</v>
      </c>
      <c r="BR332" s="175">
        <v>0</v>
      </c>
      <c r="BS332" s="253"/>
      <c r="BT332" s="175" t="s">
        <v>455</v>
      </c>
      <c r="BU332" s="175">
        <v>5.1364969239530101E-2</v>
      </c>
      <c r="BV332" s="175">
        <v>5.4811369369855659E-2</v>
      </c>
      <c r="BW332" s="175">
        <v>-2.2085335284282224E-2</v>
      </c>
      <c r="BX332" s="175">
        <v>2.8030334441701173E-2</v>
      </c>
      <c r="BY332" s="15"/>
      <c r="BZ332" s="175" t="s">
        <v>455</v>
      </c>
      <c r="CA332" s="175">
        <v>-0.22355936125896783</v>
      </c>
      <c r="CB332" s="175">
        <v>-0.19226457399103139</v>
      </c>
      <c r="CC332" s="175">
        <v>-8.7268710301021818E-2</v>
      </c>
      <c r="CD332" s="175">
        <v>-9.0047754903985269E-2</v>
      </c>
      <c r="CE332" s="15"/>
      <c r="CF332" s="175" t="s">
        <v>455</v>
      </c>
      <c r="CG332" s="175">
        <v>5.3302357478668148E-2</v>
      </c>
      <c r="CH332" s="175">
        <v>5.5904717599613109E-2</v>
      </c>
      <c r="CI332" s="175">
        <v>9.3805327501583935E-2</v>
      </c>
      <c r="CJ332" s="175">
        <v>6.7526810085529229E-2</v>
      </c>
    </row>
    <row r="333" spans="1:88">
      <c r="B333" s="58" t="s">
        <v>456</v>
      </c>
      <c r="C333" s="175">
        <v>3.2650193223475156E-2</v>
      </c>
      <c r="D333" s="175">
        <v>5.1742163336301945E-2</v>
      </c>
      <c r="E333" s="175">
        <v>6.8881418698346381E-2</v>
      </c>
      <c r="F333" s="175">
        <v>3.1200321104846308E-2</v>
      </c>
      <c r="G333" s="175"/>
      <c r="H333" s="174"/>
      <c r="I333" s="175" t="s">
        <v>456</v>
      </c>
      <c r="J333" s="175">
        <v>0.3350877192982456</v>
      </c>
      <c r="K333" s="175">
        <v>5.5360415394013367E-2</v>
      </c>
      <c r="L333" s="175">
        <v>0.12838062054089927</v>
      </c>
      <c r="M333" s="175">
        <v>0.12349330968032028</v>
      </c>
      <c r="N333" s="15"/>
      <c r="O333" s="15"/>
      <c r="P333" s="175" t="s">
        <v>456</v>
      </c>
      <c r="Q333" s="175">
        <v>0</v>
      </c>
      <c r="R333" s="175">
        <v>0</v>
      </c>
      <c r="S333" s="175">
        <v>0</v>
      </c>
      <c r="T333" s="175">
        <v>0.37169754536807414</v>
      </c>
      <c r="U333" s="15"/>
      <c r="V333" s="15"/>
      <c r="W333" s="175" t="s">
        <v>456</v>
      </c>
      <c r="X333" s="175">
        <v>0.12881938651636679</v>
      </c>
      <c r="Y333" s="175">
        <v>5.3132239022312656E-2</v>
      </c>
      <c r="Z333" s="175">
        <v>3.8984256825421511E-2</v>
      </c>
      <c r="AA333" s="175">
        <v>4.6606004741360021E-2</v>
      </c>
      <c r="AB333" s="15"/>
      <c r="AC333" s="175" t="s">
        <v>456</v>
      </c>
      <c r="AD333" s="175">
        <v>3.7683918173869138E-2</v>
      </c>
      <c r="AE333" s="175">
        <v>3.0056666870259111E-2</v>
      </c>
      <c r="AF333" s="175">
        <v>3.0764415096290354E-2</v>
      </c>
      <c r="AG333" s="175">
        <v>1.8954782657284109E-2</v>
      </c>
      <c r="AH333" s="15"/>
      <c r="AI333" s="175" t="s">
        <v>456</v>
      </c>
      <c r="AJ333" s="175">
        <v>0</v>
      </c>
      <c r="AK333" s="175">
        <v>0</v>
      </c>
      <c r="AL333" s="175">
        <v>0</v>
      </c>
      <c r="AM333" s="175">
        <v>6.7627511125188111E-2</v>
      </c>
      <c r="AN333" s="15"/>
      <c r="AO333" s="175" t="s">
        <v>456</v>
      </c>
      <c r="AP333" s="175">
        <v>0</v>
      </c>
      <c r="AQ333" s="175">
        <v>0</v>
      </c>
      <c r="AR333" s="175">
        <v>0</v>
      </c>
      <c r="AS333" s="175">
        <v>4.6710900623102021E-2</v>
      </c>
      <c r="AT333" s="15"/>
      <c r="AU333" s="175" t="s">
        <v>456</v>
      </c>
      <c r="AV333" s="175">
        <v>0.10807158018705597</v>
      </c>
      <c r="AW333" s="175">
        <v>7.5092470752593773E-2</v>
      </c>
      <c r="AX333" s="175">
        <v>8.2818177398319148E-2</v>
      </c>
      <c r="AY333" s="175">
        <v>5.2208215655538293E-2</v>
      </c>
      <c r="AZ333" s="175"/>
      <c r="BA333" s="175" t="s">
        <v>456</v>
      </c>
      <c r="BB333" s="175">
        <v>4.0295164948988049E-2</v>
      </c>
      <c r="BC333" s="175">
        <v>8.6331676465858362E-2</v>
      </c>
      <c r="BD333" s="175">
        <v>4.4146593766427537E-2</v>
      </c>
      <c r="BE333" s="175">
        <v>3.3422316190662535E-2</v>
      </c>
      <c r="BF333" s="15"/>
      <c r="BG333" s="15"/>
      <c r="BH333" s="175" t="s">
        <v>456</v>
      </c>
      <c r="BI333" s="175">
        <v>0</v>
      </c>
      <c r="BJ333" s="251">
        <v>0</v>
      </c>
      <c r="BK333" s="175">
        <v>0</v>
      </c>
      <c r="BL333" s="245">
        <v>6.0071236546354496E-2</v>
      </c>
      <c r="BM333" s="252"/>
      <c r="BN333" s="175" t="s">
        <v>456</v>
      </c>
      <c r="BO333" s="245">
        <v>0</v>
      </c>
      <c r="BP333" s="175">
        <v>0</v>
      </c>
      <c r="BQ333" s="251">
        <v>0</v>
      </c>
      <c r="BR333" s="175">
        <v>0</v>
      </c>
      <c r="BS333" s="253"/>
      <c r="BT333" s="175" t="s">
        <v>456</v>
      </c>
      <c r="BU333" s="175">
        <v>5.709072669022968E-2</v>
      </c>
      <c r="BV333" s="175">
        <v>7.8836973376415875E-2</v>
      </c>
      <c r="BW333" s="175">
        <v>5.9116122138241668E-2</v>
      </c>
      <c r="BX333" s="175">
        <v>3.6875764718865882E-2</v>
      </c>
      <c r="BY333" s="15"/>
      <c r="BZ333" s="175" t="s">
        <v>456</v>
      </c>
      <c r="CA333" s="175">
        <v>0</v>
      </c>
      <c r="CB333" s="175">
        <v>0</v>
      </c>
      <c r="CC333" s="175">
        <v>0</v>
      </c>
      <c r="CD333" s="175">
        <v>3.866026108506946E-2</v>
      </c>
      <c r="CE333" s="15"/>
      <c r="CF333" s="175" t="s">
        <v>456</v>
      </c>
      <c r="CG333" s="175">
        <v>2.6812191036576175E-2</v>
      </c>
      <c r="CH333" s="175">
        <v>2.055428728533561E-2</v>
      </c>
      <c r="CI333" s="175">
        <v>2.0891481728606973E-2</v>
      </c>
      <c r="CJ333" s="175">
        <v>1.3247195891721381E-2</v>
      </c>
    </row>
    <row r="334" spans="1:88">
      <c r="B334" s="58" t="s">
        <v>431</v>
      </c>
      <c r="C334" s="175">
        <v>1.4359294521616982E-2</v>
      </c>
      <c r="D334" s="175">
        <v>0</v>
      </c>
      <c r="E334" s="175">
        <v>7.582690547784024E-2</v>
      </c>
      <c r="F334" s="175">
        <v>2.1988527724665391E-2</v>
      </c>
      <c r="G334" s="175"/>
      <c r="H334" s="174"/>
      <c r="I334" s="175" t="s">
        <v>431</v>
      </c>
      <c r="J334" s="175">
        <v>-0.40175438596491225</v>
      </c>
      <c r="K334" s="175">
        <v>-0.19463958460598657</v>
      </c>
      <c r="L334" s="175">
        <v>3.8286046125767359E-2</v>
      </c>
      <c r="M334" s="175">
        <v>-0.11468687181355251</v>
      </c>
      <c r="N334" s="15"/>
      <c r="O334" s="15"/>
      <c r="P334" s="175" t="s">
        <v>431</v>
      </c>
      <c r="Q334" s="175">
        <v>0.61971830985915488</v>
      </c>
      <c r="R334" s="175">
        <v>-0.52500000000000002</v>
      </c>
      <c r="S334" s="175">
        <v>0.55789473684210522</v>
      </c>
      <c r="T334" s="175">
        <v>0.55789473684210522</v>
      </c>
      <c r="U334" s="15"/>
      <c r="V334" s="15"/>
      <c r="W334" s="175" t="s">
        <v>431</v>
      </c>
      <c r="X334" s="175">
        <v>5.6036912308895792E-3</v>
      </c>
      <c r="Y334" s="175">
        <v>2.1604938271604937E-2</v>
      </c>
      <c r="Z334" s="175">
        <v>7.718751425833828E-2</v>
      </c>
      <c r="AA334" s="175">
        <v>2.9970553114748534E-2</v>
      </c>
      <c r="AB334" s="15"/>
      <c r="AC334" s="175" t="s">
        <v>431</v>
      </c>
      <c r="AD334" s="175">
        <v>2.2187004754358162E-2</v>
      </c>
      <c r="AE334" s="175">
        <v>3.9360393603936041E-2</v>
      </c>
      <c r="AF334" s="175">
        <v>2.6490066225165563E-2</v>
      </c>
      <c r="AG334" s="175">
        <v>2.6490066225165563E-2</v>
      </c>
      <c r="AH334" s="15"/>
      <c r="AI334" s="175" t="s">
        <v>431</v>
      </c>
      <c r="AJ334" s="175">
        <v>0.34795321637426901</v>
      </c>
      <c r="AK334" s="175">
        <v>0.1312127236580517</v>
      </c>
      <c r="AL334" s="175">
        <v>0.3165829145728643</v>
      </c>
      <c r="AM334" s="175">
        <v>0.3165829145728643</v>
      </c>
      <c r="AN334" s="15"/>
      <c r="AO334" s="175" t="s">
        <v>431</v>
      </c>
      <c r="AP334" s="175">
        <v>5.0228310502283102E-2</v>
      </c>
      <c r="AQ334" s="175">
        <v>0.19852941176470587</v>
      </c>
      <c r="AR334" s="175">
        <v>6.8322981366459631E-2</v>
      </c>
      <c r="AS334" s="175">
        <v>6.8322981366459631E-2</v>
      </c>
      <c r="AT334" s="15"/>
      <c r="AU334" s="175" t="s">
        <v>431</v>
      </c>
      <c r="AV334" s="175">
        <v>-3.1179138321995462E-3</v>
      </c>
      <c r="AW334" s="175">
        <v>1.8376603065373781E-2</v>
      </c>
      <c r="AX334" s="175">
        <v>0.21454076093512509</v>
      </c>
      <c r="AY334" s="175">
        <v>5.434782608695652E-2</v>
      </c>
      <c r="AZ334" s="175"/>
      <c r="BA334" s="175" t="s">
        <v>431</v>
      </c>
      <c r="BB334" s="175">
        <v>4.6569561781077108E-2</v>
      </c>
      <c r="BC334" s="175">
        <v>3.1937771009713643E-2</v>
      </c>
      <c r="BD334" s="175">
        <v>3.8139755709521422E-3</v>
      </c>
      <c r="BE334" s="175">
        <v>2.7183376712535113E-2</v>
      </c>
      <c r="BF334" s="15"/>
      <c r="BG334" s="15"/>
      <c r="BH334" s="175" t="s">
        <v>431</v>
      </c>
      <c r="BI334" s="175">
        <v>4.3893129770992363E-2</v>
      </c>
      <c r="BJ334" s="251">
        <v>-6.3004846526655903E-2</v>
      </c>
      <c r="BK334" s="175">
        <v>0.14506172839506173</v>
      </c>
      <c r="BL334" s="245">
        <v>4.3893129770992363E-2</v>
      </c>
      <c r="BM334" s="252"/>
      <c r="BN334" s="175" t="s">
        <v>431</v>
      </c>
      <c r="BO334" s="245">
        <v>0</v>
      </c>
      <c r="BP334" s="175">
        <v>0</v>
      </c>
      <c r="BQ334" s="251">
        <v>0</v>
      </c>
      <c r="BR334" s="175">
        <v>0</v>
      </c>
      <c r="BS334" s="253"/>
      <c r="BT334" s="175" t="s">
        <v>431</v>
      </c>
      <c r="BU334" s="175">
        <v>8.0321285140562242E-3</v>
      </c>
      <c r="BV334" s="175">
        <v>8.7651598676957002E-2</v>
      </c>
      <c r="BW334" s="175">
        <v>3.7905644941368964E-2</v>
      </c>
      <c r="BX334" s="175">
        <v>3.7905644941368964E-2</v>
      </c>
      <c r="BY334" s="15"/>
      <c r="BZ334" s="175" t="s">
        <v>431</v>
      </c>
      <c r="CA334" s="175">
        <v>-0.22355936125896783</v>
      </c>
      <c r="CB334" s="175">
        <v>-0.19226457399103139</v>
      </c>
      <c r="CC334" s="175">
        <v>-8.7268710301021818E-2</v>
      </c>
      <c r="CD334" s="175">
        <v>-0.10247718383311605</v>
      </c>
      <c r="CE334" s="15"/>
      <c r="CF334" s="175" t="s">
        <v>431</v>
      </c>
      <c r="CG334" s="175">
        <v>1.676829268292683E-2</v>
      </c>
      <c r="CH334" s="175">
        <v>1.77276390008058E-2</v>
      </c>
      <c r="CI334" s="175">
        <v>4.6610169491525424E-2</v>
      </c>
      <c r="CJ334" s="175">
        <v>2.883785183906061E-2</v>
      </c>
    </row>
    <row r="335" spans="1:88">
      <c r="B335" s="58" t="s">
        <v>458</v>
      </c>
      <c r="C335" s="175">
        <v>0.11772194582104653</v>
      </c>
      <c r="D335" s="175">
        <v>0.18655902301246954</v>
      </c>
      <c r="E335" s="175">
        <v>0.24835548704359187</v>
      </c>
      <c r="F335" s="175">
        <v>0.19484594284915249</v>
      </c>
      <c r="G335" s="175"/>
      <c r="H335" s="174"/>
      <c r="I335" s="175" t="s">
        <v>458</v>
      </c>
      <c r="J335" s="175">
        <v>0.47388559721624762</v>
      </c>
      <c r="K335" s="175">
        <v>7.8291450268821977E-2</v>
      </c>
      <c r="L335" s="175">
        <v>0.18155761471481371</v>
      </c>
      <c r="M335" s="175">
        <v>0.30249559536429105</v>
      </c>
      <c r="N335" s="15"/>
      <c r="O335" s="15"/>
      <c r="P335" s="175" t="s">
        <v>458</v>
      </c>
      <c r="Q335" s="175" t="e">
        <v>#DIV/0!</v>
      </c>
      <c r="R335" s="175" t="e">
        <v>#DIV/0!</v>
      </c>
      <c r="S335" s="175" t="e">
        <v>#DIV/0!</v>
      </c>
      <c r="T335" s="175">
        <v>0.64379903362614221</v>
      </c>
      <c r="U335" s="15"/>
      <c r="V335" s="15"/>
      <c r="W335" s="175" t="s">
        <v>458</v>
      </c>
      <c r="X335" s="175">
        <v>0.40736266817730249</v>
      </c>
      <c r="Y335" s="175">
        <v>0.16801889249498594</v>
      </c>
      <c r="Z335" s="175">
        <v>0.12327904445729711</v>
      </c>
      <c r="AA335" s="175">
        <v>0.25527160112035607</v>
      </c>
      <c r="AB335" s="15"/>
      <c r="AC335" s="175" t="s">
        <v>458</v>
      </c>
      <c r="AD335" s="175">
        <v>0.25834792698982245</v>
      </c>
      <c r="AE335" s="175">
        <v>0.20605812650181352</v>
      </c>
      <c r="AF335" s="175">
        <v>0.2109102038835303</v>
      </c>
      <c r="AG335" s="175">
        <v>0.2250755734580451</v>
      </c>
      <c r="AH335" s="15"/>
      <c r="AI335" s="175" t="s">
        <v>458</v>
      </c>
      <c r="AJ335" s="175" t="e">
        <v>#DIV/0!</v>
      </c>
      <c r="AK335" s="175" t="e">
        <v>#DIV/0!</v>
      </c>
      <c r="AL335" s="175" t="e">
        <v>#DIV/0!</v>
      </c>
      <c r="AM335" s="175">
        <v>0.11713428525825528</v>
      </c>
      <c r="AN335" s="15"/>
      <c r="AO335" s="175" t="s">
        <v>458</v>
      </c>
      <c r="AP335" s="175" t="e">
        <v>#DIV/0!</v>
      </c>
      <c r="AQ335" s="175" t="e">
        <v>#DIV/0!</v>
      </c>
      <c r="AR335" s="175" t="e">
        <v>#DIV/0!</v>
      </c>
      <c r="AS335" s="175">
        <v>8.090565314651342E-2</v>
      </c>
      <c r="AT335" s="15"/>
      <c r="AU335" s="175" t="s">
        <v>458</v>
      </c>
      <c r="AV335" s="175">
        <v>0.21614316037411194</v>
      </c>
      <c r="AW335" s="175">
        <v>0.15018494150518755</v>
      </c>
      <c r="AX335" s="175">
        <v>0.1656363547966383</v>
      </c>
      <c r="AY335" s="175">
        <v>0.18085456417581039</v>
      </c>
      <c r="AZ335" s="175"/>
      <c r="BA335" s="175" t="s">
        <v>458</v>
      </c>
      <c r="BB335" s="175">
        <v>8.0590329897976098E-2</v>
      </c>
      <c r="BC335" s="175">
        <v>0.17266335293171672</v>
      </c>
      <c r="BD335" s="175">
        <v>8.8293187532855075E-2</v>
      </c>
      <c r="BE335" s="175">
        <v>0.1157782994977188</v>
      </c>
      <c r="BF335" s="15"/>
      <c r="BG335" s="15"/>
      <c r="BH335" s="175" t="s">
        <v>458</v>
      </c>
      <c r="BI335" s="175" t="e">
        <v>#DIV/0!</v>
      </c>
      <c r="BJ335" s="251" t="e">
        <v>#DIV/0!</v>
      </c>
      <c r="BK335" s="175" t="e">
        <v>#DIV/0!</v>
      </c>
      <c r="BL335" s="245">
        <v>0.10404643377177436</v>
      </c>
      <c r="BM335" s="252"/>
      <c r="BN335" s="175" t="s">
        <v>458</v>
      </c>
      <c r="BO335" s="245" t="e">
        <v>#DIV/0!</v>
      </c>
      <c r="BP335" s="175" t="e">
        <v>#DIV/0!</v>
      </c>
      <c r="BQ335" s="251" t="e">
        <v>#DIV/0!</v>
      </c>
      <c r="BR335" s="175" t="e">
        <v>#DIV/0!</v>
      </c>
      <c r="BS335" s="253"/>
      <c r="BT335" s="175" t="s">
        <v>458</v>
      </c>
      <c r="BU335" s="175">
        <v>0.1510478649903054</v>
      </c>
      <c r="BV335" s="175">
        <v>0.20858302567101653</v>
      </c>
      <c r="BW335" s="175">
        <v>0.15640655765230738</v>
      </c>
      <c r="BX335" s="175">
        <v>0.16898598313358487</v>
      </c>
      <c r="BY335" s="15"/>
      <c r="BZ335" s="175" t="s">
        <v>458</v>
      </c>
      <c r="CA335" s="175" t="e">
        <v>#DIV/0!</v>
      </c>
      <c r="CB335" s="175" t="e">
        <v>#DIV/0!</v>
      </c>
      <c r="CC335" s="175" t="e">
        <v>#DIV/0!</v>
      </c>
      <c r="CD335" s="175">
        <v>6.6961536433218199E-2</v>
      </c>
      <c r="CE335" s="15"/>
      <c r="CF335" s="175" t="s">
        <v>458</v>
      </c>
      <c r="CG335" s="175">
        <v>0.25856740649376631</v>
      </c>
      <c r="CH335" s="175">
        <v>0.19821836822089459</v>
      </c>
      <c r="CI335" s="175">
        <v>0.20147015367035104</v>
      </c>
      <c r="CJ335" s="175">
        <v>0.22127179558006374</v>
      </c>
    </row>
    <row r="336" spans="1:88">
      <c r="B336" s="58" t="s">
        <v>412</v>
      </c>
      <c r="C336" s="175">
        <v>-0.1478617276312737</v>
      </c>
      <c r="D336" s="175">
        <v>-9.9025974025974031E-2</v>
      </c>
      <c r="E336" s="175">
        <v>-8.2757499390293462E-2</v>
      </c>
      <c r="F336" s="175">
        <v>-0.1478617276312737</v>
      </c>
      <c r="G336" s="175"/>
      <c r="H336" s="174"/>
      <c r="I336" s="175" t="s">
        <v>412</v>
      </c>
      <c r="J336" s="175">
        <v>-0.73684210526315785</v>
      </c>
      <c r="K336" s="175">
        <v>-0.25</v>
      </c>
      <c r="L336" s="175">
        <v>-9.0094574415131912E-2</v>
      </c>
      <c r="M336" s="175">
        <v>-0.73684210526315785</v>
      </c>
      <c r="N336" s="15"/>
      <c r="O336" s="15"/>
      <c r="P336" s="175" t="s">
        <v>412</v>
      </c>
      <c r="Q336" s="175">
        <v>0.61971830985915488</v>
      </c>
      <c r="R336" s="175">
        <v>-0.52500000000000002</v>
      </c>
      <c r="S336" s="175">
        <v>0.55789473684210522</v>
      </c>
      <c r="T336" s="175">
        <v>-0.52500000000000002</v>
      </c>
      <c r="U336" s="15"/>
      <c r="V336" s="15"/>
      <c r="W336" s="175" t="s">
        <v>412</v>
      </c>
      <c r="X336" s="175">
        <v>-0.30025445292620867</v>
      </c>
      <c r="Y336" s="175">
        <v>-5.8568004793289392E-2</v>
      </c>
      <c r="Z336" s="175">
        <v>-8.1560283687943241E-2</v>
      </c>
      <c r="AA336" s="175">
        <v>-0.30025445292620867</v>
      </c>
      <c r="AB336" s="15"/>
      <c r="AC336" s="175" t="s">
        <v>412</v>
      </c>
      <c r="AD336" s="175">
        <v>-0.43213728549141966</v>
      </c>
      <c r="AE336" s="175">
        <v>-0.37743190661478598</v>
      </c>
      <c r="AF336" s="175">
        <v>-0.24852652259332023</v>
      </c>
      <c r="AG336" s="175">
        <v>-0.43213728549141966</v>
      </c>
      <c r="AH336" s="15"/>
      <c r="AI336" s="175" t="s">
        <v>412</v>
      </c>
      <c r="AJ336" s="175">
        <v>0.34795321637426901</v>
      </c>
      <c r="AK336" s="175">
        <v>0.1312127236580517</v>
      </c>
      <c r="AL336" s="175">
        <v>0.3165829145728643</v>
      </c>
      <c r="AM336" s="175">
        <v>0.1312127236580517</v>
      </c>
      <c r="AN336" s="15"/>
      <c r="AO336" s="175" t="s">
        <v>412</v>
      </c>
      <c r="AP336" s="175">
        <v>5.0228310502283102E-2</v>
      </c>
      <c r="AQ336" s="175">
        <v>0.19852941176470587</v>
      </c>
      <c r="AR336" s="175">
        <v>6.8322981366459631E-2</v>
      </c>
      <c r="AS336" s="175">
        <v>5.0228310502283102E-2</v>
      </c>
      <c r="AT336" s="15"/>
      <c r="AU336" s="175" t="s">
        <v>412</v>
      </c>
      <c r="AV336" s="175">
        <v>-9.3117408906882596E-2</v>
      </c>
      <c r="AW336" s="175">
        <v>-0.14719824536578466</v>
      </c>
      <c r="AX336" s="175">
        <v>-1.0135135135135136E-2</v>
      </c>
      <c r="AY336" s="175">
        <v>-0.14719824536578466</v>
      </c>
      <c r="AZ336" s="175"/>
      <c r="BA336" s="175" t="s">
        <v>412</v>
      </c>
      <c r="BB336" s="175">
        <v>-7.340485601355165E-2</v>
      </c>
      <c r="BC336" s="175">
        <v>-0.11934510986643689</v>
      </c>
      <c r="BD336" s="175">
        <v>-3.3923859781379573E-2</v>
      </c>
      <c r="BE336" s="175">
        <v>-0.15122791900043084</v>
      </c>
      <c r="BF336" s="15"/>
      <c r="BG336" s="15"/>
      <c r="BH336" s="175" t="s">
        <v>412</v>
      </c>
      <c r="BI336" s="175">
        <v>4.3893129770992363E-2</v>
      </c>
      <c r="BJ336" s="251">
        <v>-6.3004846526655903E-2</v>
      </c>
      <c r="BK336" s="175">
        <v>0.14506172839506173</v>
      </c>
      <c r="BL336" s="245">
        <v>-6.3004846526655903E-2</v>
      </c>
      <c r="BM336" s="252"/>
      <c r="BN336" s="175" t="s">
        <v>412</v>
      </c>
      <c r="BO336" s="245">
        <v>0</v>
      </c>
      <c r="BP336" s="175">
        <v>0</v>
      </c>
      <c r="BQ336" s="251">
        <v>0</v>
      </c>
      <c r="BR336" s="175">
        <v>0</v>
      </c>
      <c r="BS336" s="253"/>
      <c r="BT336" s="175" t="s">
        <v>412</v>
      </c>
      <c r="BU336" s="175">
        <v>-0.19221209610604806</v>
      </c>
      <c r="BV336" s="175">
        <v>-0.3661753297129558</v>
      </c>
      <c r="BW336" s="175">
        <v>-0.27823691460055094</v>
      </c>
      <c r="BX336" s="175">
        <v>-0.3661753297129558</v>
      </c>
      <c r="BY336" s="15"/>
      <c r="BZ336" s="175" t="s">
        <v>412</v>
      </c>
      <c r="CA336" s="175">
        <v>-0.22355936125896783</v>
      </c>
      <c r="CB336" s="175">
        <v>-0.19226457399103139</v>
      </c>
      <c r="CC336" s="175">
        <v>-8.7268710301021818E-2</v>
      </c>
      <c r="CD336" s="175">
        <v>-0.14992373066027456</v>
      </c>
      <c r="CE336" s="15"/>
      <c r="CF336" s="175" t="s">
        <v>412</v>
      </c>
      <c r="CG336" s="175">
        <v>-0.73684210526315785</v>
      </c>
      <c r="CH336" s="175">
        <v>-0.52500000000000002</v>
      </c>
      <c r="CI336" s="175">
        <v>-0.27823691460055094</v>
      </c>
      <c r="CJ336" s="175">
        <v>-0.73684210526315785</v>
      </c>
    </row>
    <row r="337" spans="1:88">
      <c r="B337" s="58" t="s">
        <v>413</v>
      </c>
      <c r="C337" s="175">
        <v>0.25555071832825427</v>
      </c>
      <c r="D337" s="175">
        <v>0.47473139673696779</v>
      </c>
      <c r="E337" s="175">
        <v>0.67386091127098324</v>
      </c>
      <c r="F337" s="175">
        <v>0.67386091127098324</v>
      </c>
      <c r="G337" s="175"/>
      <c r="H337" s="174"/>
      <c r="I337" s="175" t="s">
        <v>413</v>
      </c>
      <c r="J337" s="175">
        <v>-6.6666666666666666E-2</v>
      </c>
      <c r="K337" s="175">
        <v>-0.13927916921197311</v>
      </c>
      <c r="L337" s="175">
        <v>0.16666666666666666</v>
      </c>
      <c r="M337" s="175">
        <v>0.16666666666666666</v>
      </c>
      <c r="N337" s="15"/>
      <c r="O337" s="15"/>
      <c r="P337" s="175" t="s">
        <v>413</v>
      </c>
      <c r="Q337" s="175">
        <v>0.61971830985915488</v>
      </c>
      <c r="R337" s="175">
        <v>-0.52500000000000002</v>
      </c>
      <c r="S337" s="175">
        <v>0.55789473684210522</v>
      </c>
      <c r="T337" s="175">
        <v>0.61971830985915488</v>
      </c>
      <c r="U337" s="15"/>
      <c r="V337" s="15"/>
      <c r="W337" s="175" t="s">
        <v>413</v>
      </c>
      <c r="X337" s="175">
        <v>1.1666666666666667</v>
      </c>
      <c r="Y337" s="175">
        <v>0.5092592592592593</v>
      </c>
      <c r="Z337" s="175">
        <v>0.34615384615384615</v>
      </c>
      <c r="AA337" s="175">
        <v>1.1666666666666667</v>
      </c>
      <c r="AB337" s="15"/>
      <c r="AC337" s="175" t="s">
        <v>413</v>
      </c>
      <c r="AD337" s="175">
        <v>1.2050290135396517</v>
      </c>
      <c r="AE337" s="175">
        <v>0.97073791348600513</v>
      </c>
      <c r="AF337" s="175">
        <v>1.0236966824644549</v>
      </c>
      <c r="AG337" s="175">
        <v>1.2050290135396517</v>
      </c>
      <c r="AH337" s="15"/>
      <c r="AI337" s="175" t="s">
        <v>413</v>
      </c>
      <c r="AJ337" s="175">
        <v>0.34795321637426901</v>
      </c>
      <c r="AK337" s="175">
        <v>0.1312127236580517</v>
      </c>
      <c r="AL337" s="175">
        <v>0.3165829145728643</v>
      </c>
      <c r="AM337" s="175">
        <v>0.34795321637426901</v>
      </c>
      <c r="AN337" s="15"/>
      <c r="AO337" s="175" t="s">
        <v>413</v>
      </c>
      <c r="AP337" s="175">
        <v>5.0228310502283102E-2</v>
      </c>
      <c r="AQ337" s="175">
        <v>0.19852941176470587</v>
      </c>
      <c r="AR337" s="175">
        <v>6.8322981366459631E-2</v>
      </c>
      <c r="AS337" s="175">
        <v>0.19852941176470587</v>
      </c>
      <c r="AT337" s="15"/>
      <c r="AU337" s="175" t="s">
        <v>413</v>
      </c>
      <c r="AV337" s="175">
        <v>0.39072847682119205</v>
      </c>
      <c r="AW337" s="175">
        <v>0.17318435754189945</v>
      </c>
      <c r="AX337" s="175">
        <v>0.37356904252524115</v>
      </c>
      <c r="AY337" s="175">
        <v>0.39072847682119205</v>
      </c>
      <c r="AZ337" s="175"/>
      <c r="BA337" s="175" t="s">
        <v>413</v>
      </c>
      <c r="BB337" s="175">
        <v>0.1205020920502092</v>
      </c>
      <c r="BC337" s="175">
        <v>0.29010695187165775</v>
      </c>
      <c r="BD337" s="175">
        <v>0.16293746414228341</v>
      </c>
      <c r="BE337" s="175">
        <v>0.29010695187165775</v>
      </c>
      <c r="BF337" s="15"/>
      <c r="BG337" s="15"/>
      <c r="BH337" s="175" t="s">
        <v>413</v>
      </c>
      <c r="BI337" s="175">
        <v>4.3893129770992363E-2</v>
      </c>
      <c r="BJ337" s="251">
        <v>-6.3004846526655903E-2</v>
      </c>
      <c r="BK337" s="175">
        <v>0.14506172839506173</v>
      </c>
      <c r="BL337" s="245">
        <v>0.14506172839506173</v>
      </c>
      <c r="BM337" s="252"/>
      <c r="BN337" s="175" t="s">
        <v>413</v>
      </c>
      <c r="BO337" s="245">
        <v>0</v>
      </c>
      <c r="BP337" s="175">
        <v>0</v>
      </c>
      <c r="BQ337" s="251">
        <v>0</v>
      </c>
      <c r="BR337" s="175">
        <v>0</v>
      </c>
      <c r="BS337" s="253"/>
      <c r="BT337" s="175" t="s">
        <v>413</v>
      </c>
      <c r="BU337" s="175">
        <v>0.29874213836477986</v>
      </c>
      <c r="BV337" s="175">
        <v>0.27397260273972601</v>
      </c>
      <c r="BW337" s="175">
        <v>0.12135176651305683</v>
      </c>
      <c r="BX337" s="175">
        <v>0.29874213836477986</v>
      </c>
      <c r="BY337" s="15"/>
      <c r="BZ337" s="175" t="s">
        <v>413</v>
      </c>
      <c r="CA337" s="175">
        <v>-0.22355936125896783</v>
      </c>
      <c r="CB337" s="175">
        <v>-0.19226457399103139</v>
      </c>
      <c r="CC337" s="175">
        <v>-8.7268710301021818E-2</v>
      </c>
      <c r="CD337" s="175">
        <v>-1.7742350218565184E-2</v>
      </c>
      <c r="CE337" s="15"/>
      <c r="CF337" s="175" t="s">
        <v>413</v>
      </c>
      <c r="CG337" s="175">
        <v>1.2050290135396517</v>
      </c>
      <c r="CH337" s="175">
        <v>0.97073791348600513</v>
      </c>
      <c r="CI337" s="175">
        <v>1.0236966824644549</v>
      </c>
      <c r="CJ337" s="175">
        <v>1.2050290135396517</v>
      </c>
    </row>
    <row r="338" spans="1:88">
      <c r="B338" s="58" t="s">
        <v>464</v>
      </c>
      <c r="C338" s="175">
        <v>13</v>
      </c>
      <c r="D338" s="175">
        <v>13</v>
      </c>
      <c r="E338" s="175">
        <v>13</v>
      </c>
      <c r="F338" s="175">
        <v>39</v>
      </c>
      <c r="G338" s="175"/>
      <c r="H338" s="174"/>
      <c r="I338" s="175" t="s">
        <v>464</v>
      </c>
      <c r="J338" s="175">
        <v>2</v>
      </c>
      <c r="K338" s="175">
        <v>2</v>
      </c>
      <c r="L338" s="175">
        <v>2</v>
      </c>
      <c r="M338" s="175">
        <v>6</v>
      </c>
      <c r="N338" s="15"/>
      <c r="O338" s="15"/>
      <c r="P338" s="175" t="s">
        <v>464</v>
      </c>
      <c r="Q338" s="175">
        <v>1</v>
      </c>
      <c r="R338" s="175">
        <v>1</v>
      </c>
      <c r="S338" s="175">
        <v>1</v>
      </c>
      <c r="T338" s="175">
        <v>3</v>
      </c>
      <c r="U338" s="15"/>
      <c r="V338" s="15"/>
      <c r="W338" s="175" t="s">
        <v>464</v>
      </c>
      <c r="X338" s="175">
        <v>10</v>
      </c>
      <c r="Y338" s="175">
        <v>10</v>
      </c>
      <c r="Z338" s="175">
        <v>10</v>
      </c>
      <c r="AA338" s="175">
        <v>30</v>
      </c>
      <c r="AB338" s="15"/>
      <c r="AC338" s="175" t="s">
        <v>464</v>
      </c>
      <c r="AD338" s="175">
        <v>47</v>
      </c>
      <c r="AE338" s="175">
        <v>47</v>
      </c>
      <c r="AF338" s="175">
        <v>47</v>
      </c>
      <c r="AG338" s="175">
        <v>141</v>
      </c>
      <c r="AH338" s="15"/>
      <c r="AI338" s="175" t="s">
        <v>464</v>
      </c>
      <c r="AJ338" s="175">
        <v>1</v>
      </c>
      <c r="AK338" s="175">
        <v>1</v>
      </c>
      <c r="AL338" s="175">
        <v>1</v>
      </c>
      <c r="AM338" s="175">
        <v>3</v>
      </c>
      <c r="AN338" s="15"/>
      <c r="AO338" s="175" t="s">
        <v>464</v>
      </c>
      <c r="AP338" s="175">
        <v>1</v>
      </c>
      <c r="AQ338" s="175">
        <v>1</v>
      </c>
      <c r="AR338" s="175">
        <v>1</v>
      </c>
      <c r="AS338" s="175">
        <v>3</v>
      </c>
      <c r="AT338" s="15"/>
      <c r="AU338" s="175" t="s">
        <v>464</v>
      </c>
      <c r="AV338" s="175">
        <v>4</v>
      </c>
      <c r="AW338" s="175">
        <v>4</v>
      </c>
      <c r="AX338" s="175">
        <v>4</v>
      </c>
      <c r="AY338" s="175">
        <v>12</v>
      </c>
      <c r="AZ338" s="175"/>
      <c r="BA338" s="175" t="s">
        <v>464</v>
      </c>
      <c r="BB338" s="175">
        <v>4</v>
      </c>
      <c r="BC338" s="175">
        <v>4</v>
      </c>
      <c r="BD338" s="175">
        <v>4</v>
      </c>
      <c r="BE338" s="175">
        <v>12</v>
      </c>
      <c r="BF338" s="15"/>
      <c r="BG338" s="15"/>
      <c r="BH338" s="175" t="s">
        <v>464</v>
      </c>
      <c r="BI338" s="175">
        <v>1</v>
      </c>
      <c r="BJ338" s="251">
        <v>1</v>
      </c>
      <c r="BK338" s="175">
        <v>1</v>
      </c>
      <c r="BL338" s="245">
        <v>3</v>
      </c>
      <c r="BM338" s="252"/>
      <c r="BN338" s="175" t="s">
        <v>464</v>
      </c>
      <c r="BO338" s="245">
        <v>1</v>
      </c>
      <c r="BP338" s="175">
        <v>1</v>
      </c>
      <c r="BQ338" s="251">
        <v>1</v>
      </c>
      <c r="BR338" s="175">
        <v>3</v>
      </c>
      <c r="BS338" s="253"/>
      <c r="BT338" s="175" t="s">
        <v>464</v>
      </c>
      <c r="BU338" s="175">
        <v>7</v>
      </c>
      <c r="BV338" s="175">
        <v>7</v>
      </c>
      <c r="BW338" s="175">
        <v>7</v>
      </c>
      <c r="BX338" s="175">
        <v>21</v>
      </c>
      <c r="BY338" s="15"/>
      <c r="BZ338" s="175" t="s">
        <v>464</v>
      </c>
      <c r="CA338" s="175">
        <v>1</v>
      </c>
      <c r="CB338" s="175">
        <v>1</v>
      </c>
      <c r="CC338" s="175">
        <v>1</v>
      </c>
      <c r="CD338" s="175">
        <v>3</v>
      </c>
      <c r="CE338" s="15"/>
      <c r="CF338" s="175" t="s">
        <v>464</v>
      </c>
      <c r="CG338" s="175">
        <v>93</v>
      </c>
      <c r="CH338" s="175">
        <v>93</v>
      </c>
      <c r="CI338" s="175">
        <v>93</v>
      </c>
      <c r="CJ338" s="175">
        <v>279</v>
      </c>
    </row>
    <row r="339" spans="1:88" ht="17" thickBot="1">
      <c r="B339" s="59" t="s">
        <v>467</v>
      </c>
      <c r="C339" s="192">
        <v>7.1138659886421651E-2</v>
      </c>
      <c r="D339" s="192">
        <v>0.11273648931187194</v>
      </c>
      <c r="E339" s="192">
        <v>0.1500797187856372</v>
      </c>
      <c r="F339" s="192">
        <v>6.3161747956830341E-2</v>
      </c>
      <c r="G339" s="192"/>
      <c r="H339" s="174"/>
      <c r="I339" s="192" t="s">
        <v>467</v>
      </c>
      <c r="J339" s="192">
        <v>4.2576931659813448</v>
      </c>
      <c r="K339" s="192">
        <v>0.70342077227601107</v>
      </c>
      <c r="L339" s="192">
        <v>1.6312304487498206</v>
      </c>
      <c r="M339" s="192">
        <v>0.31744965868684161</v>
      </c>
      <c r="N339" s="15"/>
      <c r="O339" s="15"/>
      <c r="P339" s="192" t="s">
        <v>467</v>
      </c>
      <c r="Q339" s="192" t="e">
        <v>#NUM!</v>
      </c>
      <c r="R339" s="192" t="e">
        <v>#NUM!</v>
      </c>
      <c r="S339" s="192" t="e">
        <v>#NUM!</v>
      </c>
      <c r="T339" s="192">
        <v>1.5992854582191187</v>
      </c>
      <c r="U339" s="15"/>
      <c r="V339" s="15"/>
      <c r="W339" s="192" t="s">
        <v>467</v>
      </c>
      <c r="X339" s="192">
        <v>0.29140969791526961</v>
      </c>
      <c r="Y339" s="192">
        <v>0.12019347507983087</v>
      </c>
      <c r="Z339" s="192">
        <v>8.8188515813992077E-2</v>
      </c>
      <c r="AA339" s="192">
        <v>9.5319982398406833E-2</v>
      </c>
      <c r="AB339" s="15"/>
      <c r="AC339" s="192" t="s">
        <v>467</v>
      </c>
      <c r="AD339" s="192">
        <v>7.5853793042221104E-2</v>
      </c>
      <c r="AE339" s="192">
        <v>6.0500932461332001E-2</v>
      </c>
      <c r="AF339" s="192">
        <v>6.1925555750653324E-2</v>
      </c>
      <c r="AG339" s="192">
        <v>3.7474623557875508E-2</v>
      </c>
      <c r="AH339" s="15"/>
      <c r="AI339" s="192" t="s">
        <v>467</v>
      </c>
      <c r="AJ339" s="192" t="e">
        <v>#NUM!</v>
      </c>
      <c r="AK339" s="192" t="e">
        <v>#NUM!</v>
      </c>
      <c r="AL339" s="192" t="e">
        <v>#NUM!</v>
      </c>
      <c r="AM339" s="192">
        <v>0.29097769534895274</v>
      </c>
      <c r="AN339" s="15"/>
      <c r="AO339" s="192" t="s">
        <v>467</v>
      </c>
      <c r="AP339" s="192" t="e">
        <v>#NUM!</v>
      </c>
      <c r="AQ339" s="192" t="e">
        <v>#NUM!</v>
      </c>
      <c r="AR339" s="192" t="e">
        <v>#NUM!</v>
      </c>
      <c r="AS339" s="192">
        <v>0.20098078407504574</v>
      </c>
      <c r="AT339" s="15"/>
      <c r="AU339" s="192" t="s">
        <v>467</v>
      </c>
      <c r="AV339" s="192">
        <v>0.34393200107246824</v>
      </c>
      <c r="AW339" s="192">
        <v>0.23897775610121694</v>
      </c>
      <c r="AX339" s="192">
        <v>0.26356440267161146</v>
      </c>
      <c r="AY339" s="192">
        <v>0.11490950789270372</v>
      </c>
      <c r="AZ339" s="192"/>
      <c r="BA339" s="192" t="s">
        <v>467</v>
      </c>
      <c r="BB339" s="192">
        <v>0.12823719881270459</v>
      </c>
      <c r="BC339" s="192">
        <v>0.27474592479771937</v>
      </c>
      <c r="BD339" s="192">
        <v>0.14049416422282809</v>
      </c>
      <c r="BE339" s="192">
        <v>7.3562021951538742E-2</v>
      </c>
      <c r="BF339" s="15"/>
      <c r="BG339" s="15"/>
      <c r="BH339" s="192" t="s">
        <v>467</v>
      </c>
      <c r="BI339" s="192" t="e">
        <v>#NUM!</v>
      </c>
      <c r="BJ339" s="254" t="e">
        <v>#NUM!</v>
      </c>
      <c r="BK339" s="192" t="e">
        <v>#NUM!</v>
      </c>
      <c r="BL339" s="246">
        <v>0.25846566990559783</v>
      </c>
      <c r="BM339" s="252"/>
      <c r="BN339" s="192" t="s">
        <v>467</v>
      </c>
      <c r="BO339" s="246" t="e">
        <v>#NUM!</v>
      </c>
      <c r="BP339" s="192" t="e">
        <v>#NUM!</v>
      </c>
      <c r="BQ339" s="254" t="e">
        <v>#NUM!</v>
      </c>
      <c r="BR339" s="192" t="e">
        <v>#NUM!</v>
      </c>
      <c r="BS339" s="253"/>
      <c r="BT339" s="192" t="s">
        <v>467</v>
      </c>
      <c r="BU339" s="192">
        <v>0.13969597572880138</v>
      </c>
      <c r="BV339" s="192">
        <v>0.19290712446315239</v>
      </c>
      <c r="BW339" s="192">
        <v>0.14465193985379698</v>
      </c>
      <c r="BX339" s="192">
        <v>7.6921497293530428E-2</v>
      </c>
      <c r="BY339" s="15"/>
      <c r="BZ339" s="192" t="s">
        <v>467</v>
      </c>
      <c r="CA339" s="192" t="e">
        <v>#NUM!</v>
      </c>
      <c r="CB339" s="192" t="e">
        <v>#NUM!</v>
      </c>
      <c r="CC339" s="192" t="e">
        <v>#NUM!</v>
      </c>
      <c r="CD339" s="192">
        <v>0.166341677890501</v>
      </c>
      <c r="CE339" s="15"/>
      <c r="CF339" s="192" t="s">
        <v>467</v>
      </c>
      <c r="CG339" s="192">
        <v>5.325132574522367E-2</v>
      </c>
      <c r="CH339" s="192">
        <v>4.082258873208764E-2</v>
      </c>
      <c r="CI339" s="192">
        <v>4.1492286002020845E-2</v>
      </c>
      <c r="CJ339" s="192">
        <v>2.6077555181575264E-2</v>
      </c>
    </row>
    <row r="340" spans="1:88">
      <c r="E340" s="83"/>
      <c r="F340" s="83"/>
      <c r="G340" s="83"/>
      <c r="H340" s="83"/>
      <c r="I340" s="83"/>
      <c r="J340" s="83"/>
      <c r="P340" s="83"/>
      <c r="Q340" s="83"/>
      <c r="W340" s="83"/>
      <c r="X340" s="83"/>
      <c r="AJ340" s="83"/>
      <c r="AK340" s="83"/>
      <c r="AL340" s="83"/>
      <c r="AM340" s="83"/>
      <c r="BJ340" s="183"/>
      <c r="BK340" s="83"/>
      <c r="BL340" s="184"/>
      <c r="BM340" s="183"/>
      <c r="BN340" s="83"/>
      <c r="BO340" s="184"/>
      <c r="BP340"/>
      <c r="BU340"/>
      <c r="BV340"/>
      <c r="BW340"/>
      <c r="CI340" s="186"/>
    </row>
    <row r="341" spans="1:88">
      <c r="W341" s="83"/>
      <c r="X341" s="83"/>
      <c r="AJ341" s="83"/>
      <c r="AK341" s="83"/>
      <c r="AL341" s="83"/>
      <c r="AM341" s="83"/>
      <c r="BJ341" s="183"/>
      <c r="BK341" s="83"/>
      <c r="BL341" s="184"/>
      <c r="BM341" s="183"/>
      <c r="BN341" s="83"/>
      <c r="BO341" s="184"/>
      <c r="BP341"/>
      <c r="BU341"/>
      <c r="BV341"/>
      <c r="BW341"/>
      <c r="CI341" s="186"/>
    </row>
    <row r="342" spans="1:88" ht="17" thickBot="1">
      <c r="BJ342" s="183"/>
      <c r="BK342" s="83"/>
      <c r="BL342" s="184"/>
      <c r="BM342" s="183"/>
      <c r="BN342" s="83"/>
      <c r="BO342" s="184"/>
      <c r="BP342"/>
      <c r="BU342"/>
      <c r="BV342"/>
      <c r="BW342"/>
      <c r="CI342" s="186"/>
    </row>
    <row r="343" spans="1:88">
      <c r="A343" t="s">
        <v>577</v>
      </c>
      <c r="B343" s="61" t="s">
        <v>569</v>
      </c>
      <c r="C343" s="61">
        <v>2015</v>
      </c>
      <c r="D343" s="61">
        <v>2016</v>
      </c>
      <c r="E343" s="61">
        <v>2017</v>
      </c>
      <c r="F343" s="60" t="s">
        <v>376</v>
      </c>
      <c r="G343" s="61"/>
      <c r="I343" s="61" t="s">
        <v>36</v>
      </c>
      <c r="J343" s="61">
        <v>2015</v>
      </c>
      <c r="K343" s="61">
        <v>2016</v>
      </c>
      <c r="L343" s="61">
        <v>2017</v>
      </c>
      <c r="M343" s="60" t="s">
        <v>376</v>
      </c>
      <c r="N343" s="60"/>
      <c r="P343" s="60" t="s">
        <v>46</v>
      </c>
      <c r="Q343" s="61">
        <v>2015</v>
      </c>
      <c r="R343" s="61">
        <v>2016</v>
      </c>
      <c r="S343" s="61">
        <v>2017</v>
      </c>
      <c r="T343" s="60" t="s">
        <v>376</v>
      </c>
      <c r="U343" s="61"/>
      <c r="W343" s="60" t="s">
        <v>37</v>
      </c>
      <c r="X343" s="61">
        <v>2015</v>
      </c>
      <c r="Y343" s="61">
        <v>2016</v>
      </c>
      <c r="Z343" s="61">
        <v>2017</v>
      </c>
      <c r="AA343" s="60" t="s">
        <v>376</v>
      </c>
      <c r="AB343" s="61"/>
      <c r="AC343" s="60" t="s">
        <v>38</v>
      </c>
      <c r="AD343" s="61">
        <v>2015</v>
      </c>
      <c r="AE343" s="61">
        <v>2016</v>
      </c>
      <c r="AF343" s="61">
        <v>2017</v>
      </c>
      <c r="AG343" s="60" t="s">
        <v>376</v>
      </c>
      <c r="AH343" s="61"/>
      <c r="AI343" s="60" t="s">
        <v>576</v>
      </c>
      <c r="AJ343" s="61">
        <v>2015</v>
      </c>
      <c r="AK343" s="61">
        <v>2016</v>
      </c>
      <c r="AL343" s="61">
        <v>2017</v>
      </c>
      <c r="AM343" s="60" t="s">
        <v>376</v>
      </c>
      <c r="AN343" s="61"/>
      <c r="AO343" s="60" t="s">
        <v>40</v>
      </c>
      <c r="AP343" s="61">
        <v>2015</v>
      </c>
      <c r="AQ343" s="61">
        <v>2016</v>
      </c>
      <c r="AR343" s="61">
        <v>2017</v>
      </c>
      <c r="AS343" s="60" t="s">
        <v>376</v>
      </c>
      <c r="AT343" s="61"/>
      <c r="AU343" s="60" t="s">
        <v>571</v>
      </c>
      <c r="AV343" s="61">
        <v>2015</v>
      </c>
      <c r="AW343" s="60">
        <v>2016</v>
      </c>
      <c r="AX343" s="60">
        <v>2017</v>
      </c>
      <c r="AY343" s="60" t="s">
        <v>376</v>
      </c>
      <c r="AZ343" s="61"/>
      <c r="BA343" s="60" t="s">
        <v>34</v>
      </c>
      <c r="BB343" s="61">
        <v>2015</v>
      </c>
      <c r="BC343" s="60">
        <v>2016</v>
      </c>
      <c r="BD343" s="60">
        <v>2017</v>
      </c>
      <c r="BE343" s="60" t="s">
        <v>376</v>
      </c>
      <c r="BF343" s="61"/>
      <c r="BH343" s="60" t="s">
        <v>42</v>
      </c>
      <c r="BI343" s="61">
        <v>2015</v>
      </c>
      <c r="BJ343" s="235">
        <v>2016</v>
      </c>
      <c r="BK343" s="60">
        <v>2017</v>
      </c>
      <c r="BL343" s="236" t="s">
        <v>376</v>
      </c>
      <c r="BM343" s="243"/>
      <c r="BN343" s="60" t="s">
        <v>43</v>
      </c>
      <c r="BO343" s="244">
        <v>2015</v>
      </c>
      <c r="BP343" s="60">
        <v>2016</v>
      </c>
      <c r="BQ343" s="235">
        <v>2017</v>
      </c>
      <c r="BR343" s="60" t="s">
        <v>376</v>
      </c>
      <c r="BT343" s="60" t="s">
        <v>44</v>
      </c>
      <c r="BU343" s="61">
        <v>2015</v>
      </c>
      <c r="BV343" s="60">
        <v>2016</v>
      </c>
      <c r="BW343" s="60">
        <v>2017</v>
      </c>
      <c r="BX343" s="60" t="s">
        <v>376</v>
      </c>
      <c r="BY343" s="61"/>
      <c r="BZ343" s="60" t="s">
        <v>45</v>
      </c>
      <c r="CA343" s="61">
        <v>2015</v>
      </c>
      <c r="CB343" s="60">
        <v>2016</v>
      </c>
      <c r="CC343" s="60">
        <v>2017</v>
      </c>
      <c r="CD343" s="60" t="s">
        <v>376</v>
      </c>
      <c r="CF343" s="60" t="s">
        <v>376</v>
      </c>
      <c r="CG343" s="61">
        <v>2015</v>
      </c>
      <c r="CH343" s="60">
        <v>2016</v>
      </c>
      <c r="CI343" s="60">
        <v>2017</v>
      </c>
      <c r="CJ343" s="60" t="s">
        <v>376</v>
      </c>
    </row>
    <row r="344" spans="1:88">
      <c r="B344" s="58"/>
      <c r="C344" s="58"/>
      <c r="D344" s="58"/>
      <c r="E344" s="58"/>
      <c r="F344" s="58"/>
      <c r="G344" s="58"/>
      <c r="I344" s="58"/>
      <c r="J344" s="58"/>
      <c r="K344" s="58"/>
      <c r="L344" s="58"/>
      <c r="M344" s="58"/>
      <c r="N344" s="58"/>
      <c r="P344" s="58"/>
      <c r="Q344" s="58"/>
      <c r="R344" s="58"/>
      <c r="S344" s="58"/>
      <c r="T344" s="58"/>
      <c r="U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H344" s="58"/>
      <c r="BI344" s="58"/>
      <c r="BJ344" s="218"/>
      <c r="BK344" s="58"/>
      <c r="BL344" s="237"/>
      <c r="BM344" s="218"/>
      <c r="BN344" s="58"/>
      <c r="BO344" s="237"/>
      <c r="BP344" s="58"/>
      <c r="BQ344" s="218"/>
      <c r="BR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F344" s="58"/>
      <c r="CG344" s="58"/>
      <c r="CH344" s="58"/>
      <c r="CI344" s="58"/>
      <c r="CJ344" s="58"/>
    </row>
    <row r="345" spans="1:88">
      <c r="B345" s="58" t="s">
        <v>455</v>
      </c>
      <c r="C345" s="175">
        <v>-5.3715150164986847E-3</v>
      </c>
      <c r="D345" s="175">
        <v>3.485585416916704E-2</v>
      </c>
      <c r="E345" s="175">
        <v>0.14387532967209654</v>
      </c>
      <c r="F345" s="175">
        <v>5.7786556274921637E-2</v>
      </c>
      <c r="G345" s="15"/>
      <c r="H345" s="15"/>
      <c r="I345" s="175" t="s">
        <v>455</v>
      </c>
      <c r="J345" s="175">
        <v>-0.43508771929824558</v>
      </c>
      <c r="K345" s="175">
        <v>-0.19433414783139891</v>
      </c>
      <c r="L345" s="175">
        <v>3.8286046125767373E-2</v>
      </c>
      <c r="M345" s="175">
        <v>-0.19704527366795901</v>
      </c>
      <c r="N345" s="15"/>
      <c r="O345" s="15"/>
      <c r="P345" s="175" t="s">
        <v>455</v>
      </c>
      <c r="Q345" s="175">
        <v>0.61971830985915488</v>
      </c>
      <c r="R345" s="175">
        <v>-0.52500000000000002</v>
      </c>
      <c r="S345" s="175">
        <v>0.55789473684210522</v>
      </c>
      <c r="T345" s="175">
        <v>0.21753768223375336</v>
      </c>
      <c r="U345" s="15"/>
      <c r="V345" s="15"/>
      <c r="W345" s="175" t="s">
        <v>455</v>
      </c>
      <c r="X345" s="175">
        <v>7.2528884880802419E-2</v>
      </c>
      <c r="Y345" s="175">
        <v>4.3815241072004407E-2</v>
      </c>
      <c r="Z345" s="175">
        <v>3.9276085003193538E-2</v>
      </c>
      <c r="AA345" s="175">
        <v>5.1873403652000126E-2</v>
      </c>
      <c r="AB345" s="15"/>
      <c r="AC345" s="175" t="s">
        <v>455</v>
      </c>
      <c r="AD345" s="175">
        <v>-7.2115999030682568E-2</v>
      </c>
      <c r="AE345" s="175">
        <v>-6.6262079061011808E-2</v>
      </c>
      <c r="AF345" s="175">
        <v>-3.8106990139418255E-2</v>
      </c>
      <c r="AG345" s="175">
        <v>-5.8828356077037562E-2</v>
      </c>
      <c r="AH345" s="15"/>
      <c r="AI345" s="175" t="s">
        <v>455</v>
      </c>
      <c r="AJ345" s="175">
        <v>0.34795321637426901</v>
      </c>
      <c r="AK345" s="175">
        <v>0.12922465208747516</v>
      </c>
      <c r="AL345" s="175">
        <v>0.3165829145728643</v>
      </c>
      <c r="AM345" s="175">
        <v>0.26458692767820285</v>
      </c>
      <c r="AN345" s="15"/>
      <c r="AO345" s="175" t="s">
        <v>455</v>
      </c>
      <c r="AP345" s="175">
        <v>5.0228310502283102E-2</v>
      </c>
      <c r="AQ345" s="175">
        <v>0.19852941176470587</v>
      </c>
      <c r="AR345" s="175">
        <v>6.8322981366459631E-2</v>
      </c>
      <c r="AS345" s="175">
        <v>0.1056935678778162</v>
      </c>
      <c r="AT345" s="15"/>
      <c r="AU345" s="175" t="s">
        <v>455</v>
      </c>
      <c r="AV345" s="175">
        <v>2.0324844081091642E-2</v>
      </c>
      <c r="AW345" s="175">
        <v>-1.8678320407147158E-2</v>
      </c>
      <c r="AX345" s="175">
        <v>8.0910260402277501E-2</v>
      </c>
      <c r="AY345" s="175">
        <v>2.7518928025407324E-2</v>
      </c>
      <c r="AZ345" s="15"/>
      <c r="BA345" s="175" t="s">
        <v>455</v>
      </c>
      <c r="BB345" s="175">
        <v>7.445064081169124E-2</v>
      </c>
      <c r="BC345" s="175">
        <v>5.4083412716478235E-2</v>
      </c>
      <c r="BD345" s="175">
        <v>2.8692965649185019E-2</v>
      </c>
      <c r="BE345" s="175">
        <v>5.2409006392451489E-2</v>
      </c>
      <c r="BF345" s="15"/>
      <c r="BG345" s="15"/>
      <c r="BH345" s="175" t="s">
        <v>455</v>
      </c>
      <c r="BI345" s="175">
        <v>4.3893129770992363E-2</v>
      </c>
      <c r="BJ345" s="251">
        <v>-6.3004846526655903E-2</v>
      </c>
      <c r="BK345" s="175">
        <v>0.14506172839506173</v>
      </c>
      <c r="BL345" s="245">
        <v>4.1983337213132736E-2</v>
      </c>
      <c r="BM345" s="252"/>
      <c r="BN345" s="175" t="s">
        <v>455</v>
      </c>
      <c r="BO345" s="245">
        <v>0</v>
      </c>
      <c r="BP345" s="175">
        <v>0</v>
      </c>
      <c r="BQ345" s="251">
        <v>0</v>
      </c>
      <c r="BR345" s="175">
        <v>0</v>
      </c>
      <c r="BS345" s="253"/>
      <c r="BT345" s="175" t="s">
        <v>455</v>
      </c>
      <c r="BU345" s="175">
        <v>-3.4966951100935589E-2</v>
      </c>
      <c r="BV345" s="175">
        <v>2.7208837577694794E-3</v>
      </c>
      <c r="BW345" s="175">
        <v>-0.12250091880846635</v>
      </c>
      <c r="BX345" s="175">
        <v>-5.1582328717210815E-2</v>
      </c>
      <c r="BY345" s="15"/>
      <c r="BZ345" s="175" t="s">
        <v>455</v>
      </c>
      <c r="CA345" s="175">
        <v>-0.22355936125896783</v>
      </c>
      <c r="CB345" s="175">
        <v>-0.19226457399103139</v>
      </c>
      <c r="CC345" s="175">
        <v>-8.7268710301021818E-2</v>
      </c>
      <c r="CD345" s="175">
        <v>-0.16769754851700702</v>
      </c>
      <c r="CE345" s="15"/>
      <c r="CF345" s="175" t="s">
        <v>455</v>
      </c>
      <c r="CG345" s="175">
        <v>-2.8296788734760395E-2</v>
      </c>
      <c r="CH345" s="175">
        <v>-3.1221035459515406E-2</v>
      </c>
      <c r="CI345" s="175">
        <v>1.2152514138603477E-2</v>
      </c>
      <c r="CJ345" s="175">
        <v>-1.5788436685224116E-2</v>
      </c>
    </row>
    <row r="346" spans="1:88">
      <c r="B346" s="58" t="s">
        <v>456</v>
      </c>
      <c r="C346" s="175">
        <v>3.6022749867396585E-2</v>
      </c>
      <c r="D346" s="175">
        <v>5.6233517378517971E-2</v>
      </c>
      <c r="E346" s="175">
        <v>7.323576664101368E-2</v>
      </c>
      <c r="F346" s="175">
        <v>3.3743866236193611E-2</v>
      </c>
      <c r="G346" s="15"/>
      <c r="H346" s="15"/>
      <c r="I346" s="175" t="s">
        <v>456</v>
      </c>
      <c r="J346" s="175">
        <v>0.30175438596491228</v>
      </c>
      <c r="K346" s="175">
        <v>5.56658521686011E-2</v>
      </c>
      <c r="L346" s="175">
        <v>0.12838062054089927</v>
      </c>
      <c r="M346" s="175">
        <v>0.1218437158762516</v>
      </c>
      <c r="N346" s="15"/>
      <c r="O346" s="15"/>
      <c r="P346" s="175" t="s">
        <v>456</v>
      </c>
      <c r="Q346" s="175">
        <v>0</v>
      </c>
      <c r="R346" s="175">
        <v>0</v>
      </c>
      <c r="S346" s="175">
        <v>0</v>
      </c>
      <c r="T346" s="175">
        <v>0.37169754536807414</v>
      </c>
      <c r="U346" s="15"/>
      <c r="V346" s="15"/>
      <c r="W346" s="175" t="s">
        <v>456</v>
      </c>
      <c r="X346" s="175">
        <v>0.13446559595501062</v>
      </c>
      <c r="Y346" s="175">
        <v>5.7803772804929265E-2</v>
      </c>
      <c r="Z346" s="175">
        <v>4.5028248868803265E-2</v>
      </c>
      <c r="AA346" s="175">
        <v>4.9328667600041336E-2</v>
      </c>
      <c r="AB346" s="15"/>
      <c r="AC346" s="175" t="s">
        <v>456</v>
      </c>
      <c r="AD346" s="175">
        <v>4.0222334024930945E-2</v>
      </c>
      <c r="AE346" s="175">
        <v>3.8109032158667289E-2</v>
      </c>
      <c r="AF346" s="175">
        <v>3.6330809094317892E-2</v>
      </c>
      <c r="AG346" s="175">
        <v>2.1963392529595761E-2</v>
      </c>
      <c r="AH346" s="15"/>
      <c r="AI346" s="175" t="s">
        <v>456</v>
      </c>
      <c r="AJ346" s="175">
        <v>0</v>
      </c>
      <c r="AK346" s="175">
        <v>0</v>
      </c>
      <c r="AL346" s="175">
        <v>0</v>
      </c>
      <c r="AM346" s="175">
        <v>6.8284291015828058E-2</v>
      </c>
      <c r="AN346" s="15"/>
      <c r="AO346" s="175" t="s">
        <v>456</v>
      </c>
      <c r="AP346" s="175">
        <v>0</v>
      </c>
      <c r="AQ346" s="175">
        <v>0</v>
      </c>
      <c r="AR346" s="175">
        <v>0</v>
      </c>
      <c r="AS346" s="175">
        <v>4.6710900623102021E-2</v>
      </c>
      <c r="AT346" s="15"/>
      <c r="AU346" s="175" t="s">
        <v>456</v>
      </c>
      <c r="AV346" s="175">
        <v>0.12178284573089355</v>
      </c>
      <c r="AW346" s="175">
        <v>8.9010031781511886E-2</v>
      </c>
      <c r="AX346" s="175">
        <v>8.2233812779331408E-2</v>
      </c>
      <c r="AY346" s="175">
        <v>5.3253344378794504E-2</v>
      </c>
      <c r="AZ346" s="15"/>
      <c r="BA346" s="175" t="s">
        <v>456</v>
      </c>
      <c r="BB346" s="175">
        <v>1.8083673202086058E-2</v>
      </c>
      <c r="BC346" s="175">
        <v>9.136543472264487E-2</v>
      </c>
      <c r="BD346" s="175">
        <v>4.6902803414804711E-2</v>
      </c>
      <c r="BE346" s="175">
        <v>3.1944408375432977E-2</v>
      </c>
      <c r="BF346" s="15"/>
      <c r="BG346" s="15"/>
      <c r="BH346" s="175" t="s">
        <v>456</v>
      </c>
      <c r="BI346" s="175">
        <v>0</v>
      </c>
      <c r="BJ346" s="251">
        <v>0</v>
      </c>
      <c r="BK346" s="175">
        <v>0</v>
      </c>
      <c r="BL346" s="245">
        <v>6.007123654635449E-2</v>
      </c>
      <c r="BM346" s="252"/>
      <c r="BN346" s="175" t="s">
        <v>456</v>
      </c>
      <c r="BO346" s="245">
        <v>0</v>
      </c>
      <c r="BP346" s="175">
        <v>0</v>
      </c>
      <c r="BQ346" s="251">
        <v>0</v>
      </c>
      <c r="BR346" s="175">
        <v>0</v>
      </c>
      <c r="BS346" s="253"/>
      <c r="BT346" s="175" t="s">
        <v>456</v>
      </c>
      <c r="BU346" s="175">
        <v>9.7092918939454848E-2</v>
      </c>
      <c r="BV346" s="175">
        <v>0.1003555888609734</v>
      </c>
      <c r="BW346" s="175">
        <v>7.4577954293066753E-2</v>
      </c>
      <c r="BX346" s="175">
        <v>5.1415830639518031E-2</v>
      </c>
      <c r="BY346" s="15"/>
      <c r="BZ346" s="175" t="s">
        <v>456</v>
      </c>
      <c r="CA346" s="175">
        <v>0</v>
      </c>
      <c r="CB346" s="175">
        <v>0</v>
      </c>
      <c r="CC346" s="175">
        <v>0</v>
      </c>
      <c r="CD346" s="175">
        <v>4.12166610329536E-2</v>
      </c>
      <c r="CE346" s="15"/>
      <c r="CF346" s="175" t="s">
        <v>456</v>
      </c>
      <c r="CG346" s="175">
        <v>2.9171411874658281E-2</v>
      </c>
      <c r="CH346" s="175">
        <v>2.4582479559813915E-2</v>
      </c>
      <c r="CI346" s="175">
        <v>2.4577476208965127E-2</v>
      </c>
      <c r="CJ346" s="175">
        <v>1.5118752007367597E-2</v>
      </c>
    </row>
    <row r="347" spans="1:88">
      <c r="B347" s="58" t="s">
        <v>431</v>
      </c>
      <c r="C347" s="175">
        <v>-4.6883773161145427E-2</v>
      </c>
      <c r="D347" s="175">
        <v>-5.3554040895813044E-3</v>
      </c>
      <c r="E347" s="175">
        <v>3.9316476799110864E-2</v>
      </c>
      <c r="F347" s="175">
        <v>0</v>
      </c>
      <c r="G347" s="15"/>
      <c r="H347" s="15"/>
      <c r="I347" s="175" t="s">
        <v>431</v>
      </c>
      <c r="J347" s="175">
        <v>-0.43508771929824558</v>
      </c>
      <c r="K347" s="175">
        <v>-0.19433414783139891</v>
      </c>
      <c r="L347" s="175">
        <v>3.8286046125767359E-2</v>
      </c>
      <c r="M347" s="175">
        <v>-0.13600081449806556</v>
      </c>
      <c r="N347" s="15"/>
      <c r="O347" s="15"/>
      <c r="P347" s="175" t="s">
        <v>431</v>
      </c>
      <c r="Q347" s="175">
        <v>0.61971830985915488</v>
      </c>
      <c r="R347" s="175">
        <v>-0.52500000000000002</v>
      </c>
      <c r="S347" s="175">
        <v>0.55789473684210522</v>
      </c>
      <c r="T347" s="175">
        <v>0.55789473684210522</v>
      </c>
      <c r="U347" s="15"/>
      <c r="V347" s="15"/>
      <c r="W347" s="175" t="s">
        <v>431</v>
      </c>
      <c r="X347" s="175">
        <v>-2.341983009147753E-2</v>
      </c>
      <c r="Y347" s="175">
        <v>-5.5696980876836916E-4</v>
      </c>
      <c r="Z347" s="175">
        <v>3.2590983161325366E-3</v>
      </c>
      <c r="AA347" s="175">
        <v>-1.2852066524917717E-2</v>
      </c>
      <c r="AB347" s="15"/>
      <c r="AC347" s="175" t="s">
        <v>431</v>
      </c>
      <c r="AD347" s="175">
        <v>-0.10324483775811209</v>
      </c>
      <c r="AE347" s="175">
        <v>-6.3862928348909651E-2</v>
      </c>
      <c r="AF347" s="175">
        <v>-2.5586353944562899E-2</v>
      </c>
      <c r="AG347" s="175">
        <v>-6.3862928348909651E-2</v>
      </c>
      <c r="AH347" s="15"/>
      <c r="AI347" s="175" t="s">
        <v>431</v>
      </c>
      <c r="AJ347" s="175">
        <v>0.34795321637426901</v>
      </c>
      <c r="AK347" s="175">
        <v>0.12922465208747516</v>
      </c>
      <c r="AL347" s="175">
        <v>0.3165829145728643</v>
      </c>
      <c r="AM347" s="175">
        <v>0.3165829145728643</v>
      </c>
      <c r="AN347" s="15"/>
      <c r="AO347" s="175" t="s">
        <v>431</v>
      </c>
      <c r="AP347" s="175">
        <v>5.0228310502283102E-2</v>
      </c>
      <c r="AQ347" s="175">
        <v>0.19852941176470587</v>
      </c>
      <c r="AR347" s="175">
        <v>6.8322981366459631E-2</v>
      </c>
      <c r="AS347" s="175">
        <v>6.8322981366459631E-2</v>
      </c>
      <c r="AT347" s="15"/>
      <c r="AU347" s="175" t="s">
        <v>431</v>
      </c>
      <c r="AV347" s="175">
        <v>-6.7857698490898719E-2</v>
      </c>
      <c r="AW347" s="175">
        <v>6.7287784679088969E-3</v>
      </c>
      <c r="AX347" s="175">
        <v>6.6284078838663982E-2</v>
      </c>
      <c r="AY347" s="175">
        <v>-1.0135135135135136E-2</v>
      </c>
      <c r="AZ347" s="15"/>
      <c r="BA347" s="175" t="s">
        <v>431</v>
      </c>
      <c r="BB347" s="175">
        <v>6.9759878927207863E-2</v>
      </c>
      <c r="BC347" s="175">
        <v>3.8727308997343016E-2</v>
      </c>
      <c r="BD347" s="175">
        <v>1.9254917262859963E-3</v>
      </c>
      <c r="BE347" s="175">
        <v>4.6569561781077108E-2</v>
      </c>
      <c r="BF347" s="15"/>
      <c r="BG347" s="15"/>
      <c r="BH347" s="175" t="s">
        <v>431</v>
      </c>
      <c r="BI347" s="175">
        <v>4.3893129770992363E-2</v>
      </c>
      <c r="BJ347" s="251">
        <v>-6.3004846526655903E-2</v>
      </c>
      <c r="BK347" s="175">
        <v>0.14506172839506173</v>
      </c>
      <c r="BL347" s="245">
        <v>4.3893129770992363E-2</v>
      </c>
      <c r="BM347" s="252"/>
      <c r="BN347" s="175" t="s">
        <v>431</v>
      </c>
      <c r="BO347" s="245">
        <v>0</v>
      </c>
      <c r="BP347" s="175">
        <v>0</v>
      </c>
      <c r="BQ347" s="251">
        <v>0</v>
      </c>
      <c r="BR347" s="175">
        <v>0</v>
      </c>
      <c r="BS347" s="253"/>
      <c r="BT347" s="175" t="s">
        <v>431</v>
      </c>
      <c r="BU347" s="175">
        <v>-3.1002029894814542E-2</v>
      </c>
      <c r="BV347" s="175">
        <v>3.5281146637265712E-2</v>
      </c>
      <c r="BW347" s="175">
        <v>-8.8562351072279583E-2</v>
      </c>
      <c r="BX347" s="175">
        <v>-1.3692946058091286E-2</v>
      </c>
      <c r="BY347" s="15"/>
      <c r="BZ347" s="175" t="s">
        <v>431</v>
      </c>
      <c r="CA347" s="175">
        <v>-0.22355936125896783</v>
      </c>
      <c r="CB347" s="175">
        <v>-0.19226457399103139</v>
      </c>
      <c r="CC347" s="175">
        <v>-8.7268710301021818E-2</v>
      </c>
      <c r="CD347" s="175">
        <v>-0.19226457399103139</v>
      </c>
      <c r="CE347" s="15"/>
      <c r="CF347" s="175" t="s">
        <v>431</v>
      </c>
      <c r="CG347" s="175">
        <v>-4.9929676511954992E-2</v>
      </c>
      <c r="CH347" s="175">
        <v>-3.1257856364702921E-2</v>
      </c>
      <c r="CI347" s="175">
        <v>0</v>
      </c>
      <c r="CJ347" s="175">
        <v>-1.7045454545454544E-2</v>
      </c>
    </row>
    <row r="348" spans="1:88">
      <c r="B348" s="58" t="s">
        <v>458</v>
      </c>
      <c r="C348" s="175">
        <v>0.12988187173011201</v>
      </c>
      <c r="D348" s="175">
        <v>0.20275283030794186</v>
      </c>
      <c r="E348" s="175">
        <v>0.26405531182208997</v>
      </c>
      <c r="F348" s="175">
        <v>0.2107303771032524</v>
      </c>
      <c r="G348" s="15"/>
      <c r="H348" s="15"/>
      <c r="I348" s="175" t="s">
        <v>458</v>
      </c>
      <c r="J348" s="175">
        <v>0.42674514513714445</v>
      </c>
      <c r="K348" s="175">
        <v>7.8723403097891442E-2</v>
      </c>
      <c r="L348" s="175">
        <v>0.18155761471481371</v>
      </c>
      <c r="M348" s="175">
        <v>0.29845493226146613</v>
      </c>
      <c r="N348" s="15"/>
      <c r="O348" s="15"/>
      <c r="P348" s="175" t="s">
        <v>458</v>
      </c>
      <c r="Q348" s="175" t="e">
        <v>#DIV/0!</v>
      </c>
      <c r="R348" s="175" t="e">
        <v>#DIV/0!</v>
      </c>
      <c r="S348" s="175" t="e">
        <v>#DIV/0!</v>
      </c>
      <c r="T348" s="175">
        <v>0.64379903362614221</v>
      </c>
      <c r="U348" s="15"/>
      <c r="V348" s="15"/>
      <c r="W348" s="175" t="s">
        <v>458</v>
      </c>
      <c r="X348" s="175">
        <v>0.42521755014975771</v>
      </c>
      <c r="Y348" s="175">
        <v>0.18279157941447632</v>
      </c>
      <c r="Z348" s="175">
        <v>0.14239182547431867</v>
      </c>
      <c r="AA348" s="175">
        <v>0.27018423976216865</v>
      </c>
      <c r="AB348" s="15"/>
      <c r="AC348" s="175" t="s">
        <v>458</v>
      </c>
      <c r="AD348" s="175">
        <v>0.27575042929688526</v>
      </c>
      <c r="AE348" s="175">
        <v>0.26126236163539873</v>
      </c>
      <c r="AF348" s="175">
        <v>0.24907147850375252</v>
      </c>
      <c r="AG348" s="175">
        <v>0.26080083628831313</v>
      </c>
      <c r="AH348" s="15"/>
      <c r="AI348" s="175" t="s">
        <v>458</v>
      </c>
      <c r="AJ348" s="175" t="e">
        <v>#DIV/0!</v>
      </c>
      <c r="AK348" s="175" t="e">
        <v>#DIV/0!</v>
      </c>
      <c r="AL348" s="175" t="e">
        <v>#DIV/0!</v>
      </c>
      <c r="AM348" s="175">
        <v>0.11827186139823322</v>
      </c>
      <c r="AN348" s="15"/>
      <c r="AO348" s="175" t="s">
        <v>458</v>
      </c>
      <c r="AP348" s="175" t="e">
        <v>#DIV/0!</v>
      </c>
      <c r="AQ348" s="175" t="e">
        <v>#DIV/0!</v>
      </c>
      <c r="AR348" s="175" t="e">
        <v>#DIV/0!</v>
      </c>
      <c r="AS348" s="175">
        <v>8.090565314651342E-2</v>
      </c>
      <c r="AT348" s="15"/>
      <c r="AU348" s="175" t="s">
        <v>458</v>
      </c>
      <c r="AV348" s="175">
        <v>0.24356569146178711</v>
      </c>
      <c r="AW348" s="175">
        <v>0.17802006356302377</v>
      </c>
      <c r="AX348" s="175">
        <v>0.16446762555866282</v>
      </c>
      <c r="AY348" s="175">
        <v>0.1844749962740691</v>
      </c>
      <c r="AZ348" s="15"/>
      <c r="BA348" s="175" t="s">
        <v>458</v>
      </c>
      <c r="BB348" s="175">
        <v>3.6167346404172115E-2</v>
      </c>
      <c r="BC348" s="175">
        <v>0.18273086944528974</v>
      </c>
      <c r="BD348" s="175">
        <v>9.3805606829609423E-2</v>
      </c>
      <c r="BE348" s="175">
        <v>0.11065867664795739</v>
      </c>
      <c r="BF348" s="15"/>
      <c r="BG348" s="15"/>
      <c r="BH348" s="175" t="s">
        <v>458</v>
      </c>
      <c r="BI348" s="175" t="e">
        <v>#DIV/0!</v>
      </c>
      <c r="BJ348" s="251" t="e">
        <v>#DIV/0!</v>
      </c>
      <c r="BK348" s="175" t="e">
        <v>#DIV/0!</v>
      </c>
      <c r="BL348" s="245">
        <v>0.10404643377177435</v>
      </c>
      <c r="BM348" s="252"/>
      <c r="BN348" s="175" t="s">
        <v>458</v>
      </c>
      <c r="BO348" s="245" t="e">
        <v>#DIV/0!</v>
      </c>
      <c r="BP348" s="175" t="e">
        <v>#DIV/0!</v>
      </c>
      <c r="BQ348" s="251" t="e">
        <v>#DIV/0!</v>
      </c>
      <c r="BR348" s="175" t="e">
        <v>#DIV/0!</v>
      </c>
      <c r="BS348" s="253"/>
      <c r="BT348" s="175" t="s">
        <v>458</v>
      </c>
      <c r="BU348" s="175">
        <v>0.25688371757915068</v>
      </c>
      <c r="BV348" s="175">
        <v>0.26551593080157943</v>
      </c>
      <c r="BW348" s="175">
        <v>0.19731472034739647</v>
      </c>
      <c r="BX348" s="175">
        <v>0.23561693582462112</v>
      </c>
      <c r="BY348" s="15"/>
      <c r="BZ348" s="175" t="s">
        <v>458</v>
      </c>
      <c r="CA348" s="175" t="e">
        <v>#DIV/0!</v>
      </c>
      <c r="CB348" s="175" t="e">
        <v>#DIV/0!</v>
      </c>
      <c r="CC348" s="175" t="e">
        <v>#DIV/0!</v>
      </c>
      <c r="CD348" s="175">
        <v>7.1389351027419959E-2</v>
      </c>
      <c r="CE348" s="15"/>
      <c r="CF348" s="175" t="s">
        <v>458</v>
      </c>
      <c r="CG348" s="175">
        <v>0.28131890832428724</v>
      </c>
      <c r="CH348" s="175">
        <v>0.23706484771409322</v>
      </c>
      <c r="CI348" s="175">
        <v>0.23701659714587278</v>
      </c>
      <c r="CJ348" s="175">
        <v>0.25253294591125852</v>
      </c>
    </row>
    <row r="349" spans="1:88">
      <c r="B349" s="58" t="s">
        <v>412</v>
      </c>
      <c r="C349" s="175">
        <v>-0.19218066589306437</v>
      </c>
      <c r="D349" s="175">
        <v>-0.15479876160990713</v>
      </c>
      <c r="E349" s="175">
        <v>-0.12663631189527602</v>
      </c>
      <c r="F349" s="175">
        <v>-0.19218066589306437</v>
      </c>
      <c r="G349" s="15"/>
      <c r="H349" s="15"/>
      <c r="I349" s="175" t="s">
        <v>412</v>
      </c>
      <c r="J349" s="175">
        <v>-0.73684210526315785</v>
      </c>
      <c r="K349" s="175">
        <v>-0.25</v>
      </c>
      <c r="L349" s="175">
        <v>-9.0094574415131912E-2</v>
      </c>
      <c r="M349" s="175">
        <v>-0.73684210526315785</v>
      </c>
      <c r="N349" s="15"/>
      <c r="O349" s="15"/>
      <c r="P349" s="175" t="s">
        <v>412</v>
      </c>
      <c r="Q349" s="175">
        <v>0.61971830985915488</v>
      </c>
      <c r="R349" s="175">
        <v>-0.52500000000000002</v>
      </c>
      <c r="S349" s="175">
        <v>0.55789473684210522</v>
      </c>
      <c r="T349" s="175">
        <v>-0.52500000000000002</v>
      </c>
      <c r="U349" s="15"/>
      <c r="V349" s="15"/>
      <c r="W349" s="175" t="s">
        <v>412</v>
      </c>
      <c r="X349" s="175">
        <v>-0.30025445292620867</v>
      </c>
      <c r="Y349" s="175">
        <v>-9.7382198952879584E-2</v>
      </c>
      <c r="Z349" s="175">
        <v>-0.17333333333333334</v>
      </c>
      <c r="AA349" s="175">
        <v>-0.30025445292620867</v>
      </c>
      <c r="AB349" s="15"/>
      <c r="AC349" s="175" t="s">
        <v>412</v>
      </c>
      <c r="AD349" s="175">
        <v>-0.55413032324268852</v>
      </c>
      <c r="AE349" s="175">
        <v>-0.59973753280839892</v>
      </c>
      <c r="AF349" s="175">
        <v>-0.55425219941348969</v>
      </c>
      <c r="AG349" s="175">
        <v>-0.59973753280839892</v>
      </c>
      <c r="AH349" s="15"/>
      <c r="AI349" s="175" t="s">
        <v>412</v>
      </c>
      <c r="AJ349" s="175">
        <v>0.34795321637426901</v>
      </c>
      <c r="AK349" s="175">
        <v>0.12922465208747516</v>
      </c>
      <c r="AL349" s="175">
        <v>0.3165829145728643</v>
      </c>
      <c r="AM349" s="175">
        <v>0.12922465208747516</v>
      </c>
      <c r="AN349" s="15"/>
      <c r="AO349" s="175" t="s">
        <v>412</v>
      </c>
      <c r="AP349" s="175">
        <v>5.0228310502283102E-2</v>
      </c>
      <c r="AQ349" s="175">
        <v>0.19852941176470587</v>
      </c>
      <c r="AR349" s="175">
        <v>6.8322981366459631E-2</v>
      </c>
      <c r="AS349" s="175">
        <v>5.0228310502283102E-2</v>
      </c>
      <c r="AT349" s="15"/>
      <c r="AU349" s="175" t="s">
        <v>412</v>
      </c>
      <c r="AV349" s="175">
        <v>-0.15384615384615385</v>
      </c>
      <c r="AW349" s="175">
        <v>-0.23342223521245115</v>
      </c>
      <c r="AX349" s="175">
        <v>-8.5170209990869952E-2</v>
      </c>
      <c r="AY349" s="175">
        <v>-0.23342223521245115</v>
      </c>
      <c r="AZ349" s="15"/>
      <c r="BA349" s="175" t="s">
        <v>412</v>
      </c>
      <c r="BB349" s="175">
        <v>3.7780713342140025E-2</v>
      </c>
      <c r="BC349" s="175">
        <v>-0.15122791900043084</v>
      </c>
      <c r="BD349" s="175">
        <v>-5.2016584998115338E-2</v>
      </c>
      <c r="BE349" s="175">
        <v>-0.15122791900043084</v>
      </c>
      <c r="BF349" s="15"/>
      <c r="BG349" s="15"/>
      <c r="BH349" s="175" t="s">
        <v>412</v>
      </c>
      <c r="BI349" s="175">
        <v>4.3893129770992363E-2</v>
      </c>
      <c r="BJ349" s="251">
        <v>-6.3004846526655903E-2</v>
      </c>
      <c r="BK349" s="175">
        <v>0.14506172839506173</v>
      </c>
      <c r="BL349" s="245">
        <v>-6.3004846526655903E-2</v>
      </c>
      <c r="BM349" s="252"/>
      <c r="BN349" s="175" t="s">
        <v>412</v>
      </c>
      <c r="BO349" s="245">
        <v>0</v>
      </c>
      <c r="BP349" s="175">
        <v>0</v>
      </c>
      <c r="BQ349" s="251">
        <v>0</v>
      </c>
      <c r="BR349" s="175">
        <v>0</v>
      </c>
      <c r="BS349" s="253"/>
      <c r="BT349" s="175" t="s">
        <v>412</v>
      </c>
      <c r="BU349" s="175">
        <v>-0.53970080552359034</v>
      </c>
      <c r="BV349" s="175">
        <v>-0.53033268101761255</v>
      </c>
      <c r="BW349" s="175">
        <v>-0.48426812585499318</v>
      </c>
      <c r="BX349" s="175">
        <v>-0.53970080552359034</v>
      </c>
      <c r="BY349" s="15"/>
      <c r="BZ349" s="175" t="s">
        <v>412</v>
      </c>
      <c r="CA349" s="175">
        <v>-0.22355936125896783</v>
      </c>
      <c r="CB349" s="175">
        <v>-0.19226457399103139</v>
      </c>
      <c r="CC349" s="175">
        <v>-8.7268710301021818E-2</v>
      </c>
      <c r="CD349" s="175">
        <v>-0.22355936125896783</v>
      </c>
      <c r="CE349" s="15"/>
      <c r="CF349" s="175" t="s">
        <v>412</v>
      </c>
      <c r="CG349" s="175">
        <v>-0.73684210526315785</v>
      </c>
      <c r="CH349" s="175">
        <v>-0.59973753280839892</v>
      </c>
      <c r="CI349" s="175">
        <v>-0.55425219941348969</v>
      </c>
      <c r="CJ349" s="175">
        <v>-0.73684210526315785</v>
      </c>
    </row>
    <row r="350" spans="1:88">
      <c r="B350" s="58" t="s">
        <v>413</v>
      </c>
      <c r="C350" s="175">
        <v>0.25337396604266432</v>
      </c>
      <c r="D350" s="175">
        <v>0.47075208913649025</v>
      </c>
      <c r="E350" s="175">
        <v>0.67386091127098324</v>
      </c>
      <c r="F350" s="175">
        <v>0.67386091127098324</v>
      </c>
      <c r="G350" s="15"/>
      <c r="H350" s="15"/>
      <c r="I350" s="175" t="s">
        <v>413</v>
      </c>
      <c r="J350" s="175">
        <v>-0.13333333333333333</v>
      </c>
      <c r="K350" s="175">
        <v>-0.13866829566279781</v>
      </c>
      <c r="L350" s="175">
        <v>0.16666666666666666</v>
      </c>
      <c r="M350" s="175">
        <v>0.16666666666666666</v>
      </c>
      <c r="N350" s="15"/>
      <c r="O350" s="15"/>
      <c r="P350" s="175" t="s">
        <v>413</v>
      </c>
      <c r="Q350" s="175">
        <v>0.61971830985915488</v>
      </c>
      <c r="R350" s="175">
        <v>-0.52500000000000002</v>
      </c>
      <c r="S350" s="175">
        <v>0.55789473684210522</v>
      </c>
      <c r="T350" s="175">
        <v>0.61971830985915488</v>
      </c>
      <c r="U350" s="15"/>
      <c r="V350" s="15"/>
      <c r="W350" s="175" t="s">
        <v>413</v>
      </c>
      <c r="X350" s="175">
        <v>1.1666666666666667</v>
      </c>
      <c r="Y350" s="175">
        <v>0.5092592592592593</v>
      </c>
      <c r="Z350" s="175">
        <v>0.34615384615384615</v>
      </c>
      <c r="AA350" s="175">
        <v>1.1666666666666667</v>
      </c>
      <c r="AB350" s="15"/>
      <c r="AC350" s="175" t="s">
        <v>413</v>
      </c>
      <c r="AD350" s="175">
        <v>1.1534493874919407</v>
      </c>
      <c r="AE350" s="175">
        <v>1.1715686274509804</v>
      </c>
      <c r="AF350" s="175">
        <v>1.0236966824644549</v>
      </c>
      <c r="AG350" s="175">
        <v>1.1715686274509804</v>
      </c>
      <c r="AH350" s="15"/>
      <c r="AI350" s="175" t="s">
        <v>413</v>
      </c>
      <c r="AJ350" s="175">
        <v>0.34795321637426901</v>
      </c>
      <c r="AK350" s="175">
        <v>0.12922465208747516</v>
      </c>
      <c r="AL350" s="175">
        <v>0.3165829145728643</v>
      </c>
      <c r="AM350" s="175">
        <v>0.34795321637426901</v>
      </c>
      <c r="AN350" s="15"/>
      <c r="AO350" s="175" t="s">
        <v>413</v>
      </c>
      <c r="AP350" s="175">
        <v>5.0228310502283102E-2</v>
      </c>
      <c r="AQ350" s="175">
        <v>0.19852941176470587</v>
      </c>
      <c r="AR350" s="175">
        <v>6.8322981366459631E-2</v>
      </c>
      <c r="AS350" s="175">
        <v>0.19852941176470587</v>
      </c>
      <c r="AT350" s="15"/>
      <c r="AU350" s="175" t="s">
        <v>413</v>
      </c>
      <c r="AV350" s="175">
        <v>0.37086092715231789</v>
      </c>
      <c r="AW350" s="175">
        <v>0.14525139664804471</v>
      </c>
      <c r="AX350" s="175">
        <v>0.27624309392265195</v>
      </c>
      <c r="AY350" s="175">
        <v>0.37086092715231789</v>
      </c>
      <c r="AZ350" s="15"/>
      <c r="BA350" s="175" t="s">
        <v>413</v>
      </c>
      <c r="BB350" s="175">
        <v>0.1205020920502092</v>
      </c>
      <c r="BC350" s="175">
        <v>0.29010695187165775</v>
      </c>
      <c r="BD350" s="175">
        <v>0.16293746414228341</v>
      </c>
      <c r="BE350" s="175">
        <v>0.29010695187165775</v>
      </c>
      <c r="BF350" s="15"/>
      <c r="BG350" s="15"/>
      <c r="BH350" s="175" t="s">
        <v>413</v>
      </c>
      <c r="BI350" s="175">
        <v>4.3893129770992363E-2</v>
      </c>
      <c r="BJ350" s="251">
        <v>-6.3004846526655903E-2</v>
      </c>
      <c r="BK350" s="175">
        <v>0.14506172839506173</v>
      </c>
      <c r="BL350" s="245">
        <v>0.14506172839506173</v>
      </c>
      <c r="BM350" s="252"/>
      <c r="BN350" s="175" t="s">
        <v>413</v>
      </c>
      <c r="BO350" s="245">
        <v>0</v>
      </c>
      <c r="BP350" s="175">
        <v>0</v>
      </c>
      <c r="BQ350" s="251">
        <v>0</v>
      </c>
      <c r="BR350" s="175">
        <v>0</v>
      </c>
      <c r="BS350" s="253"/>
      <c r="BT350" s="175" t="s">
        <v>413</v>
      </c>
      <c r="BU350" s="175">
        <v>0.29874213836477986</v>
      </c>
      <c r="BV350" s="175">
        <v>0.27397260273972601</v>
      </c>
      <c r="BW350" s="175">
        <v>0.12135176651305683</v>
      </c>
      <c r="BX350" s="175">
        <v>0.29874213836477986</v>
      </c>
      <c r="BY350" s="15"/>
      <c r="BZ350" s="175" t="s">
        <v>413</v>
      </c>
      <c r="CA350" s="175">
        <v>-0.22355936125896783</v>
      </c>
      <c r="CB350" s="175">
        <v>-0.19226457399103139</v>
      </c>
      <c r="CC350" s="175">
        <v>-8.7268710301021818E-2</v>
      </c>
      <c r="CD350" s="175">
        <v>-8.7268710301021818E-2</v>
      </c>
      <c r="CE350" s="15"/>
      <c r="CF350" s="175" t="s">
        <v>413</v>
      </c>
      <c r="CG350" s="175">
        <v>1.1666666666666667</v>
      </c>
      <c r="CH350" s="175">
        <v>1.1715686274509804</v>
      </c>
      <c r="CI350" s="175">
        <v>1.0236966824644549</v>
      </c>
      <c r="CJ350" s="175">
        <v>1.1715686274509804</v>
      </c>
    </row>
    <row r="351" spans="1:88">
      <c r="B351" s="58" t="s">
        <v>464</v>
      </c>
      <c r="C351" s="175">
        <v>13</v>
      </c>
      <c r="D351" s="175">
        <v>13</v>
      </c>
      <c r="E351" s="175">
        <v>13</v>
      </c>
      <c r="F351" s="175">
        <v>39</v>
      </c>
      <c r="G351" s="15"/>
      <c r="H351" s="15"/>
      <c r="I351" s="175" t="s">
        <v>464</v>
      </c>
      <c r="J351" s="175">
        <v>2</v>
      </c>
      <c r="K351" s="175">
        <v>2</v>
      </c>
      <c r="L351" s="175">
        <v>2</v>
      </c>
      <c r="M351" s="175">
        <v>6</v>
      </c>
      <c r="N351" s="15"/>
      <c r="O351" s="15"/>
      <c r="P351" s="175" t="s">
        <v>464</v>
      </c>
      <c r="Q351" s="175">
        <v>1</v>
      </c>
      <c r="R351" s="175">
        <v>1</v>
      </c>
      <c r="S351" s="175">
        <v>1</v>
      </c>
      <c r="T351" s="175">
        <v>3</v>
      </c>
      <c r="U351" s="15"/>
      <c r="V351" s="15"/>
      <c r="W351" s="175" t="s">
        <v>464</v>
      </c>
      <c r="X351" s="175">
        <v>10</v>
      </c>
      <c r="Y351" s="175">
        <v>10</v>
      </c>
      <c r="Z351" s="175">
        <v>10</v>
      </c>
      <c r="AA351" s="175">
        <v>30</v>
      </c>
      <c r="AB351" s="15"/>
      <c r="AC351" s="175" t="s">
        <v>464</v>
      </c>
      <c r="AD351" s="175">
        <v>47</v>
      </c>
      <c r="AE351" s="175">
        <v>47</v>
      </c>
      <c r="AF351" s="175">
        <v>47</v>
      </c>
      <c r="AG351" s="175">
        <v>141</v>
      </c>
      <c r="AH351" s="15"/>
      <c r="AI351" s="175" t="s">
        <v>464</v>
      </c>
      <c r="AJ351" s="175">
        <v>1</v>
      </c>
      <c r="AK351" s="175">
        <v>1</v>
      </c>
      <c r="AL351" s="175">
        <v>1</v>
      </c>
      <c r="AM351" s="175">
        <v>3</v>
      </c>
      <c r="AN351" s="15"/>
      <c r="AO351" s="175" t="s">
        <v>464</v>
      </c>
      <c r="AP351" s="175">
        <v>1</v>
      </c>
      <c r="AQ351" s="175">
        <v>1</v>
      </c>
      <c r="AR351" s="175">
        <v>1</v>
      </c>
      <c r="AS351" s="175">
        <v>3</v>
      </c>
      <c r="AT351" s="15"/>
      <c r="AU351" s="175" t="s">
        <v>464</v>
      </c>
      <c r="AV351" s="175">
        <v>4</v>
      </c>
      <c r="AW351" s="175">
        <v>4</v>
      </c>
      <c r="AX351" s="175">
        <v>4</v>
      </c>
      <c r="AY351" s="175">
        <v>12</v>
      </c>
      <c r="AZ351" s="15"/>
      <c r="BA351" s="175" t="s">
        <v>464</v>
      </c>
      <c r="BB351" s="175">
        <v>4</v>
      </c>
      <c r="BC351" s="175">
        <v>4</v>
      </c>
      <c r="BD351" s="175">
        <v>4</v>
      </c>
      <c r="BE351" s="175">
        <v>12</v>
      </c>
      <c r="BF351" s="15"/>
      <c r="BG351" s="15"/>
      <c r="BH351" s="175" t="s">
        <v>464</v>
      </c>
      <c r="BI351" s="175">
        <v>1</v>
      </c>
      <c r="BJ351" s="251">
        <v>1</v>
      </c>
      <c r="BK351" s="175">
        <v>1</v>
      </c>
      <c r="BL351" s="245">
        <v>3</v>
      </c>
      <c r="BM351" s="252"/>
      <c r="BN351" s="175" t="s">
        <v>464</v>
      </c>
      <c r="BO351" s="245">
        <v>1</v>
      </c>
      <c r="BP351" s="175">
        <v>1</v>
      </c>
      <c r="BQ351" s="251">
        <v>1</v>
      </c>
      <c r="BR351" s="175">
        <v>3</v>
      </c>
      <c r="BS351" s="253"/>
      <c r="BT351" s="175" t="s">
        <v>464</v>
      </c>
      <c r="BU351" s="175">
        <v>7</v>
      </c>
      <c r="BV351" s="175">
        <v>7</v>
      </c>
      <c r="BW351" s="175">
        <v>7</v>
      </c>
      <c r="BX351" s="175">
        <v>21</v>
      </c>
      <c r="BY351" s="15"/>
      <c r="BZ351" s="175" t="s">
        <v>464</v>
      </c>
      <c r="CA351" s="175">
        <v>1</v>
      </c>
      <c r="CB351" s="175">
        <v>1</v>
      </c>
      <c r="CC351" s="175">
        <v>1</v>
      </c>
      <c r="CD351" s="175">
        <v>3</v>
      </c>
      <c r="CE351" s="15"/>
      <c r="CF351" s="175" t="s">
        <v>464</v>
      </c>
      <c r="CG351" s="175">
        <v>93</v>
      </c>
      <c r="CH351" s="175">
        <v>93</v>
      </c>
      <c r="CI351" s="175">
        <v>93</v>
      </c>
      <c r="CJ351" s="175">
        <v>279</v>
      </c>
    </row>
    <row r="352" spans="1:88" ht="17" thickBot="1">
      <c r="B352" s="59" t="s">
        <v>467</v>
      </c>
      <c r="C352" s="192">
        <v>7.8486829570977121E-2</v>
      </c>
      <c r="D352" s="192">
        <v>0.12252230912162998</v>
      </c>
      <c r="E352" s="192">
        <v>0.1595670279479558</v>
      </c>
      <c r="F352" s="192">
        <v>6.8310885876376529E-2</v>
      </c>
      <c r="G352" s="15"/>
      <c r="H352" s="15"/>
      <c r="I352" s="192" t="s">
        <v>467</v>
      </c>
      <c r="J352" s="192">
        <v>3.8341530081088551</v>
      </c>
      <c r="K352" s="192">
        <v>0.70730171446787971</v>
      </c>
      <c r="L352" s="192">
        <v>1.6312304487498206</v>
      </c>
      <c r="M352" s="192">
        <v>0.31320924281792445</v>
      </c>
      <c r="N352" s="15"/>
      <c r="O352" s="15"/>
      <c r="P352" s="192" t="s">
        <v>467</v>
      </c>
      <c r="Q352" s="192" t="e">
        <v>#NUM!</v>
      </c>
      <c r="R352" s="192" t="e">
        <v>#NUM!</v>
      </c>
      <c r="S352" s="192" t="e">
        <v>#NUM!</v>
      </c>
      <c r="T352" s="192">
        <v>1.5992854582191187</v>
      </c>
      <c r="U352" s="15"/>
      <c r="V352" s="15"/>
      <c r="W352" s="192" t="s">
        <v>467</v>
      </c>
      <c r="X352" s="192">
        <v>0.30418231103955662</v>
      </c>
      <c r="Y352" s="192">
        <v>0.13076121868743082</v>
      </c>
      <c r="Z352" s="192">
        <v>0.10186097570682347</v>
      </c>
      <c r="AA352" s="192">
        <v>0.10088845318251562</v>
      </c>
      <c r="AB352" s="15"/>
      <c r="AC352" s="192" t="s">
        <v>467</v>
      </c>
      <c r="AD352" s="192">
        <v>8.0963359137050744E-2</v>
      </c>
      <c r="AE352" s="192">
        <v>7.6709503111260402E-2</v>
      </c>
      <c r="AF352" s="192">
        <v>7.313012573113449E-2</v>
      </c>
      <c r="AG352" s="192">
        <v>4.3422806896926347E-2</v>
      </c>
      <c r="AH352" s="15"/>
      <c r="AI352" s="192" t="s">
        <v>467</v>
      </c>
      <c r="AJ352" s="192" t="e">
        <v>#NUM!</v>
      </c>
      <c r="AK352" s="192" t="e">
        <v>#NUM!</v>
      </c>
      <c r="AL352" s="192" t="e">
        <v>#NUM!</v>
      </c>
      <c r="AM352" s="192">
        <v>0.29380359113825927</v>
      </c>
      <c r="AN352" s="15"/>
      <c r="AO352" s="192" t="s">
        <v>467</v>
      </c>
      <c r="AP352" s="192" t="e">
        <v>#NUM!</v>
      </c>
      <c r="AQ352" s="192" t="e">
        <v>#NUM!</v>
      </c>
      <c r="AR352" s="192" t="e">
        <v>#NUM!</v>
      </c>
      <c r="AS352" s="192">
        <v>0.20098078407504574</v>
      </c>
      <c r="AT352" s="15"/>
      <c r="AU352" s="192" t="s">
        <v>467</v>
      </c>
      <c r="AV352" s="192">
        <v>0.38756736744321796</v>
      </c>
      <c r="AW352" s="192">
        <v>0.28326964677625793</v>
      </c>
      <c r="AX352" s="192">
        <v>0.26170469364897542</v>
      </c>
      <c r="AY352" s="192">
        <v>0.11720982070297617</v>
      </c>
      <c r="AZ352" s="15"/>
      <c r="BA352" s="192" t="s">
        <v>467</v>
      </c>
      <c r="BB352" s="192">
        <v>5.7550318967936769E-2</v>
      </c>
      <c r="BC352" s="192">
        <v>0.29076559016372094</v>
      </c>
      <c r="BD352" s="192">
        <v>0.14926565343489331</v>
      </c>
      <c r="BE352" s="192">
        <v>7.0309168782235018E-2</v>
      </c>
      <c r="BF352" s="15"/>
      <c r="BG352" s="15"/>
      <c r="BH352" s="192" t="s">
        <v>467</v>
      </c>
      <c r="BI352" s="192" t="e">
        <v>#NUM!</v>
      </c>
      <c r="BJ352" s="254" t="e">
        <v>#NUM!</v>
      </c>
      <c r="BK352" s="192" t="e">
        <v>#NUM!</v>
      </c>
      <c r="BL352" s="246">
        <v>0.25846566990559777</v>
      </c>
      <c r="BM352" s="252"/>
      <c r="BN352" s="192" t="s">
        <v>467</v>
      </c>
      <c r="BO352" s="246" t="e">
        <v>#NUM!</v>
      </c>
      <c r="BP352" s="192" t="e">
        <v>#NUM!</v>
      </c>
      <c r="BQ352" s="254" t="e">
        <v>#NUM!</v>
      </c>
      <c r="BR352" s="192" t="e">
        <v>#NUM!</v>
      </c>
      <c r="BS352" s="253"/>
      <c r="BT352" s="192" t="s">
        <v>467</v>
      </c>
      <c r="BU352" s="192">
        <v>0.23757781401520986</v>
      </c>
      <c r="BV352" s="192">
        <v>0.24556127971254782</v>
      </c>
      <c r="BW352" s="192">
        <v>0.18248568019385283</v>
      </c>
      <c r="BX352" s="192">
        <v>0.1072515433248469</v>
      </c>
      <c r="BY352" s="15"/>
      <c r="BZ352" s="192" t="s">
        <v>467</v>
      </c>
      <c r="CA352" s="192" t="e">
        <v>#NUM!</v>
      </c>
      <c r="CB352" s="192" t="e">
        <v>#NUM!</v>
      </c>
      <c r="CC352" s="192" t="e">
        <v>#NUM!</v>
      </c>
      <c r="CD352" s="192">
        <v>0.17734097910459609</v>
      </c>
      <c r="CE352" s="15"/>
      <c r="CF352" s="192" t="s">
        <v>467</v>
      </c>
      <c r="CG352" s="192">
        <v>5.7936941970404519E-2</v>
      </c>
      <c r="CH352" s="192">
        <v>4.8822926290477249E-2</v>
      </c>
      <c r="CI352" s="192">
        <v>4.8812989203817568E-2</v>
      </c>
      <c r="CJ352" s="192">
        <v>2.9761776980671565E-2</v>
      </c>
    </row>
  </sheetData>
  <autoFilter ref="A1:AP94" xr:uid="{B0D95E02-460F-8148-84FD-F16480D4A5E6}">
    <sortState xmlns:xlrd2="http://schemas.microsoft.com/office/spreadsheetml/2017/richdata2" ref="A2:AP94">
      <sortCondition ref="C1:C94"/>
    </sortState>
  </autoFilter>
  <phoneticPr fontId="3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7210F-283D-B04B-A92F-27B3E665318A}">
  <dimension ref="A1:DG557"/>
  <sheetViews>
    <sheetView topLeftCell="BX292" zoomScale="81" workbookViewId="0">
      <selection activeCell="CK295" sqref="CK295"/>
    </sheetView>
  </sheetViews>
  <sheetFormatPr baseColWidth="10" defaultColWidth="10.83203125" defaultRowHeight="16"/>
  <cols>
    <col min="1" max="1" width="45.5" style="296" bestFit="1" customWidth="1"/>
    <col min="2" max="2" width="18.33203125" style="296" bestFit="1" customWidth="1"/>
    <col min="3" max="6" width="13.83203125" style="296" bestFit="1" customWidth="1"/>
    <col min="7" max="7" width="11.6640625" style="296" bestFit="1" customWidth="1"/>
    <col min="8" max="8" width="12.33203125" style="296" bestFit="1" customWidth="1"/>
    <col min="9" max="12" width="17.83203125" style="296" bestFit="1" customWidth="1"/>
    <col min="13" max="13" width="11.6640625" style="296" bestFit="1" customWidth="1"/>
    <col min="14" max="14" width="18.33203125" style="296" bestFit="1" customWidth="1"/>
    <col min="15" max="17" width="17.83203125" style="296" bestFit="1" customWidth="1"/>
    <col min="18" max="18" width="18.83203125" style="296" bestFit="1" customWidth="1"/>
    <col min="19" max="19" width="11.1640625" style="296" bestFit="1" customWidth="1"/>
    <col min="20" max="20" width="18.33203125" style="296" bestFit="1" customWidth="1"/>
    <col min="21" max="24" width="18.83203125" style="296" bestFit="1" customWidth="1"/>
    <col min="25" max="25" width="11.83203125" style="296" bestFit="1" customWidth="1"/>
    <col min="26" max="26" width="18.33203125" style="296" bestFit="1" customWidth="1"/>
    <col min="27" max="28" width="13.83203125" style="296" bestFit="1" customWidth="1"/>
    <col min="29" max="29" width="18.83203125" style="296" bestFit="1" customWidth="1"/>
    <col min="30" max="30" width="14.83203125" style="296" bestFit="1" customWidth="1"/>
    <col min="31" max="31" width="11" style="296" bestFit="1" customWidth="1"/>
    <col min="32" max="32" width="18.33203125" style="296" bestFit="1" customWidth="1"/>
    <col min="33" max="36" width="17.5" style="296" bestFit="1" customWidth="1"/>
    <col min="37" max="37" width="10.83203125" style="296"/>
    <col min="38" max="38" width="17.6640625" style="296" bestFit="1" customWidth="1"/>
    <col min="39" max="41" width="17.83203125" style="296" bestFit="1" customWidth="1"/>
    <col min="42" max="42" width="17.5" style="296" bestFit="1" customWidth="1"/>
    <col min="43" max="43" width="10.83203125" style="296"/>
    <col min="44" max="44" width="17.6640625" style="296" bestFit="1" customWidth="1"/>
    <col min="45" max="47" width="17.83203125" style="296" bestFit="1" customWidth="1"/>
    <col min="48" max="48" width="17.5" style="296" bestFit="1" customWidth="1"/>
    <col min="49" max="49" width="10.83203125" style="296"/>
    <col min="50" max="50" width="17.6640625" style="296" bestFit="1" customWidth="1"/>
    <col min="51" max="52" width="17.83203125" style="296" bestFit="1" customWidth="1"/>
    <col min="53" max="53" width="17.83203125" style="297" bestFit="1" customWidth="1"/>
    <col min="54" max="54" width="17.5" style="296" bestFit="1" customWidth="1"/>
    <col min="55" max="55" width="10.83203125" style="296"/>
    <col min="56" max="56" width="17.6640625" style="296" bestFit="1" customWidth="1"/>
    <col min="57" max="59" width="17.83203125" style="296" bestFit="1" customWidth="1"/>
    <col min="60" max="60" width="17.5" style="296" bestFit="1" customWidth="1"/>
    <col min="61" max="61" width="10.83203125" style="296"/>
    <col min="62" max="62" width="17.6640625" style="296" bestFit="1" customWidth="1"/>
    <col min="63" max="65" width="17.83203125" style="296" bestFit="1" customWidth="1"/>
    <col min="66" max="66" width="17.5" style="296" bestFit="1" customWidth="1"/>
    <col min="67" max="67" width="10.83203125" style="296"/>
    <col min="68" max="68" width="17.6640625" style="296" bestFit="1" customWidth="1"/>
    <col min="69" max="71" width="17.83203125" style="296" bestFit="1" customWidth="1"/>
    <col min="72" max="72" width="17.5" style="296" bestFit="1" customWidth="1"/>
    <col min="73" max="73" width="10.83203125" style="296"/>
    <col min="74" max="74" width="17.6640625" style="296" bestFit="1" customWidth="1"/>
    <col min="75" max="77" width="17.83203125" style="296" bestFit="1" customWidth="1"/>
    <col min="78" max="78" width="11" style="296" bestFit="1" customWidth="1"/>
    <col min="79" max="79" width="10.83203125" style="296"/>
    <col min="80" max="82" width="11.6640625" style="296" bestFit="1" customWidth="1"/>
    <col min="83" max="83" width="12.6640625" style="296" bestFit="1" customWidth="1"/>
    <col min="84" max="16384" width="10.83203125" style="296"/>
  </cols>
  <sheetData>
    <row r="1" spans="1:80" s="255" customFormat="1" ht="119">
      <c r="A1" s="255" t="s">
        <v>372</v>
      </c>
      <c r="B1" s="255" t="s">
        <v>171</v>
      </c>
      <c r="C1" s="255" t="s">
        <v>180</v>
      </c>
      <c r="D1" s="255" t="s">
        <v>232</v>
      </c>
      <c r="E1" s="255" t="s">
        <v>289</v>
      </c>
      <c r="F1" s="255" t="s">
        <v>198</v>
      </c>
      <c r="G1" s="255" t="s">
        <v>250</v>
      </c>
      <c r="H1" s="255" t="s">
        <v>297</v>
      </c>
      <c r="I1" s="255" t="s">
        <v>206</v>
      </c>
      <c r="J1" s="255" t="s">
        <v>258</v>
      </c>
      <c r="K1" s="255" t="s">
        <v>299</v>
      </c>
      <c r="L1" s="255" t="s">
        <v>189</v>
      </c>
      <c r="M1" s="255" t="s">
        <v>241</v>
      </c>
      <c r="N1" s="255" t="s">
        <v>279</v>
      </c>
      <c r="O1" s="255" t="s">
        <v>208</v>
      </c>
      <c r="P1" s="255" t="s">
        <v>260</v>
      </c>
      <c r="Q1" s="255" t="s">
        <v>287</v>
      </c>
      <c r="R1" s="255" t="s">
        <v>217</v>
      </c>
      <c r="S1" s="255" t="s">
        <v>269</v>
      </c>
      <c r="T1" s="255" t="s">
        <v>275</v>
      </c>
      <c r="U1" s="255" t="s">
        <v>219</v>
      </c>
      <c r="V1" s="255" t="s">
        <v>271</v>
      </c>
      <c r="W1" s="255" t="s">
        <v>276</v>
      </c>
      <c r="X1" s="255" t="s">
        <v>435</v>
      </c>
      <c r="Y1" s="255" t="s">
        <v>436</v>
      </c>
      <c r="Z1" s="255" t="s">
        <v>277</v>
      </c>
      <c r="AA1" s="255" t="s">
        <v>221</v>
      </c>
      <c r="AB1" s="255" t="s">
        <v>273</v>
      </c>
      <c r="AE1" s="255" t="s">
        <v>358</v>
      </c>
      <c r="AF1" s="255" t="s">
        <v>359</v>
      </c>
      <c r="AG1" s="255" t="s">
        <v>360</v>
      </c>
      <c r="AI1" s="255" t="s">
        <v>583</v>
      </c>
      <c r="AN1" s="255" t="s">
        <v>361</v>
      </c>
      <c r="AO1" s="255" t="s">
        <v>362</v>
      </c>
      <c r="AP1" s="255" t="s">
        <v>363</v>
      </c>
      <c r="BA1" s="256"/>
    </row>
    <row r="2" spans="1:80" s="257" customFormat="1">
      <c r="A2" s="257" t="s">
        <v>48</v>
      </c>
      <c r="B2" s="258">
        <v>248</v>
      </c>
      <c r="C2" s="258">
        <v>323</v>
      </c>
      <c r="D2" s="258">
        <v>232</v>
      </c>
      <c r="E2" s="258">
        <v>226</v>
      </c>
      <c r="F2" s="258">
        <v>273</v>
      </c>
      <c r="G2" s="258">
        <v>265</v>
      </c>
      <c r="H2" s="258">
        <v>-22</v>
      </c>
      <c r="I2" s="258">
        <v>-50</v>
      </c>
      <c r="J2" s="258">
        <v>24</v>
      </c>
      <c r="K2" s="258">
        <v>0</v>
      </c>
      <c r="L2" s="258">
        <v>0</v>
      </c>
      <c r="M2" s="258">
        <v>0</v>
      </c>
      <c r="N2" s="258">
        <v>48</v>
      </c>
      <c r="O2" s="258">
        <v>34</v>
      </c>
      <c r="P2" s="258">
        <v>2</v>
      </c>
      <c r="Q2" s="258">
        <v>48</v>
      </c>
      <c r="R2" s="258">
        <v>34</v>
      </c>
      <c r="S2" s="258">
        <v>2</v>
      </c>
      <c r="T2" s="258">
        <v>248</v>
      </c>
      <c r="U2" s="258">
        <v>323</v>
      </c>
      <c r="V2" s="258">
        <v>232</v>
      </c>
      <c r="W2" s="258">
        <v>274</v>
      </c>
      <c r="X2" s="258">
        <v>307</v>
      </c>
      <c r="Y2" s="258">
        <v>258</v>
      </c>
      <c r="Z2" s="258">
        <v>26</v>
      </c>
      <c r="AA2" s="258">
        <v>-16</v>
      </c>
      <c r="AB2" s="258">
        <v>26</v>
      </c>
      <c r="AE2" s="259">
        <f>(E2/B2)*100</f>
        <v>91.129032258064512</v>
      </c>
      <c r="AF2" s="259">
        <f>(F2/C2)*100</f>
        <v>84.520123839009287</v>
      </c>
      <c r="AG2" s="259">
        <f t="shared" ref="AG2" si="0">(G2/D2)*100</f>
        <v>114.22413793103448</v>
      </c>
      <c r="AH2" s="259"/>
      <c r="AI2" s="257">
        <v>91.129032258064512</v>
      </c>
      <c r="AN2" s="259">
        <f t="shared" ref="AN2:AN33" si="1">(W2/T2)*100</f>
        <v>110.48387096774192</v>
      </c>
      <c r="AO2" s="259">
        <f t="shared" ref="AO2:AO33" si="2">(X2/U2)*100</f>
        <v>95.046439628482972</v>
      </c>
      <c r="AP2" s="259">
        <f t="shared" ref="AP2:AP33" si="3">(Y2/V2)*100</f>
        <v>111.20689655172413</v>
      </c>
      <c r="AR2" s="257">
        <v>110.48387096774192</v>
      </c>
    </row>
    <row r="3" spans="1:80" s="257" customFormat="1">
      <c r="A3" s="257" t="s">
        <v>49</v>
      </c>
      <c r="B3" s="258">
        <v>723</v>
      </c>
      <c r="C3" s="258">
        <v>742</v>
      </c>
      <c r="D3" s="258">
        <v>846</v>
      </c>
      <c r="E3" s="258">
        <v>668</v>
      </c>
      <c r="F3" s="258">
        <v>672</v>
      </c>
      <c r="G3" s="258">
        <v>1100</v>
      </c>
      <c r="H3" s="258">
        <v>-54</v>
      </c>
      <c r="I3" s="258">
        <v>-70</v>
      </c>
      <c r="J3" s="258">
        <v>254</v>
      </c>
      <c r="K3" s="258">
        <v>21</v>
      </c>
      <c r="L3" s="258">
        <v>19</v>
      </c>
      <c r="M3" s="258">
        <v>25</v>
      </c>
      <c r="N3" s="258">
        <v>36</v>
      </c>
      <c r="O3" s="258">
        <v>55</v>
      </c>
      <c r="P3" s="258">
        <v>59</v>
      </c>
      <c r="Q3" s="258">
        <v>14</v>
      </c>
      <c r="R3" s="258">
        <v>36</v>
      </c>
      <c r="S3" s="258">
        <v>33</v>
      </c>
      <c r="T3" s="258">
        <v>744</v>
      </c>
      <c r="U3" s="258">
        <v>761</v>
      </c>
      <c r="V3" s="258">
        <v>871</v>
      </c>
      <c r="W3" s="258">
        <v>704</v>
      </c>
      <c r="X3" s="258">
        <v>727</v>
      </c>
      <c r="Y3" s="258">
        <v>1159</v>
      </c>
      <c r="Z3" s="258">
        <v>-40</v>
      </c>
      <c r="AA3" s="258">
        <v>-34</v>
      </c>
      <c r="AB3" s="258">
        <v>287</v>
      </c>
      <c r="AE3" s="259">
        <f t="shared" ref="AE3:AE66" si="4">(E3/B3)*100</f>
        <v>92.39280774550484</v>
      </c>
      <c r="AF3" s="259">
        <f t="shared" ref="AF3:AF66" si="5">(F3/C3)*100</f>
        <v>90.566037735849065</v>
      </c>
      <c r="AG3" s="259">
        <f t="shared" ref="AG3:AG66" si="6">(G3/D3)*100</f>
        <v>130.02364066193854</v>
      </c>
      <c r="AH3" s="259"/>
      <c r="AI3" s="257">
        <v>92.39280774550484</v>
      </c>
      <c r="AN3" s="259">
        <f t="shared" si="1"/>
        <v>94.623655913978496</v>
      </c>
      <c r="AO3" s="259">
        <f t="shared" si="2"/>
        <v>95.532194480946117</v>
      </c>
      <c r="AP3" s="259">
        <f t="shared" si="3"/>
        <v>133.0654420206659</v>
      </c>
      <c r="AR3" s="257">
        <v>94.623655913978496</v>
      </c>
    </row>
    <row r="4" spans="1:80" s="257" customFormat="1">
      <c r="A4" s="257" t="s">
        <v>50</v>
      </c>
      <c r="B4" s="258">
        <v>5145</v>
      </c>
      <c r="C4" s="258">
        <v>6342</v>
      </c>
      <c r="D4" s="258">
        <v>7889</v>
      </c>
      <c r="E4" s="258">
        <v>5125</v>
      </c>
      <c r="F4" s="258">
        <v>6566</v>
      </c>
      <c r="G4" s="258">
        <v>8734</v>
      </c>
      <c r="H4" s="258">
        <v>0</v>
      </c>
      <c r="I4" s="258">
        <v>224</v>
      </c>
      <c r="J4" s="258">
        <v>845</v>
      </c>
      <c r="K4" s="258">
        <v>0</v>
      </c>
      <c r="L4" s="258">
        <v>0</v>
      </c>
      <c r="M4" s="258">
        <v>0</v>
      </c>
      <c r="N4" s="258">
        <v>0</v>
      </c>
      <c r="O4" s="258">
        <v>0</v>
      </c>
      <c r="P4" s="258">
        <v>0</v>
      </c>
      <c r="Q4" s="258">
        <v>0</v>
      </c>
      <c r="R4" s="258">
        <v>0</v>
      </c>
      <c r="S4" s="258">
        <v>0</v>
      </c>
      <c r="T4" s="258">
        <v>5145</v>
      </c>
      <c r="U4" s="258">
        <v>6342</v>
      </c>
      <c r="V4" s="258">
        <v>7889</v>
      </c>
      <c r="W4" s="258">
        <v>5125</v>
      </c>
      <c r="X4" s="258">
        <v>6566</v>
      </c>
      <c r="Y4" s="258">
        <v>8734</v>
      </c>
      <c r="Z4" s="258">
        <v>-20</v>
      </c>
      <c r="AA4" s="258">
        <v>224</v>
      </c>
      <c r="AB4" s="258">
        <v>845</v>
      </c>
      <c r="AE4" s="259">
        <f t="shared" si="4"/>
        <v>99.611273080660837</v>
      </c>
      <c r="AF4" s="259">
        <f t="shared" si="5"/>
        <v>103.53200883002206</v>
      </c>
      <c r="AG4" s="259">
        <f t="shared" si="6"/>
        <v>110.71111674483458</v>
      </c>
      <c r="AH4" s="259"/>
      <c r="AI4" s="257">
        <v>99.611273080660837</v>
      </c>
      <c r="AN4" s="259">
        <f t="shared" si="1"/>
        <v>99.611273080660837</v>
      </c>
      <c r="AO4" s="259">
        <f t="shared" si="2"/>
        <v>103.53200883002206</v>
      </c>
      <c r="AP4" s="259">
        <f t="shared" si="3"/>
        <v>110.71111674483458</v>
      </c>
      <c r="AR4" s="257">
        <v>99.611273080660837</v>
      </c>
    </row>
    <row r="5" spans="1:80" s="257" customFormat="1">
      <c r="A5" s="257" t="s">
        <v>51</v>
      </c>
      <c r="B5" s="258">
        <v>3773</v>
      </c>
      <c r="C5" s="258">
        <v>4337</v>
      </c>
      <c r="D5" s="258">
        <v>5708</v>
      </c>
      <c r="E5" s="258">
        <v>4040</v>
      </c>
      <c r="F5" s="258">
        <v>4083</v>
      </c>
      <c r="G5" s="258">
        <v>5621</v>
      </c>
      <c r="H5" s="258">
        <v>267</v>
      </c>
      <c r="I5" s="258">
        <v>-254</v>
      </c>
      <c r="J5" s="258">
        <v>-87</v>
      </c>
      <c r="K5" s="258">
        <v>0</v>
      </c>
      <c r="L5" s="258">
        <v>0</v>
      </c>
      <c r="M5" s="258">
        <v>83</v>
      </c>
      <c r="N5" s="258">
        <v>0</v>
      </c>
      <c r="O5" s="258">
        <v>248</v>
      </c>
      <c r="P5" s="258">
        <v>337</v>
      </c>
      <c r="Q5" s="258">
        <v>0</v>
      </c>
      <c r="R5" s="258">
        <v>248</v>
      </c>
      <c r="S5" s="258">
        <v>254</v>
      </c>
      <c r="T5" s="258">
        <v>3773</v>
      </c>
      <c r="U5" s="258">
        <v>4337</v>
      </c>
      <c r="V5" s="258">
        <v>5791</v>
      </c>
      <c r="W5" s="258">
        <v>4040</v>
      </c>
      <c r="X5" s="258">
        <v>4331</v>
      </c>
      <c r="Y5" s="258">
        <v>5958</v>
      </c>
      <c r="Z5" s="258">
        <v>267</v>
      </c>
      <c r="AA5" s="258">
        <v>-6</v>
      </c>
      <c r="AB5" s="258">
        <v>167</v>
      </c>
      <c r="AE5" s="259">
        <f t="shared" si="4"/>
        <v>107.07659687251525</v>
      </c>
      <c r="AF5" s="259">
        <f t="shared" si="5"/>
        <v>94.143417108600417</v>
      </c>
      <c r="AG5" s="259">
        <f t="shared" si="6"/>
        <v>98.475823405746326</v>
      </c>
      <c r="AH5" s="259"/>
      <c r="AI5" s="257">
        <v>107.07659687251525</v>
      </c>
      <c r="AN5" s="259">
        <f t="shared" si="1"/>
        <v>107.07659687251525</v>
      </c>
      <c r="AO5" s="259">
        <f t="shared" si="2"/>
        <v>99.861655522250402</v>
      </c>
      <c r="AP5" s="259">
        <f t="shared" si="3"/>
        <v>102.88378518390606</v>
      </c>
      <c r="AR5" s="257">
        <v>107.07659687251525</v>
      </c>
    </row>
    <row r="6" spans="1:80" s="257" customFormat="1">
      <c r="A6" s="257" t="s">
        <v>52</v>
      </c>
      <c r="B6" s="258">
        <v>5835</v>
      </c>
      <c r="C6" s="258">
        <v>7169</v>
      </c>
      <c r="D6" s="258">
        <v>7198</v>
      </c>
      <c r="E6" s="258">
        <v>5634</v>
      </c>
      <c r="F6" s="258">
        <v>6584</v>
      </c>
      <c r="G6" s="258">
        <v>7481</v>
      </c>
      <c r="H6" s="258">
        <v>-200</v>
      </c>
      <c r="I6" s="258">
        <v>-585</v>
      </c>
      <c r="J6" s="258">
        <v>283</v>
      </c>
      <c r="K6" s="258">
        <v>572</v>
      </c>
      <c r="L6" s="258">
        <v>608</v>
      </c>
      <c r="M6" s="258">
        <v>451</v>
      </c>
      <c r="N6" s="258">
        <v>865</v>
      </c>
      <c r="O6" s="258">
        <v>881</v>
      </c>
      <c r="P6" s="258">
        <v>748</v>
      </c>
      <c r="Q6" s="258">
        <v>294</v>
      </c>
      <c r="R6" s="258">
        <v>273</v>
      </c>
      <c r="S6" s="258">
        <v>297</v>
      </c>
      <c r="T6" s="258">
        <v>6407</v>
      </c>
      <c r="U6" s="258">
        <v>7777</v>
      </c>
      <c r="V6" s="258">
        <v>7649</v>
      </c>
      <c r="W6" s="258">
        <v>6499</v>
      </c>
      <c r="X6" s="258">
        <v>7465</v>
      </c>
      <c r="Y6" s="258">
        <v>8229</v>
      </c>
      <c r="Z6" s="258">
        <v>92</v>
      </c>
      <c r="AA6" s="258">
        <v>-312</v>
      </c>
      <c r="AB6" s="258">
        <v>580</v>
      </c>
      <c r="AE6" s="259">
        <f t="shared" si="4"/>
        <v>96.555269922879177</v>
      </c>
      <c r="AF6" s="259">
        <f t="shared" si="5"/>
        <v>91.839866090110206</v>
      </c>
      <c r="AG6" s="259">
        <f t="shared" si="6"/>
        <v>103.93164767991108</v>
      </c>
      <c r="AH6" s="259"/>
      <c r="AI6" s="257">
        <v>96.555269922879177</v>
      </c>
      <c r="AN6" s="259">
        <f t="shared" si="1"/>
        <v>101.43592945216169</v>
      </c>
      <c r="AO6" s="259">
        <f t="shared" si="2"/>
        <v>95.988170245595981</v>
      </c>
      <c r="AP6" s="259">
        <f t="shared" si="3"/>
        <v>107.58269054778403</v>
      </c>
      <c r="AR6" s="257">
        <v>101.43592945216169</v>
      </c>
    </row>
    <row r="7" spans="1:80" s="257" customFormat="1">
      <c r="A7" s="257" t="s">
        <v>92</v>
      </c>
      <c r="B7" s="258">
        <v>1422</v>
      </c>
      <c r="C7" s="258">
        <v>1832</v>
      </c>
      <c r="D7" s="258">
        <v>2480</v>
      </c>
      <c r="E7" s="258">
        <v>1351</v>
      </c>
      <c r="F7" s="258">
        <v>1820</v>
      </c>
      <c r="G7" s="258">
        <v>2494</v>
      </c>
      <c r="H7" s="258">
        <v>-71</v>
      </c>
      <c r="I7" s="258">
        <v>12</v>
      </c>
      <c r="J7" s="258">
        <v>14</v>
      </c>
      <c r="K7" s="258">
        <v>0</v>
      </c>
      <c r="L7" s="258">
        <v>0</v>
      </c>
      <c r="M7" s="258">
        <v>0</v>
      </c>
      <c r="N7" s="258">
        <v>0</v>
      </c>
      <c r="O7" s="258">
        <v>0</v>
      </c>
      <c r="P7" s="258">
        <v>0</v>
      </c>
      <c r="Q7" s="258">
        <v>0</v>
      </c>
      <c r="R7" s="258">
        <v>0</v>
      </c>
      <c r="S7" s="258">
        <v>0</v>
      </c>
      <c r="T7" s="258">
        <v>1422</v>
      </c>
      <c r="U7" s="258">
        <v>1832</v>
      </c>
      <c r="V7" s="258">
        <v>2480</v>
      </c>
      <c r="W7" s="258">
        <v>1351</v>
      </c>
      <c r="X7" s="258">
        <v>1820</v>
      </c>
      <c r="Y7" s="258">
        <v>2494</v>
      </c>
      <c r="Z7" s="258">
        <v>-71</v>
      </c>
      <c r="AA7" s="258">
        <v>-12</v>
      </c>
      <c r="AB7" s="258">
        <v>14</v>
      </c>
      <c r="AE7" s="259">
        <f t="shared" si="4"/>
        <v>95.007032348804501</v>
      </c>
      <c r="AF7" s="259">
        <f t="shared" si="5"/>
        <v>99.344978165938869</v>
      </c>
      <c r="AG7" s="259">
        <f t="shared" si="6"/>
        <v>100.56451612903226</v>
      </c>
      <c r="AH7" s="259"/>
      <c r="AI7" s="257">
        <v>95.007032348804501</v>
      </c>
      <c r="AN7" s="259">
        <f t="shared" si="1"/>
        <v>95.007032348804501</v>
      </c>
      <c r="AO7" s="259">
        <f t="shared" si="2"/>
        <v>99.344978165938869</v>
      </c>
      <c r="AP7" s="259">
        <f t="shared" si="3"/>
        <v>100.56451612903226</v>
      </c>
      <c r="AR7" s="257">
        <v>95.007032348804501</v>
      </c>
      <c r="AU7" s="257" t="s">
        <v>590</v>
      </c>
      <c r="AV7" s="257">
        <v>100</v>
      </c>
      <c r="AW7" s="257">
        <f t="array" ref="AW7:AW9">FREQUENCY($AN$2:$AN$94,$AV$7:$AV$9)</f>
        <v>39</v>
      </c>
      <c r="AX7" s="257">
        <f t="array" ref="AX7:AX9">FREQUENCY($AO$2:$AO$94,AV7:AV9)</f>
        <v>38</v>
      </c>
      <c r="AY7" s="257">
        <f t="array" ref="AY7:AY9">FREQUENCY($AP$2:$AP$94,$AV$7:$AV$9)</f>
        <v>28</v>
      </c>
      <c r="AZ7" s="257">
        <f>SUM(AW7:AY7)</f>
        <v>105</v>
      </c>
    </row>
    <row r="8" spans="1:80" s="257" customFormat="1">
      <c r="A8" s="257" t="s">
        <v>93</v>
      </c>
      <c r="B8" s="258">
        <v>3562</v>
      </c>
      <c r="C8" s="258">
        <v>4108</v>
      </c>
      <c r="D8" s="258">
        <v>5480</v>
      </c>
      <c r="E8" s="258">
        <v>3395</v>
      </c>
      <c r="F8" s="258">
        <v>4086</v>
      </c>
      <c r="G8" s="258">
        <v>5120</v>
      </c>
      <c r="H8" s="258">
        <v>-167</v>
      </c>
      <c r="I8" s="258">
        <v>-22</v>
      </c>
      <c r="J8" s="258">
        <v>-360</v>
      </c>
      <c r="K8" s="258">
        <v>397</v>
      </c>
      <c r="L8" s="258">
        <v>499</v>
      </c>
      <c r="M8" s="258">
        <v>396</v>
      </c>
      <c r="N8" s="258">
        <v>920</v>
      </c>
      <c r="O8" s="258">
        <v>796</v>
      </c>
      <c r="P8" s="258">
        <v>788</v>
      </c>
      <c r="Q8" s="258">
        <v>523</v>
      </c>
      <c r="R8" s="258">
        <v>312</v>
      </c>
      <c r="S8" s="258">
        <v>414</v>
      </c>
      <c r="T8" s="258">
        <v>3959</v>
      </c>
      <c r="U8" s="258">
        <v>4607</v>
      </c>
      <c r="V8" s="258">
        <v>5876</v>
      </c>
      <c r="W8" s="258">
        <v>4315</v>
      </c>
      <c r="X8" s="258">
        <v>4882</v>
      </c>
      <c r="Y8" s="258">
        <v>5908</v>
      </c>
      <c r="Z8" s="258">
        <v>356</v>
      </c>
      <c r="AA8" s="258">
        <v>275</v>
      </c>
      <c r="AB8" s="258">
        <v>32</v>
      </c>
      <c r="AE8" s="259">
        <f t="shared" si="4"/>
        <v>95.31162268388546</v>
      </c>
      <c r="AF8" s="259">
        <f t="shared" si="5"/>
        <v>99.464459591041859</v>
      </c>
      <c r="AG8" s="259">
        <f t="shared" si="6"/>
        <v>93.430656934306569</v>
      </c>
      <c r="AH8" s="259"/>
      <c r="AI8" s="257">
        <v>95.31162268388546</v>
      </c>
      <c r="AN8" s="259">
        <f t="shared" si="1"/>
        <v>108.9921697398333</v>
      </c>
      <c r="AO8" s="259">
        <f t="shared" si="2"/>
        <v>105.96917733883222</v>
      </c>
      <c r="AP8" s="259">
        <f t="shared" si="3"/>
        <v>100.54458815520762</v>
      </c>
      <c r="AR8" s="257">
        <v>108.9921697398333</v>
      </c>
      <c r="AU8" s="257" t="s">
        <v>591</v>
      </c>
      <c r="AV8" s="257">
        <v>200</v>
      </c>
      <c r="AW8" s="257">
        <v>52</v>
      </c>
      <c r="AX8" s="257">
        <v>55</v>
      </c>
      <c r="AY8" s="257">
        <v>64</v>
      </c>
      <c r="AZ8" s="257">
        <f t="shared" ref="AZ8:AZ9" si="7">SUM(AW8:AY8)</f>
        <v>171</v>
      </c>
    </row>
    <row r="9" spans="1:80" s="257" customFormat="1">
      <c r="A9" s="257" t="s">
        <v>100</v>
      </c>
      <c r="B9" s="258">
        <f>(BB9/800)*10</f>
        <v>140.03749999999999</v>
      </c>
      <c r="C9" s="258">
        <f t="shared" ref="C9:AB9" si="8">(BC9/800)*10</f>
        <v>149.16249999999999</v>
      </c>
      <c r="D9" s="258">
        <f t="shared" si="8"/>
        <v>131.77500000000001</v>
      </c>
      <c r="E9" s="258">
        <f t="shared" si="8"/>
        <v>113.125</v>
      </c>
      <c r="F9" s="258">
        <f t="shared" si="8"/>
        <v>144.5</v>
      </c>
      <c r="G9" s="258">
        <f t="shared" si="8"/>
        <v>115.08749999999999</v>
      </c>
      <c r="H9" s="258">
        <f t="shared" si="8"/>
        <v>-26.912500000000001</v>
      </c>
      <c r="I9" s="258">
        <f t="shared" si="8"/>
        <v>-4.6624999999999996</v>
      </c>
      <c r="J9" s="258">
        <f t="shared" si="8"/>
        <v>-16.6875</v>
      </c>
      <c r="K9" s="258">
        <f t="shared" si="8"/>
        <v>21.6</v>
      </c>
      <c r="L9" s="258">
        <f t="shared" si="8"/>
        <v>17.4375</v>
      </c>
      <c r="M9" s="258">
        <f t="shared" si="8"/>
        <v>21.987500000000001</v>
      </c>
      <c r="N9" s="258">
        <f t="shared" si="8"/>
        <v>24.612500000000001</v>
      </c>
      <c r="O9" s="258">
        <f t="shared" si="8"/>
        <v>22.637499999999999</v>
      </c>
      <c r="P9" s="258">
        <f t="shared" si="8"/>
        <v>25.950000000000003</v>
      </c>
      <c r="Q9" s="258">
        <f t="shared" si="8"/>
        <v>3.0125000000000002</v>
      </c>
      <c r="R9" s="258">
        <f t="shared" si="8"/>
        <v>5.2</v>
      </c>
      <c r="S9" s="258">
        <f t="shared" si="8"/>
        <v>3.9624999999999999</v>
      </c>
      <c r="T9" s="258">
        <f t="shared" si="8"/>
        <v>161.63749999999999</v>
      </c>
      <c r="U9" s="258">
        <f t="shared" si="8"/>
        <v>166.6</v>
      </c>
      <c r="V9" s="258">
        <f t="shared" si="8"/>
        <v>153.76250000000002</v>
      </c>
      <c r="W9" s="258">
        <f t="shared" si="8"/>
        <v>137.73750000000001</v>
      </c>
      <c r="X9" s="258">
        <f t="shared" si="8"/>
        <v>167.13750000000002</v>
      </c>
      <c r="Y9" s="258">
        <f t="shared" si="8"/>
        <v>141.03749999999999</v>
      </c>
      <c r="Z9" s="258">
        <f t="shared" si="8"/>
        <v>-23.900000000000002</v>
      </c>
      <c r="AA9" s="258">
        <f t="shared" si="8"/>
        <v>0.53749999999999998</v>
      </c>
      <c r="AB9" s="258">
        <f t="shared" si="8"/>
        <v>-12.725</v>
      </c>
      <c r="AE9" s="259">
        <f t="shared" si="4"/>
        <v>80.781933410693568</v>
      </c>
      <c r="AF9" s="259">
        <f t="shared" si="5"/>
        <v>96.874214363529703</v>
      </c>
      <c r="AG9" s="259">
        <f t="shared" si="6"/>
        <v>87.336368810472393</v>
      </c>
      <c r="AH9" s="259"/>
      <c r="AI9" s="257">
        <v>80.781933410693568</v>
      </c>
      <c r="AN9" s="259">
        <f t="shared" si="1"/>
        <v>85.213827236872646</v>
      </c>
      <c r="AO9" s="259">
        <f t="shared" si="2"/>
        <v>100.32262905162067</v>
      </c>
      <c r="AP9" s="259">
        <f t="shared" si="3"/>
        <v>91.724250060970633</v>
      </c>
      <c r="AR9" s="257">
        <v>85.213827236872646</v>
      </c>
      <c r="AU9" s="257" t="s">
        <v>592</v>
      </c>
      <c r="AV9" s="257">
        <v>300</v>
      </c>
      <c r="AW9" s="257">
        <v>2</v>
      </c>
      <c r="AX9" s="257">
        <v>0</v>
      </c>
      <c r="AY9" s="257">
        <v>1</v>
      </c>
      <c r="AZ9" s="257">
        <f t="shared" si="7"/>
        <v>3</v>
      </c>
      <c r="BB9" s="257">
        <v>11203</v>
      </c>
      <c r="BC9" s="257">
        <v>11933</v>
      </c>
      <c r="BD9" s="257">
        <v>10542</v>
      </c>
      <c r="BE9" s="257">
        <v>9050</v>
      </c>
      <c r="BF9" s="257">
        <v>11560</v>
      </c>
      <c r="BG9" s="257">
        <v>9207</v>
      </c>
      <c r="BH9" s="257">
        <v>-2153</v>
      </c>
      <c r="BI9" s="257">
        <v>-373</v>
      </c>
      <c r="BJ9" s="257">
        <v>-1335</v>
      </c>
      <c r="BK9" s="257">
        <v>1728</v>
      </c>
      <c r="BL9" s="257">
        <v>1395</v>
      </c>
      <c r="BM9" s="257">
        <v>1759</v>
      </c>
      <c r="BN9" s="257">
        <v>1969</v>
      </c>
      <c r="BO9" s="257">
        <v>1811</v>
      </c>
      <c r="BP9" s="257">
        <v>2076</v>
      </c>
      <c r="BQ9" s="257">
        <v>241</v>
      </c>
      <c r="BR9" s="257">
        <v>416</v>
      </c>
      <c r="BS9" s="257">
        <v>317</v>
      </c>
      <c r="BT9" s="257">
        <v>12931</v>
      </c>
      <c r="BU9" s="257">
        <v>13328</v>
      </c>
      <c r="BV9" s="257">
        <v>12301</v>
      </c>
      <c r="BW9" s="257">
        <v>11019</v>
      </c>
      <c r="BX9" s="257">
        <v>13371</v>
      </c>
      <c r="BY9" s="257">
        <v>11283</v>
      </c>
      <c r="BZ9" s="257">
        <v>-1912</v>
      </c>
      <c r="CA9" s="257">
        <v>43</v>
      </c>
      <c r="CB9" s="257">
        <v>-1018</v>
      </c>
    </row>
    <row r="10" spans="1:80" s="257" customFormat="1">
      <c r="A10" s="257" t="s">
        <v>101</v>
      </c>
      <c r="B10" s="258">
        <v>1695</v>
      </c>
      <c r="C10" s="258">
        <v>2103</v>
      </c>
      <c r="D10" s="258">
        <v>1850</v>
      </c>
      <c r="E10" s="258">
        <v>1540</v>
      </c>
      <c r="F10" s="258">
        <v>1810</v>
      </c>
      <c r="G10" s="258">
        <v>1725</v>
      </c>
      <c r="H10" s="258">
        <v>-155</v>
      </c>
      <c r="I10" s="258">
        <v>-293</v>
      </c>
      <c r="J10" s="258">
        <v>-125</v>
      </c>
      <c r="K10" s="258">
        <v>218</v>
      </c>
      <c r="L10" s="258">
        <v>361</v>
      </c>
      <c r="M10" s="258">
        <v>242</v>
      </c>
      <c r="N10" s="258">
        <v>418</v>
      </c>
      <c r="O10" s="258">
        <v>410</v>
      </c>
      <c r="P10" s="258">
        <v>413</v>
      </c>
      <c r="Q10" s="258">
        <v>200</v>
      </c>
      <c r="R10" s="258">
        <v>49</v>
      </c>
      <c r="S10" s="258">
        <v>171</v>
      </c>
      <c r="T10" s="258">
        <v>1913</v>
      </c>
      <c r="U10" s="258">
        <v>2464</v>
      </c>
      <c r="V10" s="258">
        <v>2092</v>
      </c>
      <c r="W10" s="258">
        <v>1958</v>
      </c>
      <c r="X10" s="258">
        <v>2220</v>
      </c>
      <c r="Y10" s="258">
        <v>2138</v>
      </c>
      <c r="Z10" s="258">
        <v>45</v>
      </c>
      <c r="AA10" s="258">
        <v>-244</v>
      </c>
      <c r="AB10" s="258">
        <v>46</v>
      </c>
      <c r="AE10" s="259">
        <f t="shared" si="4"/>
        <v>90.855457227138643</v>
      </c>
      <c r="AF10" s="259">
        <f t="shared" si="5"/>
        <v>86.067522586780782</v>
      </c>
      <c r="AG10" s="259">
        <f t="shared" si="6"/>
        <v>93.243243243243242</v>
      </c>
      <c r="AH10" s="259"/>
      <c r="AI10" s="257">
        <v>90.855457227138643</v>
      </c>
      <c r="AN10" s="259">
        <f t="shared" si="1"/>
        <v>102.35232618923158</v>
      </c>
      <c r="AO10" s="259">
        <f t="shared" si="2"/>
        <v>90.097402597402592</v>
      </c>
      <c r="AP10" s="259">
        <f t="shared" si="3"/>
        <v>102.19885277246654</v>
      </c>
      <c r="AR10" s="257">
        <v>102.35232618923158</v>
      </c>
      <c r="AZ10" s="257">
        <f>SUM(AZ7:AZ9)</f>
        <v>279</v>
      </c>
      <c r="BA10" s="257">
        <f>AZ8/AZ10</f>
        <v>0.61290322580645162</v>
      </c>
    </row>
    <row r="11" spans="1:80" s="257" customFormat="1">
      <c r="A11" s="257" t="s">
        <v>102</v>
      </c>
      <c r="B11" s="258">
        <v>111</v>
      </c>
      <c r="C11" s="258">
        <v>111</v>
      </c>
      <c r="D11" s="258">
        <v>158</v>
      </c>
      <c r="E11" s="258">
        <v>111</v>
      </c>
      <c r="F11" s="258">
        <v>111</v>
      </c>
      <c r="G11" s="258">
        <v>158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8">
        <v>0</v>
      </c>
      <c r="Q11" s="258">
        <v>0</v>
      </c>
      <c r="R11" s="258">
        <v>0</v>
      </c>
      <c r="S11" s="258">
        <v>0</v>
      </c>
      <c r="T11" s="258">
        <v>111</v>
      </c>
      <c r="U11" s="258">
        <v>111</v>
      </c>
      <c r="V11" s="258">
        <v>158</v>
      </c>
      <c r="W11" s="258">
        <v>111</v>
      </c>
      <c r="X11" s="258">
        <v>111</v>
      </c>
      <c r="Y11" s="258">
        <v>158</v>
      </c>
      <c r="Z11" s="258">
        <v>0</v>
      </c>
      <c r="AA11" s="258">
        <v>0</v>
      </c>
      <c r="AB11" s="258">
        <v>0</v>
      </c>
      <c r="AE11" s="259">
        <f t="shared" si="4"/>
        <v>100</v>
      </c>
      <c r="AF11" s="259">
        <f t="shared" si="5"/>
        <v>100</v>
      </c>
      <c r="AG11" s="259">
        <f t="shared" si="6"/>
        <v>100</v>
      </c>
      <c r="AH11" s="259"/>
      <c r="AI11" s="257">
        <v>100</v>
      </c>
      <c r="AN11" s="259">
        <f t="shared" si="1"/>
        <v>100</v>
      </c>
      <c r="AO11" s="259">
        <f t="shared" si="2"/>
        <v>100</v>
      </c>
      <c r="AP11" s="259">
        <f t="shared" si="3"/>
        <v>100</v>
      </c>
      <c r="AR11" s="257">
        <v>100</v>
      </c>
    </row>
    <row r="12" spans="1:80" s="257" customFormat="1">
      <c r="A12" s="257" t="s">
        <v>103</v>
      </c>
      <c r="B12" s="258">
        <v>2297</v>
      </c>
      <c r="C12" s="258">
        <v>2513</v>
      </c>
      <c r="D12" s="258">
        <v>2502</v>
      </c>
      <c r="E12" s="258">
        <v>2879</v>
      </c>
      <c r="F12" s="258">
        <v>3696</v>
      </c>
      <c r="G12" s="258">
        <v>4188</v>
      </c>
      <c r="H12" s="258">
        <v>582</v>
      </c>
      <c r="I12" s="258">
        <v>1183</v>
      </c>
      <c r="J12" s="258">
        <v>1686</v>
      </c>
      <c r="K12" s="258">
        <v>0</v>
      </c>
      <c r="L12" s="258">
        <v>0</v>
      </c>
      <c r="M12" s="258">
        <v>0</v>
      </c>
      <c r="N12" s="258">
        <v>5</v>
      </c>
      <c r="O12" s="258">
        <v>10</v>
      </c>
      <c r="P12" s="258">
        <v>0</v>
      </c>
      <c r="Q12" s="258">
        <v>5</v>
      </c>
      <c r="R12" s="258">
        <v>10</v>
      </c>
      <c r="S12" s="258">
        <v>0</v>
      </c>
      <c r="T12" s="258">
        <v>2297</v>
      </c>
      <c r="U12" s="258">
        <v>2513</v>
      </c>
      <c r="V12" s="258">
        <v>2502</v>
      </c>
      <c r="W12" s="258">
        <v>2884</v>
      </c>
      <c r="X12" s="258">
        <v>3706</v>
      </c>
      <c r="Y12" s="258">
        <v>4188</v>
      </c>
      <c r="Z12" s="258">
        <v>587</v>
      </c>
      <c r="AA12" s="258">
        <v>1193</v>
      </c>
      <c r="AB12" s="258">
        <v>1686</v>
      </c>
      <c r="AE12" s="259">
        <f t="shared" si="4"/>
        <v>125.33739660426644</v>
      </c>
      <c r="AF12" s="259">
        <f t="shared" si="5"/>
        <v>147.07520891364902</v>
      </c>
      <c r="AG12" s="259">
        <f t="shared" si="6"/>
        <v>167.38609112709833</v>
      </c>
      <c r="AH12" s="259"/>
      <c r="AI12" s="257">
        <v>125.33739660426644</v>
      </c>
      <c r="AN12" s="259">
        <f t="shared" si="1"/>
        <v>125.55507183282542</v>
      </c>
      <c r="AO12" s="259">
        <f t="shared" si="2"/>
        <v>147.47313967369678</v>
      </c>
      <c r="AP12" s="259">
        <f t="shared" si="3"/>
        <v>167.38609112709833</v>
      </c>
      <c r="AR12" s="257">
        <v>125.55507183282542</v>
      </c>
    </row>
    <row r="13" spans="1:80" s="257" customFormat="1">
      <c r="A13" s="257" t="s">
        <v>104</v>
      </c>
      <c r="B13" s="258">
        <f>(BB13/1100)*25</f>
        <v>157.25</v>
      </c>
      <c r="C13" s="258">
        <f t="shared" ref="C13:AB13" si="9">(BC13/1100)*25</f>
        <v>142.22727272727275</v>
      </c>
      <c r="D13" s="258">
        <f t="shared" si="9"/>
        <v>173.43181818181819</v>
      </c>
      <c r="E13" s="258">
        <f t="shared" si="9"/>
        <v>146.36363636363637</v>
      </c>
      <c r="F13" s="258">
        <f t="shared" si="9"/>
        <v>147.20454545454544</v>
      </c>
      <c r="G13" s="258">
        <f t="shared" si="9"/>
        <v>215.40909090909093</v>
      </c>
      <c r="H13" s="258">
        <f t="shared" si="9"/>
        <v>-10.886363636363635</v>
      </c>
      <c r="I13" s="258">
        <f t="shared" si="9"/>
        <v>4.9772727272727275</v>
      </c>
      <c r="J13" s="258">
        <f t="shared" si="9"/>
        <v>41.977272727272727</v>
      </c>
      <c r="K13" s="258">
        <f t="shared" si="9"/>
        <v>6</v>
      </c>
      <c r="L13" s="258">
        <f t="shared" si="9"/>
        <v>5.2954545454545459</v>
      </c>
      <c r="M13" s="258">
        <f t="shared" si="9"/>
        <v>11.59090909090909</v>
      </c>
      <c r="N13" s="258">
        <f t="shared" si="9"/>
        <v>7.8181818181818183</v>
      </c>
      <c r="O13" s="258">
        <f t="shared" si="9"/>
        <v>7.2727272727272725</v>
      </c>
      <c r="P13" s="258">
        <f t="shared" si="9"/>
        <v>9.7727272727272734</v>
      </c>
      <c r="Q13" s="258">
        <f t="shared" si="9"/>
        <v>1.8181818181818181</v>
      </c>
      <c r="R13" s="258">
        <f t="shared" si="9"/>
        <v>1.9772727272727271</v>
      </c>
      <c r="S13" s="258">
        <f t="shared" si="9"/>
        <v>-1.8181818181818181</v>
      </c>
      <c r="T13" s="258">
        <f t="shared" si="9"/>
        <v>163.25</v>
      </c>
      <c r="U13" s="258">
        <f t="shared" si="9"/>
        <v>147.52272727272728</v>
      </c>
      <c r="V13" s="258">
        <f t="shared" si="9"/>
        <v>185.02272727272728</v>
      </c>
      <c r="W13" s="258">
        <f t="shared" si="9"/>
        <v>154.18181818181819</v>
      </c>
      <c r="X13" s="258">
        <f t="shared" si="9"/>
        <v>154.47727272727272</v>
      </c>
      <c r="Y13" s="258">
        <f t="shared" si="9"/>
        <v>225.18181818181819</v>
      </c>
      <c r="Z13" s="258">
        <f t="shared" si="9"/>
        <v>-9.0681818181818183</v>
      </c>
      <c r="AA13" s="258">
        <f t="shared" si="9"/>
        <v>6.954545454545455</v>
      </c>
      <c r="AB13" s="258">
        <f t="shared" si="9"/>
        <v>40.159090909090914</v>
      </c>
      <c r="AE13" s="259">
        <f t="shared" si="4"/>
        <v>93.077034253504848</v>
      </c>
      <c r="AF13" s="259">
        <f t="shared" si="5"/>
        <v>103.49952061361454</v>
      </c>
      <c r="AG13" s="259">
        <f t="shared" si="6"/>
        <v>124.20390512383699</v>
      </c>
      <c r="AH13" s="259"/>
      <c r="AI13" s="257">
        <v>93.077034253504848</v>
      </c>
      <c r="AN13" s="259">
        <f t="shared" si="1"/>
        <v>94.44521787553947</v>
      </c>
      <c r="AO13" s="259">
        <f t="shared" si="2"/>
        <v>104.71421968879986</v>
      </c>
      <c r="AP13" s="259">
        <f t="shared" si="3"/>
        <v>121.70495025181181</v>
      </c>
      <c r="AR13" s="257">
        <v>94.44521787553947</v>
      </c>
      <c r="BB13" s="257">
        <v>6919</v>
      </c>
      <c r="BC13" s="257">
        <v>6258</v>
      </c>
      <c r="BD13" s="257">
        <v>7631</v>
      </c>
      <c r="BE13" s="257">
        <v>6440</v>
      </c>
      <c r="BF13" s="257">
        <v>6477</v>
      </c>
      <c r="BG13" s="257">
        <v>9478</v>
      </c>
      <c r="BH13" s="257">
        <v>-479</v>
      </c>
      <c r="BI13" s="257">
        <v>219</v>
      </c>
      <c r="BJ13" s="257">
        <v>1847</v>
      </c>
      <c r="BK13" s="257">
        <v>264</v>
      </c>
      <c r="BL13" s="257">
        <v>233</v>
      </c>
      <c r="BM13" s="257">
        <v>510</v>
      </c>
      <c r="BN13" s="257">
        <v>344</v>
      </c>
      <c r="BO13" s="257">
        <v>320</v>
      </c>
      <c r="BP13" s="257">
        <v>430</v>
      </c>
      <c r="BQ13" s="257">
        <v>80</v>
      </c>
      <c r="BR13" s="257">
        <v>87</v>
      </c>
      <c r="BS13" s="257">
        <v>-80</v>
      </c>
      <c r="BT13" s="257">
        <v>7183</v>
      </c>
      <c r="BU13" s="257">
        <v>6491</v>
      </c>
      <c r="BV13" s="257">
        <v>8141</v>
      </c>
      <c r="BW13" s="257">
        <v>6784</v>
      </c>
      <c r="BX13" s="257">
        <v>6797</v>
      </c>
      <c r="BY13" s="257">
        <v>9908</v>
      </c>
      <c r="BZ13" s="257">
        <v>-399</v>
      </c>
      <c r="CA13" s="257">
        <v>306</v>
      </c>
      <c r="CB13" s="257">
        <v>1767</v>
      </c>
    </row>
    <row r="14" spans="1:80" s="257" customFormat="1">
      <c r="A14" s="257" t="s">
        <v>134</v>
      </c>
      <c r="B14" s="258">
        <v>2297</v>
      </c>
      <c r="C14" s="258">
        <v>2513</v>
      </c>
      <c r="D14" s="258">
        <v>2502</v>
      </c>
      <c r="E14" s="258">
        <v>2879</v>
      </c>
      <c r="F14" s="258">
        <v>3696</v>
      </c>
      <c r="G14" s="258">
        <v>4188</v>
      </c>
      <c r="H14" s="258">
        <v>582</v>
      </c>
      <c r="I14" s="258">
        <v>1183</v>
      </c>
      <c r="J14" s="258">
        <v>1686</v>
      </c>
      <c r="K14" s="258">
        <v>0</v>
      </c>
      <c r="L14" s="258">
        <v>0</v>
      </c>
      <c r="M14" s="258">
        <v>0</v>
      </c>
      <c r="N14" s="258">
        <v>5</v>
      </c>
      <c r="O14" s="258">
        <v>10</v>
      </c>
      <c r="P14" s="258">
        <v>0</v>
      </c>
      <c r="Q14" s="258">
        <v>5</v>
      </c>
      <c r="R14" s="258">
        <v>10</v>
      </c>
      <c r="S14" s="258">
        <v>0</v>
      </c>
      <c r="T14" s="258">
        <v>2297</v>
      </c>
      <c r="U14" s="258">
        <v>2513</v>
      </c>
      <c r="V14" s="258">
        <v>2502</v>
      </c>
      <c r="W14" s="258">
        <v>2884</v>
      </c>
      <c r="X14" s="258">
        <v>3706</v>
      </c>
      <c r="Y14" s="258">
        <v>4188</v>
      </c>
      <c r="Z14" s="258">
        <v>587</v>
      </c>
      <c r="AA14" s="258">
        <v>1193</v>
      </c>
      <c r="AB14" s="258">
        <v>1686</v>
      </c>
      <c r="AE14" s="259">
        <f t="shared" si="4"/>
        <v>125.33739660426644</v>
      </c>
      <c r="AF14" s="259">
        <f t="shared" si="5"/>
        <v>147.07520891364902</v>
      </c>
      <c r="AG14" s="259">
        <f t="shared" si="6"/>
        <v>167.38609112709833</v>
      </c>
      <c r="AH14" s="259"/>
      <c r="AI14" s="257">
        <v>125.33739660426644</v>
      </c>
      <c r="AN14" s="259">
        <f t="shared" si="1"/>
        <v>125.55507183282542</v>
      </c>
      <c r="AO14" s="259">
        <f t="shared" si="2"/>
        <v>147.47313967369678</v>
      </c>
      <c r="AP14" s="259">
        <f t="shared" si="3"/>
        <v>167.38609112709833</v>
      </c>
      <c r="AR14" s="257">
        <v>125.55507183282542</v>
      </c>
    </row>
    <row r="15" spans="1:80" s="260" customFormat="1">
      <c r="A15" s="260" t="s">
        <v>54</v>
      </c>
      <c r="B15" s="261">
        <v>15</v>
      </c>
      <c r="C15" s="261">
        <v>24</v>
      </c>
      <c r="D15" s="261">
        <v>12</v>
      </c>
      <c r="E15" s="261">
        <v>14</v>
      </c>
      <c r="F15" s="261">
        <v>18</v>
      </c>
      <c r="G15" s="261">
        <v>14</v>
      </c>
      <c r="H15" s="261">
        <v>-2</v>
      </c>
      <c r="I15" s="261">
        <v>-6</v>
      </c>
      <c r="J15" s="261">
        <v>2</v>
      </c>
      <c r="K15" s="261">
        <v>0</v>
      </c>
      <c r="L15" s="261">
        <v>0</v>
      </c>
      <c r="M15" s="261">
        <v>0</v>
      </c>
      <c r="N15" s="261">
        <v>0</v>
      </c>
      <c r="O15" s="261">
        <v>0</v>
      </c>
      <c r="P15" s="261">
        <v>0</v>
      </c>
      <c r="Q15" s="261">
        <v>0</v>
      </c>
      <c r="R15" s="261">
        <v>0</v>
      </c>
      <c r="S15" s="261">
        <v>0</v>
      </c>
      <c r="T15" s="261">
        <v>15</v>
      </c>
      <c r="U15" s="261">
        <v>24</v>
      </c>
      <c r="V15" s="261">
        <v>12</v>
      </c>
      <c r="W15" s="261">
        <v>14</v>
      </c>
      <c r="X15" s="261">
        <v>18</v>
      </c>
      <c r="Y15" s="261">
        <v>14</v>
      </c>
      <c r="Z15" s="261">
        <v>-1</v>
      </c>
      <c r="AA15" s="261">
        <v>-6</v>
      </c>
      <c r="AB15" s="261">
        <v>2</v>
      </c>
      <c r="AE15" s="262">
        <f t="shared" si="4"/>
        <v>93.333333333333329</v>
      </c>
      <c r="AF15" s="262">
        <f t="shared" si="5"/>
        <v>75</v>
      </c>
      <c r="AG15" s="262">
        <f t="shared" si="6"/>
        <v>116.66666666666667</v>
      </c>
      <c r="AH15" s="262"/>
      <c r="AI15" s="257">
        <v>84.520123839009287</v>
      </c>
      <c r="AN15" s="262">
        <f t="shared" si="1"/>
        <v>93.333333333333329</v>
      </c>
      <c r="AO15" s="262">
        <f t="shared" si="2"/>
        <v>75</v>
      </c>
      <c r="AP15" s="262">
        <f t="shared" si="3"/>
        <v>116.66666666666667</v>
      </c>
      <c r="AR15" s="257">
        <v>95.046439628482972</v>
      </c>
    </row>
    <row r="16" spans="1:80" s="260" customFormat="1">
      <c r="A16" s="260" t="s">
        <v>94</v>
      </c>
      <c r="B16" s="261">
        <v>969</v>
      </c>
      <c r="C16" s="261">
        <v>1637</v>
      </c>
      <c r="D16" s="261">
        <v>2009</v>
      </c>
      <c r="E16" s="261">
        <v>255</v>
      </c>
      <c r="F16" s="261">
        <v>1409</v>
      </c>
      <c r="G16" s="261">
        <v>1828</v>
      </c>
      <c r="H16" s="261">
        <v>-714</v>
      </c>
      <c r="I16" s="261">
        <v>-227</v>
      </c>
      <c r="J16" s="261">
        <v>-181</v>
      </c>
      <c r="K16" s="261">
        <v>0</v>
      </c>
      <c r="L16" s="261">
        <v>0</v>
      </c>
      <c r="M16" s="261">
        <v>0</v>
      </c>
      <c r="N16" s="261">
        <v>0</v>
      </c>
      <c r="O16" s="261">
        <v>0</v>
      </c>
      <c r="P16" s="261">
        <v>0</v>
      </c>
      <c r="Q16" s="261">
        <v>0</v>
      </c>
      <c r="R16" s="261">
        <v>0</v>
      </c>
      <c r="S16" s="261">
        <v>0</v>
      </c>
      <c r="T16" s="261">
        <v>969</v>
      </c>
      <c r="U16" s="261">
        <v>1637</v>
      </c>
      <c r="V16" s="261">
        <v>2009</v>
      </c>
      <c r="W16" s="261">
        <v>255</v>
      </c>
      <c r="X16" s="261">
        <v>1409</v>
      </c>
      <c r="Y16" s="261">
        <v>1828</v>
      </c>
      <c r="Z16" s="261">
        <v>-714</v>
      </c>
      <c r="AA16" s="261">
        <v>-228</v>
      </c>
      <c r="AB16" s="261">
        <v>-181</v>
      </c>
      <c r="AE16" s="262">
        <f t="shared" si="4"/>
        <v>26.315789473684209</v>
      </c>
      <c r="AF16" s="262">
        <f t="shared" si="5"/>
        <v>86.072083078802692</v>
      </c>
      <c r="AG16" s="262">
        <f t="shared" si="6"/>
        <v>90.990542558486808</v>
      </c>
      <c r="AH16" s="262"/>
      <c r="AI16" s="257">
        <v>90.566037735849065</v>
      </c>
      <c r="AN16" s="262">
        <f t="shared" si="1"/>
        <v>26.315789473684209</v>
      </c>
      <c r="AO16" s="262">
        <f t="shared" si="2"/>
        <v>86.072083078802692</v>
      </c>
      <c r="AP16" s="262">
        <f t="shared" si="3"/>
        <v>90.990542558486808</v>
      </c>
      <c r="AR16" s="257">
        <v>95.532194480946117</v>
      </c>
    </row>
    <row r="17" spans="1:80" s="263" customFormat="1">
      <c r="A17" s="263" t="s">
        <v>105</v>
      </c>
      <c r="B17" s="264">
        <v>71</v>
      </c>
      <c r="C17" s="264">
        <v>120</v>
      </c>
      <c r="D17" s="264">
        <v>95</v>
      </c>
      <c r="E17" s="264">
        <v>115</v>
      </c>
      <c r="F17" s="264">
        <v>57</v>
      </c>
      <c r="G17" s="264">
        <v>148</v>
      </c>
      <c r="H17" s="264">
        <v>44</v>
      </c>
      <c r="I17" s="264">
        <v>-63</v>
      </c>
      <c r="J17" s="264">
        <v>53</v>
      </c>
      <c r="K17" s="264">
        <v>0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71</v>
      </c>
      <c r="U17" s="264">
        <v>120</v>
      </c>
      <c r="V17" s="264">
        <v>95</v>
      </c>
      <c r="W17" s="264">
        <v>115</v>
      </c>
      <c r="X17" s="264">
        <v>57</v>
      </c>
      <c r="Y17" s="264">
        <v>148</v>
      </c>
      <c r="Z17" s="264">
        <v>44</v>
      </c>
      <c r="AA17" s="264">
        <v>-63</v>
      </c>
      <c r="AB17" s="264">
        <v>53</v>
      </c>
      <c r="AE17" s="265">
        <f t="shared" si="4"/>
        <v>161.97183098591549</v>
      </c>
      <c r="AF17" s="265">
        <f t="shared" si="5"/>
        <v>47.5</v>
      </c>
      <c r="AG17" s="265">
        <f t="shared" si="6"/>
        <v>155.78947368421052</v>
      </c>
      <c r="AH17" s="265"/>
      <c r="AI17" s="257">
        <v>103.53200883002206</v>
      </c>
      <c r="AN17" s="265">
        <f t="shared" si="1"/>
        <v>161.97183098591549</v>
      </c>
      <c r="AO17" s="265">
        <f t="shared" si="2"/>
        <v>47.5</v>
      </c>
      <c r="AP17" s="265">
        <f t="shared" si="3"/>
        <v>155.78947368421052</v>
      </c>
      <c r="AR17" s="257">
        <v>103.53200883002206</v>
      </c>
    </row>
    <row r="18" spans="1:80" s="266" customFormat="1">
      <c r="A18" s="266" t="s">
        <v>55</v>
      </c>
      <c r="B18" s="267">
        <v>4481</v>
      </c>
      <c r="C18" s="267">
        <v>6426</v>
      </c>
      <c r="D18" s="267">
        <v>5859</v>
      </c>
      <c r="E18" s="267">
        <v>4397</v>
      </c>
      <c r="F18" s="267">
        <v>6040</v>
      </c>
      <c r="G18" s="267">
        <v>5510</v>
      </c>
      <c r="H18" s="267">
        <v>-85</v>
      </c>
      <c r="I18" s="267">
        <v>-386</v>
      </c>
      <c r="J18" s="267">
        <v>-349</v>
      </c>
      <c r="K18" s="267">
        <v>0</v>
      </c>
      <c r="L18" s="267">
        <v>250</v>
      </c>
      <c r="M18" s="267">
        <v>78</v>
      </c>
      <c r="N18" s="267">
        <v>0</v>
      </c>
      <c r="O18" s="267">
        <v>245</v>
      </c>
      <c r="P18" s="267">
        <v>79</v>
      </c>
      <c r="Q18" s="267">
        <v>0</v>
      </c>
      <c r="R18" s="267">
        <v>-5</v>
      </c>
      <c r="S18" s="267">
        <v>1</v>
      </c>
      <c r="T18" s="267">
        <v>4481</v>
      </c>
      <c r="U18" s="267">
        <v>6676</v>
      </c>
      <c r="V18" s="267">
        <v>5937</v>
      </c>
      <c r="W18" s="267">
        <v>4397</v>
      </c>
      <c r="X18" s="267">
        <v>6285</v>
      </c>
      <c r="Y18" s="267">
        <v>5589</v>
      </c>
      <c r="Z18" s="267">
        <v>-84</v>
      </c>
      <c r="AA18" s="267">
        <v>-391</v>
      </c>
      <c r="AB18" s="267">
        <v>-348</v>
      </c>
      <c r="AE18" s="268">
        <f t="shared" si="4"/>
        <v>98.125418433385406</v>
      </c>
      <c r="AF18" s="268">
        <f t="shared" si="5"/>
        <v>93.993152816682226</v>
      </c>
      <c r="AG18" s="268">
        <f t="shared" si="6"/>
        <v>94.043352107868245</v>
      </c>
      <c r="AH18" s="268"/>
      <c r="AI18" s="257">
        <v>94.143417108600417</v>
      </c>
      <c r="AN18" s="268">
        <f t="shared" si="1"/>
        <v>98.125418433385406</v>
      </c>
      <c r="AO18" s="268">
        <f t="shared" si="2"/>
        <v>94.143199520671061</v>
      </c>
      <c r="AP18" s="268">
        <f t="shared" si="3"/>
        <v>94.13845376452754</v>
      </c>
      <c r="AR18" s="257">
        <v>99.861655522250402</v>
      </c>
    </row>
    <row r="19" spans="1:80" s="266" customFormat="1">
      <c r="A19" s="266" t="s">
        <v>56</v>
      </c>
      <c r="B19" s="267">
        <f>(BB19/535)*80</f>
        <v>479.25233644859816</v>
      </c>
      <c r="C19" s="267">
        <f t="shared" ref="C19:AB19" si="10">(BC19/535)*80</f>
        <v>540.41121495327104</v>
      </c>
      <c r="D19" s="267">
        <f t="shared" si="10"/>
        <v>618.01869158878503</v>
      </c>
      <c r="E19" s="267">
        <f t="shared" si="10"/>
        <v>449.34579439252337</v>
      </c>
      <c r="F19" s="267">
        <f t="shared" si="10"/>
        <v>533.08411214953276</v>
      </c>
      <c r="G19" s="267">
        <f t="shared" si="10"/>
        <v>591.70093457943926</v>
      </c>
      <c r="H19" s="267">
        <f t="shared" si="10"/>
        <v>-29.906542056074766</v>
      </c>
      <c r="I19" s="267">
        <f t="shared" si="10"/>
        <v>-7.3271028037383177</v>
      </c>
      <c r="J19" s="267">
        <f t="shared" si="10"/>
        <v>-26.317757009345794</v>
      </c>
      <c r="K19" s="267">
        <f t="shared" si="10"/>
        <v>0</v>
      </c>
      <c r="L19" s="267">
        <f t="shared" si="10"/>
        <v>2.2429906542056073</v>
      </c>
      <c r="M19" s="267">
        <f t="shared" si="10"/>
        <v>0.2990654205607477</v>
      </c>
      <c r="N19" s="267">
        <f t="shared" si="10"/>
        <v>44.261682242990652</v>
      </c>
      <c r="O19" s="267">
        <f t="shared" si="10"/>
        <v>46.953271028037385</v>
      </c>
      <c r="P19" s="267">
        <f t="shared" si="10"/>
        <v>45.158878504672899</v>
      </c>
      <c r="Q19" s="267">
        <f t="shared" si="10"/>
        <v>0</v>
      </c>
      <c r="R19" s="267">
        <f t="shared" si="10"/>
        <v>44.710280373831779</v>
      </c>
      <c r="S19" s="267">
        <f t="shared" si="10"/>
        <v>44.859813084112147</v>
      </c>
      <c r="T19" s="267">
        <f t="shared" si="10"/>
        <v>479.25233644859816</v>
      </c>
      <c r="U19" s="267">
        <f t="shared" si="10"/>
        <v>542.65420560747668</v>
      </c>
      <c r="V19" s="267">
        <f t="shared" si="10"/>
        <v>618.31775700934577</v>
      </c>
      <c r="W19" s="267">
        <f t="shared" si="10"/>
        <v>493.60747663551399</v>
      </c>
      <c r="X19" s="267">
        <f t="shared" si="10"/>
        <v>580.03738317757006</v>
      </c>
      <c r="Y19" s="267">
        <f t="shared" si="10"/>
        <v>636.85981308411215</v>
      </c>
      <c r="Z19" s="267">
        <f t="shared" si="10"/>
        <v>14.355140186915886</v>
      </c>
      <c r="AA19" s="267">
        <f t="shared" si="10"/>
        <v>37.383177570093459</v>
      </c>
      <c r="AB19" s="267">
        <f t="shared" si="10"/>
        <v>18.542056074766357</v>
      </c>
      <c r="AE19" s="268">
        <f t="shared" si="4"/>
        <v>93.759750390015597</v>
      </c>
      <c r="AF19" s="268">
        <f t="shared" si="5"/>
        <v>98.644161593801883</v>
      </c>
      <c r="AG19" s="268">
        <f t="shared" si="6"/>
        <v>95.741592063876126</v>
      </c>
      <c r="AH19" s="268"/>
      <c r="AI19" s="257">
        <v>91.839866090110206</v>
      </c>
      <c r="AN19" s="268">
        <f t="shared" si="1"/>
        <v>102.9953198127925</v>
      </c>
      <c r="AO19" s="268">
        <f t="shared" si="2"/>
        <v>106.88895012400108</v>
      </c>
      <c r="AP19" s="268">
        <f t="shared" si="3"/>
        <v>102.99879081015719</v>
      </c>
      <c r="AR19" s="257">
        <v>95.988170245595981</v>
      </c>
      <c r="BB19" s="266">
        <v>3205</v>
      </c>
      <c r="BC19" s="266">
        <v>3614</v>
      </c>
      <c r="BD19" s="266">
        <v>4133</v>
      </c>
      <c r="BE19" s="266">
        <v>3005</v>
      </c>
      <c r="BF19" s="266">
        <v>3565</v>
      </c>
      <c r="BG19" s="266">
        <v>3957</v>
      </c>
      <c r="BH19" s="266">
        <v>-200</v>
      </c>
      <c r="BI19" s="266">
        <v>-49</v>
      </c>
      <c r="BJ19" s="266">
        <v>-176</v>
      </c>
      <c r="BK19" s="266">
        <v>0</v>
      </c>
      <c r="BL19" s="266">
        <v>15</v>
      </c>
      <c r="BM19" s="266">
        <v>2</v>
      </c>
      <c r="BN19" s="266">
        <v>296</v>
      </c>
      <c r="BO19" s="266">
        <v>314</v>
      </c>
      <c r="BP19" s="266">
        <v>302</v>
      </c>
      <c r="BQ19" s="266">
        <v>0</v>
      </c>
      <c r="BR19" s="266">
        <v>299</v>
      </c>
      <c r="BS19" s="266">
        <v>300</v>
      </c>
      <c r="BT19" s="266">
        <v>3205</v>
      </c>
      <c r="BU19" s="266">
        <v>3629</v>
      </c>
      <c r="BV19" s="266">
        <v>4135</v>
      </c>
      <c r="BW19" s="266">
        <v>3301</v>
      </c>
      <c r="BX19" s="266">
        <v>3879</v>
      </c>
      <c r="BY19" s="266">
        <v>4259</v>
      </c>
      <c r="BZ19" s="266">
        <v>96</v>
      </c>
      <c r="CA19" s="266">
        <v>250</v>
      </c>
      <c r="CB19" s="266">
        <v>124</v>
      </c>
    </row>
    <row r="20" spans="1:80" s="266" customFormat="1">
      <c r="A20" s="266" t="s">
        <v>57</v>
      </c>
      <c r="B20" s="267">
        <v>2272</v>
      </c>
      <c r="C20" s="267">
        <v>2298</v>
      </c>
      <c r="D20" s="267">
        <v>1976</v>
      </c>
      <c r="E20" s="267">
        <v>1617</v>
      </c>
      <c r="F20" s="267">
        <v>2080</v>
      </c>
      <c r="G20" s="267">
        <v>1952</v>
      </c>
      <c r="H20" s="267">
        <v>-655</v>
      </c>
      <c r="I20" s="267">
        <v>-218</v>
      </c>
      <c r="J20" s="267">
        <v>-24</v>
      </c>
      <c r="K20" s="267">
        <v>82</v>
      </c>
      <c r="L20" s="267">
        <v>133</v>
      </c>
      <c r="M20" s="267">
        <v>187</v>
      </c>
      <c r="N20" s="267">
        <v>379</v>
      </c>
      <c r="O20" s="267">
        <v>540</v>
      </c>
      <c r="P20" s="267">
        <v>471</v>
      </c>
      <c r="Q20" s="267">
        <v>297</v>
      </c>
      <c r="R20" s="267">
        <v>432</v>
      </c>
      <c r="S20" s="267">
        <v>284</v>
      </c>
      <c r="T20" s="267">
        <v>2354</v>
      </c>
      <c r="U20" s="267">
        <v>2431</v>
      </c>
      <c r="V20" s="267">
        <v>2163</v>
      </c>
      <c r="W20" s="267">
        <v>1996</v>
      </c>
      <c r="X20" s="267">
        <v>2620</v>
      </c>
      <c r="Y20" s="267">
        <v>2423</v>
      </c>
      <c r="Z20" s="267">
        <v>-358</v>
      </c>
      <c r="AA20" s="267">
        <v>189</v>
      </c>
      <c r="AB20" s="267">
        <v>260</v>
      </c>
      <c r="AE20" s="268">
        <f t="shared" si="4"/>
        <v>71.170774647887328</v>
      </c>
      <c r="AF20" s="268">
        <f t="shared" si="5"/>
        <v>90.51348999129678</v>
      </c>
      <c r="AG20" s="268">
        <f t="shared" si="6"/>
        <v>98.785425101214571</v>
      </c>
      <c r="AH20" s="268"/>
      <c r="AI20" s="257">
        <v>99.344978165938869</v>
      </c>
      <c r="AN20" s="268">
        <f t="shared" si="1"/>
        <v>84.791843670348342</v>
      </c>
      <c r="AO20" s="268">
        <f t="shared" si="2"/>
        <v>107.77457836281366</v>
      </c>
      <c r="AP20" s="268">
        <f t="shared" si="3"/>
        <v>112.02034211742951</v>
      </c>
      <c r="AR20" s="257">
        <v>99.344978165938869</v>
      </c>
    </row>
    <row r="21" spans="1:80" s="266" customFormat="1">
      <c r="A21" s="266" t="s">
        <v>58</v>
      </c>
      <c r="B21" s="267">
        <v>897</v>
      </c>
      <c r="C21" s="267">
        <v>1125</v>
      </c>
      <c r="D21" s="267">
        <v>1414</v>
      </c>
      <c r="E21" s="267">
        <v>872</v>
      </c>
      <c r="F21" s="267">
        <v>1139</v>
      </c>
      <c r="G21" s="267">
        <v>1504</v>
      </c>
      <c r="H21" s="267">
        <v>-25</v>
      </c>
      <c r="I21" s="267">
        <v>14</v>
      </c>
      <c r="J21" s="267">
        <v>89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897</v>
      </c>
      <c r="U21" s="267">
        <v>1125</v>
      </c>
      <c r="V21" s="267">
        <v>1414</v>
      </c>
      <c r="W21" s="267">
        <v>872</v>
      </c>
      <c r="X21" s="267">
        <v>1139</v>
      </c>
      <c r="Y21" s="267">
        <v>1504</v>
      </c>
      <c r="Z21" s="267">
        <v>-25</v>
      </c>
      <c r="AA21" s="267">
        <v>14</v>
      </c>
      <c r="AB21" s="267">
        <v>90</v>
      </c>
      <c r="AE21" s="268">
        <f t="shared" si="4"/>
        <v>97.212931995540686</v>
      </c>
      <c r="AF21" s="268">
        <f t="shared" si="5"/>
        <v>101.24444444444445</v>
      </c>
      <c r="AG21" s="268">
        <f t="shared" si="6"/>
        <v>106.36492220650638</v>
      </c>
      <c r="AH21" s="268"/>
      <c r="AI21" s="257">
        <v>99.464459591041859</v>
      </c>
      <c r="AN21" s="268">
        <f t="shared" si="1"/>
        <v>97.212931995540686</v>
      </c>
      <c r="AO21" s="268">
        <f t="shared" si="2"/>
        <v>101.24444444444445</v>
      </c>
      <c r="AP21" s="268">
        <f t="shared" si="3"/>
        <v>106.36492220650638</v>
      </c>
      <c r="AR21" s="257">
        <v>105.96917733883222</v>
      </c>
    </row>
    <row r="22" spans="1:80" s="266" customFormat="1">
      <c r="A22" s="266" t="s">
        <v>82</v>
      </c>
      <c r="B22" s="267">
        <v>30</v>
      </c>
      <c r="C22" s="267">
        <v>108</v>
      </c>
      <c r="D22" s="267">
        <v>260</v>
      </c>
      <c r="E22" s="267">
        <v>65</v>
      </c>
      <c r="F22" s="267">
        <v>163</v>
      </c>
      <c r="G22" s="267">
        <v>350</v>
      </c>
      <c r="H22" s="267">
        <v>35</v>
      </c>
      <c r="I22" s="267">
        <v>55</v>
      </c>
      <c r="J22" s="267">
        <v>90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30</v>
      </c>
      <c r="U22" s="267">
        <v>108</v>
      </c>
      <c r="V22" s="267">
        <v>260</v>
      </c>
      <c r="W22" s="267">
        <v>65</v>
      </c>
      <c r="X22" s="267">
        <v>163</v>
      </c>
      <c r="Y22" s="267">
        <v>350</v>
      </c>
      <c r="Z22" s="267">
        <v>35</v>
      </c>
      <c r="AA22" s="267">
        <v>55</v>
      </c>
      <c r="AB22" s="267">
        <v>90</v>
      </c>
      <c r="AE22" s="268">
        <f t="shared" si="4"/>
        <v>216.66666666666666</v>
      </c>
      <c r="AF22" s="268">
        <f t="shared" si="5"/>
        <v>150.92592592592592</v>
      </c>
      <c r="AG22" s="268">
        <f t="shared" si="6"/>
        <v>134.61538461538461</v>
      </c>
      <c r="AH22" s="268"/>
      <c r="AI22" s="257">
        <v>96.874214363529703</v>
      </c>
      <c r="AN22" s="268">
        <f t="shared" si="1"/>
        <v>216.66666666666666</v>
      </c>
      <c r="AO22" s="268">
        <f t="shared" si="2"/>
        <v>150.92592592592592</v>
      </c>
      <c r="AP22" s="268">
        <f t="shared" si="3"/>
        <v>134.61538461538461</v>
      </c>
      <c r="AR22" s="257">
        <v>100.32262905162067</v>
      </c>
    </row>
    <row r="23" spans="1:80" s="266" customFormat="1">
      <c r="A23" s="266" t="s">
        <v>106</v>
      </c>
      <c r="B23" s="267">
        <f>(BB23/326)*19</f>
        <v>35.144171779141104</v>
      </c>
      <c r="C23" s="267">
        <f t="shared" ref="C23:AB23" si="11">(BC23/326)*19</f>
        <v>55.659509202453989</v>
      </c>
      <c r="D23" s="267">
        <f t="shared" si="11"/>
        <v>65.567484662576689</v>
      </c>
      <c r="E23" s="267">
        <f t="shared" si="11"/>
        <v>34.561349693251529</v>
      </c>
      <c r="F23" s="267">
        <f t="shared" si="11"/>
        <v>50.239263803680977</v>
      </c>
      <c r="G23" s="267">
        <f t="shared" si="11"/>
        <v>54.20245398773006</v>
      </c>
      <c r="H23" s="267">
        <f t="shared" si="11"/>
        <v>-0.58282208588957052</v>
      </c>
      <c r="I23" s="267">
        <f t="shared" si="11"/>
        <v>-5.4202453987730062</v>
      </c>
      <c r="J23" s="267">
        <f t="shared" si="11"/>
        <v>-11.365030674846626</v>
      </c>
      <c r="K23" s="267">
        <f t="shared" si="11"/>
        <v>0</v>
      </c>
      <c r="L23" s="267">
        <f t="shared" si="11"/>
        <v>0</v>
      </c>
      <c r="M23" s="267">
        <f t="shared" si="11"/>
        <v>0.17484662576687118</v>
      </c>
      <c r="N23" s="267">
        <f t="shared" si="11"/>
        <v>2.4478527607361964</v>
      </c>
      <c r="O23" s="267">
        <f t="shared" si="11"/>
        <v>3.7883435582822083</v>
      </c>
      <c r="P23" s="267">
        <f t="shared" si="11"/>
        <v>6.1779141104294482</v>
      </c>
      <c r="Q23" s="267">
        <f t="shared" si="11"/>
        <v>2.4478527607361964</v>
      </c>
      <c r="R23" s="267">
        <f t="shared" si="11"/>
        <v>3.7883435582822083</v>
      </c>
      <c r="S23" s="267">
        <f t="shared" si="11"/>
        <v>6.0030674846625764</v>
      </c>
      <c r="T23" s="267">
        <f t="shared" si="11"/>
        <v>35.144171779141104</v>
      </c>
      <c r="U23" s="267">
        <f t="shared" si="11"/>
        <v>55.659509202453989</v>
      </c>
      <c r="V23" s="267">
        <f t="shared" si="11"/>
        <v>65.742331288343564</v>
      </c>
      <c r="W23" s="267">
        <f t="shared" si="11"/>
        <v>37.009202453987733</v>
      </c>
      <c r="X23" s="267">
        <f t="shared" si="11"/>
        <v>54.027607361963184</v>
      </c>
      <c r="Y23" s="267">
        <f t="shared" si="11"/>
        <v>60.380368098159508</v>
      </c>
      <c r="Z23" s="267">
        <f t="shared" si="11"/>
        <v>1.8650306748466259</v>
      </c>
      <c r="AA23" s="267">
        <f t="shared" si="11"/>
        <v>-1.6319018404907977</v>
      </c>
      <c r="AB23" s="267">
        <f t="shared" si="11"/>
        <v>-5.3619631901840483</v>
      </c>
      <c r="AE23" s="268">
        <f t="shared" si="4"/>
        <v>98.341625207296829</v>
      </c>
      <c r="AF23" s="268">
        <f t="shared" si="5"/>
        <v>90.261780104712031</v>
      </c>
      <c r="AG23" s="268">
        <f t="shared" si="6"/>
        <v>82.666666666666671</v>
      </c>
      <c r="AH23" s="268"/>
      <c r="AI23" s="257">
        <v>86.067522586780782</v>
      </c>
      <c r="AN23" s="268">
        <f t="shared" si="1"/>
        <v>105.3067993366501</v>
      </c>
      <c r="AO23" s="268">
        <f t="shared" si="2"/>
        <v>97.06806282722512</v>
      </c>
      <c r="AP23" s="268">
        <f t="shared" si="3"/>
        <v>91.843971631205662</v>
      </c>
      <c r="AR23" s="257">
        <v>90.097402597402592</v>
      </c>
      <c r="BB23" s="266">
        <v>603</v>
      </c>
      <c r="BC23" s="266">
        <v>955</v>
      </c>
      <c r="BD23" s="266">
        <v>1125</v>
      </c>
      <c r="BE23" s="266">
        <v>593</v>
      </c>
      <c r="BF23" s="266">
        <v>862</v>
      </c>
      <c r="BG23" s="266">
        <v>930</v>
      </c>
      <c r="BH23" s="266">
        <v>-10</v>
      </c>
      <c r="BI23" s="266">
        <v>-93</v>
      </c>
      <c r="BJ23" s="266">
        <v>-195</v>
      </c>
      <c r="BK23" s="266">
        <v>0</v>
      </c>
      <c r="BL23" s="266">
        <v>0</v>
      </c>
      <c r="BM23" s="266">
        <v>3</v>
      </c>
      <c r="BN23" s="266">
        <v>42</v>
      </c>
      <c r="BO23" s="266">
        <v>65</v>
      </c>
      <c r="BP23" s="266">
        <v>106</v>
      </c>
      <c r="BQ23" s="266">
        <v>42</v>
      </c>
      <c r="BR23" s="266">
        <v>65</v>
      </c>
      <c r="BS23" s="266">
        <v>103</v>
      </c>
      <c r="BT23" s="266">
        <v>603</v>
      </c>
      <c r="BU23" s="266">
        <v>955</v>
      </c>
      <c r="BV23" s="266">
        <v>1128</v>
      </c>
      <c r="BW23" s="266">
        <v>635</v>
      </c>
      <c r="BX23" s="266">
        <v>927</v>
      </c>
      <c r="BY23" s="266">
        <v>1036</v>
      </c>
      <c r="BZ23" s="266">
        <v>32</v>
      </c>
      <c r="CA23" s="266">
        <v>-28</v>
      </c>
      <c r="CB23" s="266">
        <v>-92</v>
      </c>
    </row>
    <row r="24" spans="1:80" s="266" customFormat="1">
      <c r="A24" s="266" t="s">
        <v>107</v>
      </c>
      <c r="B24" s="267">
        <v>393</v>
      </c>
      <c r="C24" s="267">
        <v>471</v>
      </c>
      <c r="D24" s="267">
        <v>992</v>
      </c>
      <c r="E24" s="267">
        <v>275</v>
      </c>
      <c r="F24" s="267">
        <v>559</v>
      </c>
      <c r="G24" s="267">
        <v>1082</v>
      </c>
      <c r="H24" s="267">
        <v>-118</v>
      </c>
      <c r="I24" s="267">
        <v>88</v>
      </c>
      <c r="J24" s="267">
        <v>90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393</v>
      </c>
      <c r="U24" s="267">
        <v>471</v>
      </c>
      <c r="V24" s="267">
        <v>992</v>
      </c>
      <c r="W24" s="267">
        <v>275</v>
      </c>
      <c r="X24" s="267">
        <v>559</v>
      </c>
      <c r="Y24" s="267">
        <v>1082</v>
      </c>
      <c r="Z24" s="267">
        <v>-118</v>
      </c>
      <c r="AA24" s="267">
        <v>88</v>
      </c>
      <c r="AB24" s="267">
        <v>90</v>
      </c>
      <c r="AE24" s="268">
        <f t="shared" si="4"/>
        <v>69.974554707379127</v>
      </c>
      <c r="AF24" s="268">
        <f t="shared" si="5"/>
        <v>118.68365180467092</v>
      </c>
      <c r="AG24" s="268">
        <f t="shared" si="6"/>
        <v>109.0725806451613</v>
      </c>
      <c r="AH24" s="268"/>
      <c r="AI24" s="257">
        <v>100</v>
      </c>
      <c r="AN24" s="268">
        <f t="shared" si="1"/>
        <v>69.974554707379127</v>
      </c>
      <c r="AO24" s="268">
        <f t="shared" si="2"/>
        <v>118.68365180467092</v>
      </c>
      <c r="AP24" s="268">
        <f t="shared" si="3"/>
        <v>109.0725806451613</v>
      </c>
      <c r="AR24" s="257">
        <v>100</v>
      </c>
    </row>
    <row r="25" spans="1:80" s="266" customFormat="1">
      <c r="A25" s="266" t="s">
        <v>108</v>
      </c>
      <c r="B25" s="267">
        <v>346</v>
      </c>
      <c r="C25" s="267">
        <v>405</v>
      </c>
      <c r="D25" s="267">
        <v>485</v>
      </c>
      <c r="E25" s="267">
        <v>424</v>
      </c>
      <c r="F25" s="267">
        <v>415</v>
      </c>
      <c r="G25" s="267">
        <v>485</v>
      </c>
      <c r="H25" s="267">
        <v>78</v>
      </c>
      <c r="I25" s="267">
        <v>10</v>
      </c>
      <c r="J25" s="267">
        <v>0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346</v>
      </c>
      <c r="U25" s="267">
        <v>405</v>
      </c>
      <c r="V25" s="267">
        <v>485</v>
      </c>
      <c r="W25" s="267">
        <v>424</v>
      </c>
      <c r="X25" s="267">
        <v>415</v>
      </c>
      <c r="Y25" s="267">
        <v>485</v>
      </c>
      <c r="Z25" s="267">
        <v>78</v>
      </c>
      <c r="AA25" s="267">
        <v>10</v>
      </c>
      <c r="AB25" s="267">
        <v>0</v>
      </c>
      <c r="AE25" s="268">
        <f t="shared" si="4"/>
        <v>122.54335260115607</v>
      </c>
      <c r="AF25" s="268">
        <f t="shared" si="5"/>
        <v>102.46913580246914</v>
      </c>
      <c r="AG25" s="268">
        <f t="shared" si="6"/>
        <v>100</v>
      </c>
      <c r="AH25" s="268"/>
      <c r="AI25" s="257">
        <v>147.07520891364902</v>
      </c>
      <c r="AN25" s="268">
        <f t="shared" si="1"/>
        <v>122.54335260115607</v>
      </c>
      <c r="AO25" s="268">
        <f t="shared" si="2"/>
        <v>102.46913580246914</v>
      </c>
      <c r="AP25" s="268">
        <f t="shared" si="3"/>
        <v>100</v>
      </c>
      <c r="AR25" s="257">
        <v>147.47313967369678</v>
      </c>
    </row>
    <row r="26" spans="1:80" s="266" customFormat="1">
      <c r="A26" s="266" t="s">
        <v>109</v>
      </c>
      <c r="B26" s="267">
        <v>449</v>
      </c>
      <c r="C26" s="267">
        <v>864</v>
      </c>
      <c r="D26" s="267">
        <v>948</v>
      </c>
      <c r="E26" s="267">
        <v>554</v>
      </c>
      <c r="F26" s="267">
        <v>880</v>
      </c>
      <c r="G26" s="267">
        <v>1113</v>
      </c>
      <c r="H26" s="267">
        <v>105</v>
      </c>
      <c r="I26" s="267">
        <v>16</v>
      </c>
      <c r="J26" s="267">
        <v>165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449</v>
      </c>
      <c r="U26" s="267">
        <v>864</v>
      </c>
      <c r="V26" s="267">
        <v>948</v>
      </c>
      <c r="W26" s="267">
        <v>554</v>
      </c>
      <c r="X26" s="267">
        <v>880</v>
      </c>
      <c r="Y26" s="267">
        <v>1113</v>
      </c>
      <c r="Z26" s="267">
        <v>105</v>
      </c>
      <c r="AA26" s="267">
        <v>16</v>
      </c>
      <c r="AB26" s="267">
        <v>165</v>
      </c>
      <c r="AE26" s="268">
        <f t="shared" si="4"/>
        <v>123.38530066815146</v>
      </c>
      <c r="AF26" s="268">
        <f t="shared" si="5"/>
        <v>101.85185185185186</v>
      </c>
      <c r="AG26" s="268">
        <f t="shared" si="6"/>
        <v>117.40506329113924</v>
      </c>
      <c r="AH26" s="268"/>
      <c r="AI26" s="257">
        <v>103.49952061361454</v>
      </c>
      <c r="AN26" s="268">
        <f t="shared" si="1"/>
        <v>123.38530066815146</v>
      </c>
      <c r="AO26" s="268">
        <f t="shared" si="2"/>
        <v>101.85185185185186</v>
      </c>
      <c r="AP26" s="268">
        <f t="shared" si="3"/>
        <v>117.40506329113924</v>
      </c>
      <c r="AR26" s="257">
        <v>104.71421968879986</v>
      </c>
    </row>
    <row r="27" spans="1:80" s="266" customFormat="1">
      <c r="A27" s="266" t="s">
        <v>136</v>
      </c>
      <c r="B27" s="267">
        <v>1707</v>
      </c>
      <c r="C27" s="267">
        <v>1823</v>
      </c>
      <c r="D27" s="267">
        <v>1841</v>
      </c>
      <c r="E27" s="267">
        <v>1389</v>
      </c>
      <c r="F27" s="267">
        <v>1736</v>
      </c>
      <c r="G27" s="267">
        <v>1853</v>
      </c>
      <c r="H27" s="267">
        <v>-318</v>
      </c>
      <c r="I27" s="267">
        <v>-87</v>
      </c>
      <c r="J27" s="267">
        <v>12</v>
      </c>
      <c r="K27" s="267">
        <v>31</v>
      </c>
      <c r="L27" s="267">
        <v>31</v>
      </c>
      <c r="M27" s="267">
        <v>0</v>
      </c>
      <c r="N27" s="267">
        <v>93</v>
      </c>
      <c r="O27" s="267">
        <v>33</v>
      </c>
      <c r="P27" s="267">
        <v>190</v>
      </c>
      <c r="Q27" s="267">
        <v>62</v>
      </c>
      <c r="R27" s="267">
        <v>2</v>
      </c>
      <c r="S27" s="267">
        <v>190</v>
      </c>
      <c r="T27" s="267">
        <v>1738</v>
      </c>
      <c r="U27" s="267">
        <v>1854</v>
      </c>
      <c r="V27" s="267">
        <v>1841</v>
      </c>
      <c r="W27" s="267">
        <v>1482</v>
      </c>
      <c r="X27" s="267">
        <v>1769</v>
      </c>
      <c r="Y27" s="267">
        <v>2043</v>
      </c>
      <c r="Z27" s="267">
        <v>-256</v>
      </c>
      <c r="AA27" s="267">
        <v>-85</v>
      </c>
      <c r="AB27" s="267">
        <v>202</v>
      </c>
      <c r="AE27" s="268">
        <f t="shared" si="4"/>
        <v>81.370826010544818</v>
      </c>
      <c r="AF27" s="268">
        <f t="shared" si="5"/>
        <v>95.227646736149211</v>
      </c>
      <c r="AG27" s="268">
        <f t="shared" si="6"/>
        <v>100.65181966322652</v>
      </c>
      <c r="AH27" s="268"/>
      <c r="AI27" s="257">
        <v>147.07520891364902</v>
      </c>
      <c r="AN27" s="268">
        <f t="shared" si="1"/>
        <v>85.270425776754891</v>
      </c>
      <c r="AO27" s="268">
        <f t="shared" si="2"/>
        <v>95.415318230852208</v>
      </c>
      <c r="AP27" s="268">
        <f t="shared" si="3"/>
        <v>110.97229766431286</v>
      </c>
      <c r="AR27" s="257">
        <v>147.47313967369678</v>
      </c>
    </row>
    <row r="28" spans="1:80" s="269" customFormat="1">
      <c r="A28" s="269" t="s">
        <v>59</v>
      </c>
      <c r="B28" s="270">
        <v>317</v>
      </c>
      <c r="C28" s="270">
        <v>399</v>
      </c>
      <c r="D28" s="270">
        <v>349</v>
      </c>
      <c r="E28" s="270">
        <v>231</v>
      </c>
      <c r="F28" s="270">
        <v>242</v>
      </c>
      <c r="G28" s="270">
        <v>199</v>
      </c>
      <c r="H28" s="270">
        <v>-86</v>
      </c>
      <c r="I28" s="270">
        <v>-157</v>
      </c>
      <c r="J28" s="270">
        <v>-150</v>
      </c>
      <c r="K28" s="270">
        <v>0</v>
      </c>
      <c r="L28" s="270">
        <v>0</v>
      </c>
      <c r="M28" s="270">
        <v>0</v>
      </c>
      <c r="N28" s="270">
        <v>32</v>
      </c>
      <c r="O28" s="270">
        <v>90</v>
      </c>
      <c r="P28" s="270">
        <v>74</v>
      </c>
      <c r="Q28" s="270">
        <v>32</v>
      </c>
      <c r="R28" s="270">
        <v>90</v>
      </c>
      <c r="S28" s="270">
        <v>74</v>
      </c>
      <c r="T28" s="270">
        <v>317</v>
      </c>
      <c r="U28" s="270">
        <v>399</v>
      </c>
      <c r="V28" s="270">
        <v>349</v>
      </c>
      <c r="W28" s="270">
        <v>263</v>
      </c>
      <c r="X28" s="270">
        <v>332</v>
      </c>
      <c r="Y28" s="270">
        <v>273</v>
      </c>
      <c r="Z28" s="270">
        <v>-54</v>
      </c>
      <c r="AA28" s="270">
        <v>-67</v>
      </c>
      <c r="AB28" s="270">
        <v>-76</v>
      </c>
      <c r="AE28" s="271">
        <f t="shared" si="4"/>
        <v>72.870662460567829</v>
      </c>
      <c r="AF28" s="271">
        <f t="shared" si="5"/>
        <v>60.6516290726817</v>
      </c>
      <c r="AG28" s="271">
        <f t="shared" si="6"/>
        <v>57.020057306590253</v>
      </c>
      <c r="AH28" s="271"/>
      <c r="AI28" s="257">
        <v>114.22413793103448</v>
      </c>
      <c r="AN28" s="271">
        <f t="shared" si="1"/>
        <v>82.965299684542586</v>
      </c>
      <c r="AO28" s="271">
        <f t="shared" si="2"/>
        <v>83.208020050125313</v>
      </c>
      <c r="AP28" s="271">
        <f t="shared" si="3"/>
        <v>78.223495702005735</v>
      </c>
      <c r="AR28" s="257">
        <v>111.20689655172413</v>
      </c>
    </row>
    <row r="29" spans="1:80" s="269" customFormat="1">
      <c r="A29" s="269" t="s">
        <v>60</v>
      </c>
      <c r="B29" s="270">
        <v>422</v>
      </c>
      <c r="C29" s="270">
        <v>905</v>
      </c>
      <c r="D29" s="270">
        <v>1087</v>
      </c>
      <c r="E29" s="270">
        <v>338</v>
      </c>
      <c r="F29" s="270">
        <v>644</v>
      </c>
      <c r="G29" s="270">
        <v>931</v>
      </c>
      <c r="H29" s="270">
        <v>-84</v>
      </c>
      <c r="I29" s="270">
        <v>-261</v>
      </c>
      <c r="J29" s="270">
        <v>-156</v>
      </c>
      <c r="K29" s="270">
        <v>0</v>
      </c>
      <c r="L29" s="270">
        <v>0</v>
      </c>
      <c r="M29" s="270">
        <v>0</v>
      </c>
      <c r="N29" s="270">
        <v>176</v>
      </c>
      <c r="O29" s="270">
        <v>186</v>
      </c>
      <c r="P29" s="270">
        <v>181</v>
      </c>
      <c r="Q29" s="270">
        <v>176</v>
      </c>
      <c r="R29" s="270">
        <v>186</v>
      </c>
      <c r="S29" s="270">
        <v>181</v>
      </c>
      <c r="T29" s="270">
        <v>422</v>
      </c>
      <c r="U29" s="270">
        <v>905</v>
      </c>
      <c r="V29" s="270">
        <v>1087</v>
      </c>
      <c r="W29" s="270">
        <v>514</v>
      </c>
      <c r="X29" s="270">
        <v>830</v>
      </c>
      <c r="Y29" s="270">
        <v>1112</v>
      </c>
      <c r="Z29" s="270">
        <v>92</v>
      </c>
      <c r="AA29" s="270">
        <v>-75</v>
      </c>
      <c r="AB29" s="270">
        <v>25</v>
      </c>
      <c r="AE29" s="271">
        <f t="shared" si="4"/>
        <v>80.09478672985783</v>
      </c>
      <c r="AF29" s="271">
        <f t="shared" si="5"/>
        <v>71.160220994475139</v>
      </c>
      <c r="AG29" s="271">
        <f t="shared" si="6"/>
        <v>85.64857405703772</v>
      </c>
      <c r="AH29" s="271"/>
      <c r="AI29" s="257">
        <v>130.02364066193854</v>
      </c>
      <c r="AN29" s="271">
        <f t="shared" si="1"/>
        <v>121.80094786729858</v>
      </c>
      <c r="AO29" s="271">
        <f t="shared" si="2"/>
        <v>91.712707182320443</v>
      </c>
      <c r="AP29" s="271">
        <f t="shared" si="3"/>
        <v>102.29990800367985</v>
      </c>
      <c r="AR29" s="257">
        <v>133.0654420206659</v>
      </c>
    </row>
    <row r="30" spans="1:80" s="269" customFormat="1">
      <c r="A30" s="269" t="s">
        <v>61</v>
      </c>
      <c r="B30" s="270">
        <v>610</v>
      </c>
      <c r="C30" s="270">
        <v>900</v>
      </c>
      <c r="D30" s="270">
        <v>992</v>
      </c>
      <c r="E30" s="270">
        <v>472</v>
      </c>
      <c r="F30" s="270">
        <v>561</v>
      </c>
      <c r="G30" s="270">
        <v>731</v>
      </c>
      <c r="H30" s="270">
        <v>-138</v>
      </c>
      <c r="I30" s="270">
        <v>-339</v>
      </c>
      <c r="J30" s="270">
        <v>-261</v>
      </c>
      <c r="K30" s="270">
        <v>21</v>
      </c>
      <c r="L30" s="270">
        <v>77</v>
      </c>
      <c r="M30" s="270">
        <v>65</v>
      </c>
      <c r="N30" s="270">
        <v>173</v>
      </c>
      <c r="O30" s="270">
        <v>426</v>
      </c>
      <c r="P30" s="270">
        <v>473</v>
      </c>
      <c r="Q30" s="270">
        <v>152</v>
      </c>
      <c r="R30" s="270">
        <v>349</v>
      </c>
      <c r="S30" s="270">
        <v>433</v>
      </c>
      <c r="T30" s="270">
        <v>631</v>
      </c>
      <c r="U30" s="270">
        <v>977</v>
      </c>
      <c r="V30" s="270">
        <v>1057</v>
      </c>
      <c r="W30" s="270">
        <v>645</v>
      </c>
      <c r="X30" s="270">
        <v>987</v>
      </c>
      <c r="Y30" s="270">
        <v>1204</v>
      </c>
      <c r="Z30" s="270">
        <v>14</v>
      </c>
      <c r="AA30" s="270">
        <v>10</v>
      </c>
      <c r="AB30" s="270">
        <v>147</v>
      </c>
      <c r="AE30" s="271">
        <f t="shared" si="4"/>
        <v>77.377049180327873</v>
      </c>
      <c r="AF30" s="271">
        <f t="shared" si="5"/>
        <v>62.333333333333329</v>
      </c>
      <c r="AG30" s="271">
        <f t="shared" si="6"/>
        <v>73.689516129032256</v>
      </c>
      <c r="AH30" s="271"/>
      <c r="AI30" s="257">
        <v>110.71111674483458</v>
      </c>
      <c r="AN30" s="271">
        <f t="shared" si="1"/>
        <v>102.21870047543582</v>
      </c>
      <c r="AO30" s="271">
        <f t="shared" si="2"/>
        <v>101.02354145342886</v>
      </c>
      <c r="AP30" s="271">
        <f t="shared" si="3"/>
        <v>113.90728476821192</v>
      </c>
      <c r="AR30" s="257">
        <v>110.71111674483458</v>
      </c>
    </row>
    <row r="31" spans="1:80" s="269" customFormat="1">
      <c r="A31" s="269" t="s">
        <v>62</v>
      </c>
      <c r="B31" s="270">
        <v>656</v>
      </c>
      <c r="C31" s="270">
        <v>813</v>
      </c>
      <c r="D31" s="270">
        <v>1154</v>
      </c>
      <c r="E31" s="270">
        <v>652</v>
      </c>
      <c r="F31" s="270">
        <v>824</v>
      </c>
      <c r="G31" s="270">
        <v>1223</v>
      </c>
      <c r="H31" s="270">
        <v>-4</v>
      </c>
      <c r="I31" s="270">
        <v>11</v>
      </c>
      <c r="J31" s="270">
        <v>69</v>
      </c>
      <c r="K31" s="270">
        <v>0</v>
      </c>
      <c r="L31" s="270">
        <v>0</v>
      </c>
      <c r="M31" s="270">
        <v>0</v>
      </c>
      <c r="N31" s="270">
        <v>15</v>
      </c>
      <c r="O31" s="270">
        <v>21</v>
      </c>
      <c r="P31" s="270">
        <v>0</v>
      </c>
      <c r="Q31" s="270">
        <v>15</v>
      </c>
      <c r="R31" s="270">
        <v>21</v>
      </c>
      <c r="S31" s="270">
        <v>0</v>
      </c>
      <c r="T31" s="270">
        <v>656</v>
      </c>
      <c r="U31" s="270">
        <v>813</v>
      </c>
      <c r="V31" s="270">
        <v>1154</v>
      </c>
      <c r="W31" s="270">
        <v>667</v>
      </c>
      <c r="X31" s="270">
        <v>845</v>
      </c>
      <c r="Y31" s="270">
        <v>1223</v>
      </c>
      <c r="Z31" s="270">
        <v>11</v>
      </c>
      <c r="AA31" s="270">
        <v>32</v>
      </c>
      <c r="AB31" s="270">
        <v>69</v>
      </c>
      <c r="AE31" s="271">
        <f t="shared" si="4"/>
        <v>99.390243902439025</v>
      </c>
      <c r="AF31" s="271">
        <f t="shared" si="5"/>
        <v>101.3530135301353</v>
      </c>
      <c r="AG31" s="271">
        <f t="shared" si="6"/>
        <v>105.9792027729636</v>
      </c>
      <c r="AH31" s="271"/>
      <c r="AI31" s="257">
        <v>98.475823405746326</v>
      </c>
      <c r="AN31" s="271">
        <f t="shared" si="1"/>
        <v>101.67682926829269</v>
      </c>
      <c r="AO31" s="271">
        <f t="shared" si="2"/>
        <v>103.93603936039359</v>
      </c>
      <c r="AP31" s="271">
        <f t="shared" si="3"/>
        <v>105.9792027729636</v>
      </c>
      <c r="AR31" s="257">
        <v>102.88378518390606</v>
      </c>
    </row>
    <row r="32" spans="1:80" s="269" customFormat="1">
      <c r="A32" s="269" t="s">
        <v>63</v>
      </c>
      <c r="B32" s="270">
        <v>304</v>
      </c>
      <c r="C32" s="270">
        <v>327</v>
      </c>
      <c r="D32" s="270">
        <v>292</v>
      </c>
      <c r="E32" s="270">
        <v>265</v>
      </c>
      <c r="F32" s="270">
        <v>422</v>
      </c>
      <c r="G32" s="270">
        <v>322</v>
      </c>
      <c r="H32" s="270">
        <v>-39</v>
      </c>
      <c r="I32" s="270">
        <v>95</v>
      </c>
      <c r="J32" s="270">
        <v>30</v>
      </c>
      <c r="K32" s="270">
        <v>94</v>
      </c>
      <c r="L32" s="270">
        <v>38</v>
      </c>
      <c r="M32" s="270">
        <v>21</v>
      </c>
      <c r="N32" s="270">
        <v>228</v>
      </c>
      <c r="O32" s="270">
        <v>16</v>
      </c>
      <c r="P32" s="270">
        <v>53</v>
      </c>
      <c r="Q32" s="270">
        <v>134</v>
      </c>
      <c r="R32" s="270">
        <v>15</v>
      </c>
      <c r="S32" s="270">
        <v>32</v>
      </c>
      <c r="T32" s="270">
        <v>398</v>
      </c>
      <c r="U32" s="270">
        <v>365</v>
      </c>
      <c r="V32" s="270">
        <v>313</v>
      </c>
      <c r="W32" s="270">
        <v>493</v>
      </c>
      <c r="X32" s="270">
        <v>438</v>
      </c>
      <c r="Y32" s="270">
        <v>375</v>
      </c>
      <c r="Z32" s="270">
        <v>95</v>
      </c>
      <c r="AA32" s="270">
        <v>73</v>
      </c>
      <c r="AB32" s="270">
        <v>62</v>
      </c>
      <c r="AE32" s="271">
        <f t="shared" si="4"/>
        <v>87.171052631578945</v>
      </c>
      <c r="AF32" s="271">
        <f t="shared" si="5"/>
        <v>129.05198776758411</v>
      </c>
      <c r="AG32" s="271">
        <f t="shared" si="6"/>
        <v>110.27397260273972</v>
      </c>
      <c r="AH32" s="271"/>
      <c r="AI32" s="257">
        <v>103.93164767991108</v>
      </c>
      <c r="AN32" s="271">
        <f t="shared" si="1"/>
        <v>123.86934673366834</v>
      </c>
      <c r="AO32" s="271">
        <f t="shared" si="2"/>
        <v>120</v>
      </c>
      <c r="AP32" s="271">
        <f t="shared" si="3"/>
        <v>119.80830670926517</v>
      </c>
      <c r="AR32" s="257">
        <v>107.58269054778403</v>
      </c>
    </row>
    <row r="33" spans="1:80" s="269" customFormat="1">
      <c r="A33" s="269" t="s">
        <v>64</v>
      </c>
      <c r="B33" s="270">
        <v>1695</v>
      </c>
      <c r="C33" s="270">
        <v>3233</v>
      </c>
      <c r="D33" s="270">
        <v>3648</v>
      </c>
      <c r="E33" s="270">
        <v>1520</v>
      </c>
      <c r="F33" s="270">
        <v>2994</v>
      </c>
      <c r="G33" s="270">
        <v>4705</v>
      </c>
      <c r="H33" s="270">
        <v>-175</v>
      </c>
      <c r="I33" s="270">
        <v>-240</v>
      </c>
      <c r="J33" s="270">
        <v>65</v>
      </c>
      <c r="K33" s="270">
        <v>689</v>
      </c>
      <c r="L33" s="270">
        <v>841</v>
      </c>
      <c r="M33" s="270">
        <v>992</v>
      </c>
      <c r="N33" s="270">
        <v>689</v>
      </c>
      <c r="O33" s="270">
        <v>789</v>
      </c>
      <c r="P33" s="270">
        <v>0</v>
      </c>
      <c r="Q33" s="270">
        <v>147</v>
      </c>
      <c r="R33" s="270">
        <v>-51</v>
      </c>
      <c r="S33" s="270">
        <v>0</v>
      </c>
      <c r="T33" s="270">
        <v>2384</v>
      </c>
      <c r="U33" s="270">
        <v>4074</v>
      </c>
      <c r="V33" s="270">
        <v>4640</v>
      </c>
      <c r="W33" s="270">
        <v>2209</v>
      </c>
      <c r="X33" s="270">
        <v>3783</v>
      </c>
      <c r="Y33" s="270">
        <v>4705</v>
      </c>
      <c r="Z33" s="270">
        <v>-175</v>
      </c>
      <c r="AA33" s="270">
        <v>-291</v>
      </c>
      <c r="AB33" s="270">
        <v>65</v>
      </c>
      <c r="AE33" s="271">
        <f t="shared" si="4"/>
        <v>89.675516224188783</v>
      </c>
      <c r="AF33" s="271">
        <f t="shared" si="5"/>
        <v>92.607485307763682</v>
      </c>
      <c r="AG33" s="271">
        <f t="shared" si="6"/>
        <v>128.97478070175438</v>
      </c>
      <c r="AH33" s="271"/>
      <c r="AI33" s="257">
        <v>100.56451612903226</v>
      </c>
      <c r="AN33" s="271">
        <f t="shared" si="1"/>
        <v>92.659395973154361</v>
      </c>
      <c r="AO33" s="271">
        <f t="shared" si="2"/>
        <v>92.857142857142861</v>
      </c>
      <c r="AP33" s="271">
        <f t="shared" si="3"/>
        <v>101.40086206896552</v>
      </c>
      <c r="AR33" s="257">
        <v>100.56451612903226</v>
      </c>
    </row>
    <row r="34" spans="1:80" s="269" customFormat="1">
      <c r="A34" s="269" t="s">
        <v>65</v>
      </c>
      <c r="B34" s="270">
        <v>1525</v>
      </c>
      <c r="C34" s="270">
        <v>1410</v>
      </c>
      <c r="D34" s="270">
        <v>1977</v>
      </c>
      <c r="E34" s="270">
        <v>1322</v>
      </c>
      <c r="F34" s="270">
        <v>1324</v>
      </c>
      <c r="G34" s="270">
        <v>1571</v>
      </c>
      <c r="H34" s="270">
        <v>-203</v>
      </c>
      <c r="I34" s="270">
        <v>-86</v>
      </c>
      <c r="J34" s="270">
        <v>-394</v>
      </c>
      <c r="K34" s="270">
        <v>351</v>
      </c>
      <c r="L34" s="270">
        <v>300</v>
      </c>
      <c r="M34" s="270">
        <v>237</v>
      </c>
      <c r="N34" s="270">
        <v>631</v>
      </c>
      <c r="O34" s="270">
        <v>547</v>
      </c>
      <c r="P34" s="270">
        <v>600</v>
      </c>
      <c r="Q34" s="270">
        <v>280</v>
      </c>
      <c r="R34" s="270">
        <v>247</v>
      </c>
      <c r="S34" s="270">
        <v>363</v>
      </c>
      <c r="T34" s="270">
        <v>1876</v>
      </c>
      <c r="U34" s="270">
        <v>1710</v>
      </c>
      <c r="V34" s="270">
        <v>2214</v>
      </c>
      <c r="W34" s="270">
        <v>1953</v>
      </c>
      <c r="X34" s="270">
        <v>1871</v>
      </c>
      <c r="Y34" s="270">
        <v>2171</v>
      </c>
      <c r="Z34" s="270">
        <v>77</v>
      </c>
      <c r="AA34" s="270">
        <v>161</v>
      </c>
      <c r="AB34" s="270">
        <v>-31</v>
      </c>
      <c r="AE34" s="271">
        <f t="shared" si="4"/>
        <v>86.688524590163922</v>
      </c>
      <c r="AF34" s="271">
        <f t="shared" si="5"/>
        <v>93.900709219858157</v>
      </c>
      <c r="AG34" s="271">
        <f t="shared" si="6"/>
        <v>79.463834092058676</v>
      </c>
      <c r="AH34" s="271"/>
      <c r="AI34" s="257">
        <v>93.430656934306569</v>
      </c>
      <c r="AN34" s="271">
        <f t="shared" ref="AN34:AN65" si="12">(W34/T34)*100</f>
        <v>104.10447761194031</v>
      </c>
      <c r="AO34" s="271">
        <f t="shared" ref="AO34:AO65" si="13">(X34/U34)*100</f>
        <v>109.41520467836257</v>
      </c>
      <c r="AP34" s="271">
        <f t="shared" ref="AP34:AP65" si="14">(Y34/V34)*100</f>
        <v>98.057813911472451</v>
      </c>
      <c r="AR34" s="257">
        <v>100.54458815520762</v>
      </c>
    </row>
    <row r="35" spans="1:80" s="269" customFormat="1">
      <c r="A35" s="269" t="s">
        <v>66</v>
      </c>
      <c r="B35" s="270">
        <v>177</v>
      </c>
      <c r="C35" s="270">
        <v>196</v>
      </c>
      <c r="D35" s="270">
        <v>145</v>
      </c>
      <c r="E35" s="270">
        <v>147</v>
      </c>
      <c r="F35" s="270">
        <v>179</v>
      </c>
      <c r="G35" s="270">
        <v>149</v>
      </c>
      <c r="H35" s="270">
        <v>-30</v>
      </c>
      <c r="I35" s="270">
        <v>-17</v>
      </c>
      <c r="J35" s="270">
        <v>4</v>
      </c>
      <c r="K35" s="270">
        <v>32</v>
      </c>
      <c r="L35" s="270">
        <v>17</v>
      </c>
      <c r="M35" s="270">
        <v>6</v>
      </c>
      <c r="N35" s="270">
        <v>81</v>
      </c>
      <c r="O35" s="270">
        <v>35</v>
      </c>
      <c r="P35" s="270">
        <v>6</v>
      </c>
      <c r="Q35" s="270">
        <v>49</v>
      </c>
      <c r="R35" s="270">
        <v>18</v>
      </c>
      <c r="S35" s="270">
        <v>0</v>
      </c>
      <c r="T35" s="270">
        <v>209</v>
      </c>
      <c r="U35" s="270">
        <v>213</v>
      </c>
      <c r="V35" s="270">
        <v>151</v>
      </c>
      <c r="W35" s="270">
        <v>228</v>
      </c>
      <c r="X35" s="270">
        <v>214</v>
      </c>
      <c r="Y35" s="270">
        <v>155</v>
      </c>
      <c r="Z35" s="270">
        <v>19</v>
      </c>
      <c r="AA35" s="270">
        <v>1</v>
      </c>
      <c r="AB35" s="270">
        <v>4</v>
      </c>
      <c r="AE35" s="271">
        <f t="shared" si="4"/>
        <v>83.050847457627114</v>
      </c>
      <c r="AF35" s="271">
        <f t="shared" si="5"/>
        <v>91.326530612244895</v>
      </c>
      <c r="AG35" s="271">
        <f t="shared" si="6"/>
        <v>102.75862068965517</v>
      </c>
      <c r="AH35" s="271"/>
      <c r="AI35" s="257">
        <v>87.336368810472393</v>
      </c>
      <c r="AN35" s="271">
        <f t="shared" si="12"/>
        <v>109.09090909090908</v>
      </c>
      <c r="AO35" s="271">
        <f t="shared" si="13"/>
        <v>100.46948356807512</v>
      </c>
      <c r="AP35" s="271">
        <f t="shared" si="14"/>
        <v>102.64900662251655</v>
      </c>
      <c r="AR35" s="257">
        <v>91.724250060970633</v>
      </c>
    </row>
    <row r="36" spans="1:80" s="269" customFormat="1">
      <c r="A36" s="269" t="s">
        <v>67</v>
      </c>
      <c r="B36" s="270">
        <v>1734</v>
      </c>
      <c r="C36" s="270">
        <v>1618</v>
      </c>
      <c r="D36" s="270">
        <v>2058</v>
      </c>
      <c r="E36" s="270">
        <v>1516</v>
      </c>
      <c r="F36" s="270">
        <v>1368</v>
      </c>
      <c r="G36" s="270">
        <v>1833</v>
      </c>
      <c r="H36" s="270">
        <v>-218</v>
      </c>
      <c r="I36" s="270">
        <v>-250</v>
      </c>
      <c r="J36" s="270">
        <v>-225</v>
      </c>
      <c r="K36" s="270">
        <v>580</v>
      </c>
      <c r="L36" s="270">
        <v>887</v>
      </c>
      <c r="M36" s="270">
        <v>1073</v>
      </c>
      <c r="N36" s="270">
        <v>423</v>
      </c>
      <c r="O36" s="270">
        <v>1097</v>
      </c>
      <c r="P36" s="270">
        <v>1103</v>
      </c>
      <c r="Q36" s="270">
        <v>82</v>
      </c>
      <c r="R36" s="270">
        <v>210</v>
      </c>
      <c r="S36" s="270">
        <v>30</v>
      </c>
      <c r="T36" s="270">
        <v>2314</v>
      </c>
      <c r="U36" s="270">
        <v>2505</v>
      </c>
      <c r="V36" s="270">
        <v>3131</v>
      </c>
      <c r="W36" s="270">
        <v>1939</v>
      </c>
      <c r="X36" s="270">
        <v>2465</v>
      </c>
      <c r="Y36" s="270">
        <v>2936</v>
      </c>
      <c r="Z36" s="270">
        <v>-375</v>
      </c>
      <c r="AA36" s="270">
        <v>-40</v>
      </c>
      <c r="AB36" s="270">
        <v>-195</v>
      </c>
      <c r="AE36" s="271">
        <f t="shared" si="4"/>
        <v>87.427912341407151</v>
      </c>
      <c r="AF36" s="271">
        <f t="shared" si="5"/>
        <v>84.548825710754016</v>
      </c>
      <c r="AG36" s="271">
        <f t="shared" si="6"/>
        <v>89.067055393586003</v>
      </c>
      <c r="AH36" s="271"/>
      <c r="AI36" s="257">
        <v>93.243243243243242</v>
      </c>
      <c r="AN36" s="271">
        <f t="shared" si="12"/>
        <v>83.7942955920484</v>
      </c>
      <c r="AO36" s="271">
        <f t="shared" si="13"/>
        <v>98.403193612774459</v>
      </c>
      <c r="AP36" s="271">
        <f t="shared" si="14"/>
        <v>93.77195784094539</v>
      </c>
      <c r="AR36" s="257">
        <v>102.19885277246654</v>
      </c>
    </row>
    <row r="37" spans="1:80" s="269" customFormat="1">
      <c r="A37" s="269" t="s">
        <v>68</v>
      </c>
      <c r="B37" s="270">
        <v>532</v>
      </c>
      <c r="C37" s="270">
        <v>651</v>
      </c>
      <c r="D37" s="270">
        <v>822</v>
      </c>
      <c r="E37" s="270">
        <v>627</v>
      </c>
      <c r="F37" s="270">
        <v>691</v>
      </c>
      <c r="G37" s="270">
        <v>1026</v>
      </c>
      <c r="H37" s="270">
        <v>95</v>
      </c>
      <c r="I37" s="270">
        <v>39</v>
      </c>
      <c r="J37" s="270">
        <v>204</v>
      </c>
      <c r="K37" s="270">
        <v>0</v>
      </c>
      <c r="L37" s="270">
        <v>0</v>
      </c>
      <c r="M37" s="270">
        <v>0</v>
      </c>
      <c r="N37" s="270">
        <v>0</v>
      </c>
      <c r="O37" s="270">
        <v>0</v>
      </c>
      <c r="P37" s="270">
        <v>0</v>
      </c>
      <c r="Q37" s="270">
        <v>0</v>
      </c>
      <c r="R37" s="270">
        <v>0</v>
      </c>
      <c r="S37" s="270">
        <v>0</v>
      </c>
      <c r="T37" s="270">
        <v>532</v>
      </c>
      <c r="U37" s="270">
        <v>651</v>
      </c>
      <c r="V37" s="270">
        <v>822</v>
      </c>
      <c r="W37" s="270">
        <v>627</v>
      </c>
      <c r="X37" s="270">
        <v>691</v>
      </c>
      <c r="Y37" s="270">
        <v>1026</v>
      </c>
      <c r="Z37" s="270">
        <v>95</v>
      </c>
      <c r="AA37" s="270">
        <v>40</v>
      </c>
      <c r="AB37" s="270">
        <v>204</v>
      </c>
      <c r="AE37" s="271">
        <f t="shared" si="4"/>
        <v>117.85714285714286</v>
      </c>
      <c r="AF37" s="271">
        <f t="shared" si="5"/>
        <v>106.14439324116745</v>
      </c>
      <c r="AG37" s="271">
        <f t="shared" si="6"/>
        <v>124.81751824817518</v>
      </c>
      <c r="AH37" s="271"/>
      <c r="AI37" s="257">
        <v>100</v>
      </c>
      <c r="AN37" s="271">
        <f t="shared" si="12"/>
        <v>117.85714285714286</v>
      </c>
      <c r="AO37" s="271">
        <f t="shared" si="13"/>
        <v>106.14439324116745</v>
      </c>
      <c r="AP37" s="271">
        <f t="shared" si="14"/>
        <v>124.81751824817518</v>
      </c>
      <c r="AR37" s="257">
        <v>100</v>
      </c>
    </row>
    <row r="38" spans="1:80" s="269" customFormat="1">
      <c r="A38" s="269" t="s">
        <v>69</v>
      </c>
      <c r="B38" s="270">
        <v>1949</v>
      </c>
      <c r="C38" s="270">
        <v>762</v>
      </c>
      <c r="D38" s="270">
        <v>559</v>
      </c>
      <c r="E38" s="270">
        <v>869</v>
      </c>
      <c r="F38" s="270">
        <v>305</v>
      </c>
      <c r="G38" s="270">
        <v>376</v>
      </c>
      <c r="H38" s="270">
        <v>-1080</v>
      </c>
      <c r="I38" s="270">
        <v>-457</v>
      </c>
      <c r="J38" s="270">
        <v>-183</v>
      </c>
      <c r="K38" s="270">
        <v>343</v>
      </c>
      <c r="L38" s="270">
        <v>667</v>
      </c>
      <c r="M38" s="270">
        <v>621</v>
      </c>
      <c r="N38" s="270">
        <v>639</v>
      </c>
      <c r="O38" s="270">
        <v>809</v>
      </c>
      <c r="P38" s="270">
        <v>859</v>
      </c>
      <c r="Q38" s="270">
        <v>296</v>
      </c>
      <c r="R38" s="270">
        <v>142</v>
      </c>
      <c r="S38" s="270">
        <v>238</v>
      </c>
      <c r="T38" s="270">
        <v>2292</v>
      </c>
      <c r="U38" s="270">
        <v>1429</v>
      </c>
      <c r="V38" s="270">
        <v>1180</v>
      </c>
      <c r="W38" s="270">
        <v>1508</v>
      </c>
      <c r="X38" s="270">
        <v>1114</v>
      </c>
      <c r="Y38" s="270">
        <v>1235</v>
      </c>
      <c r="Z38" s="270">
        <v>-784</v>
      </c>
      <c r="AA38" s="270">
        <v>-315</v>
      </c>
      <c r="AB38" s="270">
        <v>55</v>
      </c>
      <c r="AE38" s="271">
        <f t="shared" si="4"/>
        <v>44.586967675731145</v>
      </c>
      <c r="AF38" s="271">
        <f t="shared" si="5"/>
        <v>40.026246719160099</v>
      </c>
      <c r="AG38" s="271">
        <f t="shared" si="6"/>
        <v>67.262969588550988</v>
      </c>
      <c r="AH38" s="271"/>
      <c r="AI38" s="257">
        <v>167.38609112709833</v>
      </c>
      <c r="AN38" s="271">
        <f t="shared" si="12"/>
        <v>65.79406631762653</v>
      </c>
      <c r="AO38" s="271">
        <f t="shared" si="13"/>
        <v>77.956613016095162</v>
      </c>
      <c r="AP38" s="271">
        <f t="shared" si="14"/>
        <v>104.66101694915255</v>
      </c>
      <c r="AR38" s="257">
        <v>167.38609112709833</v>
      </c>
    </row>
    <row r="39" spans="1:80" s="269" customFormat="1">
      <c r="A39" s="269" t="s">
        <v>70</v>
      </c>
      <c r="B39" s="270">
        <v>265</v>
      </c>
      <c r="C39" s="270">
        <v>246</v>
      </c>
      <c r="D39" s="270">
        <v>207</v>
      </c>
      <c r="E39" s="270">
        <v>227</v>
      </c>
      <c r="F39" s="270">
        <v>245</v>
      </c>
      <c r="G39" s="270">
        <v>189</v>
      </c>
      <c r="H39" s="270">
        <v>-38</v>
      </c>
      <c r="I39" s="270">
        <v>-1</v>
      </c>
      <c r="J39" s="270">
        <v>-18</v>
      </c>
      <c r="K39" s="270">
        <v>8</v>
      </c>
      <c r="L39" s="270">
        <v>8</v>
      </c>
      <c r="M39" s="270">
        <v>6</v>
      </c>
      <c r="N39" s="270">
        <v>20</v>
      </c>
      <c r="O39" s="270">
        <v>51</v>
      </c>
      <c r="P39" s="270">
        <v>28</v>
      </c>
      <c r="Q39" s="270">
        <v>12</v>
      </c>
      <c r="R39" s="270">
        <v>43</v>
      </c>
      <c r="S39" s="270">
        <v>22</v>
      </c>
      <c r="T39" s="270">
        <v>273</v>
      </c>
      <c r="U39" s="270">
        <v>254</v>
      </c>
      <c r="V39" s="270">
        <v>213</v>
      </c>
      <c r="W39" s="270">
        <v>247</v>
      </c>
      <c r="X39" s="270">
        <v>296</v>
      </c>
      <c r="Y39" s="270">
        <v>217</v>
      </c>
      <c r="Z39" s="270">
        <v>-26</v>
      </c>
      <c r="AA39" s="270">
        <v>42</v>
      </c>
      <c r="AB39" s="270">
        <v>4</v>
      </c>
      <c r="AE39" s="271">
        <f t="shared" si="4"/>
        <v>85.660377358490564</v>
      </c>
      <c r="AF39" s="271">
        <f t="shared" si="5"/>
        <v>99.59349593495935</v>
      </c>
      <c r="AG39" s="271">
        <f t="shared" si="6"/>
        <v>91.304347826086953</v>
      </c>
      <c r="AH39" s="271"/>
      <c r="AI39" s="257">
        <v>124.20390512383699</v>
      </c>
      <c r="AN39" s="271">
        <f t="shared" si="12"/>
        <v>90.476190476190482</v>
      </c>
      <c r="AO39" s="271">
        <f t="shared" si="13"/>
        <v>116.53543307086613</v>
      </c>
      <c r="AP39" s="271">
        <f t="shared" si="14"/>
        <v>101.87793427230048</v>
      </c>
      <c r="AR39" s="257">
        <v>121.70495025181181</v>
      </c>
    </row>
    <row r="40" spans="1:80" s="269" customFormat="1">
      <c r="A40" s="269" t="s">
        <v>71</v>
      </c>
      <c r="B40" s="270">
        <v>1858</v>
      </c>
      <c r="C40" s="270">
        <v>1475</v>
      </c>
      <c r="D40" s="270">
        <v>1221</v>
      </c>
      <c r="E40" s="270">
        <v>1258</v>
      </c>
      <c r="F40" s="270">
        <v>1121</v>
      </c>
      <c r="G40" s="270">
        <v>952</v>
      </c>
      <c r="H40" s="270">
        <v>-600</v>
      </c>
      <c r="I40" s="270">
        <v>-352</v>
      </c>
      <c r="J40" s="270">
        <v>-269</v>
      </c>
      <c r="K40" s="270">
        <v>63</v>
      </c>
      <c r="L40" s="270">
        <v>58</v>
      </c>
      <c r="M40" s="270">
        <v>68</v>
      </c>
      <c r="N40" s="270">
        <v>361</v>
      </c>
      <c r="O40" s="270">
        <v>367</v>
      </c>
      <c r="P40" s="270">
        <v>359</v>
      </c>
      <c r="Q40" s="270">
        <v>298</v>
      </c>
      <c r="R40" s="270">
        <v>309</v>
      </c>
      <c r="S40" s="270">
        <v>291</v>
      </c>
      <c r="T40" s="270">
        <v>1921</v>
      </c>
      <c r="U40" s="270">
        <v>1533</v>
      </c>
      <c r="V40" s="270">
        <v>1289</v>
      </c>
      <c r="W40" s="270">
        <v>1619</v>
      </c>
      <c r="X40" s="270">
        <v>1488</v>
      </c>
      <c r="Y40" s="270">
        <v>1311</v>
      </c>
      <c r="Z40" s="270">
        <v>-302</v>
      </c>
      <c r="AA40" s="270">
        <v>-45</v>
      </c>
      <c r="AB40" s="270">
        <v>22</v>
      </c>
      <c r="AE40" s="271">
        <f t="shared" si="4"/>
        <v>67.707212055974168</v>
      </c>
      <c r="AF40" s="271">
        <f t="shared" si="5"/>
        <v>76</v>
      </c>
      <c r="AG40" s="271">
        <f t="shared" si="6"/>
        <v>77.968877968877976</v>
      </c>
      <c r="AH40" s="271"/>
      <c r="AI40" s="257">
        <v>167.38609112709833</v>
      </c>
      <c r="AN40" s="271">
        <f t="shared" si="12"/>
        <v>84.279021343050502</v>
      </c>
      <c r="AO40" s="271">
        <f t="shared" si="13"/>
        <v>97.064579256360076</v>
      </c>
      <c r="AP40" s="271">
        <f t="shared" si="14"/>
        <v>101.70674941815361</v>
      </c>
      <c r="AR40" s="257">
        <v>167.38609112709833</v>
      </c>
    </row>
    <row r="41" spans="1:80" s="269" customFormat="1">
      <c r="A41" s="269" t="s">
        <v>72</v>
      </c>
      <c r="B41" s="270">
        <v>460</v>
      </c>
      <c r="C41" s="270">
        <v>642</v>
      </c>
      <c r="D41" s="270">
        <v>703</v>
      </c>
      <c r="E41" s="270">
        <v>504</v>
      </c>
      <c r="F41" s="270">
        <v>601</v>
      </c>
      <c r="G41" s="270">
        <v>659</v>
      </c>
      <c r="H41" s="270">
        <v>44</v>
      </c>
      <c r="I41" s="270">
        <v>-41</v>
      </c>
      <c r="J41" s="270">
        <v>-44</v>
      </c>
      <c r="K41" s="270">
        <v>0</v>
      </c>
      <c r="L41" s="270">
        <v>22</v>
      </c>
      <c r="M41" s="270">
        <v>7</v>
      </c>
      <c r="N41" s="270">
        <v>0</v>
      </c>
      <c r="O41" s="270">
        <v>28</v>
      </c>
      <c r="P41" s="270">
        <v>15</v>
      </c>
      <c r="Q41" s="270">
        <v>0</v>
      </c>
      <c r="R41" s="270">
        <v>6</v>
      </c>
      <c r="S41" s="270">
        <v>8</v>
      </c>
      <c r="T41" s="270">
        <v>460</v>
      </c>
      <c r="U41" s="270">
        <v>664</v>
      </c>
      <c r="V41" s="270">
        <v>710</v>
      </c>
      <c r="W41" s="270">
        <v>504</v>
      </c>
      <c r="X41" s="270">
        <v>629</v>
      </c>
      <c r="Y41" s="270">
        <v>674</v>
      </c>
      <c r="Z41" s="270">
        <v>44</v>
      </c>
      <c r="AA41" s="270">
        <v>-35</v>
      </c>
      <c r="AB41" s="270">
        <v>-36</v>
      </c>
      <c r="AE41" s="271">
        <f t="shared" si="4"/>
        <v>109.56521739130434</v>
      </c>
      <c r="AF41" s="271">
        <f t="shared" si="5"/>
        <v>93.613707165109034</v>
      </c>
      <c r="AG41" s="271">
        <f t="shared" si="6"/>
        <v>93.741109530583216</v>
      </c>
      <c r="AH41" s="271"/>
      <c r="AI41" s="260">
        <v>93.333333333333329</v>
      </c>
      <c r="AN41" s="271">
        <f t="shared" si="12"/>
        <v>109.56521739130434</v>
      </c>
      <c r="AO41" s="271">
        <f t="shared" si="13"/>
        <v>94.728915662650607</v>
      </c>
      <c r="AP41" s="271">
        <f t="shared" si="14"/>
        <v>94.929577464788721</v>
      </c>
      <c r="AR41" s="260">
        <v>93.333333333333329</v>
      </c>
    </row>
    <row r="42" spans="1:80" s="269" customFormat="1">
      <c r="A42" s="269" t="s">
        <v>73</v>
      </c>
      <c r="B42" s="270">
        <f>(BB42/1500)*285</f>
        <v>2240.48</v>
      </c>
      <c r="C42" s="270">
        <f t="shared" ref="C42:AB42" si="15">(BC42/1500)*285</f>
        <v>2256.8200000000002</v>
      </c>
      <c r="D42" s="270">
        <f t="shared" si="15"/>
        <v>2628.84</v>
      </c>
      <c r="E42" s="270">
        <f t="shared" si="15"/>
        <v>2071</v>
      </c>
      <c r="F42" s="270">
        <f t="shared" si="15"/>
        <v>2469.62</v>
      </c>
      <c r="G42" s="270">
        <f t="shared" si="15"/>
        <v>2415.09</v>
      </c>
      <c r="H42" s="270">
        <f t="shared" si="15"/>
        <v>-169.48</v>
      </c>
      <c r="I42" s="270">
        <f t="shared" si="15"/>
        <v>239.78</v>
      </c>
      <c r="J42" s="270">
        <f t="shared" si="15"/>
        <v>-178.60000000000002</v>
      </c>
      <c r="K42" s="270">
        <f t="shared" si="15"/>
        <v>19.950000000000003</v>
      </c>
      <c r="L42" s="270">
        <f t="shared" si="15"/>
        <v>5.32</v>
      </c>
      <c r="M42" s="270">
        <f t="shared" si="15"/>
        <v>7.03</v>
      </c>
      <c r="N42" s="270">
        <f t="shared" si="15"/>
        <v>171</v>
      </c>
      <c r="O42" s="270">
        <f t="shared" si="15"/>
        <v>90.82</v>
      </c>
      <c r="P42" s="270">
        <f t="shared" si="15"/>
        <v>153.9</v>
      </c>
      <c r="Q42" s="270">
        <f t="shared" si="15"/>
        <v>151.05000000000001</v>
      </c>
      <c r="R42" s="270">
        <f t="shared" si="15"/>
        <v>85.5</v>
      </c>
      <c r="S42" s="270">
        <f t="shared" si="15"/>
        <v>146.87</v>
      </c>
      <c r="T42" s="270">
        <f t="shared" si="15"/>
        <v>2260.4299999999998</v>
      </c>
      <c r="U42" s="270">
        <f t="shared" si="15"/>
        <v>2262.14</v>
      </c>
      <c r="V42" s="270">
        <f t="shared" si="15"/>
        <v>2635.87</v>
      </c>
      <c r="W42" s="270">
        <f t="shared" si="15"/>
        <v>2242</v>
      </c>
      <c r="X42" s="270">
        <f t="shared" si="15"/>
        <v>2560.44</v>
      </c>
      <c r="Y42" s="270">
        <f t="shared" si="15"/>
        <v>2568.9899999999998</v>
      </c>
      <c r="Z42" s="270">
        <f t="shared" si="15"/>
        <v>-18.43</v>
      </c>
      <c r="AA42" s="270">
        <f t="shared" si="15"/>
        <v>298.3</v>
      </c>
      <c r="AB42" s="270">
        <f t="shared" si="15"/>
        <v>-66.88</v>
      </c>
      <c r="AE42" s="271">
        <f t="shared" si="4"/>
        <v>92.435549525101763</v>
      </c>
      <c r="AF42" s="271">
        <f t="shared" si="5"/>
        <v>109.42919683448392</v>
      </c>
      <c r="AG42" s="271">
        <f t="shared" si="6"/>
        <v>91.869037294015612</v>
      </c>
      <c r="AH42" s="271"/>
      <c r="AI42" s="260">
        <v>26.315789473684209</v>
      </c>
      <c r="AN42" s="271">
        <f t="shared" si="12"/>
        <v>99.184668403799279</v>
      </c>
      <c r="AO42" s="271">
        <f t="shared" si="13"/>
        <v>113.18662859062658</v>
      </c>
      <c r="AP42" s="271">
        <f t="shared" si="14"/>
        <v>97.462697325740649</v>
      </c>
      <c r="AR42" s="260">
        <v>26.315789473684209</v>
      </c>
      <c r="BB42" s="269">
        <v>11792</v>
      </c>
      <c r="BC42" s="269">
        <v>11878</v>
      </c>
      <c r="BD42" s="269">
        <v>13836</v>
      </c>
      <c r="BE42" s="269">
        <v>10900</v>
      </c>
      <c r="BF42" s="269">
        <v>12998</v>
      </c>
      <c r="BG42" s="269">
        <v>12711</v>
      </c>
      <c r="BH42" s="269">
        <v>-892</v>
      </c>
      <c r="BI42" s="269">
        <v>1262</v>
      </c>
      <c r="BJ42" s="269">
        <v>-940</v>
      </c>
      <c r="BK42" s="269">
        <v>105</v>
      </c>
      <c r="BL42" s="269">
        <v>28</v>
      </c>
      <c r="BM42" s="269">
        <v>37</v>
      </c>
      <c r="BN42" s="269">
        <v>900</v>
      </c>
      <c r="BO42" s="269">
        <v>478</v>
      </c>
      <c r="BP42" s="269">
        <v>810</v>
      </c>
      <c r="BQ42" s="269">
        <v>795</v>
      </c>
      <c r="BR42" s="269">
        <v>450</v>
      </c>
      <c r="BS42" s="269">
        <v>773</v>
      </c>
      <c r="BT42" s="269">
        <v>11897</v>
      </c>
      <c r="BU42" s="269">
        <v>11906</v>
      </c>
      <c r="BV42" s="269">
        <v>13873</v>
      </c>
      <c r="BW42" s="269">
        <v>11800</v>
      </c>
      <c r="BX42" s="269">
        <v>13476</v>
      </c>
      <c r="BY42" s="269">
        <v>13521</v>
      </c>
      <c r="BZ42" s="269">
        <v>-97</v>
      </c>
      <c r="CA42" s="269">
        <v>1570</v>
      </c>
      <c r="CB42" s="269">
        <v>-352</v>
      </c>
    </row>
    <row r="43" spans="1:80" s="269" customFormat="1">
      <c r="A43" s="269" t="s">
        <v>74</v>
      </c>
      <c r="B43" s="270">
        <v>102</v>
      </c>
      <c r="C43" s="270">
        <v>145</v>
      </c>
      <c r="D43" s="270">
        <v>130</v>
      </c>
      <c r="E43" s="270">
        <v>128</v>
      </c>
      <c r="F43" s="270">
        <v>131</v>
      </c>
      <c r="G43" s="270">
        <v>110</v>
      </c>
      <c r="H43" s="270">
        <v>26</v>
      </c>
      <c r="I43" s="270">
        <v>-14</v>
      </c>
      <c r="J43" s="270">
        <v>-20</v>
      </c>
      <c r="K43" s="270">
        <v>38</v>
      </c>
      <c r="L43" s="270">
        <v>35</v>
      </c>
      <c r="M43" s="270">
        <v>30</v>
      </c>
      <c r="N43" s="270">
        <v>45</v>
      </c>
      <c r="O43" s="270">
        <v>51</v>
      </c>
      <c r="P43" s="270">
        <v>42</v>
      </c>
      <c r="Q43" s="270">
        <v>7</v>
      </c>
      <c r="R43" s="270">
        <v>16</v>
      </c>
      <c r="S43" s="270">
        <v>12</v>
      </c>
      <c r="T43" s="270">
        <v>140</v>
      </c>
      <c r="U43" s="270">
        <v>180</v>
      </c>
      <c r="V43" s="270">
        <v>160</v>
      </c>
      <c r="W43" s="270">
        <v>173</v>
      </c>
      <c r="X43" s="270">
        <v>182</v>
      </c>
      <c r="Y43" s="270">
        <v>152</v>
      </c>
      <c r="Z43" s="270">
        <v>33</v>
      </c>
      <c r="AA43" s="270">
        <v>2</v>
      </c>
      <c r="AB43" s="270">
        <v>-8</v>
      </c>
      <c r="AE43" s="271">
        <f t="shared" si="4"/>
        <v>125.49019607843137</v>
      </c>
      <c r="AF43" s="271">
        <f t="shared" si="5"/>
        <v>90.344827586206904</v>
      </c>
      <c r="AG43" s="271">
        <f t="shared" si="6"/>
        <v>84.615384615384613</v>
      </c>
      <c r="AH43" s="271"/>
      <c r="AI43" s="260">
        <v>75</v>
      </c>
      <c r="AN43" s="271">
        <f t="shared" si="12"/>
        <v>123.57142857142858</v>
      </c>
      <c r="AO43" s="271">
        <f t="shared" si="13"/>
        <v>101.11111111111111</v>
      </c>
      <c r="AP43" s="271">
        <f t="shared" si="14"/>
        <v>95</v>
      </c>
      <c r="AR43" s="260">
        <v>75</v>
      </c>
    </row>
    <row r="44" spans="1:80" s="269" customFormat="1">
      <c r="A44" s="269" t="s">
        <v>83</v>
      </c>
      <c r="B44" s="270">
        <v>1384</v>
      </c>
      <c r="C44" s="270">
        <v>1041</v>
      </c>
      <c r="D44" s="270">
        <v>1219</v>
      </c>
      <c r="E44" s="270">
        <v>910</v>
      </c>
      <c r="F44" s="270">
        <v>1000</v>
      </c>
      <c r="G44" s="270">
        <v>782</v>
      </c>
      <c r="H44" s="270">
        <v>-473</v>
      </c>
      <c r="I44" s="270">
        <v>-37</v>
      </c>
      <c r="J44" s="270">
        <v>-423</v>
      </c>
      <c r="K44" s="270">
        <v>0</v>
      </c>
      <c r="L44" s="270">
        <v>0</v>
      </c>
      <c r="M44" s="270">
        <v>0</v>
      </c>
      <c r="N44" s="270">
        <v>341</v>
      </c>
      <c r="O44" s="270">
        <v>323</v>
      </c>
      <c r="P44" s="270">
        <v>375</v>
      </c>
      <c r="Q44" s="270">
        <v>341</v>
      </c>
      <c r="R44" s="270">
        <v>323</v>
      </c>
      <c r="S44" s="270">
        <v>375</v>
      </c>
      <c r="T44" s="270">
        <v>1384</v>
      </c>
      <c r="U44" s="270">
        <v>1041</v>
      </c>
      <c r="V44" s="270">
        <v>1219</v>
      </c>
      <c r="W44" s="270">
        <v>1251</v>
      </c>
      <c r="X44" s="270">
        <v>1323</v>
      </c>
      <c r="Y44" s="270">
        <v>1157</v>
      </c>
      <c r="Z44" s="270">
        <v>-133</v>
      </c>
      <c r="AA44" s="270">
        <v>282</v>
      </c>
      <c r="AB44" s="270">
        <v>-62</v>
      </c>
      <c r="AE44" s="271">
        <f t="shared" si="4"/>
        <v>65.751445086705203</v>
      </c>
      <c r="AF44" s="271">
        <f t="shared" si="5"/>
        <v>96.061479346781937</v>
      </c>
      <c r="AG44" s="271">
        <f t="shared" si="6"/>
        <v>64.15094339622641</v>
      </c>
      <c r="AH44" s="271"/>
      <c r="AI44" s="260">
        <v>86.072083078802692</v>
      </c>
      <c r="AN44" s="271">
        <f t="shared" si="12"/>
        <v>90.390173410404628</v>
      </c>
      <c r="AO44" s="271">
        <f t="shared" si="13"/>
        <v>127.08933717579252</v>
      </c>
      <c r="AP44" s="271">
        <f t="shared" si="14"/>
        <v>94.913863822805581</v>
      </c>
      <c r="AR44" s="260">
        <v>86.072083078802692</v>
      </c>
    </row>
    <row r="45" spans="1:80" s="269" customFormat="1">
      <c r="A45" s="269" t="s">
        <v>84</v>
      </c>
      <c r="B45" s="270">
        <v>579</v>
      </c>
      <c r="C45" s="270">
        <v>643</v>
      </c>
      <c r="D45" s="270">
        <v>499</v>
      </c>
      <c r="E45" s="270">
        <v>550</v>
      </c>
      <c r="F45" s="270">
        <v>544</v>
      </c>
      <c r="G45" s="270">
        <v>537</v>
      </c>
      <c r="H45" s="270">
        <v>-29</v>
      </c>
      <c r="I45" s="270">
        <v>-99</v>
      </c>
      <c r="J45" s="270">
        <v>38</v>
      </c>
      <c r="K45" s="270">
        <v>38</v>
      </c>
      <c r="L45" s="270">
        <v>7</v>
      </c>
      <c r="M45" s="270">
        <v>26</v>
      </c>
      <c r="N45" s="270">
        <v>68</v>
      </c>
      <c r="O45" s="270">
        <v>14</v>
      </c>
      <c r="P45" s="270">
        <v>47</v>
      </c>
      <c r="Q45" s="270">
        <v>30</v>
      </c>
      <c r="R45" s="270">
        <v>7</v>
      </c>
      <c r="S45" s="270">
        <v>21</v>
      </c>
      <c r="T45" s="270">
        <v>617</v>
      </c>
      <c r="U45" s="270">
        <v>650</v>
      </c>
      <c r="V45" s="270">
        <v>525</v>
      </c>
      <c r="W45" s="270">
        <v>618</v>
      </c>
      <c r="X45" s="270">
        <v>558</v>
      </c>
      <c r="Y45" s="270">
        <v>584</v>
      </c>
      <c r="Z45" s="270">
        <v>1</v>
      </c>
      <c r="AA45" s="270">
        <v>-92</v>
      </c>
      <c r="AB45" s="270">
        <v>59</v>
      </c>
      <c r="AE45" s="271">
        <f t="shared" si="4"/>
        <v>94.991364421416236</v>
      </c>
      <c r="AF45" s="271">
        <f t="shared" si="5"/>
        <v>84.603421461897355</v>
      </c>
      <c r="AG45" s="271">
        <f t="shared" si="6"/>
        <v>107.61523046092185</v>
      </c>
      <c r="AH45" s="271"/>
      <c r="AI45" s="260">
        <v>116.66666666666667</v>
      </c>
      <c r="AN45" s="271">
        <f t="shared" si="12"/>
        <v>100.16207455429497</v>
      </c>
      <c r="AO45" s="271">
        <f t="shared" si="13"/>
        <v>85.846153846153854</v>
      </c>
      <c r="AP45" s="271">
        <f t="shared" si="14"/>
        <v>111.23809523809524</v>
      </c>
      <c r="AR45" s="260">
        <v>116.66666666666667</v>
      </c>
    </row>
    <row r="46" spans="1:80" s="269" customFormat="1">
      <c r="A46" s="269" t="s">
        <v>85</v>
      </c>
      <c r="B46" s="270">
        <v>408</v>
      </c>
      <c r="C46" s="270">
        <v>449</v>
      </c>
      <c r="D46" s="270">
        <v>557</v>
      </c>
      <c r="E46" s="270">
        <v>386</v>
      </c>
      <c r="F46" s="270">
        <v>448</v>
      </c>
      <c r="G46" s="270">
        <v>540</v>
      </c>
      <c r="H46" s="270">
        <v>-23</v>
      </c>
      <c r="I46" s="270">
        <v>-1</v>
      </c>
      <c r="J46" s="270">
        <v>-18</v>
      </c>
      <c r="K46" s="270">
        <v>0</v>
      </c>
      <c r="L46" s="270">
        <v>0</v>
      </c>
      <c r="M46" s="270">
        <v>0</v>
      </c>
      <c r="N46" s="270">
        <v>0</v>
      </c>
      <c r="O46" s="270">
        <v>0</v>
      </c>
      <c r="P46" s="270">
        <v>0</v>
      </c>
      <c r="Q46" s="270">
        <v>0</v>
      </c>
      <c r="R46" s="270">
        <v>0</v>
      </c>
      <c r="S46" s="270">
        <v>0</v>
      </c>
      <c r="T46" s="270">
        <v>408</v>
      </c>
      <c r="U46" s="270">
        <v>449</v>
      </c>
      <c r="V46" s="270">
        <v>557</v>
      </c>
      <c r="W46" s="270">
        <v>386</v>
      </c>
      <c r="X46" s="270">
        <v>448</v>
      </c>
      <c r="Y46" s="270">
        <v>540</v>
      </c>
      <c r="Z46" s="270">
        <v>-22</v>
      </c>
      <c r="AA46" s="270">
        <v>-1</v>
      </c>
      <c r="AB46" s="270">
        <v>-17</v>
      </c>
      <c r="AE46" s="271">
        <f t="shared" si="4"/>
        <v>94.607843137254903</v>
      </c>
      <c r="AF46" s="271">
        <f t="shared" si="5"/>
        <v>99.777282850779514</v>
      </c>
      <c r="AG46" s="271">
        <f t="shared" si="6"/>
        <v>96.94793536804309</v>
      </c>
      <c r="AH46" s="271"/>
      <c r="AI46" s="260">
        <v>90.990542558486808</v>
      </c>
      <c r="AN46" s="271">
        <f t="shared" si="12"/>
        <v>94.607843137254903</v>
      </c>
      <c r="AO46" s="271">
        <f t="shared" si="13"/>
        <v>99.777282850779514</v>
      </c>
      <c r="AP46" s="271">
        <f t="shared" si="14"/>
        <v>96.94793536804309</v>
      </c>
      <c r="AR46" s="260">
        <v>90.990542558486808</v>
      </c>
    </row>
    <row r="47" spans="1:80" s="269" customFormat="1">
      <c r="A47" s="269" t="s">
        <v>86</v>
      </c>
      <c r="B47" s="270">
        <v>234</v>
      </c>
      <c r="C47" s="270">
        <v>206</v>
      </c>
      <c r="D47" s="270">
        <v>341</v>
      </c>
      <c r="E47" s="270">
        <v>138</v>
      </c>
      <c r="F47" s="270">
        <v>143</v>
      </c>
      <c r="G47" s="270">
        <v>152</v>
      </c>
      <c r="H47" s="270">
        <v>-96</v>
      </c>
      <c r="I47" s="270">
        <v>-63</v>
      </c>
      <c r="J47" s="270">
        <v>-189</v>
      </c>
      <c r="K47" s="270">
        <v>0</v>
      </c>
      <c r="L47" s="270">
        <v>0</v>
      </c>
      <c r="M47" s="270">
        <v>0</v>
      </c>
      <c r="N47" s="270">
        <v>96</v>
      </c>
      <c r="O47" s="270">
        <v>131</v>
      </c>
      <c r="P47" s="270">
        <v>127</v>
      </c>
      <c r="Q47" s="270">
        <v>96</v>
      </c>
      <c r="R47" s="270">
        <v>131</v>
      </c>
      <c r="S47" s="270">
        <v>127</v>
      </c>
      <c r="T47" s="270">
        <v>234</v>
      </c>
      <c r="U47" s="270">
        <v>206</v>
      </c>
      <c r="V47" s="270">
        <v>341</v>
      </c>
      <c r="W47" s="270">
        <v>234</v>
      </c>
      <c r="X47" s="270">
        <v>274</v>
      </c>
      <c r="Y47" s="270">
        <v>279</v>
      </c>
      <c r="Z47" s="270">
        <v>0</v>
      </c>
      <c r="AA47" s="270">
        <v>68</v>
      </c>
      <c r="AB47" s="270">
        <v>-62</v>
      </c>
      <c r="AE47" s="271">
        <f t="shared" si="4"/>
        <v>58.974358974358978</v>
      </c>
      <c r="AF47" s="271">
        <f t="shared" si="5"/>
        <v>69.417475728155338</v>
      </c>
      <c r="AG47" s="271">
        <f t="shared" si="6"/>
        <v>44.574780058651022</v>
      </c>
      <c r="AH47" s="271"/>
      <c r="AI47" s="263">
        <v>161.97183098591549</v>
      </c>
      <c r="AN47" s="271">
        <f t="shared" si="12"/>
        <v>100</v>
      </c>
      <c r="AO47" s="271">
        <f t="shared" si="13"/>
        <v>133.00970873786409</v>
      </c>
      <c r="AP47" s="271">
        <f t="shared" si="14"/>
        <v>81.818181818181827</v>
      </c>
      <c r="AR47" s="263">
        <v>161.97183098591549</v>
      </c>
    </row>
    <row r="48" spans="1:80" s="269" customFormat="1">
      <c r="A48" s="269" t="s">
        <v>91</v>
      </c>
      <c r="B48" s="270">
        <v>201</v>
      </c>
      <c r="C48" s="270">
        <v>257</v>
      </c>
      <c r="D48" s="270">
        <v>211</v>
      </c>
      <c r="E48" s="270">
        <v>310</v>
      </c>
      <c r="F48" s="270">
        <v>160</v>
      </c>
      <c r="G48" s="270">
        <v>427</v>
      </c>
      <c r="H48" s="270">
        <v>109</v>
      </c>
      <c r="I48" s="270">
        <v>-97</v>
      </c>
      <c r="J48" s="270">
        <v>216</v>
      </c>
      <c r="K48" s="270">
        <v>0</v>
      </c>
      <c r="L48" s="270">
        <v>0</v>
      </c>
      <c r="M48" s="270">
        <v>0</v>
      </c>
      <c r="N48" s="270">
        <v>0</v>
      </c>
      <c r="O48" s="270">
        <v>0</v>
      </c>
      <c r="P48" s="270">
        <v>0</v>
      </c>
      <c r="Q48" s="270">
        <v>0</v>
      </c>
      <c r="R48" s="270">
        <v>0</v>
      </c>
      <c r="S48" s="270">
        <v>0</v>
      </c>
      <c r="T48" s="270">
        <v>201</v>
      </c>
      <c r="U48" s="270">
        <v>257</v>
      </c>
      <c r="V48" s="270">
        <v>211</v>
      </c>
      <c r="W48" s="270">
        <v>310</v>
      </c>
      <c r="X48" s="270">
        <v>160</v>
      </c>
      <c r="Y48" s="270">
        <v>427</v>
      </c>
      <c r="Z48" s="270">
        <v>109</v>
      </c>
      <c r="AA48" s="270">
        <v>-97</v>
      </c>
      <c r="AB48" s="270">
        <v>216</v>
      </c>
      <c r="AE48" s="271">
        <f t="shared" si="4"/>
        <v>154.22885572139305</v>
      </c>
      <c r="AF48" s="271">
        <f t="shared" si="5"/>
        <v>62.2568093385214</v>
      </c>
      <c r="AG48" s="271">
        <f t="shared" si="6"/>
        <v>202.36966824644549</v>
      </c>
      <c r="AH48" s="271"/>
      <c r="AI48" s="263">
        <v>47.5</v>
      </c>
      <c r="AN48" s="271">
        <f t="shared" si="12"/>
        <v>154.22885572139305</v>
      </c>
      <c r="AO48" s="271">
        <f t="shared" si="13"/>
        <v>62.2568093385214</v>
      </c>
      <c r="AP48" s="271">
        <f t="shared" si="14"/>
        <v>202.36966824644549</v>
      </c>
      <c r="AR48" s="263">
        <v>47.5</v>
      </c>
    </row>
    <row r="49" spans="1:80" s="269" customFormat="1">
      <c r="A49" s="269" t="s">
        <v>95</v>
      </c>
      <c r="B49" s="270">
        <v>2218</v>
      </c>
      <c r="C49" s="270">
        <v>2895</v>
      </c>
      <c r="D49" s="270">
        <v>3491</v>
      </c>
      <c r="E49" s="270">
        <v>1462</v>
      </c>
      <c r="F49" s="270">
        <v>2658</v>
      </c>
      <c r="G49" s="270">
        <v>2980</v>
      </c>
      <c r="H49" s="270">
        <v>-756</v>
      </c>
      <c r="I49" s="270">
        <v>-237</v>
      </c>
      <c r="J49" s="270">
        <v>-511</v>
      </c>
      <c r="K49" s="270">
        <v>890</v>
      </c>
      <c r="L49" s="270">
        <v>1061</v>
      </c>
      <c r="M49" s="270">
        <v>1246</v>
      </c>
      <c r="N49" s="270">
        <v>2218</v>
      </c>
      <c r="O49" s="270">
        <v>2012</v>
      </c>
      <c r="P49" s="270">
        <v>2044</v>
      </c>
      <c r="Q49" s="270">
        <v>1328</v>
      </c>
      <c r="R49" s="270">
        <v>1097</v>
      </c>
      <c r="S49" s="270">
        <v>915</v>
      </c>
      <c r="T49" s="270">
        <v>3108</v>
      </c>
      <c r="U49" s="270">
        <v>3956</v>
      </c>
      <c r="V49" s="270">
        <v>4737</v>
      </c>
      <c r="W49" s="270">
        <v>3680</v>
      </c>
      <c r="X49" s="270">
        <v>4670</v>
      </c>
      <c r="Y49" s="270">
        <v>5024</v>
      </c>
      <c r="Z49" s="270">
        <v>572</v>
      </c>
      <c r="AA49" s="270">
        <v>714</v>
      </c>
      <c r="AB49" s="270">
        <v>287</v>
      </c>
      <c r="AE49" s="271">
        <f t="shared" si="4"/>
        <v>65.915238954012622</v>
      </c>
      <c r="AF49" s="271">
        <f t="shared" si="5"/>
        <v>91.813471502590673</v>
      </c>
      <c r="AG49" s="271">
        <f t="shared" si="6"/>
        <v>85.362360355199087</v>
      </c>
      <c r="AH49" s="271"/>
      <c r="AI49" s="263">
        <v>155.78947368421052</v>
      </c>
      <c r="AN49" s="271">
        <f t="shared" si="12"/>
        <v>118.40411840411839</v>
      </c>
      <c r="AO49" s="271">
        <f t="shared" si="13"/>
        <v>118.0485338725986</v>
      </c>
      <c r="AP49" s="271">
        <f t="shared" si="14"/>
        <v>106.05868693265781</v>
      </c>
      <c r="AR49" s="263">
        <v>155.78947368421052</v>
      </c>
    </row>
    <row r="50" spans="1:80" s="269" customFormat="1">
      <c r="A50" s="269" t="s">
        <v>110</v>
      </c>
      <c r="B50" s="270">
        <v>426</v>
      </c>
      <c r="C50" s="270">
        <v>588</v>
      </c>
      <c r="D50" s="270">
        <v>1018</v>
      </c>
      <c r="E50" s="270">
        <v>426</v>
      </c>
      <c r="F50" s="270">
        <v>588</v>
      </c>
      <c r="G50" s="270">
        <v>765</v>
      </c>
      <c r="H50" s="270">
        <v>0</v>
      </c>
      <c r="I50" s="270">
        <v>0</v>
      </c>
      <c r="J50" s="270">
        <v>-253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426</v>
      </c>
      <c r="U50" s="270">
        <v>588</v>
      </c>
      <c r="V50" s="270">
        <v>1018</v>
      </c>
      <c r="W50" s="270">
        <v>426</v>
      </c>
      <c r="X50" s="270">
        <v>588</v>
      </c>
      <c r="Y50" s="270">
        <v>765</v>
      </c>
      <c r="Z50" s="270">
        <v>0</v>
      </c>
      <c r="AA50" s="270">
        <v>0</v>
      </c>
      <c r="AB50" s="270">
        <v>-253</v>
      </c>
      <c r="AE50" s="271">
        <f t="shared" si="4"/>
        <v>100</v>
      </c>
      <c r="AF50" s="271">
        <f t="shared" si="5"/>
        <v>100</v>
      </c>
      <c r="AG50" s="271">
        <f t="shared" si="6"/>
        <v>75.147347740667982</v>
      </c>
      <c r="AH50" s="271"/>
      <c r="AI50" s="266">
        <v>98.125418433385406</v>
      </c>
      <c r="AN50" s="271">
        <f t="shared" si="12"/>
        <v>100</v>
      </c>
      <c r="AO50" s="271">
        <f t="shared" si="13"/>
        <v>100</v>
      </c>
      <c r="AP50" s="271">
        <f t="shared" si="14"/>
        <v>75.147347740667982</v>
      </c>
      <c r="AR50" s="266">
        <v>98.125418433385406</v>
      </c>
    </row>
    <row r="51" spans="1:80" s="269" customFormat="1">
      <c r="A51" s="269" t="s">
        <v>111</v>
      </c>
      <c r="B51" s="270">
        <v>58</v>
      </c>
      <c r="C51" s="270">
        <v>111</v>
      </c>
      <c r="D51" s="270">
        <v>97</v>
      </c>
      <c r="E51" s="270">
        <v>72</v>
      </c>
      <c r="F51" s="270">
        <v>120</v>
      </c>
      <c r="G51" s="270">
        <v>106</v>
      </c>
      <c r="H51" s="270">
        <v>14</v>
      </c>
      <c r="I51" s="270">
        <v>9</v>
      </c>
      <c r="J51" s="270">
        <v>9</v>
      </c>
      <c r="K51" s="270">
        <v>0</v>
      </c>
      <c r="L51" s="270">
        <v>0</v>
      </c>
      <c r="M51" s="270">
        <v>0</v>
      </c>
      <c r="N51" s="270">
        <v>18</v>
      </c>
      <c r="O51" s="270">
        <v>39</v>
      </c>
      <c r="P51" s="270">
        <v>39</v>
      </c>
      <c r="Q51" s="270">
        <v>18</v>
      </c>
      <c r="R51" s="270">
        <v>39</v>
      </c>
      <c r="S51" s="270">
        <v>39</v>
      </c>
      <c r="T51" s="270">
        <v>58</v>
      </c>
      <c r="U51" s="270">
        <v>111</v>
      </c>
      <c r="V51" s="270">
        <v>97</v>
      </c>
      <c r="W51" s="270">
        <v>90</v>
      </c>
      <c r="X51" s="270">
        <v>159</v>
      </c>
      <c r="Y51" s="270">
        <v>145</v>
      </c>
      <c r="Z51" s="270">
        <v>32</v>
      </c>
      <c r="AA51" s="270">
        <v>48</v>
      </c>
      <c r="AB51" s="270">
        <v>48</v>
      </c>
      <c r="AE51" s="271">
        <f t="shared" si="4"/>
        <v>124.13793103448276</v>
      </c>
      <c r="AF51" s="271">
        <f t="shared" si="5"/>
        <v>108.10810810810811</v>
      </c>
      <c r="AG51" s="271">
        <f t="shared" si="6"/>
        <v>109.27835051546391</v>
      </c>
      <c r="AH51" s="271"/>
      <c r="AI51" s="266">
        <v>93.759750390015597</v>
      </c>
      <c r="AN51" s="271">
        <f t="shared" si="12"/>
        <v>155.17241379310346</v>
      </c>
      <c r="AO51" s="271">
        <f t="shared" si="13"/>
        <v>143.24324324324326</v>
      </c>
      <c r="AP51" s="271">
        <f t="shared" si="14"/>
        <v>149.48453608247422</v>
      </c>
      <c r="AR51" s="266">
        <v>102.9953198127925</v>
      </c>
    </row>
    <row r="52" spans="1:80" s="269" customFormat="1">
      <c r="A52" s="269" t="s">
        <v>112</v>
      </c>
      <c r="B52" s="270">
        <f>(BB52/1125)*125</f>
        <v>1512.5555555555557</v>
      </c>
      <c r="C52" s="270">
        <f t="shared" ref="C52:AB52" si="16">(BC52/1125)*125</f>
        <v>1426.1111111111111</v>
      </c>
      <c r="D52" s="270">
        <f t="shared" si="16"/>
        <v>308.66666666666663</v>
      </c>
      <c r="E52" s="270">
        <f t="shared" si="16"/>
        <v>1456.6666666666667</v>
      </c>
      <c r="F52" s="270">
        <f t="shared" si="16"/>
        <v>1489</v>
      </c>
      <c r="G52" s="270">
        <f t="shared" si="16"/>
        <v>276.22222222222223</v>
      </c>
      <c r="H52" s="270">
        <f t="shared" si="16"/>
        <v>-55.888888888888893</v>
      </c>
      <c r="I52" s="270">
        <f t="shared" si="16"/>
        <v>63.222222222222221</v>
      </c>
      <c r="J52" s="270">
        <f t="shared" si="16"/>
        <v>-32.444444444444443</v>
      </c>
      <c r="K52" s="270">
        <f t="shared" si="16"/>
        <v>440.77777777777777</v>
      </c>
      <c r="L52" s="270">
        <f t="shared" si="16"/>
        <v>504.11111111111109</v>
      </c>
      <c r="M52" s="270">
        <f t="shared" si="16"/>
        <v>38.777777777777779</v>
      </c>
      <c r="N52" s="270">
        <f t="shared" si="16"/>
        <v>640.8888888888888</v>
      </c>
      <c r="O52" s="270">
        <f t="shared" si="16"/>
        <v>649.22222222222229</v>
      </c>
      <c r="P52" s="270">
        <f t="shared" si="16"/>
        <v>47.666666666666671</v>
      </c>
      <c r="Q52" s="270">
        <f t="shared" si="16"/>
        <v>200.11111111111111</v>
      </c>
      <c r="R52" s="270">
        <f t="shared" si="16"/>
        <v>167.33333333333334</v>
      </c>
      <c r="S52" s="270">
        <f t="shared" si="16"/>
        <v>8.8888888888888893</v>
      </c>
      <c r="T52" s="270">
        <f t="shared" si="16"/>
        <v>1953.3333333333333</v>
      </c>
      <c r="U52" s="270">
        <f t="shared" si="16"/>
        <v>1930.2222222222222</v>
      </c>
      <c r="V52" s="270">
        <f t="shared" si="16"/>
        <v>347.44444444444446</v>
      </c>
      <c r="W52" s="270">
        <f t="shared" si="16"/>
        <v>2097.5555555555557</v>
      </c>
      <c r="X52" s="270">
        <f t="shared" si="16"/>
        <v>2138.2222222222222</v>
      </c>
      <c r="Y52" s="270">
        <f t="shared" si="16"/>
        <v>323.88888888888891</v>
      </c>
      <c r="Z52" s="270">
        <f t="shared" si="16"/>
        <v>144.22222222222223</v>
      </c>
      <c r="AA52" s="270">
        <f t="shared" si="16"/>
        <v>208</v>
      </c>
      <c r="AB52" s="270">
        <f t="shared" si="16"/>
        <v>-23.555555555555554</v>
      </c>
      <c r="AE52" s="271">
        <f t="shared" si="4"/>
        <v>96.305002571071768</v>
      </c>
      <c r="AF52" s="271">
        <f t="shared" si="5"/>
        <v>104.40981690689522</v>
      </c>
      <c r="AG52" s="271">
        <f t="shared" si="6"/>
        <v>89.488840892728589</v>
      </c>
      <c r="AH52" s="271"/>
      <c r="AI52" s="266">
        <v>71.170774647887328</v>
      </c>
      <c r="AN52" s="271">
        <f t="shared" si="12"/>
        <v>107.38339021615472</v>
      </c>
      <c r="AO52" s="271">
        <f t="shared" si="13"/>
        <v>110.77596131706193</v>
      </c>
      <c r="AP52" s="271">
        <f t="shared" si="14"/>
        <v>93.220338983050851</v>
      </c>
      <c r="AR52" s="266">
        <v>84.791843670348342</v>
      </c>
      <c r="BB52" s="269">
        <v>13613</v>
      </c>
      <c r="BC52" s="269">
        <v>12835</v>
      </c>
      <c r="BD52" s="269">
        <v>2778</v>
      </c>
      <c r="BE52" s="269">
        <v>13110</v>
      </c>
      <c r="BF52" s="269">
        <v>13401</v>
      </c>
      <c r="BG52" s="269">
        <v>2486</v>
      </c>
      <c r="BH52" s="269">
        <v>-503</v>
      </c>
      <c r="BI52" s="269">
        <v>569</v>
      </c>
      <c r="BJ52" s="269">
        <v>-292</v>
      </c>
      <c r="BK52" s="269">
        <v>3967</v>
      </c>
      <c r="BL52" s="269">
        <v>4537</v>
      </c>
      <c r="BM52" s="269">
        <v>349</v>
      </c>
      <c r="BN52" s="269">
        <v>5768</v>
      </c>
      <c r="BO52" s="269">
        <v>5843</v>
      </c>
      <c r="BP52" s="269">
        <v>429</v>
      </c>
      <c r="BQ52" s="269">
        <v>1801</v>
      </c>
      <c r="BR52" s="269">
        <v>1506</v>
      </c>
      <c r="BS52" s="269">
        <v>80</v>
      </c>
      <c r="BT52" s="269">
        <v>17580</v>
      </c>
      <c r="BU52" s="269">
        <v>17372</v>
      </c>
      <c r="BV52" s="269">
        <v>3127</v>
      </c>
      <c r="BW52" s="269">
        <v>18878</v>
      </c>
      <c r="BX52" s="269">
        <v>19244</v>
      </c>
      <c r="BY52" s="269">
        <v>2915</v>
      </c>
      <c r="BZ52" s="269">
        <v>1298</v>
      </c>
      <c r="CA52" s="269">
        <v>1872</v>
      </c>
      <c r="CB52" s="269">
        <v>-212</v>
      </c>
    </row>
    <row r="53" spans="1:80" s="269" customFormat="1">
      <c r="A53" s="269" t="s">
        <v>113</v>
      </c>
      <c r="B53" s="270">
        <v>286</v>
      </c>
      <c r="C53" s="270">
        <v>301</v>
      </c>
      <c r="D53" s="270">
        <v>277</v>
      </c>
      <c r="E53" s="270">
        <v>335</v>
      </c>
      <c r="F53" s="270">
        <v>221</v>
      </c>
      <c r="G53" s="270">
        <v>283</v>
      </c>
      <c r="H53" s="270">
        <v>49</v>
      </c>
      <c r="I53" s="270">
        <v>-80</v>
      </c>
      <c r="J53" s="270">
        <v>6</v>
      </c>
      <c r="K53" s="270">
        <v>97</v>
      </c>
      <c r="L53" s="270">
        <v>12</v>
      </c>
      <c r="M53" s="270">
        <v>20</v>
      </c>
      <c r="N53" s="270">
        <v>148</v>
      </c>
      <c r="O53" s="270">
        <v>77</v>
      </c>
      <c r="P53" s="270">
        <v>90</v>
      </c>
      <c r="Q53" s="270">
        <v>51</v>
      </c>
      <c r="R53" s="270">
        <v>65</v>
      </c>
      <c r="S53" s="270">
        <v>70</v>
      </c>
      <c r="T53" s="270">
        <v>383</v>
      </c>
      <c r="U53" s="270">
        <v>313</v>
      </c>
      <c r="V53" s="270">
        <v>297</v>
      </c>
      <c r="W53" s="270">
        <v>483</v>
      </c>
      <c r="X53" s="270">
        <v>298</v>
      </c>
      <c r="Y53" s="270">
        <v>373</v>
      </c>
      <c r="Z53" s="270">
        <v>100</v>
      </c>
      <c r="AA53" s="270">
        <v>-15</v>
      </c>
      <c r="AB53" s="270">
        <v>76</v>
      </c>
      <c r="AE53" s="271">
        <f t="shared" si="4"/>
        <v>117.13286713286712</v>
      </c>
      <c r="AF53" s="271">
        <f t="shared" si="5"/>
        <v>73.421926910299007</v>
      </c>
      <c r="AG53" s="271">
        <f t="shared" si="6"/>
        <v>102.16606498194946</v>
      </c>
      <c r="AH53" s="271"/>
      <c r="AI53" s="266">
        <v>97.212931995540686</v>
      </c>
      <c r="AN53" s="271">
        <f t="shared" si="12"/>
        <v>126.10966057441253</v>
      </c>
      <c r="AO53" s="271">
        <f t="shared" si="13"/>
        <v>95.2076677316294</v>
      </c>
      <c r="AP53" s="271">
        <f t="shared" si="14"/>
        <v>125.58922558922558</v>
      </c>
      <c r="AR53" s="266">
        <v>97.212931995540686</v>
      </c>
    </row>
    <row r="54" spans="1:80" s="269" customFormat="1">
      <c r="A54" s="269" t="s">
        <v>114</v>
      </c>
      <c r="B54" s="270">
        <v>868</v>
      </c>
      <c r="C54" s="270">
        <v>1750</v>
      </c>
      <c r="D54" s="270">
        <v>1041</v>
      </c>
      <c r="E54" s="270">
        <v>867</v>
      </c>
      <c r="F54" s="270">
        <v>1740</v>
      </c>
      <c r="G54" s="270">
        <v>1040</v>
      </c>
      <c r="H54" s="270">
        <v>-1</v>
      </c>
      <c r="I54" s="270">
        <v>-10</v>
      </c>
      <c r="J54" s="270">
        <v>-1</v>
      </c>
      <c r="K54" s="270">
        <v>49</v>
      </c>
      <c r="L54" s="270">
        <v>291</v>
      </c>
      <c r="M54" s="270">
        <v>207</v>
      </c>
      <c r="N54" s="270">
        <v>105</v>
      </c>
      <c r="O54" s="270">
        <v>291</v>
      </c>
      <c r="P54" s="270">
        <v>203</v>
      </c>
      <c r="Q54" s="270">
        <v>56</v>
      </c>
      <c r="R54" s="270">
        <v>0</v>
      </c>
      <c r="S54" s="270">
        <v>-4</v>
      </c>
      <c r="T54" s="270">
        <v>917</v>
      </c>
      <c r="U54" s="270">
        <v>2041</v>
      </c>
      <c r="V54" s="270">
        <v>1248</v>
      </c>
      <c r="W54" s="270">
        <v>972</v>
      </c>
      <c r="X54" s="270">
        <v>2031</v>
      </c>
      <c r="Y54" s="270">
        <v>1243</v>
      </c>
      <c r="Z54" s="270">
        <v>55</v>
      </c>
      <c r="AA54" s="270">
        <v>-10</v>
      </c>
      <c r="AB54" s="270">
        <v>-5</v>
      </c>
      <c r="AE54" s="271">
        <f t="shared" si="4"/>
        <v>99.884792626728114</v>
      </c>
      <c r="AF54" s="271">
        <f t="shared" si="5"/>
        <v>99.428571428571431</v>
      </c>
      <c r="AG54" s="271">
        <f t="shared" si="6"/>
        <v>99.903938520653213</v>
      </c>
      <c r="AH54" s="271"/>
      <c r="AI54" s="266">
        <v>216.66666666666666</v>
      </c>
      <c r="AN54" s="271">
        <f t="shared" si="12"/>
        <v>105.9978189749182</v>
      </c>
      <c r="AO54" s="271">
        <f t="shared" si="13"/>
        <v>99.510044096031365</v>
      </c>
      <c r="AP54" s="271">
        <f t="shared" si="14"/>
        <v>99.599358974358978</v>
      </c>
      <c r="AR54" s="266">
        <v>216.66666666666666</v>
      </c>
    </row>
    <row r="55" spans="1:80" s="269" customFormat="1">
      <c r="A55" s="269" t="s">
        <v>115</v>
      </c>
      <c r="B55" s="270">
        <v>74</v>
      </c>
      <c r="C55" s="270">
        <v>76</v>
      </c>
      <c r="D55" s="270">
        <v>69</v>
      </c>
      <c r="E55" s="270">
        <v>77</v>
      </c>
      <c r="F55" s="270">
        <v>73</v>
      </c>
      <c r="G55" s="270">
        <v>69</v>
      </c>
      <c r="H55" s="270">
        <v>3</v>
      </c>
      <c r="I55" s="270">
        <v>-3</v>
      </c>
      <c r="J55" s="270">
        <v>0</v>
      </c>
      <c r="K55" s="270">
        <v>0</v>
      </c>
      <c r="L55" s="270">
        <v>0</v>
      </c>
      <c r="M55" s="270">
        <v>0</v>
      </c>
      <c r="N55" s="270">
        <v>3</v>
      </c>
      <c r="O55" s="270">
        <v>3</v>
      </c>
      <c r="P55" s="270">
        <v>0</v>
      </c>
      <c r="Q55" s="270">
        <v>3</v>
      </c>
      <c r="R55" s="270">
        <v>3</v>
      </c>
      <c r="S55" s="270">
        <v>0</v>
      </c>
      <c r="T55" s="270">
        <v>74</v>
      </c>
      <c r="U55" s="270">
        <v>76</v>
      </c>
      <c r="V55" s="270">
        <v>69</v>
      </c>
      <c r="W55" s="270">
        <v>80</v>
      </c>
      <c r="X55" s="270">
        <v>76</v>
      </c>
      <c r="Y55" s="270">
        <v>69</v>
      </c>
      <c r="Z55" s="270">
        <v>6</v>
      </c>
      <c r="AA55" s="270">
        <v>0</v>
      </c>
      <c r="AB55" s="270">
        <v>0</v>
      </c>
      <c r="AE55" s="271">
        <f t="shared" si="4"/>
        <v>104.05405405405406</v>
      </c>
      <c r="AF55" s="271">
        <f t="shared" si="5"/>
        <v>96.05263157894737</v>
      </c>
      <c r="AG55" s="271">
        <f t="shared" si="6"/>
        <v>100</v>
      </c>
      <c r="AH55" s="271"/>
      <c r="AI55" s="266">
        <v>98.341625207296829</v>
      </c>
      <c r="AN55" s="271">
        <f t="shared" si="12"/>
        <v>108.10810810810811</v>
      </c>
      <c r="AO55" s="271">
        <f t="shared" si="13"/>
        <v>100</v>
      </c>
      <c r="AP55" s="271">
        <f t="shared" si="14"/>
        <v>100</v>
      </c>
      <c r="AR55" s="266">
        <v>105.3067993366501</v>
      </c>
    </row>
    <row r="56" spans="1:80" s="269" customFormat="1">
      <c r="A56" s="269" t="s">
        <v>116</v>
      </c>
      <c r="B56" s="270">
        <v>330</v>
      </c>
      <c r="C56" s="270">
        <v>442</v>
      </c>
      <c r="D56" s="270">
        <v>404</v>
      </c>
      <c r="E56" s="270">
        <v>311</v>
      </c>
      <c r="F56" s="270">
        <v>457</v>
      </c>
      <c r="G56" s="270">
        <v>442</v>
      </c>
      <c r="H56" s="270">
        <v>-19</v>
      </c>
      <c r="I56" s="270">
        <v>15</v>
      </c>
      <c r="J56" s="270">
        <v>38</v>
      </c>
      <c r="K56" s="270">
        <v>311</v>
      </c>
      <c r="L56" s="270">
        <v>0</v>
      </c>
      <c r="M56" s="270">
        <v>0</v>
      </c>
      <c r="N56" s="270">
        <v>53</v>
      </c>
      <c r="O56" s="270">
        <v>24</v>
      </c>
      <c r="P56" s="270">
        <v>47</v>
      </c>
      <c r="Q56" s="270">
        <v>53</v>
      </c>
      <c r="R56" s="270">
        <v>24</v>
      </c>
      <c r="S56" s="270">
        <v>47</v>
      </c>
      <c r="T56" s="270">
        <v>641</v>
      </c>
      <c r="U56" s="270">
        <v>442</v>
      </c>
      <c r="V56" s="270">
        <v>404</v>
      </c>
      <c r="W56" s="270">
        <v>364</v>
      </c>
      <c r="X56" s="270">
        <v>481</v>
      </c>
      <c r="Y56" s="270">
        <v>489</v>
      </c>
      <c r="Z56" s="270">
        <v>-277</v>
      </c>
      <c r="AA56" s="270">
        <v>39</v>
      </c>
      <c r="AB56" s="270">
        <v>85</v>
      </c>
      <c r="AE56" s="271">
        <f t="shared" si="4"/>
        <v>94.242424242424235</v>
      </c>
      <c r="AF56" s="271">
        <f t="shared" si="5"/>
        <v>103.39366515837105</v>
      </c>
      <c r="AG56" s="271">
        <f t="shared" si="6"/>
        <v>109.40594059405942</v>
      </c>
      <c r="AH56" s="271"/>
      <c r="AI56" s="266">
        <v>69.974554707379127</v>
      </c>
      <c r="AN56" s="271">
        <f t="shared" si="12"/>
        <v>56.786271450858038</v>
      </c>
      <c r="AO56" s="271">
        <f t="shared" si="13"/>
        <v>108.8235294117647</v>
      </c>
      <c r="AP56" s="271">
        <f t="shared" si="14"/>
        <v>121.03960396039604</v>
      </c>
      <c r="AR56" s="266">
        <v>69.974554707379127</v>
      </c>
    </row>
    <row r="57" spans="1:80" s="269" customFormat="1">
      <c r="A57" s="269" t="s">
        <v>117</v>
      </c>
      <c r="B57" s="270">
        <v>500</v>
      </c>
      <c r="C57" s="270">
        <v>590</v>
      </c>
      <c r="D57" s="270">
        <v>629</v>
      </c>
      <c r="E57" s="270">
        <v>388</v>
      </c>
      <c r="F57" s="270">
        <v>552</v>
      </c>
      <c r="G57" s="270">
        <v>568</v>
      </c>
      <c r="H57" s="270">
        <v>-112</v>
      </c>
      <c r="I57" s="270">
        <v>-38</v>
      </c>
      <c r="J57" s="270">
        <v>-61</v>
      </c>
      <c r="K57" s="270">
        <v>12</v>
      </c>
      <c r="L57" s="270">
        <v>33</v>
      </c>
      <c r="M57" s="270">
        <v>15</v>
      </c>
      <c r="N57" s="270">
        <v>188</v>
      </c>
      <c r="O57" s="270">
        <v>125</v>
      </c>
      <c r="P57" s="270">
        <v>136</v>
      </c>
      <c r="Q57" s="270">
        <v>176</v>
      </c>
      <c r="R57" s="270">
        <v>92</v>
      </c>
      <c r="S57" s="270">
        <v>121</v>
      </c>
      <c r="T57" s="270">
        <v>512</v>
      </c>
      <c r="U57" s="270">
        <v>623</v>
      </c>
      <c r="V57" s="270">
        <v>644</v>
      </c>
      <c r="W57" s="270">
        <v>576</v>
      </c>
      <c r="X57" s="270">
        <v>677</v>
      </c>
      <c r="Y57" s="270">
        <v>704</v>
      </c>
      <c r="Z57" s="270">
        <v>64</v>
      </c>
      <c r="AA57" s="270">
        <v>54</v>
      </c>
      <c r="AB57" s="270">
        <v>60</v>
      </c>
      <c r="AE57" s="271">
        <f t="shared" si="4"/>
        <v>77.600000000000009</v>
      </c>
      <c r="AF57" s="271">
        <f t="shared" si="5"/>
        <v>93.559322033898312</v>
      </c>
      <c r="AG57" s="271">
        <f t="shared" si="6"/>
        <v>90.30206677265501</v>
      </c>
      <c r="AH57" s="271"/>
      <c r="AI57" s="266">
        <v>122.54335260115607</v>
      </c>
      <c r="AN57" s="271">
        <f t="shared" si="12"/>
        <v>112.5</v>
      </c>
      <c r="AO57" s="271">
        <f t="shared" si="13"/>
        <v>108.6677367576244</v>
      </c>
      <c r="AP57" s="271">
        <f t="shared" si="14"/>
        <v>109.3167701863354</v>
      </c>
      <c r="AR57" s="266">
        <v>122.54335260115607</v>
      </c>
    </row>
    <row r="58" spans="1:80" s="269" customFormat="1">
      <c r="A58" s="269" t="s">
        <v>118</v>
      </c>
      <c r="B58" s="270">
        <v>229</v>
      </c>
      <c r="C58" s="270">
        <v>240</v>
      </c>
      <c r="D58" s="270">
        <v>334</v>
      </c>
      <c r="E58" s="270">
        <v>229</v>
      </c>
      <c r="F58" s="270">
        <v>240</v>
      </c>
      <c r="G58" s="270">
        <v>352</v>
      </c>
      <c r="H58" s="270">
        <v>0</v>
      </c>
      <c r="I58" s="270">
        <v>0</v>
      </c>
      <c r="J58" s="270">
        <v>18</v>
      </c>
      <c r="K58" s="270">
        <v>0</v>
      </c>
      <c r="L58" s="270">
        <v>0</v>
      </c>
      <c r="M58" s="270">
        <v>0</v>
      </c>
      <c r="N58" s="270">
        <v>0</v>
      </c>
      <c r="O58" s="270">
        <v>0</v>
      </c>
      <c r="P58" s="270">
        <v>0</v>
      </c>
      <c r="Q58" s="270">
        <v>0</v>
      </c>
      <c r="R58" s="270">
        <v>0</v>
      </c>
      <c r="S58" s="270">
        <v>0</v>
      </c>
      <c r="T58" s="270">
        <v>229</v>
      </c>
      <c r="U58" s="270">
        <v>240</v>
      </c>
      <c r="V58" s="270">
        <v>334</v>
      </c>
      <c r="W58" s="270">
        <v>229</v>
      </c>
      <c r="X58" s="270">
        <v>240</v>
      </c>
      <c r="Y58" s="270">
        <v>352</v>
      </c>
      <c r="Z58" s="270">
        <v>0</v>
      </c>
      <c r="AA58" s="270">
        <v>0</v>
      </c>
      <c r="AB58" s="270">
        <v>18</v>
      </c>
      <c r="AE58" s="271">
        <f t="shared" si="4"/>
        <v>100</v>
      </c>
      <c r="AF58" s="271">
        <f t="shared" si="5"/>
        <v>100</v>
      </c>
      <c r="AG58" s="271">
        <f t="shared" si="6"/>
        <v>105.38922155688624</v>
      </c>
      <c r="AH58" s="271"/>
      <c r="AI58" s="266">
        <v>123.38530066815146</v>
      </c>
      <c r="AN58" s="271">
        <f t="shared" si="12"/>
        <v>100</v>
      </c>
      <c r="AO58" s="271">
        <f t="shared" si="13"/>
        <v>100</v>
      </c>
      <c r="AP58" s="271">
        <f t="shared" si="14"/>
        <v>105.38922155688624</v>
      </c>
      <c r="AR58" s="266">
        <v>123.38530066815146</v>
      </c>
    </row>
    <row r="59" spans="1:80" s="269" customFormat="1">
      <c r="A59" s="269" t="s">
        <v>119</v>
      </c>
      <c r="B59" s="270">
        <v>2736</v>
      </c>
      <c r="C59" s="270">
        <v>3257</v>
      </c>
      <c r="D59" s="270">
        <v>3081</v>
      </c>
      <c r="E59" s="270">
        <v>2730</v>
      </c>
      <c r="F59" s="270">
        <v>3258</v>
      </c>
      <c r="G59" s="270">
        <v>3083</v>
      </c>
      <c r="H59" s="270">
        <v>-6</v>
      </c>
      <c r="I59" s="270">
        <v>1</v>
      </c>
      <c r="J59" s="270">
        <v>2</v>
      </c>
      <c r="K59" s="270">
        <v>176</v>
      </c>
      <c r="L59" s="270">
        <v>121</v>
      </c>
      <c r="M59" s="270">
        <v>69</v>
      </c>
      <c r="N59" s="270">
        <v>205</v>
      </c>
      <c r="O59" s="270">
        <v>125</v>
      </c>
      <c r="P59" s="270">
        <v>71</v>
      </c>
      <c r="Q59" s="270">
        <v>29</v>
      </c>
      <c r="R59" s="270">
        <v>4</v>
      </c>
      <c r="S59" s="270">
        <v>2</v>
      </c>
      <c r="T59" s="270">
        <v>2912</v>
      </c>
      <c r="U59" s="270">
        <v>3378</v>
      </c>
      <c r="V59" s="270">
        <v>3150</v>
      </c>
      <c r="W59" s="270">
        <v>2935</v>
      </c>
      <c r="X59" s="270">
        <v>3383</v>
      </c>
      <c r="Y59" s="270">
        <v>3154</v>
      </c>
      <c r="Z59" s="270">
        <v>23</v>
      </c>
      <c r="AA59" s="270">
        <v>5</v>
      </c>
      <c r="AB59" s="270">
        <v>4</v>
      </c>
      <c r="AE59" s="271">
        <f t="shared" si="4"/>
        <v>99.780701754385973</v>
      </c>
      <c r="AF59" s="271">
        <f t="shared" si="5"/>
        <v>100.0307031010132</v>
      </c>
      <c r="AG59" s="271">
        <f t="shared" si="6"/>
        <v>100.06491398896462</v>
      </c>
      <c r="AH59" s="271"/>
      <c r="AI59" s="266">
        <v>81.370826010544818</v>
      </c>
      <c r="AN59" s="271">
        <f t="shared" si="12"/>
        <v>100.78983516483517</v>
      </c>
      <c r="AO59" s="271">
        <f t="shared" si="13"/>
        <v>100.14801657785672</v>
      </c>
      <c r="AP59" s="271">
        <f t="shared" si="14"/>
        <v>100.12698412698413</v>
      </c>
      <c r="AR59" s="266">
        <v>85.270425776754891</v>
      </c>
    </row>
    <row r="60" spans="1:80" s="269" customFormat="1">
      <c r="A60" s="269" t="s">
        <v>120</v>
      </c>
      <c r="B60" s="270">
        <v>331</v>
      </c>
      <c r="C60" s="270">
        <v>500</v>
      </c>
      <c r="D60" s="270">
        <v>601</v>
      </c>
      <c r="E60" s="270">
        <v>268</v>
      </c>
      <c r="F60" s="270">
        <v>400</v>
      </c>
      <c r="G60" s="270">
        <v>650</v>
      </c>
      <c r="H60" s="270">
        <v>-63</v>
      </c>
      <c r="I60" s="270">
        <v>-100</v>
      </c>
      <c r="J60" s="270">
        <v>49</v>
      </c>
      <c r="K60" s="270">
        <v>95</v>
      </c>
      <c r="L60" s="270">
        <v>146</v>
      </c>
      <c r="M60" s="270">
        <v>156</v>
      </c>
      <c r="N60" s="270">
        <v>211</v>
      </c>
      <c r="O60" s="270">
        <v>364</v>
      </c>
      <c r="P60" s="270">
        <v>284</v>
      </c>
      <c r="Q60" s="270">
        <v>116</v>
      </c>
      <c r="R60" s="270">
        <v>218</v>
      </c>
      <c r="S60" s="270">
        <v>128</v>
      </c>
      <c r="T60" s="270">
        <v>426</v>
      </c>
      <c r="U60" s="270">
        <v>646</v>
      </c>
      <c r="V60" s="270">
        <v>757</v>
      </c>
      <c r="W60" s="270">
        <v>479</v>
      </c>
      <c r="X60" s="270">
        <v>764</v>
      </c>
      <c r="Y60" s="270">
        <v>934</v>
      </c>
      <c r="Z60" s="270">
        <v>53</v>
      </c>
      <c r="AA60" s="270">
        <v>118</v>
      </c>
      <c r="AB60" s="270">
        <v>177</v>
      </c>
      <c r="AE60" s="271">
        <f t="shared" si="4"/>
        <v>80.966767371601208</v>
      </c>
      <c r="AF60" s="271">
        <f t="shared" si="5"/>
        <v>80</v>
      </c>
      <c r="AG60" s="271">
        <f t="shared" si="6"/>
        <v>108.153078202995</v>
      </c>
      <c r="AH60" s="271"/>
      <c r="AI60" s="266">
        <v>93.993152816682226</v>
      </c>
      <c r="AN60" s="271">
        <f t="shared" si="12"/>
        <v>112.44131455399059</v>
      </c>
      <c r="AO60" s="271">
        <f t="shared" si="13"/>
        <v>118.26625386996905</v>
      </c>
      <c r="AP60" s="271">
        <f t="shared" si="14"/>
        <v>123.38177014531044</v>
      </c>
      <c r="AR60" s="266">
        <v>94.143199520671061</v>
      </c>
    </row>
    <row r="61" spans="1:80" s="269" customFormat="1">
      <c r="A61" s="269" t="s">
        <v>121</v>
      </c>
      <c r="B61" s="270">
        <v>337</v>
      </c>
      <c r="C61" s="270">
        <v>279</v>
      </c>
      <c r="D61" s="270">
        <v>329</v>
      </c>
      <c r="E61" s="270">
        <v>188</v>
      </c>
      <c r="F61" s="270">
        <v>222</v>
      </c>
      <c r="G61" s="270">
        <v>254</v>
      </c>
      <c r="H61" s="270">
        <v>-149</v>
      </c>
      <c r="I61" s="270">
        <v>-57</v>
      </c>
      <c r="J61" s="270">
        <v>-75</v>
      </c>
      <c r="K61" s="270">
        <v>149</v>
      </c>
      <c r="L61" s="270">
        <v>240</v>
      </c>
      <c r="M61" s="270">
        <v>269</v>
      </c>
      <c r="N61" s="270">
        <v>293</v>
      </c>
      <c r="O61" s="270">
        <v>388</v>
      </c>
      <c r="P61" s="270">
        <v>507</v>
      </c>
      <c r="Q61" s="270">
        <v>144</v>
      </c>
      <c r="R61" s="270">
        <v>148</v>
      </c>
      <c r="S61" s="270">
        <v>238</v>
      </c>
      <c r="T61" s="270">
        <v>486</v>
      </c>
      <c r="U61" s="270">
        <v>519</v>
      </c>
      <c r="V61" s="270">
        <v>598</v>
      </c>
      <c r="W61" s="270">
        <v>481</v>
      </c>
      <c r="X61" s="270">
        <v>610</v>
      </c>
      <c r="Y61" s="270">
        <v>761</v>
      </c>
      <c r="Z61" s="270">
        <v>-5</v>
      </c>
      <c r="AA61" s="270">
        <v>91</v>
      </c>
      <c r="AB61" s="270">
        <v>163</v>
      </c>
      <c r="AE61" s="271">
        <f t="shared" si="4"/>
        <v>55.786350148367958</v>
      </c>
      <c r="AF61" s="271">
        <f t="shared" si="5"/>
        <v>79.569892473118273</v>
      </c>
      <c r="AG61" s="271">
        <f t="shared" si="6"/>
        <v>77.203647416413375</v>
      </c>
      <c r="AH61" s="271"/>
      <c r="AI61" s="266">
        <v>98.644161593801883</v>
      </c>
      <c r="AN61" s="271">
        <f t="shared" si="12"/>
        <v>98.971193415637856</v>
      </c>
      <c r="AO61" s="271">
        <f t="shared" si="13"/>
        <v>117.53371868978806</v>
      </c>
      <c r="AP61" s="271">
        <f t="shared" si="14"/>
        <v>127.25752508361204</v>
      </c>
      <c r="AR61" s="266">
        <v>106.88895012400108</v>
      </c>
    </row>
    <row r="62" spans="1:80" s="269" customFormat="1">
      <c r="A62" s="269" t="s">
        <v>122</v>
      </c>
      <c r="B62" s="270">
        <v>160</v>
      </c>
      <c r="C62" s="270">
        <v>294</v>
      </c>
      <c r="D62" s="270">
        <v>331</v>
      </c>
      <c r="E62" s="270">
        <v>121</v>
      </c>
      <c r="F62" s="270">
        <v>240</v>
      </c>
      <c r="G62" s="270">
        <v>346</v>
      </c>
      <c r="H62" s="270">
        <v>-39</v>
      </c>
      <c r="I62" s="270">
        <v>-54</v>
      </c>
      <c r="J62" s="270">
        <v>15</v>
      </c>
      <c r="K62" s="270">
        <v>221</v>
      </c>
      <c r="L62" s="270">
        <v>194</v>
      </c>
      <c r="M62" s="270">
        <v>210</v>
      </c>
      <c r="N62" s="270">
        <v>319</v>
      </c>
      <c r="O62" s="270">
        <v>395</v>
      </c>
      <c r="P62" s="270">
        <v>282</v>
      </c>
      <c r="Q62" s="270">
        <v>98</v>
      </c>
      <c r="R62" s="270">
        <v>201</v>
      </c>
      <c r="S62" s="270">
        <v>72</v>
      </c>
      <c r="T62" s="270">
        <v>381</v>
      </c>
      <c r="U62" s="270">
        <v>488</v>
      </c>
      <c r="V62" s="270">
        <v>541</v>
      </c>
      <c r="W62" s="270">
        <v>440</v>
      </c>
      <c r="X62" s="270">
        <v>635</v>
      </c>
      <c r="Y62" s="270">
        <v>628</v>
      </c>
      <c r="Z62" s="270">
        <v>59</v>
      </c>
      <c r="AA62" s="270">
        <v>147</v>
      </c>
      <c r="AB62" s="270">
        <v>87</v>
      </c>
      <c r="AE62" s="271">
        <f t="shared" si="4"/>
        <v>75.625</v>
      </c>
      <c r="AF62" s="271">
        <f t="shared" si="5"/>
        <v>81.632653061224488</v>
      </c>
      <c r="AG62" s="271">
        <f t="shared" si="6"/>
        <v>104.53172205438067</v>
      </c>
      <c r="AH62" s="271"/>
      <c r="AI62" s="266">
        <v>90.51348999129678</v>
      </c>
      <c r="AN62" s="271">
        <f t="shared" si="12"/>
        <v>115.48556430446195</v>
      </c>
      <c r="AO62" s="271">
        <f t="shared" si="13"/>
        <v>130.12295081967213</v>
      </c>
      <c r="AP62" s="271">
        <f t="shared" si="14"/>
        <v>116.08133086876155</v>
      </c>
      <c r="AR62" s="266">
        <v>107.77457836281366</v>
      </c>
    </row>
    <row r="63" spans="1:80" s="269" customFormat="1">
      <c r="A63" s="269" t="s">
        <v>123</v>
      </c>
      <c r="B63" s="270">
        <v>115</v>
      </c>
      <c r="C63" s="270">
        <v>309</v>
      </c>
      <c r="D63" s="270">
        <v>274</v>
      </c>
      <c r="E63" s="270">
        <v>95</v>
      </c>
      <c r="F63" s="270">
        <v>253</v>
      </c>
      <c r="G63" s="270">
        <v>249</v>
      </c>
      <c r="H63" s="270">
        <v>-20</v>
      </c>
      <c r="I63" s="270">
        <v>-56</v>
      </c>
      <c r="J63" s="270">
        <v>-25</v>
      </c>
      <c r="K63" s="270">
        <v>0</v>
      </c>
      <c r="L63" s="270">
        <v>0</v>
      </c>
      <c r="M63" s="270">
        <v>0</v>
      </c>
      <c r="N63" s="270">
        <v>0</v>
      </c>
      <c r="O63" s="270">
        <v>177</v>
      </c>
      <c r="P63" s="270">
        <v>10</v>
      </c>
      <c r="Q63" s="270">
        <v>0</v>
      </c>
      <c r="R63" s="270">
        <v>177</v>
      </c>
      <c r="S63" s="270">
        <v>10</v>
      </c>
      <c r="T63" s="270">
        <v>115</v>
      </c>
      <c r="U63" s="270">
        <v>309</v>
      </c>
      <c r="V63" s="270">
        <v>274</v>
      </c>
      <c r="W63" s="270">
        <v>95</v>
      </c>
      <c r="X63" s="270">
        <v>430</v>
      </c>
      <c r="Y63" s="270">
        <v>259</v>
      </c>
      <c r="Z63" s="270">
        <v>-20</v>
      </c>
      <c r="AA63" s="270">
        <v>121</v>
      </c>
      <c r="AB63" s="270">
        <v>-15</v>
      </c>
      <c r="AE63" s="271">
        <f t="shared" si="4"/>
        <v>82.608695652173907</v>
      </c>
      <c r="AF63" s="271">
        <f t="shared" si="5"/>
        <v>81.877022653721681</v>
      </c>
      <c r="AG63" s="271">
        <f t="shared" si="6"/>
        <v>90.87591240875912</v>
      </c>
      <c r="AH63" s="271"/>
      <c r="AI63" s="266">
        <v>101.24444444444445</v>
      </c>
      <c r="AN63" s="271">
        <f t="shared" si="12"/>
        <v>82.608695652173907</v>
      </c>
      <c r="AO63" s="271">
        <f t="shared" si="13"/>
        <v>139.15857605177993</v>
      </c>
      <c r="AP63" s="271">
        <f t="shared" si="14"/>
        <v>94.525547445255469</v>
      </c>
      <c r="AR63" s="266">
        <v>101.24444444444445</v>
      </c>
    </row>
    <row r="64" spans="1:80" s="269" customFormat="1">
      <c r="A64" s="269" t="s">
        <v>124</v>
      </c>
      <c r="B64" s="270">
        <v>1203</v>
      </c>
      <c r="C64" s="270">
        <v>457</v>
      </c>
      <c r="D64" s="270">
        <v>362</v>
      </c>
      <c r="E64" s="270">
        <v>933</v>
      </c>
      <c r="F64" s="270">
        <v>537</v>
      </c>
      <c r="G64" s="270">
        <v>365</v>
      </c>
      <c r="H64" s="270">
        <v>-270</v>
      </c>
      <c r="I64" s="270">
        <v>80</v>
      </c>
      <c r="J64" s="270">
        <v>3</v>
      </c>
      <c r="K64" s="270">
        <v>0</v>
      </c>
      <c r="L64" s="270">
        <v>0</v>
      </c>
      <c r="M64" s="270">
        <v>0</v>
      </c>
      <c r="N64" s="270">
        <v>0</v>
      </c>
      <c r="O64" s="270">
        <v>0</v>
      </c>
      <c r="P64" s="270">
        <v>0</v>
      </c>
      <c r="Q64" s="270">
        <v>0</v>
      </c>
      <c r="R64" s="270">
        <v>0</v>
      </c>
      <c r="S64" s="270">
        <v>0</v>
      </c>
      <c r="T64" s="270">
        <v>1203</v>
      </c>
      <c r="U64" s="270">
        <v>457</v>
      </c>
      <c r="V64" s="270">
        <v>362</v>
      </c>
      <c r="W64" s="270">
        <v>933</v>
      </c>
      <c r="X64" s="270">
        <v>537</v>
      </c>
      <c r="Y64" s="270">
        <v>365</v>
      </c>
      <c r="Z64" s="270">
        <v>-270</v>
      </c>
      <c r="AA64" s="270">
        <v>80</v>
      </c>
      <c r="AB64" s="270">
        <v>3</v>
      </c>
      <c r="AE64" s="271">
        <f t="shared" si="4"/>
        <v>77.556109725685786</v>
      </c>
      <c r="AF64" s="271">
        <f t="shared" si="5"/>
        <v>117.50547045951861</v>
      </c>
      <c r="AG64" s="271">
        <f t="shared" si="6"/>
        <v>100.82872928176796</v>
      </c>
      <c r="AH64" s="271"/>
      <c r="AI64" s="266">
        <v>150.92592592592592</v>
      </c>
      <c r="AN64" s="271">
        <f t="shared" si="12"/>
        <v>77.556109725685786</v>
      </c>
      <c r="AO64" s="271">
        <f t="shared" si="13"/>
        <v>117.50547045951861</v>
      </c>
      <c r="AP64" s="271">
        <f t="shared" si="14"/>
        <v>100.82872928176796</v>
      </c>
      <c r="AR64" s="266">
        <v>150.92592592592592</v>
      </c>
    </row>
    <row r="65" spans="1:80" s="269" customFormat="1">
      <c r="A65" s="269" t="s">
        <v>125</v>
      </c>
      <c r="B65" s="270">
        <v>240</v>
      </c>
      <c r="C65" s="270">
        <v>354</v>
      </c>
      <c r="D65" s="270">
        <v>285</v>
      </c>
      <c r="E65" s="270">
        <v>144</v>
      </c>
      <c r="F65" s="270">
        <v>136</v>
      </c>
      <c r="G65" s="270">
        <v>221</v>
      </c>
      <c r="H65" s="270">
        <v>-96</v>
      </c>
      <c r="I65" s="270">
        <v>-118</v>
      </c>
      <c r="J65" s="270">
        <v>-64</v>
      </c>
      <c r="K65" s="270">
        <v>42</v>
      </c>
      <c r="L65" s="270">
        <v>52</v>
      </c>
      <c r="M65" s="270">
        <v>40</v>
      </c>
      <c r="N65" s="270">
        <v>168</v>
      </c>
      <c r="O65" s="270">
        <v>188</v>
      </c>
      <c r="P65" s="270">
        <v>187</v>
      </c>
      <c r="Q65" s="270">
        <v>126</v>
      </c>
      <c r="R65" s="270">
        <v>136</v>
      </c>
      <c r="S65" s="270">
        <v>147</v>
      </c>
      <c r="T65" s="270">
        <v>282</v>
      </c>
      <c r="U65" s="270">
        <v>406</v>
      </c>
      <c r="V65" s="270">
        <v>325</v>
      </c>
      <c r="W65" s="270">
        <v>312</v>
      </c>
      <c r="X65" s="270">
        <v>324</v>
      </c>
      <c r="Y65" s="270">
        <v>408</v>
      </c>
      <c r="Z65" s="270">
        <v>30</v>
      </c>
      <c r="AA65" s="270">
        <v>-82</v>
      </c>
      <c r="AB65" s="270">
        <v>83</v>
      </c>
      <c r="AE65" s="271">
        <f t="shared" si="4"/>
        <v>60</v>
      </c>
      <c r="AF65" s="271">
        <f t="shared" si="5"/>
        <v>38.418079096045197</v>
      </c>
      <c r="AG65" s="271">
        <f t="shared" si="6"/>
        <v>77.543859649122808</v>
      </c>
      <c r="AH65" s="271"/>
      <c r="AI65" s="266">
        <v>90.261780104712031</v>
      </c>
      <c r="AN65" s="271">
        <f t="shared" si="12"/>
        <v>110.63829787234043</v>
      </c>
      <c r="AO65" s="271">
        <f t="shared" si="13"/>
        <v>79.802955665024626</v>
      </c>
      <c r="AP65" s="271">
        <f t="shared" si="14"/>
        <v>125.53846153846153</v>
      </c>
      <c r="AR65" s="266">
        <v>97.06806282722512</v>
      </c>
    </row>
    <row r="66" spans="1:80" s="269" customFormat="1">
      <c r="A66" s="269" t="s">
        <v>126</v>
      </c>
      <c r="B66" s="270">
        <v>192</v>
      </c>
      <c r="C66" s="270">
        <v>128</v>
      </c>
      <c r="D66" s="270">
        <v>128</v>
      </c>
      <c r="E66" s="270">
        <v>158</v>
      </c>
      <c r="F66" s="270">
        <v>149</v>
      </c>
      <c r="G66" s="270">
        <v>137</v>
      </c>
      <c r="H66" s="270">
        <v>-34</v>
      </c>
      <c r="I66" s="270">
        <v>21</v>
      </c>
      <c r="J66" s="270">
        <v>9</v>
      </c>
      <c r="K66" s="270">
        <v>0</v>
      </c>
      <c r="L66" s="270">
        <v>0</v>
      </c>
      <c r="M66" s="270">
        <v>0</v>
      </c>
      <c r="N66" s="270">
        <v>0</v>
      </c>
      <c r="O66" s="270">
        <v>0</v>
      </c>
      <c r="P66" s="270">
        <v>0</v>
      </c>
      <c r="Q66" s="270">
        <v>0</v>
      </c>
      <c r="R66" s="270">
        <v>0</v>
      </c>
      <c r="S66" s="270">
        <v>0</v>
      </c>
      <c r="T66" s="270">
        <v>192</v>
      </c>
      <c r="U66" s="270">
        <v>128</v>
      </c>
      <c r="V66" s="270">
        <v>128</v>
      </c>
      <c r="W66" s="270">
        <v>158</v>
      </c>
      <c r="X66" s="270">
        <v>149</v>
      </c>
      <c r="Y66" s="270">
        <v>137</v>
      </c>
      <c r="Z66" s="270">
        <v>-34</v>
      </c>
      <c r="AA66" s="270">
        <v>21</v>
      </c>
      <c r="AB66" s="270">
        <v>9</v>
      </c>
      <c r="AE66" s="271">
        <f t="shared" si="4"/>
        <v>82.291666666666657</v>
      </c>
      <c r="AF66" s="271">
        <f t="shared" si="5"/>
        <v>116.40625</v>
      </c>
      <c r="AG66" s="271">
        <f t="shared" si="6"/>
        <v>107.03125</v>
      </c>
      <c r="AH66" s="271"/>
      <c r="AI66" s="266">
        <v>118.68365180467092</v>
      </c>
      <c r="AN66" s="271">
        <f t="shared" ref="AN66:AN94" si="17">(W66/T66)*100</f>
        <v>82.291666666666657</v>
      </c>
      <c r="AO66" s="271">
        <f t="shared" ref="AO66:AO94" si="18">(X66/U66)*100</f>
        <v>116.40625</v>
      </c>
      <c r="AP66" s="271">
        <f t="shared" ref="AP66:AP94" si="19">(Y66/V66)*100</f>
        <v>107.03125</v>
      </c>
      <c r="AR66" s="266">
        <v>118.68365180467092</v>
      </c>
    </row>
    <row r="67" spans="1:80" s="269" customFormat="1">
      <c r="A67" s="269" t="s">
        <v>127</v>
      </c>
      <c r="B67" s="270">
        <v>227</v>
      </c>
      <c r="C67" s="270">
        <v>215</v>
      </c>
      <c r="D67" s="270">
        <v>305</v>
      </c>
      <c r="E67" s="270">
        <v>208</v>
      </c>
      <c r="F67" s="270">
        <v>277</v>
      </c>
      <c r="G67" s="270">
        <v>316</v>
      </c>
      <c r="H67" s="270">
        <v>-19</v>
      </c>
      <c r="I67" s="270">
        <v>62</v>
      </c>
      <c r="J67" s="270">
        <v>11</v>
      </c>
      <c r="K67" s="270">
        <v>0</v>
      </c>
      <c r="L67" s="270">
        <v>0</v>
      </c>
      <c r="M67" s="270">
        <v>0</v>
      </c>
      <c r="N67" s="270">
        <v>0</v>
      </c>
      <c r="O67" s="270">
        <v>0</v>
      </c>
      <c r="P67" s="270">
        <v>0</v>
      </c>
      <c r="Q67" s="270">
        <v>0</v>
      </c>
      <c r="R67" s="270">
        <v>0</v>
      </c>
      <c r="S67" s="270">
        <v>0</v>
      </c>
      <c r="T67" s="270">
        <v>227</v>
      </c>
      <c r="U67" s="270">
        <v>215</v>
      </c>
      <c r="V67" s="270">
        <v>305</v>
      </c>
      <c r="W67" s="270">
        <v>208</v>
      </c>
      <c r="X67" s="270">
        <v>277</v>
      </c>
      <c r="Y67" s="270">
        <v>316</v>
      </c>
      <c r="Z67" s="270">
        <v>-19</v>
      </c>
      <c r="AA67" s="270">
        <v>62</v>
      </c>
      <c r="AB67" s="270">
        <v>11</v>
      </c>
      <c r="AE67" s="271">
        <f t="shared" ref="AE67:AE93" si="20">(E67/B67)*100</f>
        <v>91.629955947136565</v>
      </c>
      <c r="AF67" s="271">
        <f t="shared" ref="AF67:AF94" si="21">(F67/C67)*100</f>
        <v>128.83720930232559</v>
      </c>
      <c r="AG67" s="271">
        <f t="shared" ref="AG67:AG94" si="22">(G67/D67)*100</f>
        <v>103.60655737704919</v>
      </c>
      <c r="AH67" s="271"/>
      <c r="AI67" s="266">
        <v>102.46913580246914</v>
      </c>
      <c r="AN67" s="271">
        <f t="shared" si="17"/>
        <v>91.629955947136565</v>
      </c>
      <c r="AO67" s="271">
        <f t="shared" si="18"/>
        <v>128.83720930232559</v>
      </c>
      <c r="AP67" s="271">
        <f t="shared" si="19"/>
        <v>103.60655737704919</v>
      </c>
      <c r="AR67" s="266">
        <v>102.46913580246914</v>
      </c>
    </row>
    <row r="68" spans="1:80" s="269" customFormat="1">
      <c r="A68" s="269" t="s">
        <v>128</v>
      </c>
      <c r="B68" s="270">
        <v>172</v>
      </c>
      <c r="C68" s="270">
        <v>445</v>
      </c>
      <c r="D68" s="270">
        <v>409</v>
      </c>
      <c r="E68" s="270">
        <v>106</v>
      </c>
      <c r="F68" s="270">
        <v>473</v>
      </c>
      <c r="G68" s="270">
        <v>415</v>
      </c>
      <c r="H68" s="270">
        <v>-66</v>
      </c>
      <c r="I68" s="270">
        <v>28</v>
      </c>
      <c r="J68" s="270">
        <v>6</v>
      </c>
      <c r="K68" s="270">
        <v>0</v>
      </c>
      <c r="L68" s="270">
        <v>0</v>
      </c>
      <c r="M68" s="270">
        <v>0</v>
      </c>
      <c r="N68" s="270">
        <v>0</v>
      </c>
      <c r="O68" s="270">
        <v>0</v>
      </c>
      <c r="P68" s="270">
        <v>0</v>
      </c>
      <c r="Q68" s="270">
        <v>0</v>
      </c>
      <c r="R68" s="270">
        <v>0</v>
      </c>
      <c r="S68" s="270">
        <v>0</v>
      </c>
      <c r="T68" s="270">
        <v>172</v>
      </c>
      <c r="U68" s="270">
        <v>445</v>
      </c>
      <c r="V68" s="270">
        <v>409</v>
      </c>
      <c r="W68" s="270">
        <v>106</v>
      </c>
      <c r="X68" s="270">
        <v>473</v>
      </c>
      <c r="Y68" s="270">
        <v>415</v>
      </c>
      <c r="Z68" s="270">
        <v>-66</v>
      </c>
      <c r="AA68" s="270">
        <v>28</v>
      </c>
      <c r="AB68" s="270">
        <v>6</v>
      </c>
      <c r="AE68" s="271">
        <f t="shared" si="20"/>
        <v>61.627906976744185</v>
      </c>
      <c r="AF68" s="271">
        <f t="shared" si="21"/>
        <v>106.29213483146067</v>
      </c>
      <c r="AG68" s="271">
        <f t="shared" si="22"/>
        <v>101.46699266503667</v>
      </c>
      <c r="AH68" s="271"/>
      <c r="AI68" s="266">
        <v>101.85185185185186</v>
      </c>
      <c r="AN68" s="271">
        <f t="shared" si="17"/>
        <v>61.627906976744185</v>
      </c>
      <c r="AO68" s="271">
        <f t="shared" si="18"/>
        <v>106.29213483146067</v>
      </c>
      <c r="AP68" s="271">
        <f t="shared" si="19"/>
        <v>101.46699266503667</v>
      </c>
      <c r="AR68" s="266">
        <v>101.85185185185186</v>
      </c>
    </row>
    <row r="69" spans="1:80" s="269" customFormat="1">
      <c r="A69" s="269" t="s">
        <v>129</v>
      </c>
      <c r="B69" s="270">
        <v>860</v>
      </c>
      <c r="C69" s="270">
        <v>638</v>
      </c>
      <c r="D69" s="270">
        <v>747</v>
      </c>
      <c r="E69" s="270">
        <v>771</v>
      </c>
      <c r="F69" s="270">
        <v>359</v>
      </c>
      <c r="G69" s="270">
        <v>515</v>
      </c>
      <c r="H69" s="270">
        <v>-89</v>
      </c>
      <c r="I69" s="270">
        <v>-279</v>
      </c>
      <c r="J69" s="270">
        <v>-232</v>
      </c>
      <c r="K69" s="270">
        <v>3</v>
      </c>
      <c r="L69" s="270">
        <v>58</v>
      </c>
      <c r="M69" s="270">
        <v>23</v>
      </c>
      <c r="N69" s="270">
        <v>119</v>
      </c>
      <c r="O69" s="270">
        <v>311</v>
      </c>
      <c r="P69" s="270">
        <v>164</v>
      </c>
      <c r="Q69" s="270">
        <v>116</v>
      </c>
      <c r="R69" s="270">
        <v>253</v>
      </c>
      <c r="S69" s="270">
        <v>141</v>
      </c>
      <c r="T69" s="270">
        <v>863</v>
      </c>
      <c r="U69" s="270">
        <v>696</v>
      </c>
      <c r="V69" s="270">
        <v>770</v>
      </c>
      <c r="W69" s="270">
        <v>890</v>
      </c>
      <c r="X69" s="270">
        <v>670</v>
      </c>
      <c r="Y69" s="270">
        <v>679</v>
      </c>
      <c r="Z69" s="270">
        <v>27</v>
      </c>
      <c r="AA69" s="270">
        <v>-26</v>
      </c>
      <c r="AB69" s="270">
        <v>-91</v>
      </c>
      <c r="AE69" s="271">
        <f t="shared" si="20"/>
        <v>89.651162790697668</v>
      </c>
      <c r="AF69" s="271">
        <f t="shared" si="21"/>
        <v>56.269592476489031</v>
      </c>
      <c r="AG69" s="271">
        <f t="shared" si="22"/>
        <v>68.942436412315928</v>
      </c>
      <c r="AH69" s="271"/>
      <c r="AI69" s="266">
        <v>95.227646736149211</v>
      </c>
      <c r="AN69" s="271">
        <f t="shared" si="17"/>
        <v>103.12862108922364</v>
      </c>
      <c r="AO69" s="271">
        <f t="shared" si="18"/>
        <v>96.264367816091962</v>
      </c>
      <c r="AP69" s="271">
        <f t="shared" si="19"/>
        <v>88.181818181818187</v>
      </c>
      <c r="AR69" s="266">
        <v>95.415318230852208</v>
      </c>
    </row>
    <row r="70" spans="1:80" s="269" customFormat="1">
      <c r="A70" s="269" t="s">
        <v>130</v>
      </c>
      <c r="B70" s="270">
        <v>655</v>
      </c>
      <c r="C70" s="270">
        <v>874</v>
      </c>
      <c r="D70" s="270">
        <v>888</v>
      </c>
      <c r="E70" s="270">
        <v>706</v>
      </c>
      <c r="F70" s="270">
        <v>864</v>
      </c>
      <c r="G70" s="270">
        <v>1493</v>
      </c>
      <c r="H70" s="270">
        <v>51</v>
      </c>
      <c r="I70" s="270">
        <v>-10</v>
      </c>
      <c r="J70" s="270">
        <v>605</v>
      </c>
      <c r="K70" s="270">
        <v>190</v>
      </c>
      <c r="L70" s="270">
        <v>166</v>
      </c>
      <c r="M70" s="270">
        <v>133</v>
      </c>
      <c r="N70" s="270">
        <v>256</v>
      </c>
      <c r="O70" s="270">
        <v>192</v>
      </c>
      <c r="P70" s="270">
        <v>157</v>
      </c>
      <c r="Q70" s="270">
        <v>66</v>
      </c>
      <c r="R70" s="270">
        <v>26</v>
      </c>
      <c r="S70" s="270">
        <v>24</v>
      </c>
      <c r="T70" s="270">
        <v>845</v>
      </c>
      <c r="U70" s="270">
        <v>1040</v>
      </c>
      <c r="V70" s="270">
        <v>1021</v>
      </c>
      <c r="W70" s="270">
        <v>962</v>
      </c>
      <c r="X70" s="270">
        <v>1056</v>
      </c>
      <c r="Y70" s="270">
        <v>1650</v>
      </c>
      <c r="Z70" s="270">
        <v>117</v>
      </c>
      <c r="AA70" s="270">
        <v>16</v>
      </c>
      <c r="AB70" s="270">
        <v>629</v>
      </c>
      <c r="AE70" s="271">
        <f t="shared" si="20"/>
        <v>107.78625954198473</v>
      </c>
      <c r="AF70" s="271">
        <f t="shared" si="21"/>
        <v>98.855835240274601</v>
      </c>
      <c r="AG70" s="271">
        <f t="shared" si="22"/>
        <v>168.13063063063063</v>
      </c>
      <c r="AH70" s="271"/>
      <c r="AI70" s="266">
        <v>94.043352107868245</v>
      </c>
      <c r="AN70" s="271">
        <f t="shared" si="17"/>
        <v>113.84615384615384</v>
      </c>
      <c r="AO70" s="271">
        <f t="shared" si="18"/>
        <v>101.53846153846153</v>
      </c>
      <c r="AP70" s="271">
        <f t="shared" si="19"/>
        <v>161.60626836434869</v>
      </c>
      <c r="AR70" s="266">
        <v>94.13845376452754</v>
      </c>
    </row>
    <row r="71" spans="1:80" s="269" customFormat="1">
      <c r="A71" s="269" t="s">
        <v>131</v>
      </c>
      <c r="B71" s="270">
        <v>1551</v>
      </c>
      <c r="C71" s="270">
        <v>1224</v>
      </c>
      <c r="D71" s="270">
        <v>739</v>
      </c>
      <c r="E71" s="270">
        <v>3340</v>
      </c>
      <c r="F71" s="270">
        <v>2658</v>
      </c>
      <c r="G71" s="270">
        <v>632</v>
      </c>
      <c r="H71" s="270">
        <v>1789</v>
      </c>
      <c r="I71" s="270">
        <v>1434</v>
      </c>
      <c r="J71" s="270">
        <v>-107</v>
      </c>
      <c r="K71" s="270">
        <v>0</v>
      </c>
      <c r="L71" s="270">
        <v>348</v>
      </c>
      <c r="M71" s="270">
        <v>730</v>
      </c>
      <c r="N71" s="270">
        <v>80</v>
      </c>
      <c r="O71" s="270">
        <v>440</v>
      </c>
      <c r="P71" s="270">
        <v>939</v>
      </c>
      <c r="Q71" s="270">
        <v>80</v>
      </c>
      <c r="R71" s="270">
        <v>92</v>
      </c>
      <c r="S71" s="270">
        <v>209</v>
      </c>
      <c r="T71" s="270">
        <v>1551</v>
      </c>
      <c r="U71" s="270">
        <v>1572</v>
      </c>
      <c r="V71" s="270">
        <v>1469</v>
      </c>
      <c r="W71" s="270">
        <v>3420</v>
      </c>
      <c r="X71" s="270">
        <v>3098</v>
      </c>
      <c r="Y71" s="270">
        <v>1571</v>
      </c>
      <c r="Z71" s="270">
        <v>1869</v>
      </c>
      <c r="AA71" s="270">
        <v>1526</v>
      </c>
      <c r="AB71" s="270">
        <v>102</v>
      </c>
      <c r="AE71" s="271">
        <f t="shared" si="20"/>
        <v>215.34493874919406</v>
      </c>
      <c r="AF71" s="271">
        <f t="shared" si="21"/>
        <v>217.15686274509801</v>
      </c>
      <c r="AG71" s="271">
        <f t="shared" si="22"/>
        <v>85.520974289580508</v>
      </c>
      <c r="AH71" s="271"/>
      <c r="AI71" s="266">
        <v>95.741592063876126</v>
      </c>
      <c r="AN71" s="271">
        <f t="shared" si="17"/>
        <v>220.50290135396517</v>
      </c>
      <c r="AO71" s="271">
        <f t="shared" si="18"/>
        <v>197.07379134860051</v>
      </c>
      <c r="AP71" s="271">
        <f t="shared" si="19"/>
        <v>106.94349897889721</v>
      </c>
      <c r="AR71" s="266">
        <v>102.99879081015719</v>
      </c>
    </row>
    <row r="72" spans="1:80" s="269" customFormat="1">
      <c r="A72" s="269" t="s">
        <v>132</v>
      </c>
      <c r="B72" s="270">
        <v>76</v>
      </c>
      <c r="C72" s="270">
        <v>100</v>
      </c>
      <c r="D72" s="270">
        <v>167</v>
      </c>
      <c r="E72" s="270">
        <v>82</v>
      </c>
      <c r="F72" s="270">
        <v>75</v>
      </c>
      <c r="G72" s="270">
        <v>182</v>
      </c>
      <c r="H72" s="270">
        <v>6</v>
      </c>
      <c r="I72" s="270">
        <v>-25</v>
      </c>
      <c r="J72" s="270">
        <v>15</v>
      </c>
      <c r="K72" s="270">
        <v>12</v>
      </c>
      <c r="L72" s="270">
        <v>29</v>
      </c>
      <c r="M72" s="270">
        <v>60</v>
      </c>
      <c r="N72" s="270">
        <v>19</v>
      </c>
      <c r="O72" s="270">
        <v>67</v>
      </c>
      <c r="P72" s="270">
        <v>63</v>
      </c>
      <c r="Q72" s="270">
        <v>7</v>
      </c>
      <c r="R72" s="270">
        <v>38</v>
      </c>
      <c r="S72" s="270">
        <v>3</v>
      </c>
      <c r="T72" s="270">
        <v>88</v>
      </c>
      <c r="U72" s="270">
        <v>129</v>
      </c>
      <c r="V72" s="270">
        <v>227</v>
      </c>
      <c r="W72" s="270">
        <v>101</v>
      </c>
      <c r="X72" s="270">
        <v>142</v>
      </c>
      <c r="Y72" s="270">
        <v>245</v>
      </c>
      <c r="Z72" s="270">
        <v>13</v>
      </c>
      <c r="AA72" s="270">
        <v>13</v>
      </c>
      <c r="AB72" s="270">
        <v>18</v>
      </c>
      <c r="AE72" s="271">
        <f t="shared" si="20"/>
        <v>107.89473684210526</v>
      </c>
      <c r="AF72" s="271">
        <f t="shared" si="21"/>
        <v>75</v>
      </c>
      <c r="AG72" s="271">
        <f t="shared" si="22"/>
        <v>108.9820359281437</v>
      </c>
      <c r="AH72" s="271"/>
      <c r="AI72" s="266">
        <v>98.785425101214571</v>
      </c>
      <c r="AN72" s="271">
        <f t="shared" si="17"/>
        <v>114.77272727272727</v>
      </c>
      <c r="AO72" s="271">
        <f t="shared" si="18"/>
        <v>110.07751937984496</v>
      </c>
      <c r="AP72" s="271">
        <f t="shared" si="19"/>
        <v>107.92951541850219</v>
      </c>
      <c r="AR72" s="266">
        <v>112.02034211742951</v>
      </c>
    </row>
    <row r="73" spans="1:80" s="269" customFormat="1">
      <c r="A73" s="269" t="s">
        <v>137</v>
      </c>
      <c r="B73" s="270">
        <v>696</v>
      </c>
      <c r="C73" s="270">
        <v>743</v>
      </c>
      <c r="D73" s="270">
        <v>528</v>
      </c>
      <c r="E73" s="270">
        <v>702</v>
      </c>
      <c r="F73" s="270">
        <v>786</v>
      </c>
      <c r="G73" s="270">
        <v>519</v>
      </c>
      <c r="H73" s="270">
        <v>6</v>
      </c>
      <c r="I73" s="270">
        <v>43</v>
      </c>
      <c r="J73" s="270">
        <v>-9</v>
      </c>
      <c r="K73" s="270">
        <v>0</v>
      </c>
      <c r="L73" s="270">
        <v>0</v>
      </c>
      <c r="M73" s="270">
        <v>104</v>
      </c>
      <c r="N73" s="270">
        <v>0</v>
      </c>
      <c r="O73" s="270">
        <v>0</v>
      </c>
      <c r="P73" s="270">
        <v>126</v>
      </c>
      <c r="Q73" s="270">
        <v>0</v>
      </c>
      <c r="R73" s="270">
        <v>0</v>
      </c>
      <c r="S73" s="270">
        <v>22</v>
      </c>
      <c r="T73" s="270">
        <v>696</v>
      </c>
      <c r="U73" s="270">
        <v>743</v>
      </c>
      <c r="V73" s="270">
        <v>632</v>
      </c>
      <c r="W73" s="270">
        <v>702</v>
      </c>
      <c r="X73" s="270">
        <v>786</v>
      </c>
      <c r="Y73" s="270">
        <v>645</v>
      </c>
      <c r="Z73" s="270">
        <v>6</v>
      </c>
      <c r="AA73" s="270">
        <v>43</v>
      </c>
      <c r="AB73" s="270">
        <v>13</v>
      </c>
      <c r="AE73" s="271">
        <f t="shared" si="20"/>
        <v>100.86206896551724</v>
      </c>
      <c r="AF73" s="271">
        <f t="shared" si="21"/>
        <v>105.78734858681023</v>
      </c>
      <c r="AG73" s="271">
        <f t="shared" si="22"/>
        <v>98.295454545454547</v>
      </c>
      <c r="AH73" s="271"/>
      <c r="AI73" s="266">
        <v>106.36492220650638</v>
      </c>
      <c r="AN73" s="271">
        <f t="shared" si="17"/>
        <v>100.86206896551724</v>
      </c>
      <c r="AO73" s="271">
        <f t="shared" si="18"/>
        <v>105.78734858681023</v>
      </c>
      <c r="AP73" s="271">
        <f t="shared" si="19"/>
        <v>102.05696202531647</v>
      </c>
      <c r="AR73" s="266">
        <v>106.36492220650638</v>
      </c>
    </row>
    <row r="74" spans="1:80" s="269" customFormat="1">
      <c r="A74" s="269" t="s">
        <v>138</v>
      </c>
      <c r="B74" s="270">
        <v>366</v>
      </c>
      <c r="C74" s="270">
        <v>475</v>
      </c>
      <c r="D74" s="270">
        <v>469</v>
      </c>
      <c r="E74" s="270">
        <v>428</v>
      </c>
      <c r="F74" s="270">
        <v>431</v>
      </c>
      <c r="G74" s="270">
        <v>457</v>
      </c>
      <c r="H74" s="270">
        <v>62</v>
      </c>
      <c r="I74" s="270">
        <v>-44</v>
      </c>
      <c r="J74" s="270">
        <v>-12</v>
      </c>
      <c r="K74" s="270">
        <v>123</v>
      </c>
      <c r="L74" s="270">
        <v>128</v>
      </c>
      <c r="M74" s="270">
        <v>202</v>
      </c>
      <c r="N74" s="270">
        <v>155</v>
      </c>
      <c r="O74" s="270">
        <v>173</v>
      </c>
      <c r="P74" s="270">
        <v>269</v>
      </c>
      <c r="Q74" s="270">
        <v>0</v>
      </c>
      <c r="R74" s="270">
        <v>45</v>
      </c>
      <c r="S74" s="270">
        <v>67</v>
      </c>
      <c r="T74" s="270">
        <v>489</v>
      </c>
      <c r="U74" s="270">
        <v>603</v>
      </c>
      <c r="V74" s="270">
        <v>671</v>
      </c>
      <c r="W74" s="270">
        <v>583</v>
      </c>
      <c r="X74" s="270">
        <v>604</v>
      </c>
      <c r="Y74" s="270">
        <v>726</v>
      </c>
      <c r="Z74" s="270">
        <v>94</v>
      </c>
      <c r="AA74" s="270">
        <v>1</v>
      </c>
      <c r="AB74" s="270">
        <v>55</v>
      </c>
      <c r="AE74" s="271">
        <f t="shared" si="20"/>
        <v>116.93989071038251</v>
      </c>
      <c r="AF74" s="271">
        <f t="shared" si="21"/>
        <v>90.736842105263165</v>
      </c>
      <c r="AG74" s="271">
        <f t="shared" si="22"/>
        <v>97.441364605543711</v>
      </c>
      <c r="AH74" s="271"/>
      <c r="AI74" s="266">
        <v>134.61538461538461</v>
      </c>
      <c r="AN74" s="271">
        <f t="shared" si="17"/>
        <v>119.22290388548058</v>
      </c>
      <c r="AO74" s="271">
        <f t="shared" si="18"/>
        <v>100.16583747927032</v>
      </c>
      <c r="AP74" s="271">
        <f t="shared" si="19"/>
        <v>108.19672131147541</v>
      </c>
      <c r="AR74" s="266">
        <v>134.61538461538461</v>
      </c>
    </row>
    <row r="75" spans="1:80" s="272" customFormat="1">
      <c r="A75" s="272" t="s">
        <v>133</v>
      </c>
      <c r="B75" s="273">
        <v>342</v>
      </c>
      <c r="C75" s="273">
        <v>503</v>
      </c>
      <c r="D75" s="273">
        <v>398</v>
      </c>
      <c r="E75" s="273">
        <v>461</v>
      </c>
      <c r="F75" s="273">
        <v>569</v>
      </c>
      <c r="G75" s="273">
        <v>524</v>
      </c>
      <c r="H75" s="273">
        <v>119</v>
      </c>
      <c r="I75" s="273">
        <v>65</v>
      </c>
      <c r="J75" s="273">
        <v>126</v>
      </c>
      <c r="K75" s="273">
        <v>0</v>
      </c>
      <c r="L75" s="273">
        <v>0</v>
      </c>
      <c r="M75" s="273">
        <v>0</v>
      </c>
      <c r="N75" s="273">
        <v>0</v>
      </c>
      <c r="O75" s="273">
        <v>0</v>
      </c>
      <c r="P75" s="273">
        <v>0</v>
      </c>
      <c r="Q75" s="273">
        <v>0</v>
      </c>
      <c r="R75" s="273">
        <v>0</v>
      </c>
      <c r="S75" s="273">
        <v>0</v>
      </c>
      <c r="T75" s="273">
        <v>342</v>
      </c>
      <c r="U75" s="273">
        <v>503</v>
      </c>
      <c r="V75" s="273">
        <v>398</v>
      </c>
      <c r="W75" s="273">
        <v>461</v>
      </c>
      <c r="X75" s="273">
        <v>569</v>
      </c>
      <c r="Y75" s="273">
        <v>524</v>
      </c>
      <c r="Z75" s="273">
        <v>119</v>
      </c>
      <c r="AA75" s="273">
        <v>66</v>
      </c>
      <c r="AB75" s="273">
        <v>126</v>
      </c>
      <c r="AE75" s="274">
        <f t="shared" si="20"/>
        <v>134.79532163742689</v>
      </c>
      <c r="AF75" s="274">
        <f t="shared" si="21"/>
        <v>113.12127236580515</v>
      </c>
      <c r="AG75" s="274">
        <f t="shared" si="22"/>
        <v>131.65829145728642</v>
      </c>
      <c r="AH75" s="274"/>
      <c r="AI75" s="266">
        <v>82.666666666666671</v>
      </c>
      <c r="AN75" s="274">
        <f t="shared" si="17"/>
        <v>134.79532163742689</v>
      </c>
      <c r="AO75" s="274">
        <f t="shared" si="18"/>
        <v>113.12127236580515</v>
      </c>
      <c r="AP75" s="274">
        <f t="shared" si="19"/>
        <v>131.65829145728642</v>
      </c>
      <c r="AR75" s="266">
        <v>91.843971631205662</v>
      </c>
    </row>
    <row r="76" spans="1:80" s="275" customFormat="1">
      <c r="A76" s="275" t="s">
        <v>75</v>
      </c>
      <c r="B76" s="276">
        <v>219</v>
      </c>
      <c r="C76" s="276">
        <v>136</v>
      </c>
      <c r="D76" s="276">
        <v>161</v>
      </c>
      <c r="E76" s="276">
        <v>230</v>
      </c>
      <c r="F76" s="276">
        <v>163</v>
      </c>
      <c r="G76" s="276">
        <v>172</v>
      </c>
      <c r="H76" s="276">
        <v>11</v>
      </c>
      <c r="I76" s="276">
        <v>27</v>
      </c>
      <c r="J76" s="276">
        <v>11</v>
      </c>
      <c r="K76" s="276">
        <v>0</v>
      </c>
      <c r="L76" s="276">
        <v>0</v>
      </c>
      <c r="M76" s="276">
        <v>0</v>
      </c>
      <c r="N76" s="276">
        <v>0</v>
      </c>
      <c r="O76" s="276">
        <v>0</v>
      </c>
      <c r="P76" s="276">
        <v>0</v>
      </c>
      <c r="Q76" s="276">
        <v>0</v>
      </c>
      <c r="R76" s="276">
        <v>0</v>
      </c>
      <c r="S76" s="276">
        <v>0</v>
      </c>
      <c r="T76" s="276">
        <v>219</v>
      </c>
      <c r="U76" s="276">
        <v>136</v>
      </c>
      <c r="V76" s="276">
        <v>161</v>
      </c>
      <c r="W76" s="276">
        <v>230</v>
      </c>
      <c r="X76" s="276">
        <v>163</v>
      </c>
      <c r="Y76" s="276">
        <v>172</v>
      </c>
      <c r="Z76" s="276">
        <v>11</v>
      </c>
      <c r="AA76" s="276">
        <v>27</v>
      </c>
      <c r="AB76" s="276">
        <v>11</v>
      </c>
      <c r="AE76" s="277">
        <f t="shared" si="20"/>
        <v>105.02283105022832</v>
      </c>
      <c r="AF76" s="277">
        <f t="shared" si="21"/>
        <v>119.85294117647058</v>
      </c>
      <c r="AG76" s="277">
        <f t="shared" si="22"/>
        <v>106.83229813664596</v>
      </c>
      <c r="AH76" s="277"/>
      <c r="AI76" s="266">
        <v>109.0725806451613</v>
      </c>
      <c r="AN76" s="277">
        <f t="shared" si="17"/>
        <v>105.02283105022832</v>
      </c>
      <c r="AO76" s="277">
        <f t="shared" si="18"/>
        <v>119.85294117647058</v>
      </c>
      <c r="AP76" s="277">
        <f t="shared" si="19"/>
        <v>106.83229813664596</v>
      </c>
      <c r="AR76" s="266">
        <v>109.0725806451613</v>
      </c>
    </row>
    <row r="77" spans="1:80" s="278" customFormat="1">
      <c r="A77" s="278" t="s">
        <v>76</v>
      </c>
      <c r="B77" s="279">
        <f>(BB77/1969)*40</f>
        <v>391.73184357541902</v>
      </c>
      <c r="C77" s="279">
        <f t="shared" ref="C77:AB77" si="23">(BC77/1969)*40</f>
        <v>556.03859827323515</v>
      </c>
      <c r="D77" s="279">
        <f t="shared" si="23"/>
        <v>467.26256983240228</v>
      </c>
      <c r="E77" s="279">
        <f t="shared" si="23"/>
        <v>338.56780091416965</v>
      </c>
      <c r="F77" s="279">
        <f t="shared" si="23"/>
        <v>424.92635855764348</v>
      </c>
      <c r="G77" s="279">
        <f t="shared" si="23"/>
        <v>427.46571863890301</v>
      </c>
      <c r="H77" s="279">
        <f t="shared" si="23"/>
        <v>-53.164042661249368</v>
      </c>
      <c r="I77" s="279">
        <f t="shared" si="23"/>
        <v>-129.79177247333672</v>
      </c>
      <c r="J77" s="279">
        <f t="shared" si="23"/>
        <v>-39.796851193499236</v>
      </c>
      <c r="K77" s="279">
        <f t="shared" si="23"/>
        <v>2.4581005586592179</v>
      </c>
      <c r="L77" s="279">
        <f t="shared" si="23"/>
        <v>18.222447943118333</v>
      </c>
      <c r="M77" s="279">
        <f t="shared" si="23"/>
        <v>73.986795327577454</v>
      </c>
      <c r="N77" s="279">
        <f t="shared" si="23"/>
        <v>53.164042661249368</v>
      </c>
      <c r="O77" s="279">
        <f t="shared" si="23"/>
        <v>64.80446927374301</v>
      </c>
      <c r="P77" s="279">
        <f t="shared" si="23"/>
        <v>315.97765363128491</v>
      </c>
      <c r="Q77" s="279">
        <f t="shared" si="23"/>
        <v>50.705942102590143</v>
      </c>
      <c r="R77" s="279">
        <f t="shared" si="23"/>
        <v>53.732859319451492</v>
      </c>
      <c r="S77" s="279">
        <f t="shared" si="23"/>
        <v>294.68765871000505</v>
      </c>
      <c r="T77" s="279">
        <f t="shared" si="23"/>
        <v>394.18994413407825</v>
      </c>
      <c r="U77" s="279">
        <f t="shared" si="23"/>
        <v>574.26104621635341</v>
      </c>
      <c r="V77" s="279">
        <f t="shared" si="23"/>
        <v>541.24936515997967</v>
      </c>
      <c r="W77" s="279">
        <f t="shared" si="23"/>
        <v>391.73184357541902</v>
      </c>
      <c r="X77" s="279">
        <f t="shared" si="23"/>
        <v>489.73082783138648</v>
      </c>
      <c r="Y77" s="279">
        <f t="shared" si="23"/>
        <v>743.44337227018798</v>
      </c>
      <c r="Z77" s="279">
        <f t="shared" si="23"/>
        <v>-2.4581005586592179</v>
      </c>
      <c r="AA77" s="279">
        <f t="shared" si="23"/>
        <v>-84.530218384966986</v>
      </c>
      <c r="AB77" s="279">
        <f t="shared" si="23"/>
        <v>202.19400711020822</v>
      </c>
      <c r="AE77" s="280">
        <f t="shared" si="20"/>
        <v>86.428460301820252</v>
      </c>
      <c r="AF77" s="280">
        <f t="shared" si="21"/>
        <v>76.420298856453911</v>
      </c>
      <c r="AG77" s="280">
        <f t="shared" si="22"/>
        <v>91.482979000913005</v>
      </c>
      <c r="AH77" s="280"/>
      <c r="AI77" s="266">
        <v>100</v>
      </c>
      <c r="AN77" s="280">
        <f t="shared" si="17"/>
        <v>99.37641723356009</v>
      </c>
      <c r="AO77" s="280">
        <f t="shared" si="18"/>
        <v>85.280175463421543</v>
      </c>
      <c r="AP77" s="280">
        <f t="shared" si="19"/>
        <v>137.35690425252415</v>
      </c>
      <c r="AR77" s="266">
        <v>100</v>
      </c>
      <c r="BB77" s="278">
        <v>19283</v>
      </c>
      <c r="BC77" s="278">
        <v>27371</v>
      </c>
      <c r="BD77" s="278">
        <v>23001</v>
      </c>
      <c r="BE77" s="278">
        <v>16666</v>
      </c>
      <c r="BF77" s="278">
        <v>20917</v>
      </c>
      <c r="BG77" s="278">
        <v>21042</v>
      </c>
      <c r="BH77" s="278">
        <v>-2617</v>
      </c>
      <c r="BI77" s="278">
        <v>-6389</v>
      </c>
      <c r="BJ77" s="278">
        <v>-1959</v>
      </c>
      <c r="BK77" s="278">
        <v>121</v>
      </c>
      <c r="BL77" s="278">
        <v>897</v>
      </c>
      <c r="BM77" s="278">
        <v>3642</v>
      </c>
      <c r="BN77" s="278">
        <v>2617</v>
      </c>
      <c r="BO77" s="278">
        <v>3190</v>
      </c>
      <c r="BP77" s="278">
        <v>15554</v>
      </c>
      <c r="BQ77" s="278">
        <v>2496</v>
      </c>
      <c r="BR77" s="278">
        <v>2645</v>
      </c>
      <c r="BS77" s="278">
        <v>14506</v>
      </c>
      <c r="BT77" s="278">
        <v>19404</v>
      </c>
      <c r="BU77" s="278">
        <v>28268</v>
      </c>
      <c r="BV77" s="278">
        <v>26643</v>
      </c>
      <c r="BW77" s="278">
        <v>19283</v>
      </c>
      <c r="BX77" s="278">
        <v>24107</v>
      </c>
      <c r="BY77" s="278">
        <v>36596</v>
      </c>
      <c r="BZ77" s="278">
        <v>-121</v>
      </c>
      <c r="CA77" s="278">
        <v>-4161</v>
      </c>
      <c r="CB77" s="278">
        <v>9953</v>
      </c>
    </row>
    <row r="78" spans="1:80" s="278" customFormat="1">
      <c r="A78" s="278" t="s">
        <v>79</v>
      </c>
      <c r="B78" s="279">
        <v>247</v>
      </c>
      <c r="C78" s="279">
        <v>179</v>
      </c>
      <c r="D78" s="279">
        <v>296</v>
      </c>
      <c r="E78" s="279">
        <v>209</v>
      </c>
      <c r="F78" s="279">
        <v>205</v>
      </c>
      <c r="G78" s="279">
        <v>290</v>
      </c>
      <c r="H78" s="279">
        <v>-38</v>
      </c>
      <c r="I78" s="279">
        <v>26</v>
      </c>
      <c r="J78" s="279">
        <v>-6</v>
      </c>
      <c r="K78" s="279">
        <v>0</v>
      </c>
      <c r="L78" s="279">
        <v>0</v>
      </c>
      <c r="M78" s="279">
        <v>0</v>
      </c>
      <c r="N78" s="279">
        <v>15</v>
      </c>
      <c r="O78" s="279">
        <v>5</v>
      </c>
      <c r="P78" s="279">
        <v>3</v>
      </c>
      <c r="Q78" s="279">
        <v>15</v>
      </c>
      <c r="R78" s="279">
        <v>5</v>
      </c>
      <c r="S78" s="279">
        <v>3</v>
      </c>
      <c r="T78" s="279">
        <v>247</v>
      </c>
      <c r="U78" s="279">
        <v>179</v>
      </c>
      <c r="V78" s="279">
        <v>296</v>
      </c>
      <c r="W78" s="279">
        <v>224</v>
      </c>
      <c r="X78" s="279">
        <v>210</v>
      </c>
      <c r="Y78" s="279">
        <v>293</v>
      </c>
      <c r="Z78" s="279">
        <v>-23</v>
      </c>
      <c r="AA78" s="279">
        <v>31</v>
      </c>
      <c r="AB78" s="279">
        <v>-3</v>
      </c>
      <c r="AE78" s="280">
        <f t="shared" si="20"/>
        <v>84.615384615384613</v>
      </c>
      <c r="AF78" s="280">
        <f t="shared" si="21"/>
        <v>114.52513966480447</v>
      </c>
      <c r="AG78" s="280">
        <f t="shared" si="22"/>
        <v>97.972972972972968</v>
      </c>
      <c r="AH78" s="280"/>
      <c r="AI78" s="266">
        <v>117.40506329113924</v>
      </c>
      <c r="AN78" s="280">
        <f t="shared" si="17"/>
        <v>90.688259109311744</v>
      </c>
      <c r="AO78" s="280">
        <f t="shared" si="18"/>
        <v>117.31843575418995</v>
      </c>
      <c r="AP78" s="280">
        <f t="shared" si="19"/>
        <v>98.986486486486484</v>
      </c>
      <c r="AR78" s="266">
        <v>117.40506329113924</v>
      </c>
    </row>
    <row r="79" spans="1:80" s="278" customFormat="1">
      <c r="A79" s="278" t="s">
        <v>87</v>
      </c>
      <c r="B79" s="279">
        <v>151</v>
      </c>
      <c r="C79" s="279">
        <v>252</v>
      </c>
      <c r="D79" s="279">
        <v>181</v>
      </c>
      <c r="E79" s="279">
        <v>207</v>
      </c>
      <c r="F79" s="279">
        <v>228</v>
      </c>
      <c r="G79" s="279">
        <v>231</v>
      </c>
      <c r="H79" s="279">
        <v>56</v>
      </c>
      <c r="I79" s="279">
        <v>-24</v>
      </c>
      <c r="J79" s="279">
        <v>50</v>
      </c>
      <c r="K79" s="279">
        <v>0</v>
      </c>
      <c r="L79" s="279">
        <v>26</v>
      </c>
      <c r="M79" s="279">
        <v>0</v>
      </c>
      <c r="N79" s="279">
        <v>3</v>
      </c>
      <c r="O79" s="279">
        <v>30</v>
      </c>
      <c r="P79" s="279">
        <v>0</v>
      </c>
      <c r="Q79" s="279">
        <v>3</v>
      </c>
      <c r="R79" s="279">
        <v>4</v>
      </c>
      <c r="S79" s="279">
        <v>0</v>
      </c>
      <c r="T79" s="279">
        <v>151</v>
      </c>
      <c r="U79" s="279">
        <v>278</v>
      </c>
      <c r="V79" s="279">
        <v>181</v>
      </c>
      <c r="W79" s="279">
        <v>210</v>
      </c>
      <c r="X79" s="279">
        <v>258</v>
      </c>
      <c r="Y79" s="279">
        <v>231</v>
      </c>
      <c r="Z79" s="279">
        <v>59</v>
      </c>
      <c r="AA79" s="279">
        <v>-20</v>
      </c>
      <c r="AB79" s="279">
        <v>50</v>
      </c>
      <c r="AE79" s="280">
        <f t="shared" si="20"/>
        <v>137.08609271523179</v>
      </c>
      <c r="AF79" s="280">
        <f t="shared" si="21"/>
        <v>90.476190476190482</v>
      </c>
      <c r="AG79" s="280">
        <f t="shared" si="22"/>
        <v>127.62430939226519</v>
      </c>
      <c r="AH79" s="280"/>
      <c r="AI79" s="266">
        <v>100.65181966322652</v>
      </c>
      <c r="AN79" s="280">
        <f t="shared" si="17"/>
        <v>139.0728476821192</v>
      </c>
      <c r="AO79" s="280">
        <f t="shared" si="18"/>
        <v>92.805755395683448</v>
      </c>
      <c r="AP79" s="280">
        <f t="shared" si="19"/>
        <v>127.62430939226519</v>
      </c>
      <c r="AR79" s="266">
        <v>110.97229766431286</v>
      </c>
    </row>
    <row r="80" spans="1:80" s="278" customFormat="1">
      <c r="A80" s="278" t="s">
        <v>98</v>
      </c>
      <c r="B80" s="279">
        <v>136</v>
      </c>
      <c r="C80" s="279">
        <v>138</v>
      </c>
      <c r="D80" s="279">
        <v>229</v>
      </c>
      <c r="E80" s="279">
        <v>136</v>
      </c>
      <c r="F80" s="279">
        <v>153</v>
      </c>
      <c r="G80" s="279">
        <v>264</v>
      </c>
      <c r="H80" s="279">
        <v>0</v>
      </c>
      <c r="I80" s="279">
        <v>15</v>
      </c>
      <c r="J80" s="279">
        <v>35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136</v>
      </c>
      <c r="U80" s="279">
        <v>138</v>
      </c>
      <c r="V80" s="279">
        <v>229</v>
      </c>
      <c r="W80" s="279">
        <v>136</v>
      </c>
      <c r="X80" s="279">
        <v>153</v>
      </c>
      <c r="Y80" s="279">
        <v>264</v>
      </c>
      <c r="Z80" s="279">
        <v>0</v>
      </c>
      <c r="AA80" s="279">
        <v>15</v>
      </c>
      <c r="AB80" s="279">
        <v>35</v>
      </c>
      <c r="AE80" s="280">
        <f t="shared" si="20"/>
        <v>100</v>
      </c>
      <c r="AF80" s="280">
        <f t="shared" si="21"/>
        <v>110.86956521739131</v>
      </c>
      <c r="AG80" s="280">
        <f t="shared" si="22"/>
        <v>115.28384279475983</v>
      </c>
      <c r="AH80" s="280"/>
      <c r="AI80" s="269">
        <v>72.870662460567829</v>
      </c>
      <c r="AN80" s="280">
        <f t="shared" si="17"/>
        <v>100</v>
      </c>
      <c r="AO80" s="280">
        <f t="shared" si="18"/>
        <v>110.86956521739131</v>
      </c>
      <c r="AP80" s="280">
        <f t="shared" si="19"/>
        <v>115.28384279475983</v>
      </c>
      <c r="AR80" s="269">
        <v>82.965299684542586</v>
      </c>
    </row>
    <row r="81" spans="1:80" s="281" customFormat="1">
      <c r="A81" s="281" t="s">
        <v>53</v>
      </c>
      <c r="B81" s="282">
        <f>(BB81/2000)*140</f>
        <v>1063.79</v>
      </c>
      <c r="C81" s="282">
        <f t="shared" ref="C81:AB81" si="24">(BC81/2000)*140</f>
        <v>1050.77</v>
      </c>
      <c r="D81" s="282">
        <f t="shared" si="24"/>
        <v>1291.71</v>
      </c>
      <c r="E81" s="282">
        <f t="shared" si="24"/>
        <v>974.26</v>
      </c>
      <c r="F81" s="282">
        <f t="shared" si="24"/>
        <v>1059.5900000000001</v>
      </c>
      <c r="G81" s="282">
        <f t="shared" si="24"/>
        <v>1275.26</v>
      </c>
      <c r="H81" s="282">
        <f t="shared" si="24"/>
        <v>89.53</v>
      </c>
      <c r="I81" s="282">
        <f t="shared" si="24"/>
        <v>8.82</v>
      </c>
      <c r="J81" s="282">
        <f t="shared" si="24"/>
        <v>-16.45</v>
      </c>
      <c r="K81" s="282">
        <f t="shared" si="24"/>
        <v>51.94</v>
      </c>
      <c r="L81" s="282">
        <f t="shared" si="24"/>
        <v>69.72</v>
      </c>
      <c r="M81" s="282">
        <f t="shared" si="24"/>
        <v>21.07</v>
      </c>
      <c r="N81" s="282">
        <f t="shared" si="24"/>
        <v>59.57</v>
      </c>
      <c r="O81" s="282">
        <f t="shared" si="24"/>
        <v>55.09</v>
      </c>
      <c r="P81" s="282">
        <f t="shared" si="24"/>
        <v>25.759999999999998</v>
      </c>
      <c r="Q81" s="282">
        <f t="shared" si="24"/>
        <v>7.63</v>
      </c>
      <c r="R81" s="282">
        <f t="shared" si="24"/>
        <v>-14.629999999999999</v>
      </c>
      <c r="S81" s="282">
        <f t="shared" si="24"/>
        <v>4.6900000000000004</v>
      </c>
      <c r="T81" s="282">
        <f t="shared" si="24"/>
        <v>1115.73</v>
      </c>
      <c r="U81" s="282">
        <f t="shared" si="24"/>
        <v>1120.49</v>
      </c>
      <c r="V81" s="282">
        <f t="shared" si="24"/>
        <v>1312.7800000000002</v>
      </c>
      <c r="W81" s="282">
        <f t="shared" si="24"/>
        <v>1033.83</v>
      </c>
      <c r="X81" s="282">
        <f t="shared" si="24"/>
        <v>1114.68</v>
      </c>
      <c r="Y81" s="282">
        <f t="shared" si="24"/>
        <v>1301.02</v>
      </c>
      <c r="Z81" s="282">
        <f t="shared" si="24"/>
        <v>-81.899999999999991</v>
      </c>
      <c r="AA81" s="282">
        <f t="shared" si="24"/>
        <v>-5.8100000000000005</v>
      </c>
      <c r="AB81" s="282">
        <f t="shared" si="24"/>
        <v>-11.760000000000002</v>
      </c>
      <c r="AE81" s="283">
        <f t="shared" si="20"/>
        <v>91.583865236559845</v>
      </c>
      <c r="AF81" s="283">
        <f t="shared" si="21"/>
        <v>100.83938445140232</v>
      </c>
      <c r="AG81" s="283">
        <f t="shared" si="22"/>
        <v>98.72649433696418</v>
      </c>
      <c r="AH81" s="283"/>
      <c r="AI81" s="269">
        <v>80.09478672985783</v>
      </c>
      <c r="AN81" s="283">
        <f t="shared" si="17"/>
        <v>92.659514398644831</v>
      </c>
      <c r="AO81" s="283">
        <f t="shared" si="18"/>
        <v>99.481476853876444</v>
      </c>
      <c r="AP81" s="283">
        <f t="shared" si="19"/>
        <v>99.104191105897385</v>
      </c>
      <c r="AR81" s="269">
        <v>121.80094786729858</v>
      </c>
      <c r="BB81" s="281">
        <v>15197</v>
      </c>
      <c r="BC81" s="281">
        <v>15011</v>
      </c>
      <c r="BD81" s="281">
        <v>18453</v>
      </c>
      <c r="BE81" s="281">
        <v>13918</v>
      </c>
      <c r="BF81" s="281">
        <v>15137</v>
      </c>
      <c r="BG81" s="281">
        <v>18218</v>
      </c>
      <c r="BH81" s="281">
        <v>1279</v>
      </c>
      <c r="BI81" s="281">
        <v>126</v>
      </c>
      <c r="BJ81" s="281">
        <v>-235</v>
      </c>
      <c r="BK81" s="281">
        <v>742</v>
      </c>
      <c r="BL81" s="281">
        <v>996</v>
      </c>
      <c r="BM81" s="281">
        <v>301</v>
      </c>
      <c r="BN81" s="281">
        <v>851</v>
      </c>
      <c r="BO81" s="281">
        <v>787</v>
      </c>
      <c r="BP81" s="281">
        <v>368</v>
      </c>
      <c r="BQ81" s="281">
        <v>109</v>
      </c>
      <c r="BR81" s="281">
        <v>-209</v>
      </c>
      <c r="BS81" s="281">
        <v>67</v>
      </c>
      <c r="BT81" s="281">
        <v>15939</v>
      </c>
      <c r="BU81" s="281">
        <v>16007</v>
      </c>
      <c r="BV81" s="281">
        <v>18754</v>
      </c>
      <c r="BW81" s="281">
        <v>14769</v>
      </c>
      <c r="BX81" s="281">
        <v>15924</v>
      </c>
      <c r="BY81" s="281">
        <v>18586</v>
      </c>
      <c r="BZ81" s="281">
        <v>-1170</v>
      </c>
      <c r="CA81" s="281">
        <v>-83</v>
      </c>
      <c r="CB81" s="281">
        <v>-168</v>
      </c>
    </row>
    <row r="82" spans="1:80" s="281" customFormat="1">
      <c r="A82" s="281" t="s">
        <v>88</v>
      </c>
      <c r="B82" s="282">
        <v>1409</v>
      </c>
      <c r="C82" s="282">
        <v>1448</v>
      </c>
      <c r="D82" s="282">
        <v>1447</v>
      </c>
      <c r="E82" s="282">
        <v>1487</v>
      </c>
      <c r="F82" s="282">
        <v>1548</v>
      </c>
      <c r="G82" s="282">
        <v>1471</v>
      </c>
      <c r="H82" s="282">
        <v>78</v>
      </c>
      <c r="I82" s="282">
        <v>100</v>
      </c>
      <c r="J82" s="282">
        <v>24</v>
      </c>
      <c r="K82" s="282">
        <v>0</v>
      </c>
      <c r="L82" s="282">
        <v>0</v>
      </c>
      <c r="M82" s="282">
        <v>0</v>
      </c>
      <c r="N82" s="282">
        <v>0</v>
      </c>
      <c r="O82" s="282">
        <v>0</v>
      </c>
      <c r="P82" s="282">
        <v>0</v>
      </c>
      <c r="Q82" s="282">
        <v>0</v>
      </c>
      <c r="R82" s="282">
        <v>0</v>
      </c>
      <c r="S82" s="282">
        <v>0</v>
      </c>
      <c r="T82" s="282">
        <v>1409</v>
      </c>
      <c r="U82" s="282">
        <v>1448</v>
      </c>
      <c r="V82" s="282">
        <v>1447</v>
      </c>
      <c r="W82" s="282">
        <v>1487</v>
      </c>
      <c r="X82" s="282">
        <v>1548</v>
      </c>
      <c r="Y82" s="282">
        <v>1471</v>
      </c>
      <c r="Z82" s="282">
        <v>78</v>
      </c>
      <c r="AA82" s="282">
        <v>100</v>
      </c>
      <c r="AB82" s="282">
        <v>24</v>
      </c>
      <c r="AE82" s="283">
        <f t="shared" si="20"/>
        <v>105.53584102200142</v>
      </c>
      <c r="AF82" s="283">
        <f t="shared" si="21"/>
        <v>106.9060773480663</v>
      </c>
      <c r="AG82" s="283">
        <f t="shared" si="22"/>
        <v>101.65860400829303</v>
      </c>
      <c r="AH82" s="283"/>
      <c r="AI82" s="269">
        <v>77.377049180327873</v>
      </c>
      <c r="AN82" s="283">
        <f t="shared" si="17"/>
        <v>105.53584102200142</v>
      </c>
      <c r="AO82" s="283">
        <f t="shared" si="18"/>
        <v>106.9060773480663</v>
      </c>
      <c r="AP82" s="283">
        <f t="shared" si="19"/>
        <v>101.65860400829303</v>
      </c>
      <c r="AR82" s="269">
        <v>102.21870047543582</v>
      </c>
    </row>
    <row r="83" spans="1:80" s="281" customFormat="1">
      <c r="A83" s="281" t="s">
        <v>139</v>
      </c>
      <c r="B83" s="282">
        <v>3785</v>
      </c>
      <c r="C83" s="282">
        <v>4642</v>
      </c>
      <c r="D83" s="282">
        <v>5306</v>
      </c>
      <c r="E83" s="282">
        <v>3928</v>
      </c>
      <c r="F83" s="282">
        <v>3940</v>
      </c>
      <c r="G83" s="282">
        <v>5030</v>
      </c>
      <c r="H83" s="282">
        <v>143</v>
      </c>
      <c r="I83" s="282">
        <v>-702</v>
      </c>
      <c r="J83" s="282">
        <v>-276</v>
      </c>
      <c r="K83" s="282">
        <v>0</v>
      </c>
      <c r="L83" s="282">
        <v>0</v>
      </c>
      <c r="M83" s="282">
        <v>0</v>
      </c>
      <c r="N83" s="282">
        <v>0</v>
      </c>
      <c r="O83" s="282">
        <v>148</v>
      </c>
      <c r="P83" s="282">
        <v>96</v>
      </c>
      <c r="Q83" s="282">
        <v>0</v>
      </c>
      <c r="R83" s="282">
        <v>148</v>
      </c>
      <c r="S83" s="282">
        <v>96</v>
      </c>
      <c r="T83" s="282">
        <v>3785</v>
      </c>
      <c r="U83" s="282">
        <v>4642</v>
      </c>
      <c r="V83" s="282">
        <v>5306</v>
      </c>
      <c r="W83" s="282">
        <v>3928</v>
      </c>
      <c r="X83" s="282">
        <v>4088</v>
      </c>
      <c r="Y83" s="282">
        <v>5126</v>
      </c>
      <c r="Z83" s="282">
        <v>143</v>
      </c>
      <c r="AA83" s="282">
        <v>-554</v>
      </c>
      <c r="AB83" s="282">
        <v>-180</v>
      </c>
      <c r="AE83" s="283">
        <f t="shared" si="20"/>
        <v>103.77807133421399</v>
      </c>
      <c r="AF83" s="283">
        <f t="shared" si="21"/>
        <v>84.877208099956917</v>
      </c>
      <c r="AG83" s="283">
        <f t="shared" si="22"/>
        <v>94.798341500188471</v>
      </c>
      <c r="AH83" s="283"/>
      <c r="AI83" s="269">
        <v>99.390243902439025</v>
      </c>
      <c r="AN83" s="283">
        <f t="shared" si="17"/>
        <v>103.77807133421399</v>
      </c>
      <c r="AO83" s="283">
        <f t="shared" si="18"/>
        <v>88.065489013356313</v>
      </c>
      <c r="AP83" s="283">
        <f t="shared" si="19"/>
        <v>96.607614021862048</v>
      </c>
      <c r="AR83" s="269">
        <v>101.67682926829269</v>
      </c>
    </row>
    <row r="84" spans="1:80" s="281" customFormat="1">
      <c r="A84" s="281" t="s">
        <v>140</v>
      </c>
      <c r="B84" s="282">
        <v>1195</v>
      </c>
      <c r="C84" s="282">
        <v>1496</v>
      </c>
      <c r="D84" s="282">
        <v>1743</v>
      </c>
      <c r="E84" s="282">
        <v>1339</v>
      </c>
      <c r="F84" s="282">
        <v>1930</v>
      </c>
      <c r="G84" s="282">
        <v>2027</v>
      </c>
      <c r="H84" s="282">
        <v>144</v>
      </c>
      <c r="I84" s="282">
        <v>434</v>
      </c>
      <c r="J84" s="282">
        <v>284</v>
      </c>
      <c r="K84" s="282">
        <v>0</v>
      </c>
      <c r="L84" s="282">
        <v>0</v>
      </c>
      <c r="M84" s="282">
        <v>0</v>
      </c>
      <c r="N84" s="282">
        <v>0</v>
      </c>
      <c r="O84" s="282">
        <v>0</v>
      </c>
      <c r="P84" s="282">
        <v>0</v>
      </c>
      <c r="Q84" s="282">
        <v>0</v>
      </c>
      <c r="R84" s="282">
        <v>0</v>
      </c>
      <c r="S84" s="282">
        <v>0</v>
      </c>
      <c r="T84" s="282">
        <v>1195</v>
      </c>
      <c r="U84" s="282">
        <v>1496</v>
      </c>
      <c r="V84" s="282">
        <v>1743</v>
      </c>
      <c r="W84" s="282">
        <v>1339</v>
      </c>
      <c r="X84" s="282">
        <v>1930</v>
      </c>
      <c r="Y84" s="282">
        <v>2027</v>
      </c>
      <c r="Z84" s="282">
        <v>144</v>
      </c>
      <c r="AA84" s="282">
        <v>434</v>
      </c>
      <c r="AB84" s="282">
        <v>284</v>
      </c>
      <c r="AE84" s="283">
        <f t="shared" si="20"/>
        <v>112.05020920502091</v>
      </c>
      <c r="AF84" s="283">
        <f t="shared" si="21"/>
        <v>129.01069518716577</v>
      </c>
      <c r="AG84" s="283">
        <f t="shared" si="22"/>
        <v>116.29374641422834</v>
      </c>
      <c r="AH84" s="283"/>
      <c r="AI84" s="269">
        <v>87.171052631578945</v>
      </c>
      <c r="AN84" s="283">
        <f t="shared" si="17"/>
        <v>112.05020920502091</v>
      </c>
      <c r="AO84" s="283">
        <f t="shared" si="18"/>
        <v>129.01069518716577</v>
      </c>
      <c r="AP84" s="283">
        <f t="shared" si="19"/>
        <v>116.29374641422834</v>
      </c>
      <c r="AR84" s="269">
        <v>123.86934673366834</v>
      </c>
    </row>
    <row r="85" spans="1:80" s="284" customFormat="1">
      <c r="A85" s="284" t="s">
        <v>96</v>
      </c>
      <c r="B85" s="285">
        <v>524</v>
      </c>
      <c r="C85" s="285">
        <v>619</v>
      </c>
      <c r="D85" s="285">
        <v>648</v>
      </c>
      <c r="E85" s="285">
        <v>547</v>
      </c>
      <c r="F85" s="285">
        <v>580</v>
      </c>
      <c r="G85" s="285">
        <v>742</v>
      </c>
      <c r="H85" s="285">
        <v>23</v>
      </c>
      <c r="I85" s="285">
        <v>-39</v>
      </c>
      <c r="J85" s="285">
        <v>94</v>
      </c>
      <c r="K85" s="285">
        <v>0</v>
      </c>
      <c r="L85" s="285">
        <v>0</v>
      </c>
      <c r="M85" s="285">
        <v>0</v>
      </c>
      <c r="N85" s="285">
        <v>0</v>
      </c>
      <c r="O85" s="285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524</v>
      </c>
      <c r="U85" s="285">
        <v>619</v>
      </c>
      <c r="V85" s="285">
        <v>648</v>
      </c>
      <c r="W85" s="285">
        <v>547</v>
      </c>
      <c r="X85" s="285">
        <v>580</v>
      </c>
      <c r="Y85" s="285">
        <v>742</v>
      </c>
      <c r="Z85" s="285">
        <v>23</v>
      </c>
      <c r="AA85" s="285">
        <v>-39</v>
      </c>
      <c r="AB85" s="285">
        <v>94</v>
      </c>
      <c r="AE85" s="286">
        <f t="shared" si="20"/>
        <v>104.38931297709924</v>
      </c>
      <c r="AF85" s="286">
        <f t="shared" si="21"/>
        <v>93.699515347334412</v>
      </c>
      <c r="AG85" s="286">
        <f t="shared" si="22"/>
        <v>114.50617283950618</v>
      </c>
      <c r="AH85" s="286"/>
      <c r="AI85" s="269">
        <v>89.675516224188783</v>
      </c>
      <c r="AN85" s="286">
        <f t="shared" si="17"/>
        <v>104.38931297709924</v>
      </c>
      <c r="AO85" s="286">
        <f t="shared" si="18"/>
        <v>93.699515347334412</v>
      </c>
      <c r="AP85" s="286">
        <f t="shared" si="19"/>
        <v>114.50617283950618</v>
      </c>
      <c r="AR85" s="269">
        <v>92.659395973154361</v>
      </c>
    </row>
    <row r="86" spans="1:80" s="287" customFormat="1">
      <c r="A86" s="287" t="s">
        <v>77</v>
      </c>
      <c r="B86" s="288">
        <v>804</v>
      </c>
      <c r="C86" s="288">
        <v>873</v>
      </c>
      <c r="D86" s="288">
        <v>1133</v>
      </c>
      <c r="E86" s="288">
        <v>804</v>
      </c>
      <c r="F86" s="288">
        <v>873</v>
      </c>
      <c r="G86" s="288">
        <v>1133</v>
      </c>
      <c r="H86" s="288">
        <v>0</v>
      </c>
      <c r="I86" s="288">
        <v>0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804</v>
      </c>
      <c r="U86" s="288">
        <v>873</v>
      </c>
      <c r="V86" s="288">
        <v>1133</v>
      </c>
      <c r="W86" s="288">
        <v>804</v>
      </c>
      <c r="X86" s="288">
        <v>873</v>
      </c>
      <c r="Y86" s="288">
        <v>1133</v>
      </c>
      <c r="Z86" s="288">
        <v>0</v>
      </c>
      <c r="AA86" s="288">
        <v>0</v>
      </c>
      <c r="AB86" s="288">
        <v>0</v>
      </c>
      <c r="AE86" s="289">
        <f t="shared" si="20"/>
        <v>100</v>
      </c>
      <c r="AF86" s="289">
        <f t="shared" si="21"/>
        <v>100</v>
      </c>
      <c r="AG86" s="289">
        <f t="shared" si="22"/>
        <v>100</v>
      </c>
      <c r="AH86" s="289"/>
      <c r="AI86" s="269">
        <v>86.688524590163922</v>
      </c>
      <c r="AN86" s="289">
        <f t="shared" si="17"/>
        <v>100</v>
      </c>
      <c r="AO86" s="289">
        <f t="shared" si="18"/>
        <v>100</v>
      </c>
      <c r="AP86" s="289">
        <f t="shared" si="19"/>
        <v>100</v>
      </c>
      <c r="AR86" s="269">
        <v>104.10447761194031</v>
      </c>
    </row>
    <row r="87" spans="1:80" s="290" customFormat="1">
      <c r="A87" s="290" t="s">
        <v>78</v>
      </c>
      <c r="B87" s="291">
        <v>1590</v>
      </c>
      <c r="C87" s="291">
        <v>2018</v>
      </c>
      <c r="D87" s="291">
        <v>1953</v>
      </c>
      <c r="E87" s="291">
        <v>2065</v>
      </c>
      <c r="F87" s="291">
        <v>2480</v>
      </c>
      <c r="G87" s="291">
        <v>2190</v>
      </c>
      <c r="H87" s="291">
        <v>475</v>
      </c>
      <c r="I87" s="291">
        <v>462</v>
      </c>
      <c r="J87" s="291">
        <v>237</v>
      </c>
      <c r="K87" s="291">
        <v>0</v>
      </c>
      <c r="L87" s="291">
        <v>0</v>
      </c>
      <c r="M87" s="291">
        <v>0</v>
      </c>
      <c r="N87" s="291">
        <v>0</v>
      </c>
      <c r="O87" s="291">
        <v>0</v>
      </c>
      <c r="P87" s="291">
        <v>0</v>
      </c>
      <c r="Q87" s="291">
        <v>0</v>
      </c>
      <c r="R87" s="291">
        <v>0</v>
      </c>
      <c r="S87" s="291">
        <v>0</v>
      </c>
      <c r="T87" s="291">
        <v>1590</v>
      </c>
      <c r="U87" s="291">
        <v>2018</v>
      </c>
      <c r="V87" s="291">
        <v>1953</v>
      </c>
      <c r="W87" s="291">
        <v>2065</v>
      </c>
      <c r="X87" s="291">
        <v>2480</v>
      </c>
      <c r="Y87" s="291">
        <v>2190</v>
      </c>
      <c r="Z87" s="291">
        <v>475</v>
      </c>
      <c r="AA87" s="291">
        <v>462</v>
      </c>
      <c r="AB87" s="291">
        <v>237</v>
      </c>
      <c r="AE87" s="292">
        <f t="shared" si="20"/>
        <v>129.87421383647799</v>
      </c>
      <c r="AF87" s="292">
        <f t="shared" si="21"/>
        <v>122.89395441030723</v>
      </c>
      <c r="AG87" s="292">
        <f t="shared" si="22"/>
        <v>112.13517665130568</v>
      </c>
      <c r="AH87" s="292"/>
      <c r="AI87" s="269">
        <v>83.050847457627114</v>
      </c>
      <c r="AN87" s="292">
        <f t="shared" si="17"/>
        <v>129.87421383647799</v>
      </c>
      <c r="AO87" s="292">
        <f t="shared" si="18"/>
        <v>122.89395441030723</v>
      </c>
      <c r="AP87" s="292">
        <f t="shared" si="19"/>
        <v>112.13517665130568</v>
      </c>
      <c r="AR87" s="269">
        <v>109.09090909090908</v>
      </c>
    </row>
    <row r="88" spans="1:80" s="290" customFormat="1">
      <c r="A88" s="290" t="s">
        <v>80</v>
      </c>
      <c r="B88" s="291">
        <v>869</v>
      </c>
      <c r="C88" s="291">
        <v>1022</v>
      </c>
      <c r="D88" s="291">
        <v>731</v>
      </c>
      <c r="E88" s="291">
        <v>400</v>
      </c>
      <c r="F88" s="291">
        <v>480</v>
      </c>
      <c r="G88" s="291">
        <v>377</v>
      </c>
      <c r="H88" s="291">
        <v>-469</v>
      </c>
      <c r="I88" s="291">
        <v>-542</v>
      </c>
      <c r="J88" s="291">
        <v>-354</v>
      </c>
      <c r="K88" s="291">
        <v>338</v>
      </c>
      <c r="L88" s="291">
        <v>267</v>
      </c>
      <c r="M88" s="291">
        <v>358</v>
      </c>
      <c r="N88" s="291">
        <v>575</v>
      </c>
      <c r="O88" s="291">
        <v>337</v>
      </c>
      <c r="P88" s="291">
        <v>409</v>
      </c>
      <c r="Q88" s="291">
        <v>237</v>
      </c>
      <c r="R88" s="291">
        <v>70</v>
      </c>
      <c r="S88" s="291">
        <v>51</v>
      </c>
      <c r="T88" s="291">
        <v>1207</v>
      </c>
      <c r="U88" s="291">
        <v>1289</v>
      </c>
      <c r="V88" s="291">
        <v>1089</v>
      </c>
      <c r="W88" s="291">
        <v>975</v>
      </c>
      <c r="X88" s="291">
        <v>817</v>
      </c>
      <c r="Y88" s="291">
        <v>786</v>
      </c>
      <c r="Z88" s="291">
        <v>-232</v>
      </c>
      <c r="AA88" s="291">
        <v>-472</v>
      </c>
      <c r="AB88" s="291">
        <v>-303</v>
      </c>
      <c r="AE88" s="292">
        <f t="shared" si="20"/>
        <v>46.029919447640964</v>
      </c>
      <c r="AF88" s="292">
        <f t="shared" si="21"/>
        <v>46.966731898238748</v>
      </c>
      <c r="AG88" s="292">
        <f t="shared" si="22"/>
        <v>51.573187414500687</v>
      </c>
      <c r="AH88" s="292"/>
      <c r="AI88" s="269">
        <v>87.427912341407151</v>
      </c>
      <c r="AN88" s="292">
        <f t="shared" si="17"/>
        <v>80.778790389395198</v>
      </c>
      <c r="AO88" s="292">
        <f t="shared" si="18"/>
        <v>63.382467028704426</v>
      </c>
      <c r="AP88" s="292">
        <f t="shared" si="19"/>
        <v>72.176308539944898</v>
      </c>
      <c r="AR88" s="269">
        <v>83.7942955920484</v>
      </c>
    </row>
    <row r="89" spans="1:80" s="290" customFormat="1">
      <c r="A89" s="290" t="s">
        <v>89</v>
      </c>
      <c r="B89" s="291">
        <v>5419</v>
      </c>
      <c r="C89" s="291">
        <v>6580</v>
      </c>
      <c r="D89" s="291">
        <v>7230</v>
      </c>
      <c r="E89" s="291">
        <v>5098</v>
      </c>
      <c r="F89" s="291">
        <v>6400</v>
      </c>
      <c r="G89" s="291">
        <v>7131</v>
      </c>
      <c r="H89" s="291">
        <v>-168</v>
      </c>
      <c r="I89" s="291">
        <v>-48</v>
      </c>
      <c r="J89" s="291">
        <v>-99</v>
      </c>
      <c r="K89" s="291">
        <v>153</v>
      </c>
      <c r="L89" s="291">
        <v>132</v>
      </c>
      <c r="M89" s="291">
        <v>104</v>
      </c>
      <c r="N89" s="291">
        <v>500</v>
      </c>
      <c r="O89" s="291">
        <v>550</v>
      </c>
      <c r="P89" s="291">
        <v>481</v>
      </c>
      <c r="Q89" s="291">
        <v>347</v>
      </c>
      <c r="R89" s="291">
        <v>446</v>
      </c>
      <c r="S89" s="291">
        <v>395</v>
      </c>
      <c r="T89" s="291">
        <v>5572</v>
      </c>
      <c r="U89" s="291">
        <v>6712</v>
      </c>
      <c r="V89" s="291">
        <v>7334</v>
      </c>
      <c r="W89" s="291">
        <v>5598</v>
      </c>
      <c r="X89" s="291">
        <v>6950</v>
      </c>
      <c r="Y89" s="291">
        <v>7612</v>
      </c>
      <c r="Z89" s="291">
        <v>26</v>
      </c>
      <c r="AA89" s="291">
        <v>238</v>
      </c>
      <c r="AB89" s="291">
        <v>278</v>
      </c>
      <c r="AE89" s="292">
        <f t="shared" si="20"/>
        <v>94.076397859383647</v>
      </c>
      <c r="AF89" s="292">
        <f t="shared" si="21"/>
        <v>97.264437689969611</v>
      </c>
      <c r="AG89" s="292">
        <f t="shared" si="22"/>
        <v>98.630705394190869</v>
      </c>
      <c r="AH89" s="292"/>
      <c r="AI89" s="269">
        <v>117.85714285714286</v>
      </c>
      <c r="AN89" s="292">
        <f t="shared" si="17"/>
        <v>100.46661880832734</v>
      </c>
      <c r="AO89" s="292">
        <f t="shared" si="18"/>
        <v>103.54588796185935</v>
      </c>
      <c r="AP89" s="292">
        <f t="shared" si="19"/>
        <v>103.7905644941369</v>
      </c>
      <c r="AR89" s="269">
        <v>117.85714285714286</v>
      </c>
    </row>
    <row r="90" spans="1:80" s="290" customFormat="1">
      <c r="A90" s="290" t="s">
        <v>90</v>
      </c>
      <c r="B90" s="291">
        <f>(BB90/500)*65</f>
        <v>117.52000000000001</v>
      </c>
      <c r="C90" s="291">
        <f t="shared" ref="C90:AB90" si="25">(BC90/500)*65</f>
        <v>161.33000000000001</v>
      </c>
      <c r="D90" s="291">
        <f t="shared" si="25"/>
        <v>191.49</v>
      </c>
      <c r="E90" s="291">
        <f t="shared" si="25"/>
        <v>123.5</v>
      </c>
      <c r="F90" s="291">
        <f t="shared" si="25"/>
        <v>150.01999999999998</v>
      </c>
      <c r="G90" s="291">
        <f t="shared" si="25"/>
        <v>193.44</v>
      </c>
      <c r="H90" s="291">
        <f t="shared" si="25"/>
        <v>6.11</v>
      </c>
      <c r="I90" s="291">
        <f t="shared" si="25"/>
        <v>-11.44</v>
      </c>
      <c r="J90" s="291">
        <f t="shared" si="25"/>
        <v>1.95</v>
      </c>
      <c r="K90" s="291">
        <f t="shared" si="25"/>
        <v>1.04</v>
      </c>
      <c r="L90" s="291">
        <f t="shared" si="25"/>
        <v>0</v>
      </c>
      <c r="M90" s="291">
        <f t="shared" si="25"/>
        <v>0</v>
      </c>
      <c r="N90" s="291">
        <f t="shared" si="25"/>
        <v>10.790000000000001</v>
      </c>
      <c r="O90" s="291">
        <f t="shared" si="25"/>
        <v>14.17</v>
      </c>
      <c r="P90" s="291">
        <f t="shared" si="25"/>
        <v>11.44</v>
      </c>
      <c r="Q90" s="291">
        <f t="shared" si="25"/>
        <v>9.879999999999999</v>
      </c>
      <c r="R90" s="291">
        <f t="shared" si="25"/>
        <v>14.17</v>
      </c>
      <c r="S90" s="291">
        <f t="shared" si="25"/>
        <v>11.44</v>
      </c>
      <c r="T90" s="291">
        <f t="shared" si="25"/>
        <v>118.56</v>
      </c>
      <c r="U90" s="291">
        <f t="shared" si="25"/>
        <v>161.33000000000001</v>
      </c>
      <c r="V90" s="291">
        <f t="shared" si="25"/>
        <v>191.49</v>
      </c>
      <c r="W90" s="291">
        <f t="shared" si="25"/>
        <v>134.29</v>
      </c>
      <c r="X90" s="291">
        <f t="shared" si="25"/>
        <v>164.19</v>
      </c>
      <c r="Y90" s="291">
        <f t="shared" si="25"/>
        <v>204.88</v>
      </c>
      <c r="Z90" s="291">
        <f t="shared" si="25"/>
        <v>15.73</v>
      </c>
      <c r="AA90" s="291">
        <f t="shared" si="25"/>
        <v>2.86</v>
      </c>
      <c r="AB90" s="291">
        <f t="shared" si="25"/>
        <v>13.389999999999999</v>
      </c>
      <c r="AE90" s="292">
        <f t="shared" si="20"/>
        <v>105.08849557522122</v>
      </c>
      <c r="AF90" s="292">
        <f t="shared" si="21"/>
        <v>92.989524576954054</v>
      </c>
      <c r="AG90" s="292">
        <f t="shared" si="22"/>
        <v>101.01832993890021</v>
      </c>
      <c r="AH90" s="292"/>
      <c r="AI90" s="269">
        <v>44.586967675731145</v>
      </c>
      <c r="AN90" s="292">
        <f t="shared" si="17"/>
        <v>113.26754385964912</v>
      </c>
      <c r="AO90" s="292">
        <f t="shared" si="18"/>
        <v>101.77276390008056</v>
      </c>
      <c r="AP90" s="292">
        <f t="shared" si="19"/>
        <v>106.99253224711471</v>
      </c>
      <c r="AR90" s="269">
        <v>65.79406631762653</v>
      </c>
      <c r="BB90" s="290">
        <v>904</v>
      </c>
      <c r="BC90" s="290">
        <v>1241</v>
      </c>
      <c r="BD90" s="290">
        <v>1473</v>
      </c>
      <c r="BE90" s="290">
        <v>950</v>
      </c>
      <c r="BF90" s="290">
        <v>1154</v>
      </c>
      <c r="BG90" s="290">
        <v>1488</v>
      </c>
      <c r="BH90" s="290">
        <v>47</v>
      </c>
      <c r="BI90" s="290">
        <v>-88</v>
      </c>
      <c r="BJ90" s="290">
        <v>15</v>
      </c>
      <c r="BK90" s="290">
        <v>8</v>
      </c>
      <c r="BL90" s="290">
        <v>0</v>
      </c>
      <c r="BM90" s="290">
        <v>0</v>
      </c>
      <c r="BN90" s="290">
        <v>83</v>
      </c>
      <c r="BO90" s="290">
        <v>109</v>
      </c>
      <c r="BP90" s="290">
        <v>88</v>
      </c>
      <c r="BQ90" s="290">
        <v>76</v>
      </c>
      <c r="BR90" s="290">
        <v>109</v>
      </c>
      <c r="BS90" s="290">
        <v>88</v>
      </c>
      <c r="BT90" s="290">
        <v>912</v>
      </c>
      <c r="BU90" s="290">
        <v>1241</v>
      </c>
      <c r="BV90" s="290">
        <v>1473</v>
      </c>
      <c r="BW90" s="290">
        <v>1033</v>
      </c>
      <c r="BX90" s="290">
        <v>1263</v>
      </c>
      <c r="BY90" s="290">
        <v>1576</v>
      </c>
      <c r="BZ90" s="290">
        <v>121</v>
      </c>
      <c r="CA90" s="290">
        <v>22</v>
      </c>
      <c r="CB90" s="290">
        <v>103</v>
      </c>
    </row>
    <row r="91" spans="1:80" s="290" customFormat="1">
      <c r="A91" s="290" t="s">
        <v>97</v>
      </c>
      <c r="B91" s="291">
        <f>(BB91/600)*21</f>
        <v>68.774999999999991</v>
      </c>
      <c r="C91" s="291">
        <f t="shared" ref="C91:AB91" si="26">(BC91/600)*21</f>
        <v>63.49</v>
      </c>
      <c r="D91" s="291">
        <f t="shared" si="26"/>
        <v>88.13</v>
      </c>
      <c r="E91" s="291">
        <f t="shared" si="26"/>
        <v>63.699999999999996</v>
      </c>
      <c r="F91" s="291">
        <f t="shared" si="26"/>
        <v>65.73</v>
      </c>
      <c r="G91" s="291">
        <f t="shared" si="26"/>
        <v>80.325000000000003</v>
      </c>
      <c r="H91" s="291">
        <f t="shared" si="26"/>
        <v>-5.0750000000000002</v>
      </c>
      <c r="I91" s="291">
        <f t="shared" si="26"/>
        <v>2.2400000000000002</v>
      </c>
      <c r="J91" s="291">
        <f t="shared" si="26"/>
        <v>-7.8049999999999997</v>
      </c>
      <c r="K91" s="291">
        <f t="shared" si="26"/>
        <v>0.105</v>
      </c>
      <c r="L91" s="291">
        <f t="shared" si="26"/>
        <v>0</v>
      </c>
      <c r="M91" s="291">
        <f t="shared" si="26"/>
        <v>0</v>
      </c>
      <c r="N91" s="291">
        <f t="shared" si="26"/>
        <v>5.2149999999999999</v>
      </c>
      <c r="O91" s="291">
        <f t="shared" si="26"/>
        <v>3.3249999999999997</v>
      </c>
      <c r="P91" s="291">
        <f t="shared" si="26"/>
        <v>14.280000000000001</v>
      </c>
      <c r="Q91" s="291">
        <f t="shared" si="26"/>
        <v>5.1100000000000003</v>
      </c>
      <c r="R91" s="291">
        <f t="shared" si="26"/>
        <v>3.3249999999999997</v>
      </c>
      <c r="S91" s="291">
        <f t="shared" si="26"/>
        <v>14.280000000000001</v>
      </c>
      <c r="T91" s="291">
        <f t="shared" si="26"/>
        <v>68.88</v>
      </c>
      <c r="U91" s="291">
        <f t="shared" si="26"/>
        <v>63.49</v>
      </c>
      <c r="V91" s="291">
        <f t="shared" si="26"/>
        <v>88.13</v>
      </c>
      <c r="W91" s="291">
        <f t="shared" si="26"/>
        <v>68.915000000000006</v>
      </c>
      <c r="X91" s="291">
        <f t="shared" si="26"/>
        <v>69.055000000000007</v>
      </c>
      <c r="Y91" s="291">
        <f t="shared" si="26"/>
        <v>94.605000000000004</v>
      </c>
      <c r="Z91" s="291">
        <f t="shared" si="26"/>
        <v>3.5000000000000003E-2</v>
      </c>
      <c r="AA91" s="291">
        <f t="shared" si="26"/>
        <v>5.5650000000000004</v>
      </c>
      <c r="AB91" s="291">
        <f t="shared" si="26"/>
        <v>6.4750000000000005</v>
      </c>
      <c r="AE91" s="292">
        <f t="shared" si="20"/>
        <v>92.620865139949117</v>
      </c>
      <c r="AF91" s="292">
        <f t="shared" si="21"/>
        <v>103.52811466372658</v>
      </c>
      <c r="AG91" s="292">
        <f t="shared" si="22"/>
        <v>91.143764892772055</v>
      </c>
      <c r="AH91" s="292"/>
      <c r="AI91" s="269">
        <v>85.660377358490564</v>
      </c>
      <c r="AN91" s="292">
        <f t="shared" si="17"/>
        <v>100.05081300813011</v>
      </c>
      <c r="AO91" s="292">
        <f t="shared" si="18"/>
        <v>108.7651598676957</v>
      </c>
      <c r="AP91" s="292">
        <f t="shared" si="19"/>
        <v>107.34710087370931</v>
      </c>
      <c r="AR91" s="269">
        <v>90.476190476190482</v>
      </c>
      <c r="BB91" s="290">
        <v>1965</v>
      </c>
      <c r="BC91" s="290">
        <v>1814</v>
      </c>
      <c r="BD91" s="290">
        <v>2518</v>
      </c>
      <c r="BE91" s="290">
        <v>1820</v>
      </c>
      <c r="BF91" s="290">
        <v>1878</v>
      </c>
      <c r="BG91" s="290">
        <v>2295</v>
      </c>
      <c r="BH91" s="290">
        <v>-145</v>
      </c>
      <c r="BI91" s="290">
        <v>64</v>
      </c>
      <c r="BJ91" s="290">
        <v>-223</v>
      </c>
      <c r="BK91" s="290">
        <v>3</v>
      </c>
      <c r="BL91" s="290">
        <v>0</v>
      </c>
      <c r="BM91" s="290">
        <v>0</v>
      </c>
      <c r="BN91" s="290">
        <v>149</v>
      </c>
      <c r="BO91" s="290">
        <v>95</v>
      </c>
      <c r="BP91" s="290">
        <v>408</v>
      </c>
      <c r="BQ91" s="290">
        <v>146</v>
      </c>
      <c r="BR91" s="290">
        <v>95</v>
      </c>
      <c r="BS91" s="290">
        <v>408</v>
      </c>
      <c r="BT91" s="290">
        <v>1968</v>
      </c>
      <c r="BU91" s="290">
        <v>1814</v>
      </c>
      <c r="BV91" s="290">
        <v>2518</v>
      </c>
      <c r="BW91" s="290">
        <v>1969</v>
      </c>
      <c r="BX91" s="290">
        <v>1973</v>
      </c>
      <c r="BY91" s="290">
        <v>2703</v>
      </c>
      <c r="BZ91" s="290">
        <v>1</v>
      </c>
      <c r="CA91" s="290">
        <v>159</v>
      </c>
      <c r="CB91" s="290">
        <v>185</v>
      </c>
    </row>
    <row r="92" spans="1:80" s="290" customFormat="1">
      <c r="A92" s="290" t="s">
        <v>99</v>
      </c>
      <c r="B92" s="291">
        <v>84</v>
      </c>
      <c r="C92" s="291">
        <v>146</v>
      </c>
      <c r="D92" s="291">
        <v>127</v>
      </c>
      <c r="E92" s="291">
        <v>93</v>
      </c>
      <c r="F92" s="291">
        <v>186</v>
      </c>
      <c r="G92" s="291">
        <v>100</v>
      </c>
      <c r="H92" s="291">
        <v>9</v>
      </c>
      <c r="I92" s="291">
        <v>40</v>
      </c>
      <c r="J92" s="291">
        <v>-27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84</v>
      </c>
      <c r="U92" s="291">
        <v>146</v>
      </c>
      <c r="V92" s="291">
        <v>127</v>
      </c>
      <c r="W92" s="291">
        <v>93</v>
      </c>
      <c r="X92" s="291">
        <v>186</v>
      </c>
      <c r="Y92" s="291">
        <v>100</v>
      </c>
      <c r="Z92" s="291">
        <v>9</v>
      </c>
      <c r="AA92" s="291">
        <v>40</v>
      </c>
      <c r="AB92" s="291">
        <v>-27</v>
      </c>
      <c r="AE92" s="292">
        <f t="shared" si="20"/>
        <v>110.71428571428572</v>
      </c>
      <c r="AF92" s="292">
        <f t="shared" si="21"/>
        <v>127.39726027397261</v>
      </c>
      <c r="AG92" s="292">
        <f t="shared" si="22"/>
        <v>78.740157480314963</v>
      </c>
      <c r="AH92" s="292"/>
      <c r="AI92" s="269">
        <v>67.707212055974168</v>
      </c>
      <c r="AN92" s="292">
        <f t="shared" si="17"/>
        <v>110.71428571428572</v>
      </c>
      <c r="AO92" s="292">
        <f t="shared" si="18"/>
        <v>127.39726027397261</v>
      </c>
      <c r="AP92" s="292">
        <f t="shared" si="19"/>
        <v>78.740157480314963</v>
      </c>
      <c r="AR92" s="269">
        <v>84.279021343050502</v>
      </c>
    </row>
    <row r="93" spans="1:80" s="290" customFormat="1">
      <c r="A93" s="290" t="s">
        <v>135</v>
      </c>
      <c r="B93" s="291">
        <v>1049</v>
      </c>
      <c r="C93" s="291">
        <v>1018</v>
      </c>
      <c r="D93" s="291">
        <v>1369</v>
      </c>
      <c r="E93" s="291">
        <v>988</v>
      </c>
      <c r="F93" s="291">
        <v>1109</v>
      </c>
      <c r="G93" s="291">
        <v>1109</v>
      </c>
      <c r="H93" s="291">
        <v>-61</v>
      </c>
      <c r="I93" s="291">
        <v>91</v>
      </c>
      <c r="J93" s="291">
        <v>-260</v>
      </c>
      <c r="K93" s="291">
        <v>445</v>
      </c>
      <c r="L93" s="291">
        <v>358</v>
      </c>
      <c r="M93" s="291">
        <v>358</v>
      </c>
      <c r="N93" s="291">
        <v>518</v>
      </c>
      <c r="O93" s="291">
        <v>413</v>
      </c>
      <c r="P93" s="291">
        <v>676</v>
      </c>
      <c r="Q93" s="291">
        <v>73</v>
      </c>
      <c r="R93" s="291">
        <v>55</v>
      </c>
      <c r="S93" s="291">
        <v>318</v>
      </c>
      <c r="T93" s="291">
        <v>1494</v>
      </c>
      <c r="U93" s="291">
        <v>1376</v>
      </c>
      <c r="V93" s="291">
        <v>1727</v>
      </c>
      <c r="W93" s="291">
        <v>1506</v>
      </c>
      <c r="X93" s="291">
        <v>1522</v>
      </c>
      <c r="Y93" s="291">
        <v>1785</v>
      </c>
      <c r="Z93" s="291">
        <v>12</v>
      </c>
      <c r="AA93" s="291">
        <v>146</v>
      </c>
      <c r="AB93" s="291">
        <v>58</v>
      </c>
      <c r="AE93" s="292">
        <f t="shared" si="20"/>
        <v>94.184938036224978</v>
      </c>
      <c r="AF93" s="292">
        <f t="shared" si="21"/>
        <v>108.93909626719056</v>
      </c>
      <c r="AG93" s="292">
        <f t="shared" si="22"/>
        <v>81.008035062089107</v>
      </c>
      <c r="AH93" s="292"/>
      <c r="AI93" s="269">
        <v>109.56521739130434</v>
      </c>
      <c r="AN93" s="292">
        <f t="shared" si="17"/>
        <v>100.80321285140563</v>
      </c>
      <c r="AO93" s="292">
        <f t="shared" si="18"/>
        <v>110.61046511627907</v>
      </c>
      <c r="AP93" s="292">
        <f t="shared" si="19"/>
        <v>103.35842501447597</v>
      </c>
      <c r="AR93" s="269">
        <v>109.56521739130434</v>
      </c>
    </row>
    <row r="94" spans="1:80" s="293" customFormat="1">
      <c r="A94" s="293" t="s">
        <v>81</v>
      </c>
      <c r="B94" s="294">
        <f>(BB94/370)*70</f>
        <v>817.48648648648646</v>
      </c>
      <c r="C94" s="294">
        <f t="shared" ref="C94:AB94" si="27">(BC94/370)*70</f>
        <v>675.02702702702697</v>
      </c>
      <c r="D94" s="294">
        <f t="shared" si="27"/>
        <v>685.05405405405406</v>
      </c>
      <c r="E94" s="294">
        <f t="shared" si="27"/>
        <v>634.7297297297298</v>
      </c>
      <c r="F94" s="294">
        <f t="shared" si="27"/>
        <v>545.24324324324323</v>
      </c>
      <c r="G94" s="294">
        <f t="shared" si="27"/>
        <v>625.2702702702702</v>
      </c>
      <c r="H94" s="294">
        <f t="shared" si="27"/>
        <v>-182.75675675675674</v>
      </c>
      <c r="I94" s="294">
        <f t="shared" si="27"/>
        <v>-129.78378378378378</v>
      </c>
      <c r="J94" s="294">
        <f t="shared" si="27"/>
        <v>-59.78378378378379</v>
      </c>
      <c r="K94" s="294">
        <f t="shared" si="27"/>
        <v>50.702702702702709</v>
      </c>
      <c r="L94" s="294">
        <f t="shared" si="27"/>
        <v>50.513513513513509</v>
      </c>
      <c r="M94" s="294">
        <f t="shared" si="27"/>
        <v>50.702702702702709</v>
      </c>
      <c r="N94" s="294">
        <f t="shared" si="27"/>
        <v>103.29729729729731</v>
      </c>
      <c r="O94" s="294">
        <f t="shared" si="27"/>
        <v>105.94594594594595</v>
      </c>
      <c r="P94" s="294">
        <f t="shared" si="27"/>
        <v>97.432432432432435</v>
      </c>
      <c r="Q94" s="294">
        <f t="shared" si="27"/>
        <v>52.594594594594597</v>
      </c>
      <c r="R94" s="294">
        <f t="shared" si="27"/>
        <v>55.432432432432435</v>
      </c>
      <c r="S94" s="294">
        <f t="shared" si="27"/>
        <v>46.729729729729726</v>
      </c>
      <c r="T94" s="294">
        <f t="shared" si="27"/>
        <v>868.18918918918916</v>
      </c>
      <c r="U94" s="294">
        <f t="shared" si="27"/>
        <v>725.54054054054052</v>
      </c>
      <c r="V94" s="294">
        <f t="shared" si="27"/>
        <v>735.75675675675677</v>
      </c>
      <c r="W94" s="294">
        <f t="shared" si="27"/>
        <v>738.02702702702697</v>
      </c>
      <c r="X94" s="294">
        <f t="shared" si="27"/>
        <v>651.18918918918916</v>
      </c>
      <c r="Y94" s="294">
        <f t="shared" si="27"/>
        <v>722.70270270270271</v>
      </c>
      <c r="Z94" s="294">
        <f t="shared" si="27"/>
        <v>-130.16216216216216</v>
      </c>
      <c r="AA94" s="294">
        <f t="shared" si="27"/>
        <v>-74.351351351351354</v>
      </c>
      <c r="AB94" s="294">
        <f t="shared" si="27"/>
        <v>-13.054054054054054</v>
      </c>
      <c r="AE94" s="295">
        <f>(E94/B94)*100</f>
        <v>77.644063874103225</v>
      </c>
      <c r="AF94" s="295">
        <f t="shared" si="21"/>
        <v>80.77354260089686</v>
      </c>
      <c r="AG94" s="295">
        <f t="shared" si="22"/>
        <v>91.273128969897812</v>
      </c>
      <c r="AH94" s="295"/>
      <c r="AI94" s="269">
        <v>92.435549525101763</v>
      </c>
      <c r="AN94" s="295">
        <f t="shared" si="17"/>
        <v>85.007626933972531</v>
      </c>
      <c r="AO94" s="295">
        <f t="shared" si="18"/>
        <v>89.752281616688407</v>
      </c>
      <c r="AP94" s="295">
        <f t="shared" si="19"/>
        <v>98.225764978143488</v>
      </c>
      <c r="AR94" s="269">
        <v>99.184668403799279</v>
      </c>
      <c r="BB94" s="293">
        <v>4321</v>
      </c>
      <c r="BC94" s="293">
        <v>3568</v>
      </c>
      <c r="BD94" s="293">
        <v>3621</v>
      </c>
      <c r="BE94" s="293">
        <v>3355</v>
      </c>
      <c r="BF94" s="293">
        <v>2882</v>
      </c>
      <c r="BG94" s="293">
        <v>3305</v>
      </c>
      <c r="BH94" s="293">
        <v>-966</v>
      </c>
      <c r="BI94" s="293">
        <v>-686</v>
      </c>
      <c r="BJ94" s="293">
        <v>-316</v>
      </c>
      <c r="BK94" s="293">
        <v>268</v>
      </c>
      <c r="BL94" s="293">
        <v>267</v>
      </c>
      <c r="BM94" s="293">
        <v>268</v>
      </c>
      <c r="BN94" s="293">
        <v>546</v>
      </c>
      <c r="BO94" s="293">
        <v>560</v>
      </c>
      <c r="BP94" s="293">
        <v>515</v>
      </c>
      <c r="BQ94" s="293">
        <v>278</v>
      </c>
      <c r="BR94" s="293">
        <v>293</v>
      </c>
      <c r="BS94" s="293">
        <v>247</v>
      </c>
      <c r="BT94" s="293">
        <v>4589</v>
      </c>
      <c r="BU94" s="293">
        <v>3835</v>
      </c>
      <c r="BV94" s="293">
        <v>3889</v>
      </c>
      <c r="BW94" s="293">
        <v>3901</v>
      </c>
      <c r="BX94" s="293">
        <v>3442</v>
      </c>
      <c r="BY94" s="293">
        <v>3820</v>
      </c>
      <c r="BZ94" s="293">
        <v>-688</v>
      </c>
      <c r="CA94" s="293">
        <v>-393</v>
      </c>
      <c r="CB94" s="293">
        <v>-69</v>
      </c>
    </row>
    <row r="95" spans="1:80">
      <c r="AI95" s="269">
        <v>125.49019607843137</v>
      </c>
      <c r="AR95" s="269">
        <v>123.57142857142858</v>
      </c>
    </row>
    <row r="96" spans="1:80">
      <c r="AI96" s="269">
        <v>65.751445086705203</v>
      </c>
      <c r="AR96" s="269">
        <v>90.390173410404628</v>
      </c>
    </row>
    <row r="97" spans="31:84">
      <c r="AI97" s="269">
        <v>94.991364421416236</v>
      </c>
      <c r="AR97" s="269">
        <v>100.16207455429497</v>
      </c>
    </row>
    <row r="98" spans="31:84">
      <c r="AI98" s="269">
        <v>94.607843137254903</v>
      </c>
      <c r="AR98" s="269">
        <v>94.607843137254903</v>
      </c>
    </row>
    <row r="99" spans="31:84" ht="17" thickBot="1">
      <c r="AI99" s="269">
        <v>58.974358974358978</v>
      </c>
      <c r="AR99" s="269">
        <v>100</v>
      </c>
    </row>
    <row r="100" spans="31:84">
      <c r="AE100" s="298"/>
      <c r="AI100" s="269">
        <v>154.22885572139305</v>
      </c>
      <c r="AR100" s="269">
        <v>154.22885572139305</v>
      </c>
      <c r="CF100" s="298"/>
    </row>
    <row r="101" spans="31:84">
      <c r="AE101" s="299"/>
      <c r="AI101" s="269">
        <v>65.915238954012622</v>
      </c>
      <c r="AR101" s="269">
        <v>118.40411840411839</v>
      </c>
      <c r="CF101" s="299"/>
    </row>
    <row r="102" spans="31:84">
      <c r="AE102" s="300"/>
      <c r="AF102" s="300"/>
      <c r="AG102" s="300"/>
      <c r="AH102" s="300"/>
      <c r="AI102" s="301">
        <v>100</v>
      </c>
      <c r="AJ102" s="300"/>
      <c r="AR102" s="269">
        <v>100</v>
      </c>
    </row>
    <row r="103" spans="31:84">
      <c r="AE103" s="300"/>
      <c r="AF103" s="300"/>
      <c r="AG103" s="300"/>
      <c r="AH103" s="300"/>
      <c r="AI103" s="301">
        <v>124.13793103448276</v>
      </c>
      <c r="AJ103" s="300"/>
      <c r="AR103" s="269">
        <v>155.17241379310346</v>
      </c>
    </row>
    <row r="104" spans="31:84">
      <c r="AE104" s="300"/>
      <c r="AF104" s="300"/>
      <c r="AG104" s="300"/>
      <c r="AH104" s="300"/>
      <c r="AI104" s="301">
        <v>96.305002571071768</v>
      </c>
      <c r="AJ104" s="300"/>
      <c r="AR104" s="269">
        <v>107.38339021615472</v>
      </c>
    </row>
    <row r="105" spans="31:84">
      <c r="AE105" s="300"/>
      <c r="AF105" s="300"/>
      <c r="AG105" s="300"/>
      <c r="AH105" s="300"/>
      <c r="AI105" s="301">
        <v>117.13286713286712</v>
      </c>
      <c r="AJ105" s="300"/>
      <c r="AR105" s="269">
        <v>126.10966057441253</v>
      </c>
    </row>
    <row r="106" spans="31:84">
      <c r="AE106" s="300"/>
      <c r="AF106" s="300"/>
      <c r="AG106" s="300"/>
      <c r="AH106" s="300"/>
      <c r="AI106" s="301">
        <v>99.884792626728114</v>
      </c>
      <c r="AJ106" s="300"/>
      <c r="AR106" s="269">
        <v>105.9978189749182</v>
      </c>
    </row>
    <row r="107" spans="31:84">
      <c r="AE107" s="300"/>
      <c r="AF107" s="300"/>
      <c r="AG107" s="300"/>
      <c r="AH107" s="300"/>
      <c r="AI107" s="301">
        <v>104.05405405405406</v>
      </c>
      <c r="AJ107" s="300"/>
      <c r="AR107" s="269">
        <v>108.10810810810811</v>
      </c>
    </row>
    <row r="108" spans="31:84">
      <c r="AE108" s="300"/>
      <c r="AF108" s="300"/>
      <c r="AG108" s="300"/>
      <c r="AH108" s="300"/>
      <c r="AI108" s="301">
        <v>94.242424242424235</v>
      </c>
      <c r="AJ108" s="300"/>
      <c r="AR108" s="269">
        <v>56.786271450858038</v>
      </c>
    </row>
    <row r="109" spans="31:84">
      <c r="AE109" s="300"/>
      <c r="AF109" s="300"/>
      <c r="AG109" s="300"/>
      <c r="AH109" s="300"/>
      <c r="AI109" s="301">
        <v>77.600000000000009</v>
      </c>
      <c r="AJ109" s="300"/>
      <c r="AR109" s="269">
        <v>112.5</v>
      </c>
    </row>
    <row r="110" spans="31:84">
      <c r="AE110" s="300"/>
      <c r="AF110" s="300"/>
      <c r="AG110" s="300"/>
      <c r="AH110" s="300"/>
      <c r="AI110" s="301">
        <v>100</v>
      </c>
      <c r="AJ110" s="300"/>
      <c r="AR110" s="269">
        <v>100</v>
      </c>
    </row>
    <row r="111" spans="31:84">
      <c r="AE111" s="300"/>
      <c r="AF111" s="300"/>
      <c r="AG111" s="300"/>
      <c r="AH111" s="300"/>
      <c r="AI111" s="301">
        <v>99.780701754385973</v>
      </c>
      <c r="AJ111" s="300"/>
      <c r="AR111" s="269">
        <v>100.78983516483517</v>
      </c>
    </row>
    <row r="112" spans="31:84">
      <c r="AE112" s="300"/>
      <c r="AF112" s="300"/>
      <c r="AG112" s="300"/>
      <c r="AH112" s="300"/>
      <c r="AI112" s="301">
        <v>80.966767371601208</v>
      </c>
      <c r="AJ112" s="300"/>
      <c r="AR112" s="269">
        <v>112.44131455399059</v>
      </c>
    </row>
    <row r="113" spans="31:44">
      <c r="AE113" s="300"/>
      <c r="AF113" s="300"/>
      <c r="AG113" s="300"/>
      <c r="AH113" s="300"/>
      <c r="AI113" s="301">
        <v>55.786350148367958</v>
      </c>
      <c r="AJ113" s="300"/>
      <c r="AR113" s="269">
        <v>98.971193415637856</v>
      </c>
    </row>
    <row r="114" spans="31:44">
      <c r="AE114" s="300"/>
      <c r="AF114" s="300"/>
      <c r="AG114" s="300"/>
      <c r="AH114" s="300"/>
      <c r="AI114" s="301">
        <v>75.625</v>
      </c>
      <c r="AJ114" s="300"/>
      <c r="AR114" s="269">
        <v>115.48556430446195</v>
      </c>
    </row>
    <row r="115" spans="31:44">
      <c r="AE115" s="300"/>
      <c r="AF115" s="300"/>
      <c r="AG115" s="300"/>
      <c r="AH115" s="300"/>
      <c r="AI115" s="301">
        <v>82.608695652173907</v>
      </c>
      <c r="AJ115" s="300"/>
      <c r="AR115" s="269">
        <v>82.608695652173907</v>
      </c>
    </row>
    <row r="116" spans="31:44">
      <c r="AI116" s="269">
        <v>77.556109725685786</v>
      </c>
      <c r="AR116" s="269">
        <v>77.556109725685786</v>
      </c>
    </row>
    <row r="117" spans="31:44">
      <c r="AI117" s="269">
        <v>60</v>
      </c>
      <c r="AR117" s="269">
        <v>110.63829787234043</v>
      </c>
    </row>
    <row r="118" spans="31:44">
      <c r="AI118" s="269">
        <v>82.291666666666657</v>
      </c>
      <c r="AR118" s="269">
        <v>82.291666666666657</v>
      </c>
    </row>
    <row r="119" spans="31:44">
      <c r="AI119" s="269">
        <v>91.629955947136565</v>
      </c>
      <c r="AR119" s="269">
        <v>91.629955947136565</v>
      </c>
    </row>
    <row r="120" spans="31:44">
      <c r="AI120" s="269">
        <v>61.627906976744185</v>
      </c>
      <c r="AR120" s="269">
        <v>61.627906976744185</v>
      </c>
    </row>
    <row r="121" spans="31:44">
      <c r="AI121" s="269">
        <v>89.651162790697668</v>
      </c>
      <c r="AR121" s="269">
        <v>103.12862108922364</v>
      </c>
    </row>
    <row r="122" spans="31:44">
      <c r="AI122" s="269">
        <v>107.78625954198473</v>
      </c>
      <c r="AR122" s="269">
        <v>113.84615384615384</v>
      </c>
    </row>
    <row r="123" spans="31:44">
      <c r="AI123" s="269">
        <v>215.34493874919406</v>
      </c>
      <c r="AR123" s="269">
        <v>220.50290135396517</v>
      </c>
    </row>
    <row r="124" spans="31:44">
      <c r="AI124" s="269">
        <v>107.89473684210526</v>
      </c>
      <c r="AR124" s="269">
        <v>114.77272727272727</v>
      </c>
    </row>
    <row r="125" spans="31:44">
      <c r="AI125" s="269">
        <v>100.86206896551724</v>
      </c>
      <c r="AR125" s="269">
        <v>100.86206896551724</v>
      </c>
    </row>
    <row r="126" spans="31:44">
      <c r="AI126" s="269">
        <v>116.93989071038251</v>
      </c>
      <c r="AR126" s="269">
        <v>119.22290388548058</v>
      </c>
    </row>
    <row r="127" spans="31:44">
      <c r="AI127" s="269">
        <v>60.6516290726817</v>
      </c>
      <c r="AR127" s="269">
        <v>83.208020050125313</v>
      </c>
    </row>
    <row r="128" spans="31:44">
      <c r="AI128" s="269">
        <v>71.160220994475139</v>
      </c>
      <c r="AR128" s="269">
        <v>91.712707182320443</v>
      </c>
    </row>
    <row r="129" spans="35:44">
      <c r="AI129" s="269">
        <v>62.333333333333329</v>
      </c>
      <c r="AR129" s="269">
        <v>101.02354145342886</v>
      </c>
    </row>
    <row r="130" spans="35:44">
      <c r="AI130" s="269">
        <v>101.3530135301353</v>
      </c>
      <c r="AR130" s="269">
        <v>103.93603936039359</v>
      </c>
    </row>
    <row r="131" spans="35:44">
      <c r="AI131" s="269">
        <v>129.05198776758411</v>
      </c>
      <c r="AR131" s="269">
        <v>120</v>
      </c>
    </row>
    <row r="132" spans="35:44">
      <c r="AI132" s="269">
        <v>92.607485307763682</v>
      </c>
      <c r="AR132" s="269">
        <v>92.857142857142861</v>
      </c>
    </row>
    <row r="133" spans="35:44">
      <c r="AI133" s="269">
        <v>93.900709219858157</v>
      </c>
      <c r="AR133" s="269">
        <v>109.41520467836257</v>
      </c>
    </row>
    <row r="134" spans="35:44">
      <c r="AI134" s="269">
        <v>91.326530612244895</v>
      </c>
      <c r="AR134" s="269">
        <v>100.46948356807512</v>
      </c>
    </row>
    <row r="135" spans="35:44">
      <c r="AI135" s="269">
        <v>84.548825710754016</v>
      </c>
      <c r="AR135" s="269">
        <v>98.403193612774459</v>
      </c>
    </row>
    <row r="136" spans="35:44">
      <c r="AI136" s="269">
        <v>106.14439324116745</v>
      </c>
      <c r="AR136" s="269">
        <v>106.14439324116745</v>
      </c>
    </row>
    <row r="137" spans="35:44">
      <c r="AI137" s="269">
        <v>40.026246719160099</v>
      </c>
      <c r="AR137" s="269">
        <v>77.956613016095162</v>
      </c>
    </row>
    <row r="138" spans="35:44">
      <c r="AI138" s="269">
        <v>99.59349593495935</v>
      </c>
      <c r="AR138" s="269">
        <v>116.53543307086613</v>
      </c>
    </row>
    <row r="139" spans="35:44">
      <c r="AI139" s="269">
        <v>76</v>
      </c>
      <c r="AR139" s="269">
        <v>97.064579256360076</v>
      </c>
    </row>
    <row r="140" spans="35:44">
      <c r="AI140" s="269">
        <v>93.613707165109034</v>
      </c>
      <c r="AR140" s="269">
        <v>94.728915662650607</v>
      </c>
    </row>
    <row r="141" spans="35:44">
      <c r="AI141" s="269">
        <v>109.42919683448392</v>
      </c>
      <c r="AR141" s="269">
        <v>113.18662859062658</v>
      </c>
    </row>
    <row r="142" spans="35:44">
      <c r="AI142" s="269">
        <v>90.344827586206904</v>
      </c>
      <c r="AR142" s="269">
        <v>101.11111111111111</v>
      </c>
    </row>
    <row r="143" spans="35:44">
      <c r="AI143" s="269">
        <v>96.061479346781937</v>
      </c>
      <c r="AR143" s="269">
        <v>127.08933717579252</v>
      </c>
    </row>
    <row r="144" spans="35:44">
      <c r="AI144" s="269">
        <v>84.603421461897355</v>
      </c>
      <c r="AR144" s="269">
        <v>85.846153846153854</v>
      </c>
    </row>
    <row r="145" spans="35:44">
      <c r="AI145" s="269">
        <v>99.777282850779514</v>
      </c>
      <c r="AR145" s="269">
        <v>99.777282850779514</v>
      </c>
    </row>
    <row r="146" spans="35:44">
      <c r="AI146" s="269">
        <v>69.417475728155338</v>
      </c>
      <c r="AR146" s="269">
        <v>133.00970873786409</v>
      </c>
    </row>
    <row r="147" spans="35:44">
      <c r="AI147" s="269">
        <v>62.2568093385214</v>
      </c>
      <c r="AR147" s="269">
        <v>62.2568093385214</v>
      </c>
    </row>
    <row r="148" spans="35:44">
      <c r="AI148" s="269">
        <v>91.813471502590673</v>
      </c>
      <c r="AR148" s="269">
        <v>118.0485338725986</v>
      </c>
    </row>
    <row r="149" spans="35:44">
      <c r="AI149" s="269">
        <v>100</v>
      </c>
      <c r="AR149" s="269">
        <v>100</v>
      </c>
    </row>
    <row r="150" spans="35:44">
      <c r="AI150" s="269">
        <v>108.10810810810811</v>
      </c>
      <c r="AR150" s="269">
        <v>143.24324324324326</v>
      </c>
    </row>
    <row r="151" spans="35:44">
      <c r="AI151" s="269">
        <v>104.40981690689522</v>
      </c>
      <c r="AR151" s="269">
        <v>110.77596131706193</v>
      </c>
    </row>
    <row r="152" spans="35:44">
      <c r="AI152" s="269">
        <v>73.421926910299007</v>
      </c>
      <c r="AR152" s="269">
        <v>95.2076677316294</v>
      </c>
    </row>
    <row r="153" spans="35:44">
      <c r="AI153" s="269">
        <v>99.428571428571431</v>
      </c>
      <c r="AR153" s="269">
        <v>99.510044096031365</v>
      </c>
    </row>
    <row r="154" spans="35:44">
      <c r="AI154" s="269">
        <v>96.05263157894737</v>
      </c>
      <c r="AR154" s="269">
        <v>100</v>
      </c>
    </row>
    <row r="155" spans="35:44">
      <c r="AI155" s="269">
        <v>103.39366515837105</v>
      </c>
      <c r="AR155" s="269">
        <v>108.8235294117647</v>
      </c>
    </row>
    <row r="156" spans="35:44">
      <c r="AI156" s="269">
        <v>93.559322033898312</v>
      </c>
      <c r="AR156" s="269">
        <v>108.6677367576244</v>
      </c>
    </row>
    <row r="157" spans="35:44">
      <c r="AI157" s="269">
        <v>100</v>
      </c>
      <c r="AR157" s="269">
        <v>100</v>
      </c>
    </row>
    <row r="158" spans="35:44">
      <c r="AI158" s="269">
        <v>100.0307031010132</v>
      </c>
      <c r="AR158" s="269">
        <v>100.14801657785672</v>
      </c>
    </row>
    <row r="159" spans="35:44">
      <c r="AI159" s="269">
        <v>80</v>
      </c>
      <c r="AR159" s="269">
        <v>118.26625386996905</v>
      </c>
    </row>
    <row r="160" spans="35:44">
      <c r="AI160" s="269">
        <v>79.569892473118273</v>
      </c>
      <c r="AR160" s="269">
        <v>117.53371868978806</v>
      </c>
    </row>
    <row r="161" spans="35:44">
      <c r="AI161" s="269">
        <v>81.632653061224488</v>
      </c>
      <c r="AR161" s="269">
        <v>130.12295081967213</v>
      </c>
    </row>
    <row r="162" spans="35:44">
      <c r="AI162" s="269">
        <v>81.877022653721681</v>
      </c>
      <c r="AR162" s="269">
        <v>139.15857605177993</v>
      </c>
    </row>
    <row r="163" spans="35:44">
      <c r="AI163" s="269">
        <v>117.50547045951861</v>
      </c>
      <c r="AR163" s="269">
        <v>117.50547045951861</v>
      </c>
    </row>
    <row r="164" spans="35:44">
      <c r="AI164" s="269">
        <v>38.418079096045197</v>
      </c>
      <c r="AR164" s="269">
        <v>79.802955665024626</v>
      </c>
    </row>
    <row r="165" spans="35:44">
      <c r="AI165" s="269">
        <v>116.40625</v>
      </c>
      <c r="AR165" s="269">
        <v>116.40625</v>
      </c>
    </row>
    <row r="166" spans="35:44">
      <c r="AI166" s="269">
        <v>128.83720930232559</v>
      </c>
      <c r="AR166" s="269">
        <v>128.83720930232559</v>
      </c>
    </row>
    <row r="167" spans="35:44">
      <c r="AI167" s="269">
        <v>106.29213483146067</v>
      </c>
      <c r="AR167" s="269">
        <v>106.29213483146067</v>
      </c>
    </row>
    <row r="168" spans="35:44">
      <c r="AI168" s="269">
        <v>56.269592476489031</v>
      </c>
      <c r="AR168" s="269">
        <v>96.264367816091962</v>
      </c>
    </row>
    <row r="169" spans="35:44">
      <c r="AI169" s="269">
        <v>98.855835240274601</v>
      </c>
      <c r="AR169" s="269">
        <v>101.53846153846153</v>
      </c>
    </row>
    <row r="170" spans="35:44">
      <c r="AI170" s="269">
        <v>217.15686274509801</v>
      </c>
      <c r="AR170" s="269">
        <v>197.07379134860051</v>
      </c>
    </row>
    <row r="171" spans="35:44">
      <c r="AI171" s="269">
        <v>75</v>
      </c>
      <c r="AR171" s="269">
        <v>110.07751937984496</v>
      </c>
    </row>
    <row r="172" spans="35:44">
      <c r="AI172" s="269">
        <v>105.78734858681023</v>
      </c>
      <c r="AR172" s="269">
        <v>105.78734858681023</v>
      </c>
    </row>
    <row r="173" spans="35:44">
      <c r="AI173" s="269">
        <v>90.736842105263165</v>
      </c>
      <c r="AR173" s="269">
        <v>100.16583747927032</v>
      </c>
    </row>
    <row r="174" spans="35:44">
      <c r="AI174" s="269">
        <v>57.020057306590253</v>
      </c>
      <c r="AR174" s="269">
        <v>78.223495702005735</v>
      </c>
    </row>
    <row r="175" spans="35:44">
      <c r="AI175" s="269">
        <v>85.64857405703772</v>
      </c>
      <c r="AR175" s="269">
        <v>102.29990800367985</v>
      </c>
    </row>
    <row r="176" spans="35:44">
      <c r="AI176" s="269">
        <v>73.689516129032256</v>
      </c>
      <c r="AR176" s="269">
        <v>113.90728476821192</v>
      </c>
    </row>
    <row r="177" spans="35:44">
      <c r="AI177" s="269">
        <v>105.9792027729636</v>
      </c>
      <c r="AR177" s="269">
        <v>105.9792027729636</v>
      </c>
    </row>
    <row r="178" spans="35:44">
      <c r="AI178" s="269">
        <v>110.27397260273972</v>
      </c>
      <c r="AR178" s="269">
        <v>119.80830670926517</v>
      </c>
    </row>
    <row r="179" spans="35:44">
      <c r="AI179" s="269">
        <v>128.97478070175438</v>
      </c>
      <c r="AR179" s="269">
        <v>101.40086206896552</v>
      </c>
    </row>
    <row r="180" spans="35:44">
      <c r="AI180" s="269">
        <v>79.463834092058676</v>
      </c>
      <c r="AR180" s="269">
        <v>98.057813911472451</v>
      </c>
    </row>
    <row r="181" spans="35:44">
      <c r="AI181" s="269">
        <v>102.75862068965517</v>
      </c>
      <c r="AR181" s="269">
        <v>102.64900662251655</v>
      </c>
    </row>
    <row r="182" spans="35:44">
      <c r="AI182" s="269">
        <v>89.067055393586003</v>
      </c>
      <c r="AR182" s="269">
        <v>93.77195784094539</v>
      </c>
    </row>
    <row r="183" spans="35:44">
      <c r="AI183" s="269">
        <v>124.81751824817518</v>
      </c>
      <c r="AR183" s="269">
        <v>124.81751824817518</v>
      </c>
    </row>
    <row r="184" spans="35:44">
      <c r="AI184" s="269">
        <v>67.262969588550988</v>
      </c>
      <c r="AR184" s="269">
        <v>104.66101694915255</v>
      </c>
    </row>
    <row r="185" spans="35:44">
      <c r="AI185" s="269">
        <v>91.304347826086953</v>
      </c>
      <c r="AR185" s="269">
        <v>101.87793427230048</v>
      </c>
    </row>
    <row r="186" spans="35:44">
      <c r="AI186" s="269">
        <v>77.968877968877976</v>
      </c>
      <c r="AR186" s="269">
        <v>101.70674941815361</v>
      </c>
    </row>
    <row r="187" spans="35:44">
      <c r="AI187" s="269">
        <v>93.741109530583216</v>
      </c>
      <c r="AR187" s="269">
        <v>94.929577464788721</v>
      </c>
    </row>
    <row r="188" spans="35:44">
      <c r="AI188" s="269">
        <v>91.869037294015612</v>
      </c>
      <c r="AR188" s="269">
        <v>97.462697325740649</v>
      </c>
    </row>
    <row r="189" spans="35:44">
      <c r="AI189" s="269">
        <v>84.615384615384613</v>
      </c>
      <c r="AR189" s="269">
        <v>95</v>
      </c>
    </row>
    <row r="190" spans="35:44">
      <c r="AI190" s="269">
        <v>64.15094339622641</v>
      </c>
      <c r="AR190" s="269">
        <v>94.913863822805581</v>
      </c>
    </row>
    <row r="191" spans="35:44">
      <c r="AI191" s="269">
        <v>107.61523046092185</v>
      </c>
      <c r="AR191" s="269">
        <v>111.23809523809524</v>
      </c>
    </row>
    <row r="192" spans="35:44">
      <c r="AI192" s="269">
        <v>96.94793536804309</v>
      </c>
      <c r="AR192" s="269">
        <v>96.94793536804309</v>
      </c>
    </row>
    <row r="193" spans="35:44">
      <c r="AI193" s="269">
        <v>44.574780058651022</v>
      </c>
      <c r="AR193" s="269">
        <v>81.818181818181827</v>
      </c>
    </row>
    <row r="194" spans="35:44">
      <c r="AI194" s="269">
        <v>202.36966824644549</v>
      </c>
      <c r="AR194" s="269">
        <v>202.36966824644549</v>
      </c>
    </row>
    <row r="195" spans="35:44">
      <c r="AI195" s="269">
        <v>85.362360355199087</v>
      </c>
      <c r="AR195" s="269">
        <v>106.05868693265781</v>
      </c>
    </row>
    <row r="196" spans="35:44">
      <c r="AI196" s="269">
        <v>75.147347740667982</v>
      </c>
      <c r="AR196" s="269">
        <v>75.147347740667982</v>
      </c>
    </row>
    <row r="197" spans="35:44">
      <c r="AI197" s="269">
        <v>109.27835051546391</v>
      </c>
      <c r="AR197" s="269">
        <v>149.48453608247422</v>
      </c>
    </row>
    <row r="198" spans="35:44">
      <c r="AI198" s="269">
        <v>89.488840892728589</v>
      </c>
      <c r="AR198" s="269">
        <v>93.220338983050851</v>
      </c>
    </row>
    <row r="199" spans="35:44">
      <c r="AI199" s="269">
        <v>102.16606498194946</v>
      </c>
      <c r="AR199" s="269">
        <v>125.58922558922558</v>
      </c>
    </row>
    <row r="200" spans="35:44">
      <c r="AI200" s="269">
        <v>99.903938520653213</v>
      </c>
      <c r="AR200" s="269">
        <v>99.599358974358978</v>
      </c>
    </row>
    <row r="201" spans="35:44">
      <c r="AI201" s="269">
        <v>100</v>
      </c>
      <c r="AR201" s="269">
        <v>100</v>
      </c>
    </row>
    <row r="202" spans="35:44">
      <c r="AI202" s="269">
        <v>109.40594059405942</v>
      </c>
      <c r="AR202" s="269">
        <v>121.03960396039604</v>
      </c>
    </row>
    <row r="203" spans="35:44">
      <c r="AI203" s="269">
        <v>90.30206677265501</v>
      </c>
      <c r="AR203" s="269">
        <v>109.3167701863354</v>
      </c>
    </row>
    <row r="204" spans="35:44">
      <c r="AI204" s="269">
        <v>105.38922155688624</v>
      </c>
      <c r="AR204" s="269">
        <v>105.38922155688624</v>
      </c>
    </row>
    <row r="205" spans="35:44">
      <c r="AI205" s="269">
        <v>100.06491398896462</v>
      </c>
      <c r="AR205" s="269">
        <v>100.12698412698413</v>
      </c>
    </row>
    <row r="206" spans="35:44">
      <c r="AI206" s="269">
        <v>108.153078202995</v>
      </c>
      <c r="AR206" s="269">
        <v>123.38177014531044</v>
      </c>
    </row>
    <row r="207" spans="35:44">
      <c r="AI207" s="269">
        <v>77.203647416413375</v>
      </c>
      <c r="AR207" s="269">
        <v>127.25752508361204</v>
      </c>
    </row>
    <row r="208" spans="35:44">
      <c r="AI208" s="269">
        <v>104.53172205438067</v>
      </c>
      <c r="AR208" s="269">
        <v>116.08133086876155</v>
      </c>
    </row>
    <row r="209" spans="35:44">
      <c r="AI209" s="269">
        <v>90.87591240875912</v>
      </c>
      <c r="AR209" s="269">
        <v>94.525547445255469</v>
      </c>
    </row>
    <row r="210" spans="35:44">
      <c r="AI210" s="269">
        <v>100.82872928176796</v>
      </c>
      <c r="AR210" s="269">
        <v>100.82872928176796</v>
      </c>
    </row>
    <row r="211" spans="35:44">
      <c r="AI211" s="269">
        <v>77.543859649122808</v>
      </c>
      <c r="AR211" s="269">
        <v>125.53846153846153</v>
      </c>
    </row>
    <row r="212" spans="35:44">
      <c r="AI212" s="269">
        <v>107.03125</v>
      </c>
      <c r="AR212" s="269">
        <v>107.03125</v>
      </c>
    </row>
    <row r="213" spans="35:44">
      <c r="AI213" s="269">
        <v>103.60655737704919</v>
      </c>
      <c r="AR213" s="269">
        <v>103.60655737704919</v>
      </c>
    </row>
    <row r="214" spans="35:44">
      <c r="AI214" s="269">
        <v>101.46699266503667</v>
      </c>
      <c r="AR214" s="269">
        <v>101.46699266503667</v>
      </c>
    </row>
    <row r="215" spans="35:44">
      <c r="AI215" s="269">
        <v>68.942436412315928</v>
      </c>
      <c r="AR215" s="269">
        <v>88.181818181818187</v>
      </c>
    </row>
    <row r="216" spans="35:44">
      <c r="AI216" s="269">
        <v>168.13063063063063</v>
      </c>
      <c r="AR216" s="269">
        <v>161.60626836434869</v>
      </c>
    </row>
    <row r="217" spans="35:44">
      <c r="AI217" s="269">
        <v>85.520974289580508</v>
      </c>
      <c r="AR217" s="269">
        <v>106.94349897889721</v>
      </c>
    </row>
    <row r="218" spans="35:44">
      <c r="AI218" s="269">
        <v>108.9820359281437</v>
      </c>
      <c r="AR218" s="269">
        <v>107.92951541850219</v>
      </c>
    </row>
    <row r="219" spans="35:44">
      <c r="AI219" s="269">
        <v>98.295454545454547</v>
      </c>
      <c r="AR219" s="269">
        <v>102.05696202531647</v>
      </c>
    </row>
    <row r="220" spans="35:44">
      <c r="AI220" s="269">
        <v>97.441364605543711</v>
      </c>
      <c r="AR220" s="269">
        <v>108.19672131147541</v>
      </c>
    </row>
    <row r="221" spans="35:44">
      <c r="AI221" s="272">
        <v>134.79532163742689</v>
      </c>
      <c r="AR221" s="272">
        <v>134.79532163742689</v>
      </c>
    </row>
    <row r="222" spans="35:44">
      <c r="AI222" s="272">
        <v>113.12127236580515</v>
      </c>
      <c r="AR222" s="272">
        <v>113.12127236580515</v>
      </c>
    </row>
    <row r="223" spans="35:44">
      <c r="AI223" s="272">
        <v>131.65829145728642</v>
      </c>
      <c r="AR223" s="272">
        <v>131.65829145728642</v>
      </c>
    </row>
    <row r="224" spans="35:44">
      <c r="AI224" s="275">
        <v>105.02283105022832</v>
      </c>
      <c r="AR224" s="275">
        <v>105.02283105022832</v>
      </c>
    </row>
    <row r="225" spans="35:44">
      <c r="AI225" s="275">
        <v>119.85294117647058</v>
      </c>
      <c r="AR225" s="275">
        <v>119.85294117647058</v>
      </c>
    </row>
    <row r="226" spans="35:44">
      <c r="AI226" s="275">
        <v>106.83229813664596</v>
      </c>
      <c r="AR226" s="275">
        <v>106.83229813664596</v>
      </c>
    </row>
    <row r="227" spans="35:44">
      <c r="AI227" s="278">
        <v>86.428460301820252</v>
      </c>
      <c r="AR227" s="278">
        <v>99.37641723356009</v>
      </c>
    </row>
    <row r="228" spans="35:44">
      <c r="AI228" s="278">
        <v>84.615384615384613</v>
      </c>
      <c r="AR228" s="278">
        <v>90.688259109311744</v>
      </c>
    </row>
    <row r="229" spans="35:44">
      <c r="AI229" s="278">
        <v>137.08609271523179</v>
      </c>
      <c r="AR229" s="278">
        <v>139.0728476821192</v>
      </c>
    </row>
    <row r="230" spans="35:44">
      <c r="AI230" s="278">
        <v>100</v>
      </c>
      <c r="AR230" s="278">
        <v>100</v>
      </c>
    </row>
    <row r="231" spans="35:44">
      <c r="AI231" s="278">
        <v>76.420298856453911</v>
      </c>
      <c r="AR231" s="278">
        <v>85.280175463421543</v>
      </c>
    </row>
    <row r="232" spans="35:44">
      <c r="AI232" s="278">
        <v>114.52513966480447</v>
      </c>
      <c r="AR232" s="278">
        <v>117.31843575418995</v>
      </c>
    </row>
    <row r="233" spans="35:44">
      <c r="AI233" s="278">
        <v>90.476190476190482</v>
      </c>
      <c r="AR233" s="278">
        <v>92.805755395683448</v>
      </c>
    </row>
    <row r="234" spans="35:44">
      <c r="AI234" s="278">
        <v>110.86956521739131</v>
      </c>
      <c r="AR234" s="278">
        <v>110.86956521739131</v>
      </c>
    </row>
    <row r="235" spans="35:44">
      <c r="AI235" s="278">
        <v>91.482979000913005</v>
      </c>
      <c r="AR235" s="278">
        <v>137.35690425252415</v>
      </c>
    </row>
    <row r="236" spans="35:44">
      <c r="AI236" s="278">
        <v>97.972972972972968</v>
      </c>
      <c r="AR236" s="278">
        <v>98.986486486486484</v>
      </c>
    </row>
    <row r="237" spans="35:44">
      <c r="AI237" s="278">
        <v>127.62430939226519</v>
      </c>
      <c r="AR237" s="278">
        <v>127.62430939226519</v>
      </c>
    </row>
    <row r="238" spans="35:44">
      <c r="AI238" s="278">
        <v>115.28384279475983</v>
      </c>
      <c r="AR238" s="278">
        <v>115.28384279475983</v>
      </c>
    </row>
    <row r="239" spans="35:44">
      <c r="AI239" s="281">
        <v>91.583865236559845</v>
      </c>
      <c r="AR239" s="281">
        <v>92.659514398644831</v>
      </c>
    </row>
    <row r="240" spans="35:44">
      <c r="AI240" s="281">
        <v>105.53584102200142</v>
      </c>
      <c r="AR240" s="281">
        <v>105.53584102200142</v>
      </c>
    </row>
    <row r="241" spans="35:44">
      <c r="AI241" s="281">
        <v>103.77807133421399</v>
      </c>
      <c r="AR241" s="281">
        <v>103.77807133421399</v>
      </c>
    </row>
    <row r="242" spans="35:44">
      <c r="AI242" s="281">
        <v>112.05020920502091</v>
      </c>
      <c r="AR242" s="281">
        <v>112.05020920502091</v>
      </c>
    </row>
    <row r="243" spans="35:44">
      <c r="AI243" s="281">
        <v>100.83938445140232</v>
      </c>
      <c r="AR243" s="281">
        <v>99.481476853876444</v>
      </c>
    </row>
    <row r="244" spans="35:44">
      <c r="AI244" s="281">
        <v>106.9060773480663</v>
      </c>
      <c r="AR244" s="281">
        <v>106.9060773480663</v>
      </c>
    </row>
    <row r="245" spans="35:44">
      <c r="AI245" s="281">
        <v>84.877208099956917</v>
      </c>
      <c r="AR245" s="281">
        <v>88.065489013356313</v>
      </c>
    </row>
    <row r="246" spans="35:44">
      <c r="AI246" s="281">
        <v>129.01069518716577</v>
      </c>
      <c r="AR246" s="281">
        <v>129.01069518716577</v>
      </c>
    </row>
    <row r="247" spans="35:44">
      <c r="AI247" s="281">
        <v>98.72649433696418</v>
      </c>
      <c r="AR247" s="281">
        <v>99.104191105897385</v>
      </c>
    </row>
    <row r="248" spans="35:44">
      <c r="AI248" s="281">
        <v>101.65860400829303</v>
      </c>
      <c r="AR248" s="281">
        <v>101.65860400829303</v>
      </c>
    </row>
    <row r="249" spans="35:44">
      <c r="AI249" s="281">
        <v>94.798341500188471</v>
      </c>
      <c r="AR249" s="281">
        <v>96.607614021862048</v>
      </c>
    </row>
    <row r="250" spans="35:44">
      <c r="AI250" s="281">
        <v>116.29374641422834</v>
      </c>
      <c r="AR250" s="281">
        <v>116.29374641422834</v>
      </c>
    </row>
    <row r="251" spans="35:44">
      <c r="AI251" s="284">
        <v>104.38931297709924</v>
      </c>
      <c r="AR251" s="284">
        <v>104.38931297709924</v>
      </c>
    </row>
    <row r="252" spans="35:44">
      <c r="AI252" s="284">
        <v>93.699515347334412</v>
      </c>
      <c r="AR252" s="284">
        <v>93.699515347334412</v>
      </c>
    </row>
    <row r="253" spans="35:44">
      <c r="AI253" s="284">
        <v>114.50617283950618</v>
      </c>
      <c r="AR253" s="284">
        <v>114.50617283950618</v>
      </c>
    </row>
    <row r="254" spans="35:44">
      <c r="AI254" s="287">
        <v>100</v>
      </c>
      <c r="AR254" s="287">
        <v>100</v>
      </c>
    </row>
    <row r="255" spans="35:44">
      <c r="AI255" s="287">
        <v>100</v>
      </c>
      <c r="AR255" s="287">
        <v>100</v>
      </c>
    </row>
    <row r="256" spans="35:44">
      <c r="AI256" s="287">
        <v>100</v>
      </c>
      <c r="AR256" s="287">
        <v>100</v>
      </c>
    </row>
    <row r="257" spans="35:86">
      <c r="AI257" s="290">
        <v>129.87421383647799</v>
      </c>
      <c r="AR257" s="290">
        <v>129.87421383647799</v>
      </c>
    </row>
    <row r="258" spans="35:86">
      <c r="AI258" s="290">
        <v>46.029919447640964</v>
      </c>
      <c r="AR258" s="290">
        <v>80.778790389395198</v>
      </c>
    </row>
    <row r="259" spans="35:86">
      <c r="AI259" s="290">
        <v>94.076397859383647</v>
      </c>
      <c r="AR259" s="290">
        <v>100.46661880832734</v>
      </c>
    </row>
    <row r="260" spans="35:86">
      <c r="AI260" s="290">
        <v>105.08849557522122</v>
      </c>
      <c r="AR260" s="290">
        <v>113.26754385964912</v>
      </c>
    </row>
    <row r="261" spans="35:86">
      <c r="AI261" s="290">
        <v>92.620865139949117</v>
      </c>
      <c r="AR261" s="290">
        <v>100.05081300813011</v>
      </c>
    </row>
    <row r="262" spans="35:86">
      <c r="AI262" s="290">
        <v>110.71428571428572</v>
      </c>
      <c r="AR262" s="290">
        <v>110.71428571428572</v>
      </c>
    </row>
    <row r="263" spans="35:86">
      <c r="AI263" s="290">
        <v>94.184938036224978</v>
      </c>
      <c r="AR263" s="290">
        <v>100.80321285140563</v>
      </c>
    </row>
    <row r="264" spans="35:86">
      <c r="AI264" s="290">
        <v>122.89395441030723</v>
      </c>
      <c r="AR264" s="290">
        <v>122.89395441030723</v>
      </c>
    </row>
    <row r="265" spans="35:86">
      <c r="AI265" s="290">
        <v>46.966731898238748</v>
      </c>
      <c r="AR265" s="290">
        <v>63.382467028704426</v>
      </c>
      <c r="CF265" s="320"/>
      <c r="CG265" s="320"/>
      <c r="CH265" s="320"/>
    </row>
    <row r="266" spans="35:86">
      <c r="AI266" s="290">
        <v>97.264437689969611</v>
      </c>
      <c r="AR266" s="290">
        <v>103.54588796185935</v>
      </c>
      <c r="CF266" s="320"/>
    </row>
    <row r="267" spans="35:86">
      <c r="AI267" s="290">
        <v>92.989524576954054</v>
      </c>
      <c r="AR267" s="290">
        <v>101.77276390008056</v>
      </c>
      <c r="CF267" s="320"/>
    </row>
    <row r="268" spans="35:86">
      <c r="AI268" s="290">
        <v>103.52811466372658</v>
      </c>
      <c r="AR268" s="290">
        <v>108.7651598676957</v>
      </c>
    </row>
    <row r="269" spans="35:86">
      <c r="AI269" s="290">
        <v>127.39726027397261</v>
      </c>
      <c r="AR269" s="290">
        <v>127.39726027397261</v>
      </c>
    </row>
    <row r="270" spans="35:86">
      <c r="AI270" s="290">
        <v>108.93909626719056</v>
      </c>
      <c r="AR270" s="290">
        <v>110.61046511627907</v>
      </c>
    </row>
    <row r="271" spans="35:86">
      <c r="AI271" s="290">
        <v>112.13517665130568</v>
      </c>
      <c r="AR271" s="290">
        <v>112.13517665130568</v>
      </c>
    </row>
    <row r="272" spans="35:86">
      <c r="AI272" s="290">
        <v>51.573187414500687</v>
      </c>
      <c r="AR272" s="290">
        <v>72.176308539944898</v>
      </c>
    </row>
    <row r="273" spans="2:44">
      <c r="AI273" s="290">
        <v>98.630705394190869</v>
      </c>
      <c r="AR273" s="290">
        <v>103.7905644941369</v>
      </c>
    </row>
    <row r="274" spans="2:44">
      <c r="AI274" s="290">
        <v>101.01832993890021</v>
      </c>
      <c r="AR274" s="290">
        <v>106.99253224711471</v>
      </c>
    </row>
    <row r="275" spans="2:44">
      <c r="AI275" s="290">
        <v>91.143764892772055</v>
      </c>
      <c r="AR275" s="290">
        <v>107.34710087370931</v>
      </c>
    </row>
    <row r="276" spans="2:44">
      <c r="AI276" s="290">
        <v>78.740157480314963</v>
      </c>
      <c r="AR276" s="290">
        <v>78.740157480314963</v>
      </c>
    </row>
    <row r="277" spans="2:44">
      <c r="AI277" s="290">
        <v>81.008035062089107</v>
      </c>
      <c r="AR277" s="290">
        <v>103.35842501447597</v>
      </c>
    </row>
    <row r="278" spans="2:44">
      <c r="AI278" s="293">
        <v>77.644063874103225</v>
      </c>
      <c r="AR278" s="293">
        <v>85.007626933972531</v>
      </c>
    </row>
    <row r="279" spans="2:44">
      <c r="AI279" s="293">
        <v>91.273128969897812</v>
      </c>
      <c r="AR279" s="293">
        <v>89.752281616688407</v>
      </c>
    </row>
    <row r="280" spans="2:44">
      <c r="B280" s="307"/>
      <c r="AI280" s="293">
        <v>80.77354260089686</v>
      </c>
      <c r="AR280" s="293">
        <v>98.225764978143488</v>
      </c>
    </row>
    <row r="281" spans="2:44">
      <c r="B281" s="307"/>
    </row>
    <row r="282" spans="2:44">
      <c r="B282" s="307"/>
    </row>
    <row r="283" spans="2:44">
      <c r="B283" s="307"/>
    </row>
    <row r="284" spans="2:44">
      <c r="B284" s="307"/>
    </row>
    <row r="285" spans="2:44">
      <c r="B285" s="307"/>
    </row>
    <row r="286" spans="2:44">
      <c r="B286" s="307"/>
    </row>
    <row r="287" spans="2:44">
      <c r="B287" s="307"/>
      <c r="F287" s="296" t="s">
        <v>589</v>
      </c>
    </row>
    <row r="288" spans="2:44">
      <c r="B288" s="307"/>
    </row>
    <row r="289" spans="1:89">
      <c r="B289" s="307"/>
    </row>
    <row r="290" spans="1:89">
      <c r="B290" s="307"/>
    </row>
    <row r="291" spans="1:89">
      <c r="B291" s="307"/>
    </row>
    <row r="292" spans="1:89" s="310" customFormat="1" ht="17" customHeight="1" thickBot="1">
      <c r="B292" s="312"/>
    </row>
    <row r="293" spans="1:89" s="310" customFormat="1" ht="17" customHeight="1">
      <c r="A293" s="310" t="s">
        <v>584</v>
      </c>
      <c r="C293" s="313">
        <v>2015</v>
      </c>
      <c r="D293" s="313">
        <v>2016</v>
      </c>
      <c r="E293" s="313">
        <v>2017</v>
      </c>
      <c r="F293" s="374" t="s">
        <v>376</v>
      </c>
      <c r="G293" s="314"/>
      <c r="I293" s="313">
        <v>2015</v>
      </c>
      <c r="J293" s="313">
        <v>2016</v>
      </c>
      <c r="K293" s="313">
        <v>2017</v>
      </c>
      <c r="L293" s="314" t="s">
        <v>376</v>
      </c>
      <c r="M293" s="314"/>
      <c r="O293" s="313">
        <v>2015</v>
      </c>
      <c r="P293" s="313">
        <v>2016</v>
      </c>
      <c r="Q293" s="313">
        <v>2017</v>
      </c>
      <c r="R293" s="314" t="s">
        <v>376</v>
      </c>
      <c r="S293" s="314"/>
      <c r="U293" s="313">
        <v>2015</v>
      </c>
      <c r="V293" s="313">
        <v>2016</v>
      </c>
      <c r="W293" s="313">
        <v>2017</v>
      </c>
      <c r="X293" s="314" t="s">
        <v>376</v>
      </c>
      <c r="Y293" s="314"/>
      <c r="AA293" s="313">
        <v>2015</v>
      </c>
      <c r="AB293" s="313">
        <v>2016</v>
      </c>
      <c r="AC293" s="313">
        <v>2017</v>
      </c>
      <c r="AD293" s="314" t="s">
        <v>376</v>
      </c>
      <c r="AG293" s="313">
        <v>2015</v>
      </c>
      <c r="AH293" s="313">
        <v>2016</v>
      </c>
      <c r="AI293" s="313">
        <v>2017</v>
      </c>
      <c r="AJ293" s="314" t="s">
        <v>376</v>
      </c>
      <c r="AK293" s="314"/>
      <c r="AM293" s="313">
        <v>2015</v>
      </c>
      <c r="AN293" s="313">
        <v>2016</v>
      </c>
      <c r="AO293" s="313">
        <v>2017</v>
      </c>
      <c r="AP293" s="314" t="s">
        <v>376</v>
      </c>
      <c r="AQ293" s="314"/>
      <c r="AS293" s="313">
        <v>2015</v>
      </c>
      <c r="AT293" s="313">
        <v>2016</v>
      </c>
      <c r="AU293" s="313">
        <v>2017</v>
      </c>
      <c r="AV293" s="314" t="s">
        <v>581</v>
      </c>
      <c r="AW293" s="314"/>
      <c r="AY293" s="313">
        <v>2015</v>
      </c>
      <c r="AZ293" s="313">
        <v>2016</v>
      </c>
      <c r="BA293" s="313">
        <v>2017</v>
      </c>
      <c r="BB293" s="314" t="s">
        <v>581</v>
      </c>
      <c r="BC293" s="314"/>
      <c r="BE293" s="313">
        <v>2015</v>
      </c>
      <c r="BF293" s="313">
        <v>2016</v>
      </c>
      <c r="BG293" s="313">
        <v>2017</v>
      </c>
      <c r="BH293" s="314" t="s">
        <v>581</v>
      </c>
      <c r="BI293" s="314"/>
      <c r="BK293" s="313">
        <v>2015</v>
      </c>
      <c r="BL293" s="313">
        <v>2016</v>
      </c>
      <c r="BM293" s="313">
        <v>2017</v>
      </c>
      <c r="BN293" s="314" t="s">
        <v>581</v>
      </c>
      <c r="BO293" s="314"/>
      <c r="BQ293" s="313">
        <v>2015</v>
      </c>
      <c r="BR293" s="313">
        <v>2016</v>
      </c>
      <c r="BS293" s="313">
        <v>2017</v>
      </c>
      <c r="BT293" s="314" t="s">
        <v>581</v>
      </c>
      <c r="BU293" s="314"/>
      <c r="BW293" s="313">
        <v>2015</v>
      </c>
      <c r="BX293" s="313">
        <v>2016</v>
      </c>
      <c r="BY293" s="313">
        <v>2017</v>
      </c>
      <c r="BZ293" s="314" t="s">
        <v>581</v>
      </c>
      <c r="CD293" s="375" t="s">
        <v>454</v>
      </c>
      <c r="CE293" s="375"/>
      <c r="CF293" s="375" t="s">
        <v>714</v>
      </c>
      <c r="CG293" s="375"/>
      <c r="CH293" s="375" t="s">
        <v>715</v>
      </c>
      <c r="CI293" s="375"/>
      <c r="CJ293" s="61" t="s">
        <v>454</v>
      </c>
      <c r="CK293" s="61"/>
    </row>
    <row r="294" spans="1:89" s="310" customFormat="1" ht="17" customHeight="1">
      <c r="B294" s="419" t="s">
        <v>31</v>
      </c>
      <c r="C294" s="419"/>
      <c r="D294" s="419"/>
      <c r="E294" s="419"/>
      <c r="F294" s="419"/>
      <c r="G294" s="299"/>
      <c r="H294" s="419" t="s">
        <v>36</v>
      </c>
      <c r="I294" s="419"/>
      <c r="J294" s="419"/>
      <c r="K294" s="419"/>
      <c r="L294" s="419"/>
      <c r="M294" s="299"/>
      <c r="N294" s="419" t="s">
        <v>46</v>
      </c>
      <c r="O294" s="419"/>
      <c r="P294" s="419"/>
      <c r="Q294" s="419"/>
      <c r="R294" s="419"/>
      <c r="S294" s="299"/>
      <c r="T294" s="419" t="s">
        <v>37</v>
      </c>
      <c r="U294" s="419"/>
      <c r="V294" s="419"/>
      <c r="W294" s="419"/>
      <c r="X294" s="419"/>
      <c r="Y294" s="299"/>
      <c r="Z294" s="419" t="s">
        <v>38</v>
      </c>
      <c r="AA294" s="419"/>
      <c r="AB294" s="419"/>
      <c r="AC294" s="419"/>
      <c r="AD294" s="419"/>
      <c r="AF294" s="419" t="s">
        <v>576</v>
      </c>
      <c r="AG294" s="419"/>
      <c r="AH294" s="419"/>
      <c r="AI294" s="419"/>
      <c r="AJ294" s="419"/>
      <c r="AK294" s="299"/>
      <c r="AL294" s="419" t="s">
        <v>40</v>
      </c>
      <c r="AM294" s="419"/>
      <c r="AN294" s="419"/>
      <c r="AO294" s="419"/>
      <c r="AP294" s="419"/>
      <c r="AQ294" s="299"/>
      <c r="AR294" s="419" t="s">
        <v>41</v>
      </c>
      <c r="AS294" s="419"/>
      <c r="AT294" s="419"/>
      <c r="AU294" s="419"/>
      <c r="AV294" s="419"/>
      <c r="AW294" s="299"/>
      <c r="AX294" s="419" t="s">
        <v>582</v>
      </c>
      <c r="AY294" s="419"/>
      <c r="AZ294" s="419"/>
      <c r="BA294" s="419"/>
      <c r="BB294" s="419"/>
      <c r="BC294" s="299"/>
      <c r="BD294" s="419" t="s">
        <v>43</v>
      </c>
      <c r="BE294" s="419"/>
      <c r="BF294" s="419"/>
      <c r="BG294" s="419"/>
      <c r="BH294" s="419"/>
      <c r="BI294" s="299"/>
      <c r="BJ294" s="419" t="s">
        <v>44</v>
      </c>
      <c r="BK294" s="419"/>
      <c r="BL294" s="419"/>
      <c r="BM294" s="419"/>
      <c r="BN294" s="419"/>
      <c r="BO294" s="299"/>
      <c r="BP294" s="419" t="s">
        <v>45</v>
      </c>
      <c r="BQ294" s="419"/>
      <c r="BR294" s="419"/>
      <c r="BS294" s="419"/>
      <c r="BT294" s="419"/>
      <c r="BU294" s="299"/>
      <c r="BV294" s="419" t="s">
        <v>376</v>
      </c>
      <c r="BW294" s="419"/>
      <c r="BX294" s="419"/>
      <c r="BY294" s="419"/>
      <c r="BZ294" s="419"/>
      <c r="CD294" s="58"/>
      <c r="CE294" s="58"/>
      <c r="CF294" s="58"/>
      <c r="CG294" s="58"/>
      <c r="CH294" s="58"/>
      <c r="CI294" s="58"/>
      <c r="CJ294" s="58"/>
      <c r="CK294" s="58"/>
    </row>
    <row r="295" spans="1:89" s="315" customFormat="1" ht="17" customHeight="1">
      <c r="B295" s="316" t="s">
        <v>449</v>
      </c>
      <c r="C295" s="317">
        <v>99.420988693244979</v>
      </c>
      <c r="D295" s="317">
        <v>103.38481282706114</v>
      </c>
      <c r="E295" s="317">
        <v>114.68594145527331</v>
      </c>
      <c r="F295" s="317">
        <v>105.83058099185983</v>
      </c>
      <c r="G295" s="318"/>
      <c r="H295" s="316" t="s">
        <v>449</v>
      </c>
      <c r="I295" s="317">
        <v>59.824561403508767</v>
      </c>
      <c r="J295" s="317">
        <v>80.536041539401339</v>
      </c>
      <c r="K295" s="317">
        <v>103.82860461257674</v>
      </c>
      <c r="L295" s="317">
        <v>81.39640251849562</v>
      </c>
      <c r="N295" s="316" t="s">
        <v>449</v>
      </c>
      <c r="O295" s="317">
        <v>161.97183098591549</v>
      </c>
      <c r="P295" s="317">
        <v>47.5</v>
      </c>
      <c r="Q295" s="317">
        <v>155.78947368421052</v>
      </c>
      <c r="R295" s="317">
        <v>121.75376822337535</v>
      </c>
      <c r="T295" s="316" t="s">
        <v>449</v>
      </c>
      <c r="U295" s="317">
        <v>107.2551201328024</v>
      </c>
      <c r="V295" s="317">
        <v>104.38152410720045</v>
      </c>
      <c r="W295" s="317">
        <v>103.93468063610435</v>
      </c>
      <c r="X295" s="317">
        <v>105.19044162536906</v>
      </c>
      <c r="Z295" s="316" t="s">
        <v>449</v>
      </c>
      <c r="AA295" s="317">
        <v>92.792077622547808</v>
      </c>
      <c r="AB295" s="317">
        <v>92.739691096087185</v>
      </c>
      <c r="AC295" s="317">
        <v>96.705895909229838</v>
      </c>
      <c r="AD295" s="317">
        <v>94.079221542621553</v>
      </c>
      <c r="AF295" s="316" t="s">
        <v>449</v>
      </c>
      <c r="AG295" s="317">
        <v>134.79532163742689</v>
      </c>
      <c r="AH295" s="317">
        <v>113.12127236580515</v>
      </c>
      <c r="AI295" s="317">
        <v>131.65829145728642</v>
      </c>
      <c r="AJ295" s="317">
        <v>126.52496182017281</v>
      </c>
      <c r="AL295" s="316" t="s">
        <v>449</v>
      </c>
      <c r="AM295" s="317">
        <v>105.02283105022832</v>
      </c>
      <c r="AN295" s="317">
        <v>119.85294117647058</v>
      </c>
      <c r="AO295" s="317">
        <v>106.83229813664596</v>
      </c>
      <c r="AP295" s="317">
        <v>110.56935678778162</v>
      </c>
      <c r="AR295" s="316" t="s">
        <v>449</v>
      </c>
      <c r="AS295" s="317">
        <v>102.03248440810916</v>
      </c>
      <c r="AT295" s="317">
        <v>98.072798553710044</v>
      </c>
      <c r="AU295" s="317">
        <v>108.09102604022775</v>
      </c>
      <c r="AV295" s="317">
        <v>102.73210300068229</v>
      </c>
      <c r="AX295" s="316" t="s">
        <v>449</v>
      </c>
      <c r="AY295" s="317">
        <v>103.23699669944904</v>
      </c>
      <c r="AZ295" s="317">
        <v>105.40834127164783</v>
      </c>
      <c r="BA295" s="317">
        <v>102.8692965649185</v>
      </c>
      <c r="BB295" s="317">
        <v>103.8382115120051</v>
      </c>
      <c r="BD295" s="316" t="s">
        <v>449</v>
      </c>
      <c r="BE295" s="317">
        <v>104.38931297709924</v>
      </c>
      <c r="BF295" s="317">
        <v>93.699515347334412</v>
      </c>
      <c r="BG295" s="317">
        <v>114.50617283950618</v>
      </c>
      <c r="BH295" s="317">
        <v>104.19833372131329</v>
      </c>
      <c r="BJ295" s="316" t="s">
        <v>449</v>
      </c>
      <c r="BK295" s="317">
        <v>96.084159372740501</v>
      </c>
      <c r="BL295" s="317">
        <v>99.997017111479934</v>
      </c>
      <c r="BM295" s="317">
        <v>87.749908119153375</v>
      </c>
      <c r="BN295" s="317">
        <v>94.610361534457923</v>
      </c>
      <c r="BP295" s="316" t="s">
        <v>449</v>
      </c>
      <c r="BQ295" s="317">
        <v>77.644063874103225</v>
      </c>
      <c r="BR295" s="317">
        <v>80.77354260089686</v>
      </c>
      <c r="BS295" s="317">
        <v>91.273128969897812</v>
      </c>
      <c r="BT295" s="317">
        <v>83.230245148299289</v>
      </c>
      <c r="BV295" s="316" t="s">
        <v>449</v>
      </c>
      <c r="BW295" s="317">
        <v>97.025712107216833</v>
      </c>
      <c r="BX295" s="317">
        <v>96.521573365494618</v>
      </c>
      <c r="BY295" s="317">
        <v>101.51879972667484</v>
      </c>
      <c r="BZ295" s="317">
        <v>98.355361733128746</v>
      </c>
      <c r="CD295" s="58" t="s">
        <v>455</v>
      </c>
      <c r="CE295" s="58">
        <v>104.38931297709924</v>
      </c>
      <c r="CF295" s="58" t="s">
        <v>455</v>
      </c>
      <c r="CG295" s="58">
        <v>93.699515347334412</v>
      </c>
      <c r="CH295" s="58" t="s">
        <v>455</v>
      </c>
      <c r="CI295" s="58">
        <v>114.50617283950618</v>
      </c>
      <c r="CJ295" s="58" t="s">
        <v>455</v>
      </c>
      <c r="CK295" s="58">
        <v>104.19833372131329</v>
      </c>
    </row>
    <row r="296" spans="1:89" s="310" customFormat="1" ht="17" customHeight="1">
      <c r="B296" s="309" t="s">
        <v>586</v>
      </c>
      <c r="C296" s="303">
        <v>3.6038287853040467</v>
      </c>
      <c r="D296" s="303">
        <v>5.6284794056328309</v>
      </c>
      <c r="E296" s="303">
        <v>7.3159250848620294</v>
      </c>
      <c r="F296" s="303">
        <v>3.3817927489696742</v>
      </c>
      <c r="G296" s="311"/>
      <c r="H296" s="309" t="s">
        <v>586</v>
      </c>
      <c r="I296" s="303">
        <v>33.508771929824555</v>
      </c>
      <c r="J296" s="303">
        <v>5.5360415394013449</v>
      </c>
      <c r="K296" s="303">
        <v>12.838062054089956</v>
      </c>
      <c r="L296" s="303">
        <v>12.349330968032028</v>
      </c>
      <c r="N296" s="309" t="s">
        <v>586</v>
      </c>
      <c r="O296" s="303">
        <v>0</v>
      </c>
      <c r="P296" s="303">
        <v>0</v>
      </c>
      <c r="Q296" s="303">
        <v>0</v>
      </c>
      <c r="R296" s="303">
        <v>37.169754536807396</v>
      </c>
      <c r="T296" s="309" t="s">
        <v>586</v>
      </c>
      <c r="U296" s="303">
        <v>13.446391053508588</v>
      </c>
      <c r="V296" s="303">
        <v>5.7803772804929157</v>
      </c>
      <c r="W296" s="303">
        <v>4.503243417779812</v>
      </c>
      <c r="X296" s="303">
        <v>4.9328487687880473</v>
      </c>
      <c r="Z296" s="309" t="s">
        <v>586</v>
      </c>
      <c r="AA296" s="303">
        <v>4.0225055294160805</v>
      </c>
      <c r="AB296" s="303">
        <v>3.9453159374249664</v>
      </c>
      <c r="AC296" s="303">
        <v>3.7045187375335717</v>
      </c>
      <c r="AD296" s="303">
        <v>2.2371052574057906</v>
      </c>
      <c r="AF296" s="309" t="s">
        <v>586</v>
      </c>
      <c r="AG296" s="303">
        <v>0</v>
      </c>
      <c r="AH296" s="303">
        <v>0</v>
      </c>
      <c r="AI296" s="303">
        <v>0</v>
      </c>
      <c r="AJ296" s="303">
        <v>6.7627511125188127</v>
      </c>
      <c r="AL296" s="309" t="s">
        <v>586</v>
      </c>
      <c r="AM296" s="303">
        <v>0</v>
      </c>
      <c r="AN296" s="303">
        <v>0</v>
      </c>
      <c r="AO296" s="303">
        <v>0</v>
      </c>
      <c r="AP296" s="303">
        <v>4.6710900623101965</v>
      </c>
      <c r="AR296" s="309" t="s">
        <v>586</v>
      </c>
      <c r="AS296" s="303">
        <v>12.178284573089385</v>
      </c>
      <c r="AT296" s="303">
        <v>8.9488172519409144</v>
      </c>
      <c r="AU296" s="303">
        <v>8.2233812779331217</v>
      </c>
      <c r="AV296" s="303">
        <v>5.3341793132946869</v>
      </c>
      <c r="AX296" s="309" t="s">
        <v>586</v>
      </c>
      <c r="AY296" s="303">
        <v>4.2724469427119445</v>
      </c>
      <c r="AZ296" s="303">
        <v>9.1365434722644991</v>
      </c>
      <c r="BA296" s="303">
        <v>4.6902803414804701</v>
      </c>
      <c r="BB296" s="303">
        <v>3.3707855411645253</v>
      </c>
      <c r="BD296" s="309" t="s">
        <v>586</v>
      </c>
      <c r="BE296" s="303">
        <v>0</v>
      </c>
      <c r="BF296" s="303">
        <v>0</v>
      </c>
      <c r="BG296" s="303">
        <v>0</v>
      </c>
      <c r="BH296" s="303">
        <v>6.0071236546354498</v>
      </c>
      <c r="BJ296" s="309" t="s">
        <v>586</v>
      </c>
      <c r="BK296" s="303">
        <v>9.7124685907209969</v>
      </c>
      <c r="BL296" s="303">
        <v>10.043068664381961</v>
      </c>
      <c r="BM296" s="303">
        <v>7.4577954293066648</v>
      </c>
      <c r="BN296" s="303">
        <v>5.1366945944009572</v>
      </c>
      <c r="BP296" s="309" t="s">
        <v>586</v>
      </c>
      <c r="BQ296" s="303">
        <v>0</v>
      </c>
      <c r="BR296" s="303">
        <v>0</v>
      </c>
      <c r="BS296" s="303">
        <v>0</v>
      </c>
      <c r="BT296" s="303">
        <v>4.1216661032953574</v>
      </c>
      <c r="BV296" s="309" t="s">
        <v>586</v>
      </c>
      <c r="BW296" s="303">
        <v>2.9134821372135171</v>
      </c>
      <c r="BX296" s="303">
        <v>2.5163486786955276</v>
      </c>
      <c r="BY296" s="303">
        <v>2.4809352344190709</v>
      </c>
      <c r="BZ296" s="303">
        <v>1.5270846142270662</v>
      </c>
      <c r="CD296" s="58" t="s">
        <v>456</v>
      </c>
      <c r="CE296" s="58">
        <v>0</v>
      </c>
      <c r="CF296" s="58" t="s">
        <v>456</v>
      </c>
      <c r="CG296" s="58">
        <v>0</v>
      </c>
      <c r="CH296" s="58" t="s">
        <v>456</v>
      </c>
      <c r="CI296" s="58">
        <v>0</v>
      </c>
      <c r="CJ296" s="58" t="s">
        <v>456</v>
      </c>
      <c r="CK296" s="58">
        <v>6.0071236546354498</v>
      </c>
    </row>
    <row r="297" spans="1:89" s="310" customFormat="1" ht="17" customHeight="1">
      <c r="B297" s="309" t="s">
        <v>409</v>
      </c>
      <c r="C297" s="303">
        <v>95.31162268388546</v>
      </c>
      <c r="D297" s="303">
        <v>99.344978165938869</v>
      </c>
      <c r="E297" s="303">
        <v>103.93164767991108</v>
      </c>
      <c r="F297" s="303">
        <v>99.464459591041859</v>
      </c>
      <c r="G297" s="311"/>
      <c r="H297" s="309" t="s">
        <v>409</v>
      </c>
      <c r="I297" s="303">
        <v>59.824561403508767</v>
      </c>
      <c r="J297" s="303">
        <v>80.536041539401339</v>
      </c>
      <c r="K297" s="303">
        <v>103.82860461257674</v>
      </c>
      <c r="L297" s="303">
        <v>88.53131281864475</v>
      </c>
      <c r="M297" s="311"/>
      <c r="N297" s="309" t="s">
        <v>409</v>
      </c>
      <c r="O297" s="303">
        <v>161.97183098591549</v>
      </c>
      <c r="P297" s="303">
        <v>47.5</v>
      </c>
      <c r="Q297" s="303">
        <v>155.78947368421052</v>
      </c>
      <c r="R297" s="303">
        <v>155.78947368421052</v>
      </c>
      <c r="T297" s="309" t="s">
        <v>409</v>
      </c>
      <c r="U297" s="303">
        <v>97.669175214463053</v>
      </c>
      <c r="V297" s="303">
        <v>99.944303019123168</v>
      </c>
      <c r="W297" s="303">
        <v>100.32590983161326</v>
      </c>
      <c r="X297" s="303">
        <v>98.71479334750822</v>
      </c>
      <c r="Z297" s="309" t="s">
        <v>409</v>
      </c>
      <c r="AA297" s="303">
        <v>89.675516224188783</v>
      </c>
      <c r="AB297" s="303">
        <v>93.613707165109034</v>
      </c>
      <c r="AC297" s="303">
        <v>97.441364605543711</v>
      </c>
      <c r="AD297" s="303">
        <v>93.613707165109034</v>
      </c>
      <c r="AF297" s="309" t="s">
        <v>409</v>
      </c>
      <c r="AG297" s="303">
        <v>134.79532163742689</v>
      </c>
      <c r="AH297" s="303">
        <v>113.12127236580515</v>
      </c>
      <c r="AI297" s="303">
        <v>131.65829145728642</v>
      </c>
      <c r="AJ297" s="303">
        <v>131.65829145728642</v>
      </c>
      <c r="AL297" s="309" t="s">
        <v>409</v>
      </c>
      <c r="AM297" s="303">
        <v>105.02283105022832</v>
      </c>
      <c r="AN297" s="303">
        <v>119.85294117647058</v>
      </c>
      <c r="AO297" s="303">
        <v>106.83229813664596</v>
      </c>
      <c r="AP297" s="303">
        <v>106.83229813664596</v>
      </c>
      <c r="AR297" s="309" t="s">
        <v>409</v>
      </c>
      <c r="AS297" s="303">
        <v>93.214230150910126</v>
      </c>
      <c r="AT297" s="303">
        <v>100.6728778467909</v>
      </c>
      <c r="AU297" s="303">
        <v>106.6284078838664</v>
      </c>
      <c r="AV297" s="303">
        <v>98.986486486486484</v>
      </c>
      <c r="AX297" s="309" t="s">
        <v>409</v>
      </c>
      <c r="AY297" s="303">
        <v>104.65695617810771</v>
      </c>
      <c r="AZ297" s="303">
        <v>103.87273089973431</v>
      </c>
      <c r="BA297" s="303">
        <v>100.1925491726286</v>
      </c>
      <c r="BB297" s="303">
        <v>102.71833767125351</v>
      </c>
      <c r="BD297" s="309" t="s">
        <v>409</v>
      </c>
      <c r="BE297" s="303">
        <v>104.38931297709924</v>
      </c>
      <c r="BF297" s="303">
        <v>93.699515347334412</v>
      </c>
      <c r="BG297" s="303">
        <v>114.50617283950618</v>
      </c>
      <c r="BH297" s="303">
        <v>104.38931297709924</v>
      </c>
      <c r="BJ297" s="309" t="s">
        <v>409</v>
      </c>
      <c r="BK297" s="303">
        <v>94.184938036224978</v>
      </c>
      <c r="BL297" s="303">
        <v>103.52811466372658</v>
      </c>
      <c r="BM297" s="303">
        <v>91.143764892772055</v>
      </c>
      <c r="BN297" s="303">
        <v>97.264437689969611</v>
      </c>
      <c r="BP297" s="309" t="s">
        <v>409</v>
      </c>
      <c r="BQ297" s="303">
        <v>77.644063874103225</v>
      </c>
      <c r="BR297" s="303">
        <v>80.77354260089686</v>
      </c>
      <c r="BS297" s="303">
        <v>91.273128969897812</v>
      </c>
      <c r="BT297" s="303">
        <v>80.77354260089686</v>
      </c>
      <c r="BV297" s="309" t="s">
        <v>409</v>
      </c>
      <c r="BW297" s="303">
        <v>94.607843137254903</v>
      </c>
      <c r="BX297" s="303">
        <v>96.874214363529703</v>
      </c>
      <c r="BY297" s="303">
        <v>100</v>
      </c>
      <c r="BZ297" s="303">
        <v>97.972972972972968</v>
      </c>
      <c r="CD297" s="58" t="s">
        <v>431</v>
      </c>
      <c r="CE297" s="58">
        <v>104.38931297709924</v>
      </c>
      <c r="CF297" s="58" t="s">
        <v>431</v>
      </c>
      <c r="CG297" s="58">
        <v>93.699515347334412</v>
      </c>
      <c r="CH297" s="58" t="s">
        <v>431</v>
      </c>
      <c r="CI297" s="58">
        <v>114.50617283950618</v>
      </c>
      <c r="CJ297" s="58" t="s">
        <v>431</v>
      </c>
      <c r="CK297" s="58">
        <v>104.38931297709924</v>
      </c>
    </row>
    <row r="298" spans="1:89" s="310" customFormat="1" ht="17" customHeight="1">
      <c r="B298" s="308" t="s">
        <v>410</v>
      </c>
      <c r="C298" s="303">
        <v>125.33739660426644</v>
      </c>
      <c r="D298" s="303">
        <v>147.07520891364902</v>
      </c>
      <c r="E298" s="303">
        <v>167.38609112709833</v>
      </c>
      <c r="F298" s="303">
        <v>100</v>
      </c>
      <c r="G298" s="311"/>
      <c r="H298" s="308" t="s">
        <v>410</v>
      </c>
      <c r="I298" s="303" t="e">
        <v>#N/A</v>
      </c>
      <c r="J298" s="303" t="e">
        <v>#N/A</v>
      </c>
      <c r="K298" s="303" t="e">
        <v>#N/A</v>
      </c>
      <c r="L298" s="303" t="e">
        <v>#N/A</v>
      </c>
      <c r="M298" s="311"/>
      <c r="N298" s="308" t="s">
        <v>410</v>
      </c>
      <c r="O298" s="303" t="e">
        <v>#N/A</v>
      </c>
      <c r="P298" s="303" t="e">
        <v>#N/A</v>
      </c>
      <c r="Q298" s="303" t="e">
        <v>#N/A</v>
      </c>
      <c r="R298" s="303" t="e">
        <v>#N/A</v>
      </c>
      <c r="S298" s="311"/>
      <c r="T298" s="308" t="s">
        <v>410</v>
      </c>
      <c r="U298" s="303" t="e">
        <v>#N/A</v>
      </c>
      <c r="V298" s="303" t="e">
        <v>#N/A</v>
      </c>
      <c r="W298" s="303" t="e">
        <v>#N/A</v>
      </c>
      <c r="X298" s="303" t="e">
        <v>#N/A</v>
      </c>
      <c r="Z298" s="308" t="s">
        <v>410</v>
      </c>
      <c r="AA298" s="303">
        <v>100</v>
      </c>
      <c r="AB298" s="303">
        <v>100</v>
      </c>
      <c r="AC298" s="303" t="e">
        <v>#N/A</v>
      </c>
      <c r="AD298" s="303">
        <v>100</v>
      </c>
      <c r="AF298" s="308" t="s">
        <v>410</v>
      </c>
      <c r="AG298" s="303" t="e">
        <v>#N/A</v>
      </c>
      <c r="AH298" s="303" t="e">
        <v>#N/A</v>
      </c>
      <c r="AI298" s="303" t="e">
        <v>#N/A</v>
      </c>
      <c r="AJ298" s="303" t="e">
        <v>#N/A</v>
      </c>
      <c r="AL298" s="308" t="s">
        <v>410</v>
      </c>
      <c r="AM298" s="303" t="e">
        <v>#N/A</v>
      </c>
      <c r="AN298" s="303" t="e">
        <v>#N/A</v>
      </c>
      <c r="AO298" s="303" t="e">
        <v>#N/A</v>
      </c>
      <c r="AP298" s="303" t="e">
        <v>#N/A</v>
      </c>
      <c r="AR298" s="308" t="s">
        <v>410</v>
      </c>
      <c r="AS298" s="303" t="e">
        <v>#N/A</v>
      </c>
      <c r="AT298" s="303" t="e">
        <v>#N/A</v>
      </c>
      <c r="AU298" s="303" t="e">
        <v>#N/A</v>
      </c>
      <c r="AV298" s="303" t="e">
        <v>#N/A</v>
      </c>
      <c r="AX298" s="308" t="s">
        <v>410</v>
      </c>
      <c r="AY298" s="303" t="e">
        <v>#N/A</v>
      </c>
      <c r="AZ298" s="303" t="e">
        <v>#N/A</v>
      </c>
      <c r="BA298" s="303" t="e">
        <v>#N/A</v>
      </c>
      <c r="BB298" s="303" t="e">
        <v>#N/A</v>
      </c>
      <c r="BD298" s="308" t="s">
        <v>410</v>
      </c>
      <c r="BE298" s="303" t="e">
        <v>#N/A</v>
      </c>
      <c r="BF298" s="303" t="e">
        <v>#N/A</v>
      </c>
      <c r="BG298" s="303" t="e">
        <v>#N/A</v>
      </c>
      <c r="BH298" s="303" t="e">
        <v>#N/A</v>
      </c>
      <c r="BJ298" s="308" t="s">
        <v>410</v>
      </c>
      <c r="BK298" s="303" t="e">
        <v>#N/A</v>
      </c>
      <c r="BL298" s="303" t="e">
        <v>#N/A</v>
      </c>
      <c r="BM298" s="303" t="e">
        <v>#N/A</v>
      </c>
      <c r="BN298" s="303" t="e">
        <v>#N/A</v>
      </c>
      <c r="BP298" s="308" t="s">
        <v>410</v>
      </c>
      <c r="BQ298" s="303" t="e">
        <v>#N/A</v>
      </c>
      <c r="BR298" s="303" t="e">
        <v>#N/A</v>
      </c>
      <c r="BS298" s="303" t="e">
        <v>#N/A</v>
      </c>
      <c r="BT298" s="303" t="e">
        <v>#N/A</v>
      </c>
      <c r="BV298" s="308" t="s">
        <v>410</v>
      </c>
      <c r="BW298" s="303">
        <v>100</v>
      </c>
      <c r="BX298" s="303">
        <v>100</v>
      </c>
      <c r="BY298" s="303">
        <v>100</v>
      </c>
      <c r="BZ298" s="303">
        <v>100</v>
      </c>
      <c r="CD298" s="58" t="s">
        <v>457</v>
      </c>
      <c r="CE298" s="58" t="e">
        <v>#N/A</v>
      </c>
      <c r="CF298" s="58" t="s">
        <v>457</v>
      </c>
      <c r="CG298" s="58" t="e">
        <v>#N/A</v>
      </c>
      <c r="CH298" s="58" t="s">
        <v>457</v>
      </c>
      <c r="CI298" s="58" t="e">
        <v>#N/A</v>
      </c>
      <c r="CJ298" s="58" t="s">
        <v>457</v>
      </c>
      <c r="CK298" s="58" t="e">
        <v>#N/A</v>
      </c>
    </row>
    <row r="299" spans="1:89" s="310" customFormat="1" ht="17" customHeight="1">
      <c r="B299" s="309" t="s">
        <v>587</v>
      </c>
      <c r="C299" s="303">
        <v>12.993789473406844</v>
      </c>
      <c r="D299" s="303">
        <v>20.293771099902248</v>
      </c>
      <c r="E299" s="303">
        <v>26.377943020923283</v>
      </c>
      <c r="F299" s="303">
        <v>21.119288948313834</v>
      </c>
      <c r="G299" s="311"/>
      <c r="H299" s="309" t="s">
        <v>587</v>
      </c>
      <c r="I299" s="303">
        <v>47.388559721624759</v>
      </c>
      <c r="J299" s="303">
        <v>7.8291450268822098</v>
      </c>
      <c r="K299" s="303">
        <v>18.155761471481412</v>
      </c>
      <c r="L299" s="303">
        <v>30.249559536429107</v>
      </c>
      <c r="M299" s="311"/>
      <c r="N299" s="309" t="s">
        <v>587</v>
      </c>
      <c r="O299" s="303" t="e">
        <v>#DIV/0!</v>
      </c>
      <c r="P299" s="303" t="e">
        <v>#DIV/0!</v>
      </c>
      <c r="Q299" s="303" t="e">
        <v>#DIV/0!</v>
      </c>
      <c r="R299" s="303">
        <v>64.379903362614186</v>
      </c>
      <c r="S299" s="311"/>
      <c r="T299" s="309" t="s">
        <v>587</v>
      </c>
      <c r="U299" s="303">
        <v>42.521222038398172</v>
      </c>
      <c r="V299" s="303">
        <v>18.279157941447597</v>
      </c>
      <c r="W299" s="303">
        <v>14.240506058345401</v>
      </c>
      <c r="X299" s="303">
        <v>27.018325434267993</v>
      </c>
      <c r="Y299" s="311"/>
      <c r="Z299" s="309" t="s">
        <v>587</v>
      </c>
      <c r="AA299" s="303">
        <v>27.576908537879991</v>
      </c>
      <c r="AB299" s="303">
        <v>27.047723356443029</v>
      </c>
      <c r="AC299" s="303">
        <v>25.396900925243898</v>
      </c>
      <c r="AD299" s="303">
        <v>26.564153111147373</v>
      </c>
      <c r="AF299" s="309" t="s">
        <v>587</v>
      </c>
      <c r="AG299" s="303" t="e">
        <v>#DIV/0!</v>
      </c>
      <c r="AH299" s="303" t="e">
        <v>#DIV/0!</v>
      </c>
      <c r="AI299" s="303" t="e">
        <v>#DIV/0!</v>
      </c>
      <c r="AJ299" s="303">
        <v>11.713428525825533</v>
      </c>
      <c r="AL299" s="309" t="s">
        <v>587</v>
      </c>
      <c r="AM299" s="303" t="e">
        <v>#DIV/0!</v>
      </c>
      <c r="AN299" s="303" t="e">
        <v>#DIV/0!</v>
      </c>
      <c r="AO299" s="303" t="e">
        <v>#DIV/0!</v>
      </c>
      <c r="AP299" s="303">
        <v>8.0905653146513323</v>
      </c>
      <c r="AR299" s="309" t="s">
        <v>587</v>
      </c>
      <c r="AS299" s="303">
        <v>24.356569146178771</v>
      </c>
      <c r="AT299" s="303">
        <v>17.897634503881829</v>
      </c>
      <c r="AU299" s="303">
        <v>16.446762555866243</v>
      </c>
      <c r="AV299" s="303">
        <v>18.478139174618523</v>
      </c>
      <c r="AX299" s="309" t="s">
        <v>587</v>
      </c>
      <c r="AY299" s="303">
        <v>8.5448938854238889</v>
      </c>
      <c r="AZ299" s="303">
        <v>18.273086944528998</v>
      </c>
      <c r="BA299" s="303">
        <v>9.3805606829609403</v>
      </c>
      <c r="BB299" s="303">
        <v>11.676743637431022</v>
      </c>
      <c r="BD299" s="309" t="s">
        <v>587</v>
      </c>
      <c r="BE299" s="303" t="e">
        <v>#DIV/0!</v>
      </c>
      <c r="BF299" s="303" t="e">
        <v>#DIV/0!</v>
      </c>
      <c r="BG299" s="303" t="e">
        <v>#DIV/0!</v>
      </c>
      <c r="BH299" s="303">
        <v>10.404643377177436</v>
      </c>
      <c r="BJ299" s="309" t="s">
        <v>587</v>
      </c>
      <c r="BK299" s="303">
        <v>25.696776507573738</v>
      </c>
      <c r="BL299" s="303">
        <v>26.571462085900283</v>
      </c>
      <c r="BM299" s="303">
        <v>19.731472034739621</v>
      </c>
      <c r="BN299" s="303">
        <v>23.539291800712874</v>
      </c>
      <c r="BP299" s="309" t="s">
        <v>587</v>
      </c>
      <c r="BQ299" s="303" t="e">
        <v>#DIV/0!</v>
      </c>
      <c r="BR299" s="303" t="e">
        <v>#DIV/0!</v>
      </c>
      <c r="BS299" s="303" t="e">
        <v>#DIV/0!</v>
      </c>
      <c r="BT299" s="303">
        <v>7.1389351027419909</v>
      </c>
      <c r="BV299" s="309" t="s">
        <v>587</v>
      </c>
      <c r="BW299" s="303">
        <v>28.096604229678515</v>
      </c>
      <c r="BX299" s="303">
        <v>24.266787850225743</v>
      </c>
      <c r="BY299" s="303">
        <v>23.925272961379708</v>
      </c>
      <c r="BZ299" s="303">
        <v>25.507341882358475</v>
      </c>
      <c r="CD299" s="58" t="s">
        <v>458</v>
      </c>
      <c r="CE299" s="58" t="e">
        <v>#DIV/0!</v>
      </c>
      <c r="CF299" s="58" t="s">
        <v>458</v>
      </c>
      <c r="CG299" s="58" t="e">
        <v>#DIV/0!</v>
      </c>
      <c r="CH299" s="58" t="s">
        <v>458</v>
      </c>
      <c r="CI299" s="58" t="e">
        <v>#DIV/0!</v>
      </c>
      <c r="CJ299" s="58" t="s">
        <v>458</v>
      </c>
      <c r="CK299" s="58">
        <v>10.404643377177436</v>
      </c>
    </row>
    <row r="300" spans="1:89" s="310" customFormat="1" ht="17" customHeight="1">
      <c r="B300" s="309" t="s">
        <v>412</v>
      </c>
      <c r="C300" s="303">
        <v>80.781933410693568</v>
      </c>
      <c r="D300" s="303">
        <v>84.520123839009287</v>
      </c>
      <c r="E300" s="303">
        <v>87.336368810472393</v>
      </c>
      <c r="F300" s="303">
        <v>80.781933410693568</v>
      </c>
      <c r="G300" s="311"/>
      <c r="H300" s="309" t="s">
        <v>412</v>
      </c>
      <c r="I300" s="303">
        <v>26.315789473684209</v>
      </c>
      <c r="J300" s="303">
        <v>75</v>
      </c>
      <c r="K300" s="303">
        <v>90.990542558486808</v>
      </c>
      <c r="L300" s="303">
        <v>26.315789473684209</v>
      </c>
      <c r="M300" s="311"/>
      <c r="N300" s="309" t="s">
        <v>412</v>
      </c>
      <c r="O300" s="303">
        <v>161.97183098591549</v>
      </c>
      <c r="P300" s="303">
        <v>47.5</v>
      </c>
      <c r="Q300" s="303">
        <v>155.78947368421052</v>
      </c>
      <c r="R300" s="303">
        <v>47.5</v>
      </c>
      <c r="S300" s="311"/>
      <c r="T300" s="309" t="s">
        <v>412</v>
      </c>
      <c r="U300" s="303">
        <v>69.974554707379127</v>
      </c>
      <c r="V300" s="303">
        <v>90.261780104712031</v>
      </c>
      <c r="W300" s="303">
        <v>82.666666666666671</v>
      </c>
      <c r="X300" s="303">
        <v>69.974554707379127</v>
      </c>
      <c r="Y300" s="311"/>
      <c r="Z300" s="309" t="s">
        <v>412</v>
      </c>
      <c r="AA300" s="303">
        <v>44.586967675731145</v>
      </c>
      <c r="AB300" s="303">
        <v>38.418079096045197</v>
      </c>
      <c r="AC300" s="303">
        <v>44.574780058651022</v>
      </c>
      <c r="AD300" s="303">
        <v>38.418079096045197</v>
      </c>
      <c r="AF300" s="309" t="s">
        <v>412</v>
      </c>
      <c r="AG300" s="303">
        <v>134.79532163742689</v>
      </c>
      <c r="AH300" s="303">
        <v>113.12127236580515</v>
      </c>
      <c r="AI300" s="303">
        <v>131.65829145728642</v>
      </c>
      <c r="AJ300" s="303">
        <v>113.12127236580515</v>
      </c>
      <c r="AL300" s="309" t="s">
        <v>412</v>
      </c>
      <c r="AM300" s="303">
        <v>105.02283105022832</v>
      </c>
      <c r="AN300" s="303">
        <v>119.85294117647058</v>
      </c>
      <c r="AO300" s="303">
        <v>106.83229813664596</v>
      </c>
      <c r="AP300" s="303">
        <v>105.02283105022832</v>
      </c>
      <c r="AR300" s="309" t="s">
        <v>412</v>
      </c>
      <c r="AS300" s="303">
        <v>84.615384615384613</v>
      </c>
      <c r="AT300" s="303">
        <v>76.420298856453911</v>
      </c>
      <c r="AU300" s="303">
        <v>91.482979000913005</v>
      </c>
      <c r="AV300" s="303">
        <v>76.420298856453911</v>
      </c>
      <c r="AX300" s="309" t="s">
        <v>412</v>
      </c>
      <c r="AY300" s="303">
        <v>91.583865236559845</v>
      </c>
      <c r="AZ300" s="303">
        <v>84.877208099956917</v>
      </c>
      <c r="BA300" s="303">
        <v>94.798341500188471</v>
      </c>
      <c r="BB300" s="303">
        <v>84.877208099956917</v>
      </c>
      <c r="BD300" s="309" t="s">
        <v>412</v>
      </c>
      <c r="BE300" s="303">
        <v>104.38931297709924</v>
      </c>
      <c r="BF300" s="303">
        <v>93.699515347334412</v>
      </c>
      <c r="BG300" s="303">
        <v>114.50617283950618</v>
      </c>
      <c r="BH300" s="303">
        <v>93.699515347334412</v>
      </c>
      <c r="BJ300" s="309" t="s">
        <v>412</v>
      </c>
      <c r="BK300" s="303">
        <v>46.029919447640964</v>
      </c>
      <c r="BL300" s="303">
        <v>46.966731898238748</v>
      </c>
      <c r="BM300" s="303">
        <v>51.573187414500687</v>
      </c>
      <c r="BN300" s="303">
        <v>46.029919447640964</v>
      </c>
      <c r="BP300" s="309" t="s">
        <v>412</v>
      </c>
      <c r="BQ300" s="303">
        <v>77.644063874103225</v>
      </c>
      <c r="BR300" s="303">
        <v>80.77354260089686</v>
      </c>
      <c r="BS300" s="303">
        <v>91.273128969897812</v>
      </c>
      <c r="BT300" s="303">
        <v>77.644063874103225</v>
      </c>
      <c r="BV300" s="309" t="s">
        <v>412</v>
      </c>
      <c r="BW300" s="303">
        <v>26.315789473684209</v>
      </c>
      <c r="BX300" s="303">
        <v>38.418079096045197</v>
      </c>
      <c r="BY300" s="303">
        <v>44.574780058651022</v>
      </c>
      <c r="BZ300" s="303">
        <v>26.315789473684209</v>
      </c>
      <c r="CD300" s="58" t="s">
        <v>459</v>
      </c>
      <c r="CE300" s="58" t="e">
        <v>#DIV/0!</v>
      </c>
      <c r="CF300" s="58" t="s">
        <v>459</v>
      </c>
      <c r="CG300" s="58" t="e">
        <v>#DIV/0!</v>
      </c>
      <c r="CH300" s="58" t="s">
        <v>459</v>
      </c>
      <c r="CI300" s="58" t="e">
        <v>#DIV/0!</v>
      </c>
      <c r="CJ300" s="58" t="s">
        <v>459</v>
      </c>
      <c r="CK300" s="58">
        <v>108.25660380624228</v>
      </c>
    </row>
    <row r="301" spans="1:89" s="310" customFormat="1" ht="17" customHeight="1">
      <c r="B301" s="309" t="s">
        <v>413</v>
      </c>
      <c r="C301" s="303">
        <v>125.33739660426644</v>
      </c>
      <c r="D301" s="303">
        <v>147.07520891364902</v>
      </c>
      <c r="E301" s="303">
        <v>167.38609112709833</v>
      </c>
      <c r="F301" s="303">
        <v>167.38609112709833</v>
      </c>
      <c r="G301" s="311"/>
      <c r="H301" s="309" t="s">
        <v>413</v>
      </c>
      <c r="I301" s="303">
        <v>93.333333333333329</v>
      </c>
      <c r="J301" s="303">
        <v>86.072083078802692</v>
      </c>
      <c r="K301" s="303">
        <v>116.66666666666667</v>
      </c>
      <c r="L301" s="303">
        <v>116.66666666666667</v>
      </c>
      <c r="M301" s="311"/>
      <c r="N301" s="309" t="s">
        <v>413</v>
      </c>
      <c r="O301" s="303">
        <v>161.97183098591549</v>
      </c>
      <c r="P301" s="303">
        <v>47.5</v>
      </c>
      <c r="Q301" s="303">
        <v>155.78947368421052</v>
      </c>
      <c r="R301" s="303">
        <v>161.97183098591549</v>
      </c>
      <c r="S301" s="311"/>
      <c r="T301" s="309" t="s">
        <v>413</v>
      </c>
      <c r="U301" s="303">
        <v>216.66666666666666</v>
      </c>
      <c r="V301" s="303">
        <v>150.92592592592592</v>
      </c>
      <c r="W301" s="303">
        <v>134.61538461538461</v>
      </c>
      <c r="X301" s="303">
        <v>216.66666666666666</v>
      </c>
      <c r="Y301" s="311"/>
      <c r="Z301" s="309" t="s">
        <v>413</v>
      </c>
      <c r="AA301" s="303">
        <v>215.34493874919406</v>
      </c>
      <c r="AB301" s="303">
        <v>217.15686274509801</v>
      </c>
      <c r="AC301" s="303">
        <v>202.36966824644549</v>
      </c>
      <c r="AD301" s="303">
        <v>217.15686274509801</v>
      </c>
      <c r="AF301" s="309" t="s">
        <v>413</v>
      </c>
      <c r="AG301" s="303">
        <v>134.79532163742689</v>
      </c>
      <c r="AH301" s="303">
        <v>113.12127236580515</v>
      </c>
      <c r="AI301" s="303">
        <v>131.65829145728642</v>
      </c>
      <c r="AJ301" s="303">
        <v>134.79532163742689</v>
      </c>
      <c r="AK301" s="311"/>
      <c r="AL301" s="309" t="s">
        <v>413</v>
      </c>
      <c r="AM301" s="303">
        <v>105.02283105022832</v>
      </c>
      <c r="AN301" s="303">
        <v>119.85294117647058</v>
      </c>
      <c r="AO301" s="303">
        <v>106.83229813664596</v>
      </c>
      <c r="AP301" s="303">
        <v>119.85294117647058</v>
      </c>
      <c r="AR301" s="309" t="s">
        <v>413</v>
      </c>
      <c r="AS301" s="303">
        <v>137.08609271523179</v>
      </c>
      <c r="AT301" s="303">
        <v>114.52513966480447</v>
      </c>
      <c r="AU301" s="303">
        <v>127.62430939226519</v>
      </c>
      <c r="AV301" s="303">
        <v>137.08609271523179</v>
      </c>
      <c r="AX301" s="309" t="s">
        <v>413</v>
      </c>
      <c r="AY301" s="303">
        <v>112.05020920502091</v>
      </c>
      <c r="AZ301" s="303">
        <v>129.01069518716577</v>
      </c>
      <c r="BA301" s="303">
        <v>116.29374641422834</v>
      </c>
      <c r="BB301" s="303">
        <v>129.01069518716577</v>
      </c>
      <c r="BD301" s="309" t="s">
        <v>413</v>
      </c>
      <c r="BE301" s="303">
        <v>104.38931297709924</v>
      </c>
      <c r="BF301" s="303">
        <v>93.699515347334412</v>
      </c>
      <c r="BG301" s="303">
        <v>114.50617283950618</v>
      </c>
      <c r="BH301" s="303">
        <v>114.50617283950618</v>
      </c>
      <c r="BJ301" s="309" t="s">
        <v>413</v>
      </c>
      <c r="BK301" s="303">
        <v>129.87421383647799</v>
      </c>
      <c r="BL301" s="303">
        <v>127.39726027397261</v>
      </c>
      <c r="BM301" s="303">
        <v>112.13517665130568</v>
      </c>
      <c r="BN301" s="303">
        <v>129.87421383647799</v>
      </c>
      <c r="BP301" s="309" t="s">
        <v>413</v>
      </c>
      <c r="BQ301" s="303">
        <v>77.644063874103225</v>
      </c>
      <c r="BR301" s="303">
        <v>80.77354260089686</v>
      </c>
      <c r="BS301" s="303">
        <v>91.273128969897812</v>
      </c>
      <c r="BT301" s="303">
        <v>91.273128969897812</v>
      </c>
      <c r="BV301" s="309" t="s">
        <v>413</v>
      </c>
      <c r="BW301" s="303">
        <v>216.66666666666666</v>
      </c>
      <c r="BX301" s="303">
        <v>217.15686274509801</v>
      </c>
      <c r="BY301" s="303">
        <v>202.36966824644549</v>
      </c>
      <c r="BZ301" s="303">
        <v>217.15686274509801</v>
      </c>
      <c r="CD301" s="58" t="s">
        <v>460</v>
      </c>
      <c r="CE301" s="58" t="e">
        <v>#DIV/0!</v>
      </c>
      <c r="CF301" s="58" t="s">
        <v>460</v>
      </c>
      <c r="CG301" s="58" t="e">
        <v>#DIV/0!</v>
      </c>
      <c r="CH301" s="58" t="s">
        <v>460</v>
      </c>
      <c r="CI301" s="58" t="e">
        <v>#DIV/0!</v>
      </c>
      <c r="CJ301" s="58" t="s">
        <v>460</v>
      </c>
      <c r="CK301" s="58" t="e">
        <v>#DIV/0!</v>
      </c>
    </row>
    <row r="302" spans="1:89" s="310" customFormat="1" ht="17" customHeight="1">
      <c r="B302" s="309" t="s">
        <v>588</v>
      </c>
      <c r="C302" s="303">
        <v>7.8520683933445188</v>
      </c>
      <c r="D302" s="303">
        <v>12.263403140510587</v>
      </c>
      <c r="E302" s="303">
        <v>15.940031435781693</v>
      </c>
      <c r="F302" s="303">
        <v>6.8460815045740269</v>
      </c>
      <c r="G302" s="311"/>
      <c r="H302" s="309" t="s">
        <v>588</v>
      </c>
      <c r="I302" s="303">
        <v>425.76931659813442</v>
      </c>
      <c r="J302" s="303">
        <v>70.342077227601209</v>
      </c>
      <c r="K302" s="303">
        <v>163.12304487498241</v>
      </c>
      <c r="L302" s="303">
        <v>31.744965868684162</v>
      </c>
      <c r="M302" s="311"/>
      <c r="N302" s="309" t="s">
        <v>588</v>
      </c>
      <c r="O302" s="303" t="e">
        <v>#NUM!</v>
      </c>
      <c r="P302" s="303" t="e">
        <v>#NUM!</v>
      </c>
      <c r="Q302" s="303" t="e">
        <v>#NUM!</v>
      </c>
      <c r="R302" s="303">
        <v>159.9285458219118</v>
      </c>
      <c r="S302" s="311"/>
      <c r="T302" s="309" t="s">
        <v>588</v>
      </c>
      <c r="U302" s="303">
        <v>30.417849835480151</v>
      </c>
      <c r="V302" s="303">
        <v>13.076121868743057</v>
      </c>
      <c r="W302" s="303">
        <v>10.187044353354471</v>
      </c>
      <c r="X302" s="303">
        <v>10.088808522083125</v>
      </c>
      <c r="Y302" s="311"/>
      <c r="Z302" s="309" t="s">
        <v>588</v>
      </c>
      <c r="AA302" s="303">
        <v>8.0968836767907</v>
      </c>
      <c r="AB302" s="303">
        <v>7.9415090867893996</v>
      </c>
      <c r="AC302" s="303">
        <v>7.4568094628958894</v>
      </c>
      <c r="AD302" s="303">
        <v>4.4228772704185815</v>
      </c>
      <c r="AF302" s="309" t="s">
        <v>588</v>
      </c>
      <c r="AG302" s="303" t="e">
        <v>#NUM!</v>
      </c>
      <c r="AH302" s="303" t="e">
        <v>#NUM!</v>
      </c>
      <c r="AI302" s="303" t="e">
        <v>#NUM!</v>
      </c>
      <c r="AJ302" s="303">
        <v>29.097769534895281</v>
      </c>
      <c r="AK302" s="311"/>
      <c r="AL302" s="309" t="s">
        <v>588</v>
      </c>
      <c r="AM302" s="303" t="e">
        <v>#NUM!</v>
      </c>
      <c r="AN302" s="303" t="e">
        <v>#NUM!</v>
      </c>
      <c r="AO302" s="303" t="e">
        <v>#NUM!</v>
      </c>
      <c r="AP302" s="303">
        <v>20.098078407504552</v>
      </c>
      <c r="AQ302" s="311"/>
      <c r="AR302" s="309" t="s">
        <v>588</v>
      </c>
      <c r="AS302" s="303">
        <v>38.756736744321891</v>
      </c>
      <c r="AT302" s="303">
        <v>28.479130400098466</v>
      </c>
      <c r="AU302" s="303">
        <v>26.170469364897478</v>
      </c>
      <c r="AV302" s="303">
        <v>11.740449509829412</v>
      </c>
      <c r="AX302" s="309" t="s">
        <v>588</v>
      </c>
      <c r="AY302" s="303">
        <v>13.596832987354301</v>
      </c>
      <c r="AZ302" s="303">
        <v>29.076559016372133</v>
      </c>
      <c r="BA302" s="303">
        <v>14.92656534348933</v>
      </c>
      <c r="BB302" s="303">
        <v>7.419048953954583</v>
      </c>
      <c r="BD302" s="309" t="s">
        <v>588</v>
      </c>
      <c r="BE302" s="303" t="e">
        <v>#NUM!</v>
      </c>
      <c r="BF302" s="303" t="e">
        <v>#NUM!</v>
      </c>
      <c r="BG302" s="303" t="e">
        <v>#NUM!</v>
      </c>
      <c r="BH302" s="303">
        <v>25.846566990559783</v>
      </c>
      <c r="BJ302" s="309" t="s">
        <v>588</v>
      </c>
      <c r="BK302" s="303">
        <v>23.765554498508482</v>
      </c>
      <c r="BL302" s="303">
        <v>24.574503736738894</v>
      </c>
      <c r="BM302" s="303">
        <v>18.24856801938526</v>
      </c>
      <c r="BN302" s="303">
        <v>10.714957163688554</v>
      </c>
      <c r="BP302" s="309" t="s">
        <v>588</v>
      </c>
      <c r="BQ302" s="303" t="e">
        <v>#NUM!</v>
      </c>
      <c r="BR302" s="303" t="e">
        <v>#NUM!</v>
      </c>
      <c r="BS302" s="303" t="e">
        <v>#NUM!</v>
      </c>
      <c r="BT302" s="303">
        <v>17.734097910459596</v>
      </c>
      <c r="BV302" s="309" t="s">
        <v>588</v>
      </c>
      <c r="BW302" s="303">
        <v>5.7864270074013007</v>
      </c>
      <c r="BX302" s="303">
        <v>4.997685679435242</v>
      </c>
      <c r="BY302" s="303">
        <v>4.9273515223216604</v>
      </c>
      <c r="BZ302" s="303">
        <v>3.0061179452571847</v>
      </c>
      <c r="CD302" s="58" t="s">
        <v>461</v>
      </c>
      <c r="CE302" s="58" t="e">
        <v>#DIV/0!</v>
      </c>
      <c r="CF302" s="58" t="s">
        <v>461</v>
      </c>
      <c r="CG302" s="58" t="e">
        <v>#DIV/0!</v>
      </c>
      <c r="CH302" s="58" t="s">
        <v>461</v>
      </c>
      <c r="CI302" s="58" t="e">
        <v>#DIV/0!</v>
      </c>
      <c r="CJ302" s="58" t="s">
        <v>461</v>
      </c>
      <c r="CK302" s="58">
        <v>-8.2570548020676371E-2</v>
      </c>
    </row>
    <row r="303" spans="1:89" s="310" customFormat="1" ht="17" customHeight="1">
      <c r="CD303" s="58" t="s">
        <v>462</v>
      </c>
      <c r="CE303" s="58">
        <v>0</v>
      </c>
      <c r="CF303" s="58" t="s">
        <v>462</v>
      </c>
      <c r="CG303" s="58">
        <v>0</v>
      </c>
      <c r="CH303" s="58" t="s">
        <v>462</v>
      </c>
      <c r="CI303" s="58">
        <v>0</v>
      </c>
      <c r="CJ303" s="58" t="s">
        <v>462</v>
      </c>
      <c r="CK303" s="58">
        <v>20.806657492171766</v>
      </c>
    </row>
    <row r="304" spans="1:89" s="310" customFormat="1" ht="17" customHeight="1">
      <c r="AY304" s="313">
        <v>2015</v>
      </c>
      <c r="AZ304" s="313">
        <v>2016</v>
      </c>
      <c r="BA304" s="313">
        <v>2017</v>
      </c>
      <c r="BB304" s="314" t="s">
        <v>581</v>
      </c>
      <c r="CD304" s="58" t="s">
        <v>412</v>
      </c>
      <c r="CE304" s="58">
        <v>104.38931297709924</v>
      </c>
      <c r="CF304" s="58" t="s">
        <v>412</v>
      </c>
      <c r="CG304" s="58">
        <v>93.699515347334412</v>
      </c>
      <c r="CH304" s="58" t="s">
        <v>412</v>
      </c>
      <c r="CI304" s="58">
        <v>114.50617283950618</v>
      </c>
      <c r="CJ304" s="58" t="s">
        <v>412</v>
      </c>
      <c r="CK304" s="58">
        <v>93.699515347334412</v>
      </c>
    </row>
    <row r="305" spans="1:89" s="310" customFormat="1" ht="17" customHeight="1">
      <c r="A305" s="310" t="s">
        <v>585</v>
      </c>
      <c r="C305" s="313">
        <v>2015</v>
      </c>
      <c r="D305" s="313">
        <v>2016</v>
      </c>
      <c r="E305" s="313">
        <v>2017</v>
      </c>
      <c r="F305" s="314" t="s">
        <v>376</v>
      </c>
      <c r="G305" s="314"/>
      <c r="I305" s="313">
        <v>2015</v>
      </c>
      <c r="J305" s="313">
        <v>2016</v>
      </c>
      <c r="K305" s="313">
        <v>2017</v>
      </c>
      <c r="L305" s="314" t="s">
        <v>376</v>
      </c>
      <c r="M305" s="314"/>
      <c r="O305" s="313">
        <v>2015</v>
      </c>
      <c r="P305" s="313">
        <v>2016</v>
      </c>
      <c r="Q305" s="313">
        <v>2017</v>
      </c>
      <c r="R305" s="314" t="s">
        <v>376</v>
      </c>
      <c r="S305" s="314"/>
      <c r="U305" s="313">
        <v>2015</v>
      </c>
      <c r="V305" s="313">
        <v>2016</v>
      </c>
      <c r="W305" s="313">
        <v>2017</v>
      </c>
      <c r="X305" s="314" t="s">
        <v>376</v>
      </c>
      <c r="Y305" s="314"/>
      <c r="AA305" s="313">
        <v>2015</v>
      </c>
      <c r="AB305" s="313">
        <v>2016</v>
      </c>
      <c r="AC305" s="313">
        <v>2017</v>
      </c>
      <c r="AD305" s="314" t="s">
        <v>376</v>
      </c>
      <c r="AE305" s="314"/>
      <c r="AG305" s="313">
        <v>2015</v>
      </c>
      <c r="AH305" s="313">
        <v>2016</v>
      </c>
      <c r="AI305" s="313">
        <v>2017</v>
      </c>
      <c r="AJ305" s="314" t="s">
        <v>376</v>
      </c>
      <c r="AK305" s="314"/>
      <c r="AM305" s="313">
        <v>2015</v>
      </c>
      <c r="AN305" s="313">
        <v>2016</v>
      </c>
      <c r="AO305" s="313">
        <v>2017</v>
      </c>
      <c r="AP305" s="314" t="s">
        <v>376</v>
      </c>
      <c r="AQ305" s="314"/>
      <c r="AS305" s="313">
        <v>2015</v>
      </c>
      <c r="AT305" s="313">
        <v>2016</v>
      </c>
      <c r="AU305" s="313">
        <v>2017</v>
      </c>
      <c r="AV305" s="314" t="s">
        <v>581</v>
      </c>
      <c r="AW305" s="314"/>
      <c r="AX305" s="419" t="s">
        <v>582</v>
      </c>
      <c r="AY305" s="419"/>
      <c r="AZ305" s="419"/>
      <c r="BA305" s="419"/>
      <c r="BB305" s="419"/>
      <c r="BC305" s="314"/>
      <c r="BE305" s="313">
        <v>2015</v>
      </c>
      <c r="BF305" s="313">
        <v>2016</v>
      </c>
      <c r="BG305" s="313">
        <v>2017</v>
      </c>
      <c r="BH305" s="314" t="s">
        <v>581</v>
      </c>
      <c r="BI305" s="314"/>
      <c r="BK305" s="313">
        <v>2015</v>
      </c>
      <c r="BL305" s="313">
        <v>2016</v>
      </c>
      <c r="BM305" s="313">
        <v>2017</v>
      </c>
      <c r="BN305" s="314" t="s">
        <v>581</v>
      </c>
      <c r="BQ305" s="313">
        <v>2015</v>
      </c>
      <c r="BR305" s="313">
        <v>2016</v>
      </c>
      <c r="BS305" s="313">
        <v>2017</v>
      </c>
      <c r="BT305" s="314" t="s">
        <v>581</v>
      </c>
      <c r="BW305" s="313">
        <v>2015</v>
      </c>
      <c r="BX305" s="313">
        <v>2016</v>
      </c>
      <c r="BY305" s="313">
        <v>2017</v>
      </c>
      <c r="BZ305" s="314" t="s">
        <v>581</v>
      </c>
      <c r="CA305" s="314"/>
      <c r="CD305" s="58" t="s">
        <v>413</v>
      </c>
      <c r="CE305" s="58">
        <v>104.38931297709924</v>
      </c>
      <c r="CF305" s="58" t="s">
        <v>413</v>
      </c>
      <c r="CG305" s="58">
        <v>93.699515347334412</v>
      </c>
      <c r="CH305" s="58" t="s">
        <v>413</v>
      </c>
      <c r="CI305" s="58">
        <v>114.50617283950618</v>
      </c>
      <c r="CJ305" s="58" t="s">
        <v>413</v>
      </c>
      <c r="CK305" s="58">
        <v>114.50617283950618</v>
      </c>
    </row>
    <row r="306" spans="1:89" s="310" customFormat="1" ht="17" customHeight="1">
      <c r="B306" s="419" t="s">
        <v>31</v>
      </c>
      <c r="C306" s="419"/>
      <c r="D306" s="419"/>
      <c r="E306" s="419"/>
      <c r="F306" s="419"/>
      <c r="G306" s="299"/>
      <c r="H306" s="419" t="s">
        <v>36</v>
      </c>
      <c r="I306" s="419"/>
      <c r="J306" s="419"/>
      <c r="K306" s="419"/>
      <c r="L306" s="419"/>
      <c r="M306" s="299"/>
      <c r="N306" s="419" t="s">
        <v>46</v>
      </c>
      <c r="O306" s="419"/>
      <c r="P306" s="419"/>
      <c r="Q306" s="419"/>
      <c r="R306" s="419"/>
      <c r="S306" s="299"/>
      <c r="T306" s="419" t="s">
        <v>37</v>
      </c>
      <c r="U306" s="419"/>
      <c r="V306" s="419"/>
      <c r="W306" s="419"/>
      <c r="X306" s="419"/>
      <c r="Y306" s="299"/>
      <c r="Z306" s="419" t="s">
        <v>38</v>
      </c>
      <c r="AA306" s="419"/>
      <c r="AB306" s="419"/>
      <c r="AC306" s="419"/>
      <c r="AD306" s="419"/>
      <c r="AE306" s="299"/>
      <c r="AF306" s="419" t="s">
        <v>576</v>
      </c>
      <c r="AG306" s="419"/>
      <c r="AH306" s="419"/>
      <c r="AI306" s="419"/>
      <c r="AJ306" s="419"/>
      <c r="AK306" s="299"/>
      <c r="AL306" s="419" t="s">
        <v>40</v>
      </c>
      <c r="AM306" s="419"/>
      <c r="AN306" s="419"/>
      <c r="AO306" s="419"/>
      <c r="AP306" s="419"/>
      <c r="AQ306" s="299"/>
      <c r="AR306" s="419" t="s">
        <v>41</v>
      </c>
      <c r="AS306" s="419"/>
      <c r="AT306" s="419"/>
      <c r="AU306" s="419"/>
      <c r="AV306" s="419"/>
      <c r="AW306" s="299"/>
      <c r="AX306" s="299"/>
      <c r="AY306" s="299"/>
      <c r="AZ306" s="299"/>
      <c r="BA306" s="299"/>
      <c r="BB306" s="299"/>
      <c r="BC306" s="299"/>
      <c r="BD306" s="419" t="s">
        <v>43</v>
      </c>
      <c r="BE306" s="419"/>
      <c r="BF306" s="419"/>
      <c r="BG306" s="419"/>
      <c r="BH306" s="419"/>
      <c r="BI306" s="299"/>
      <c r="BJ306" s="419" t="s">
        <v>44</v>
      </c>
      <c r="BK306" s="419"/>
      <c r="BL306" s="419"/>
      <c r="BM306" s="419"/>
      <c r="BN306" s="419"/>
      <c r="BO306" s="299"/>
      <c r="BP306" s="419" t="s">
        <v>45</v>
      </c>
      <c r="BQ306" s="419"/>
      <c r="BR306" s="419"/>
      <c r="BS306" s="419"/>
      <c r="BT306" s="419"/>
      <c r="BV306" s="419" t="s">
        <v>376</v>
      </c>
      <c r="BW306" s="419"/>
      <c r="BX306" s="419"/>
      <c r="BY306" s="419"/>
      <c r="BZ306" s="419"/>
      <c r="CA306" s="299"/>
      <c r="CD306" s="58" t="s">
        <v>463</v>
      </c>
      <c r="CE306" s="58">
        <v>104.38931297709924</v>
      </c>
      <c r="CF306" s="58" t="s">
        <v>463</v>
      </c>
      <c r="CG306" s="58">
        <v>93.699515347334412</v>
      </c>
      <c r="CH306" s="58" t="s">
        <v>463</v>
      </c>
      <c r="CI306" s="58">
        <v>114.50617283950618</v>
      </c>
      <c r="CJ306" s="58" t="s">
        <v>463</v>
      </c>
      <c r="CK306" s="58">
        <v>312.59500116393986</v>
      </c>
    </row>
    <row r="307" spans="1:89" s="315" customFormat="1" ht="17" customHeight="1" thickBot="1">
      <c r="B307" s="316" t="s">
        <v>449</v>
      </c>
      <c r="C307" s="319">
        <v>103.87323410330694</v>
      </c>
      <c r="D307" s="319">
        <v>106.56578114594502</v>
      </c>
      <c r="E307" s="319">
        <v>116.6891746671231</v>
      </c>
      <c r="F307" s="319">
        <v>109.04272997212502</v>
      </c>
      <c r="H307" s="316" t="s">
        <v>449</v>
      </c>
      <c r="I307" s="319">
        <v>59.824561403508767</v>
      </c>
      <c r="J307" s="319">
        <v>80.536041539401339</v>
      </c>
      <c r="K307" s="319">
        <v>103.82860461257674</v>
      </c>
      <c r="L307" s="319">
        <v>81.39640251849562</v>
      </c>
      <c r="N307" s="316" t="s">
        <v>449</v>
      </c>
      <c r="O307" s="319">
        <v>161.97183098591549</v>
      </c>
      <c r="P307" s="319">
        <v>47.5</v>
      </c>
      <c r="Q307" s="319">
        <v>155.78947368421052</v>
      </c>
      <c r="R307" s="319">
        <v>121.75376822337535</v>
      </c>
      <c r="T307" s="316" t="s">
        <v>449</v>
      </c>
      <c r="U307" s="319">
        <v>110.62726136688252</v>
      </c>
      <c r="V307" s="319">
        <v>107.64651188949256</v>
      </c>
      <c r="W307" s="319">
        <v>107.94318067458244</v>
      </c>
      <c r="X307" s="319">
        <v>108.7389846436525</v>
      </c>
      <c r="Z307" s="316" t="s">
        <v>449</v>
      </c>
      <c r="AA307" s="319">
        <v>105.30073580203391</v>
      </c>
      <c r="AB307" s="319">
        <v>107.7657420746179</v>
      </c>
      <c r="AC307" s="319">
        <v>108.15842764660765</v>
      </c>
      <c r="AD307" s="319">
        <v>107.07496850775316</v>
      </c>
      <c r="AF307" s="316" t="s">
        <v>449</v>
      </c>
      <c r="AG307" s="319">
        <v>134.79532163742689</v>
      </c>
      <c r="AH307" s="319">
        <v>113.12127236580515</v>
      </c>
      <c r="AI307" s="319">
        <v>131.65829145728642</v>
      </c>
      <c r="AJ307" s="319">
        <v>126.52496182017281</v>
      </c>
      <c r="AL307" s="316" t="s">
        <v>449</v>
      </c>
      <c r="AM307" s="319">
        <v>105.02283105022832</v>
      </c>
      <c r="AN307" s="319">
        <v>119.85294117647058</v>
      </c>
      <c r="AO307" s="319">
        <v>106.83229813664596</v>
      </c>
      <c r="AP307" s="319">
        <v>110.56935678778162</v>
      </c>
      <c r="AR307" s="316" t="s">
        <v>449</v>
      </c>
      <c r="AS307" s="319">
        <v>107.28438100624777</v>
      </c>
      <c r="AT307" s="319">
        <v>101.56848295767156</v>
      </c>
      <c r="AU307" s="319">
        <v>119.81288573150891</v>
      </c>
      <c r="AV307" s="319">
        <v>109.55524989847606</v>
      </c>
      <c r="AX307" s="316" t="s">
        <v>449</v>
      </c>
      <c r="AY307" s="319">
        <v>103.50590898997029</v>
      </c>
      <c r="AZ307" s="319">
        <v>105.86593460061621</v>
      </c>
      <c r="BA307" s="319">
        <v>103.4160388875702</v>
      </c>
      <c r="BB307" s="319">
        <v>104.26262749271889</v>
      </c>
      <c r="BD307" s="316" t="s">
        <v>449</v>
      </c>
      <c r="BE307" s="319">
        <v>104.38931297709924</v>
      </c>
      <c r="BF307" s="319">
        <v>93.699515347334412</v>
      </c>
      <c r="BG307" s="319">
        <v>114.50617283950618</v>
      </c>
      <c r="BH307" s="319">
        <v>104.19833372131329</v>
      </c>
      <c r="BJ307" s="316" t="s">
        <v>449</v>
      </c>
      <c r="BK307" s="319">
        <v>105.13649692395303</v>
      </c>
      <c r="BL307" s="319">
        <v>105.48113693698556</v>
      </c>
      <c r="BM307" s="319">
        <v>97.791466471571781</v>
      </c>
      <c r="BN307" s="319">
        <v>102.80303344417011</v>
      </c>
      <c r="BP307" s="316" t="s">
        <v>449</v>
      </c>
      <c r="BQ307" s="319">
        <v>85.007626933972531</v>
      </c>
      <c r="BR307" s="319">
        <v>89.752281616688407</v>
      </c>
      <c r="BS307" s="319">
        <v>98.225764978143488</v>
      </c>
      <c r="BT307" s="319">
        <v>90.995224509601485</v>
      </c>
      <c r="BV307" s="316" t="s">
        <v>449</v>
      </c>
      <c r="BW307" s="317">
        <v>105.33023574786682</v>
      </c>
      <c r="BX307" s="317">
        <v>105.59047175996135</v>
      </c>
      <c r="BY307" s="317">
        <v>109.37593925706722</v>
      </c>
      <c r="BZ307" s="317">
        <v>106.76554892163179</v>
      </c>
      <c r="CD307" s="59" t="s">
        <v>464</v>
      </c>
      <c r="CE307" s="59">
        <v>1</v>
      </c>
      <c r="CF307" s="59" t="s">
        <v>464</v>
      </c>
      <c r="CG307" s="59">
        <v>1</v>
      </c>
      <c r="CH307" s="59" t="s">
        <v>464</v>
      </c>
      <c r="CI307" s="59">
        <v>1</v>
      </c>
      <c r="CJ307" s="59" t="s">
        <v>464</v>
      </c>
      <c r="CK307" s="59">
        <v>3</v>
      </c>
    </row>
    <row r="308" spans="1:89" s="310" customFormat="1" ht="17" customHeight="1">
      <c r="B308" s="309" t="s">
        <v>586</v>
      </c>
      <c r="C308" s="299">
        <v>3.2650193223475625</v>
      </c>
      <c r="D308" s="299">
        <v>5.1742163336302083</v>
      </c>
      <c r="E308" s="299">
        <v>6.8898857135715765</v>
      </c>
      <c r="F308" s="299">
        <v>3.1206271459238208</v>
      </c>
      <c r="H308" s="309" t="s">
        <v>586</v>
      </c>
      <c r="I308" s="299">
        <v>33.508771929824555</v>
      </c>
      <c r="J308" s="299">
        <v>5.5360415394013449</v>
      </c>
      <c r="K308" s="299">
        <v>12.838062054089956</v>
      </c>
      <c r="L308" s="299">
        <v>12.349330968032028</v>
      </c>
      <c r="N308" s="309" t="s">
        <v>586</v>
      </c>
      <c r="O308" s="299">
        <v>0</v>
      </c>
      <c r="P308" s="299">
        <v>0</v>
      </c>
      <c r="Q308" s="299">
        <v>0</v>
      </c>
      <c r="R308" s="299">
        <v>37.169754536807396</v>
      </c>
      <c r="T308" s="309" t="s">
        <v>586</v>
      </c>
      <c r="U308" s="299">
        <v>12.881938651636672</v>
      </c>
      <c r="V308" s="299">
        <v>5.3132239022312353</v>
      </c>
      <c r="W308" s="299">
        <v>3.8984256825421708</v>
      </c>
      <c r="X308" s="299">
        <v>4.660600474135995</v>
      </c>
      <c r="Z308" s="309" t="s">
        <v>586</v>
      </c>
      <c r="AA308" s="299">
        <v>3.7683918173869295</v>
      </c>
      <c r="AB308" s="299">
        <v>3.0056666870258968</v>
      </c>
      <c r="AC308" s="299">
        <v>3.0772428808288326</v>
      </c>
      <c r="AD308" s="299">
        <v>1.8956049829372514</v>
      </c>
      <c r="AF308" s="309" t="s">
        <v>586</v>
      </c>
      <c r="AG308" s="299">
        <v>0</v>
      </c>
      <c r="AH308" s="299">
        <v>0</v>
      </c>
      <c r="AI308" s="299">
        <v>0</v>
      </c>
      <c r="AJ308" s="299">
        <v>6.7627511125188127</v>
      </c>
      <c r="AL308" s="309" t="s">
        <v>586</v>
      </c>
      <c r="AM308" s="299">
        <v>0</v>
      </c>
      <c r="AN308" s="299">
        <v>0</v>
      </c>
      <c r="AO308" s="299">
        <v>0</v>
      </c>
      <c r="AP308" s="299">
        <v>4.6710900623101965</v>
      </c>
      <c r="AR308" s="309" t="s">
        <v>586</v>
      </c>
      <c r="AS308" s="299">
        <v>10.807158018705564</v>
      </c>
      <c r="AT308" s="299">
        <v>7.5092470752593723</v>
      </c>
      <c r="AU308" s="299">
        <v>8.2818177398319133</v>
      </c>
      <c r="AV308" s="299">
        <v>5.2208215655538472</v>
      </c>
      <c r="AX308" s="309" t="s">
        <v>586</v>
      </c>
      <c r="AY308" s="299">
        <v>4.0295164948988038</v>
      </c>
      <c r="AZ308" s="299">
        <v>8.6331676465857896</v>
      </c>
      <c r="BA308" s="299">
        <v>4.4146593766427538</v>
      </c>
      <c r="BB308" s="299">
        <v>3.1844001455318844</v>
      </c>
      <c r="BD308" s="309" t="s">
        <v>586</v>
      </c>
      <c r="BE308" s="299">
        <v>0</v>
      </c>
      <c r="BF308" s="299">
        <v>0</v>
      </c>
      <c r="BG308" s="299">
        <v>0</v>
      </c>
      <c r="BH308" s="299">
        <v>6.0071236546354498</v>
      </c>
      <c r="BJ308" s="309" t="s">
        <v>586</v>
      </c>
      <c r="BK308" s="299">
        <v>5.709072669022941</v>
      </c>
      <c r="BL308" s="299">
        <v>7.8836973376415793</v>
      </c>
      <c r="BM308" s="299">
        <v>5.9116122138241716</v>
      </c>
      <c r="BN308" s="299">
        <v>3.6875764718865995</v>
      </c>
      <c r="BP308" s="309" t="s">
        <v>586</v>
      </c>
      <c r="BQ308" s="299">
        <v>0</v>
      </c>
      <c r="BR308" s="299">
        <v>0</v>
      </c>
      <c r="BS308" s="299">
        <v>0</v>
      </c>
      <c r="BT308" s="299">
        <v>3.8660261085069529</v>
      </c>
      <c r="BV308" s="309" t="s">
        <v>586</v>
      </c>
      <c r="BW308" s="303">
        <v>2.6812191036576145</v>
      </c>
      <c r="BX308" s="303">
        <v>2.0554287285335464</v>
      </c>
      <c r="BY308" s="303">
        <v>2.0896349366713229</v>
      </c>
      <c r="BZ308" s="303">
        <v>1.3240273658864965</v>
      </c>
      <c r="CE308" s="310">
        <v>1397446933.0156376</v>
      </c>
    </row>
    <row r="309" spans="1:89" s="310" customFormat="1" ht="17" customHeight="1">
      <c r="B309" s="309" t="s">
        <v>409</v>
      </c>
      <c r="C309" s="299">
        <v>101.43592945216169</v>
      </c>
      <c r="D309" s="299">
        <v>100</v>
      </c>
      <c r="E309" s="299">
        <v>107.58269054778403</v>
      </c>
      <c r="F309" s="299">
        <v>102.19885277246654</v>
      </c>
      <c r="H309" s="309" t="s">
        <v>409</v>
      </c>
      <c r="I309" s="299">
        <v>59.824561403508767</v>
      </c>
      <c r="J309" s="299">
        <v>80.536041539401339</v>
      </c>
      <c r="K309" s="299">
        <v>103.82860461257674</v>
      </c>
      <c r="L309" s="299">
        <v>88.53131281864475</v>
      </c>
      <c r="N309" s="309" t="s">
        <v>409</v>
      </c>
      <c r="O309" s="299">
        <v>161.97183098591549</v>
      </c>
      <c r="P309" s="299">
        <v>47.5</v>
      </c>
      <c r="Q309" s="299">
        <v>155.78947368421052</v>
      </c>
      <c r="R309" s="299">
        <v>155.78947368421052</v>
      </c>
      <c r="T309" s="309" t="s">
        <v>409</v>
      </c>
      <c r="U309" s="299">
        <v>100.56036912308895</v>
      </c>
      <c r="V309" s="299">
        <v>102.16049382716051</v>
      </c>
      <c r="W309" s="299">
        <v>107.71875142583383</v>
      </c>
      <c r="X309" s="299">
        <v>102.99705531147484</v>
      </c>
      <c r="Z309" s="309" t="s">
        <v>409</v>
      </c>
      <c r="AA309" s="299">
        <v>102.21870047543582</v>
      </c>
      <c r="AB309" s="299">
        <v>103.93603936039359</v>
      </c>
      <c r="AC309" s="299">
        <v>102.64900662251655</v>
      </c>
      <c r="AD309" s="299">
        <v>102.64900662251655</v>
      </c>
      <c r="AF309" s="309" t="s">
        <v>409</v>
      </c>
      <c r="AG309" s="299">
        <v>134.79532163742689</v>
      </c>
      <c r="AH309" s="299">
        <v>113.12127236580515</v>
      </c>
      <c r="AI309" s="299">
        <v>131.65829145728642</v>
      </c>
      <c r="AJ309" s="299">
        <v>131.65829145728642</v>
      </c>
      <c r="AL309" s="309" t="s">
        <v>409</v>
      </c>
      <c r="AM309" s="299">
        <v>105.02283105022832</v>
      </c>
      <c r="AN309" s="299">
        <v>119.85294117647058</v>
      </c>
      <c r="AO309" s="299">
        <v>106.83229813664596</v>
      </c>
      <c r="AP309" s="299">
        <v>106.83229813664596</v>
      </c>
      <c r="AR309" s="309" t="s">
        <v>409</v>
      </c>
      <c r="AS309" s="299">
        <v>99.688208616780045</v>
      </c>
      <c r="AT309" s="299">
        <v>101.83766030653737</v>
      </c>
      <c r="AU309" s="299">
        <v>121.45407609351251</v>
      </c>
      <c r="AV309" s="299">
        <v>105.43478260869566</v>
      </c>
      <c r="AX309" s="309" t="s">
        <v>409</v>
      </c>
      <c r="AY309" s="299">
        <v>104.65695617810771</v>
      </c>
      <c r="AZ309" s="299">
        <v>103.19377710097137</v>
      </c>
      <c r="BA309" s="299">
        <v>100.3813975570952</v>
      </c>
      <c r="BB309" s="299">
        <v>102.71833767125351</v>
      </c>
      <c r="BD309" s="309" t="s">
        <v>409</v>
      </c>
      <c r="BE309" s="299">
        <v>104.38931297709924</v>
      </c>
      <c r="BF309" s="299">
        <v>93.699515347334412</v>
      </c>
      <c r="BG309" s="299">
        <v>114.50617283950618</v>
      </c>
      <c r="BH309" s="299">
        <v>104.38931297709924</v>
      </c>
      <c r="BJ309" s="309" t="s">
        <v>409</v>
      </c>
      <c r="BK309" s="299">
        <v>100.80321285140563</v>
      </c>
      <c r="BL309" s="299">
        <v>108.7651598676957</v>
      </c>
      <c r="BM309" s="299">
        <v>103.7905644941369</v>
      </c>
      <c r="BN309" s="299">
        <v>103.7905644941369</v>
      </c>
      <c r="BP309" s="309" t="s">
        <v>409</v>
      </c>
      <c r="BQ309" s="299">
        <v>85.007626933972531</v>
      </c>
      <c r="BR309" s="299">
        <v>89.752281616688407</v>
      </c>
      <c r="BS309" s="299">
        <v>98.225764978143488</v>
      </c>
      <c r="BT309" s="299">
        <v>89.752281616688407</v>
      </c>
      <c r="BV309" s="309" t="s">
        <v>409</v>
      </c>
      <c r="BW309" s="303">
        <v>101.67682926829269</v>
      </c>
      <c r="BX309" s="303">
        <v>101.77276390008056</v>
      </c>
      <c r="BY309" s="303">
        <v>104.66101694915255</v>
      </c>
      <c r="BZ309" s="303">
        <v>102.88378518390606</v>
      </c>
    </row>
    <row r="310" spans="1:89" s="310" customFormat="1" ht="17" customHeight="1" thickBot="1">
      <c r="B310" s="308" t="s">
        <v>410</v>
      </c>
      <c r="C310" s="299">
        <v>125.55507183282542</v>
      </c>
      <c r="D310" s="299">
        <v>147.47313967369678</v>
      </c>
      <c r="E310" s="299">
        <v>167.38609112709833</v>
      </c>
      <c r="F310" s="299">
        <v>100</v>
      </c>
      <c r="H310" s="308" t="s">
        <v>410</v>
      </c>
      <c r="I310" s="299" t="e">
        <v>#N/A</v>
      </c>
      <c r="J310" s="299" t="e">
        <v>#N/A</v>
      </c>
      <c r="K310" s="299" t="e">
        <v>#N/A</v>
      </c>
      <c r="L310" s="299" t="e">
        <v>#N/A</v>
      </c>
      <c r="N310" s="308" t="s">
        <v>410</v>
      </c>
      <c r="O310" s="299" t="e">
        <v>#N/A</v>
      </c>
      <c r="P310" s="299" t="e">
        <v>#N/A</v>
      </c>
      <c r="Q310" s="299" t="e">
        <v>#N/A</v>
      </c>
      <c r="R310" s="299" t="e">
        <v>#N/A</v>
      </c>
      <c r="T310" s="308" t="s">
        <v>410</v>
      </c>
      <c r="U310" s="299" t="e">
        <v>#N/A</v>
      </c>
      <c r="V310" s="299" t="e">
        <v>#N/A</v>
      </c>
      <c r="W310" s="299" t="e">
        <v>#N/A</v>
      </c>
      <c r="X310" s="299" t="e">
        <v>#N/A</v>
      </c>
      <c r="Z310" s="308" t="s">
        <v>410</v>
      </c>
      <c r="AA310" s="299">
        <v>100</v>
      </c>
      <c r="AB310" s="299">
        <v>100</v>
      </c>
      <c r="AC310" s="299" t="e">
        <v>#N/A</v>
      </c>
      <c r="AD310" s="299">
        <v>100</v>
      </c>
      <c r="AF310" s="308" t="s">
        <v>410</v>
      </c>
      <c r="AG310" s="299" t="e">
        <v>#N/A</v>
      </c>
      <c r="AH310" s="299" t="e">
        <v>#N/A</v>
      </c>
      <c r="AI310" s="299" t="e">
        <v>#N/A</v>
      </c>
      <c r="AJ310" s="299" t="e">
        <v>#N/A</v>
      </c>
      <c r="AL310" s="308" t="s">
        <v>410</v>
      </c>
      <c r="AM310" s="299" t="e">
        <v>#N/A</v>
      </c>
      <c r="AN310" s="299" t="e">
        <v>#N/A</v>
      </c>
      <c r="AO310" s="299" t="e">
        <v>#N/A</v>
      </c>
      <c r="AP310" s="299" t="e">
        <v>#N/A</v>
      </c>
      <c r="AR310" s="308" t="s">
        <v>410</v>
      </c>
      <c r="AS310" s="299" t="e">
        <v>#N/A</v>
      </c>
      <c r="AT310" s="299" t="e">
        <v>#N/A</v>
      </c>
      <c r="AU310" s="299" t="e">
        <v>#N/A</v>
      </c>
      <c r="AV310" s="299" t="e">
        <v>#N/A</v>
      </c>
      <c r="AX310" s="308" t="s">
        <v>410</v>
      </c>
      <c r="AY310" s="299" t="e">
        <v>#N/A</v>
      </c>
      <c r="AZ310" s="299" t="e">
        <v>#N/A</v>
      </c>
      <c r="BA310" s="299" t="e">
        <v>#N/A</v>
      </c>
      <c r="BB310" s="299" t="e">
        <v>#N/A</v>
      </c>
      <c r="BD310" s="308" t="s">
        <v>410</v>
      </c>
      <c r="BE310" s="299" t="e">
        <v>#N/A</v>
      </c>
      <c r="BF310" s="299" t="e">
        <v>#N/A</v>
      </c>
      <c r="BG310" s="299" t="e">
        <v>#N/A</v>
      </c>
      <c r="BH310" s="299" t="e">
        <v>#N/A</v>
      </c>
      <c r="BJ310" s="308" t="s">
        <v>410</v>
      </c>
      <c r="BK310" s="299" t="e">
        <v>#N/A</v>
      </c>
      <c r="BL310" s="299" t="e">
        <v>#N/A</v>
      </c>
      <c r="BM310" s="299" t="e">
        <v>#N/A</v>
      </c>
      <c r="BN310" s="299" t="e">
        <v>#N/A</v>
      </c>
      <c r="BP310" s="308" t="s">
        <v>410</v>
      </c>
      <c r="BQ310" s="299" t="e">
        <v>#N/A</v>
      </c>
      <c r="BR310" s="299" t="e">
        <v>#N/A</v>
      </c>
      <c r="BS310" s="299" t="e">
        <v>#N/A</v>
      </c>
      <c r="BT310" s="299" t="e">
        <v>#N/A</v>
      </c>
      <c r="BV310" s="308" t="s">
        <v>410</v>
      </c>
      <c r="BW310" s="303">
        <v>100</v>
      </c>
      <c r="BX310" s="303">
        <v>100</v>
      </c>
      <c r="BY310" s="303">
        <v>100</v>
      </c>
      <c r="BZ310" s="303">
        <v>100</v>
      </c>
    </row>
    <row r="311" spans="1:89" s="310" customFormat="1" ht="17" customHeight="1">
      <c r="B311" s="309" t="s">
        <v>587</v>
      </c>
      <c r="C311" s="299">
        <v>11.772194582104824</v>
      </c>
      <c r="D311" s="299">
        <v>18.655902301247004</v>
      </c>
      <c r="E311" s="299">
        <v>24.841836222369114</v>
      </c>
      <c r="F311" s="299">
        <v>19.488310280041969</v>
      </c>
      <c r="H311" s="309" t="s">
        <v>587</v>
      </c>
      <c r="I311" s="299">
        <v>47.388559721624759</v>
      </c>
      <c r="J311" s="299">
        <v>7.8291450268822098</v>
      </c>
      <c r="K311" s="299">
        <v>18.155761471481412</v>
      </c>
      <c r="L311" s="299">
        <v>30.249559536429107</v>
      </c>
      <c r="N311" s="309" t="s">
        <v>587</v>
      </c>
      <c r="O311" s="299" t="e">
        <v>#DIV/0!</v>
      </c>
      <c r="P311" s="299" t="e">
        <v>#DIV/0!</v>
      </c>
      <c r="Q311" s="299" t="e">
        <v>#DIV/0!</v>
      </c>
      <c r="R311" s="299">
        <v>64.379903362614186</v>
      </c>
      <c r="T311" s="309" t="s">
        <v>587</v>
      </c>
      <c r="U311" s="299">
        <v>40.736266817730225</v>
      </c>
      <c r="V311" s="299">
        <v>16.801889249498497</v>
      </c>
      <c r="W311" s="299">
        <v>12.327904445729773</v>
      </c>
      <c r="X311" s="299">
        <v>25.52716011203557</v>
      </c>
      <c r="Z311" s="309" t="s">
        <v>587</v>
      </c>
      <c r="AA311" s="299">
        <v>25.834792698982355</v>
      </c>
      <c r="AB311" s="299">
        <v>20.605812650181253</v>
      </c>
      <c r="AC311" s="299">
        <v>21.096514312505548</v>
      </c>
      <c r="AD311" s="299">
        <v>22.509062029290597</v>
      </c>
      <c r="AF311" s="309" t="s">
        <v>587</v>
      </c>
      <c r="AG311" s="299" t="e">
        <v>#DIV/0!</v>
      </c>
      <c r="AH311" s="299" t="e">
        <v>#DIV/0!</v>
      </c>
      <c r="AI311" s="299" t="e">
        <v>#DIV/0!</v>
      </c>
      <c r="AJ311" s="299">
        <v>11.713428525825533</v>
      </c>
      <c r="AL311" s="309" t="s">
        <v>587</v>
      </c>
      <c r="AM311" s="299" t="e">
        <v>#DIV/0!</v>
      </c>
      <c r="AN311" s="299" t="e">
        <v>#DIV/0!</v>
      </c>
      <c r="AO311" s="299" t="e">
        <v>#DIV/0!</v>
      </c>
      <c r="AP311" s="299">
        <v>8.0905653146513323</v>
      </c>
      <c r="AR311" s="309" t="s">
        <v>587</v>
      </c>
      <c r="AS311" s="299">
        <v>21.614316037411129</v>
      </c>
      <c r="AT311" s="299">
        <v>15.018494150518745</v>
      </c>
      <c r="AU311" s="299">
        <v>16.563635479663827</v>
      </c>
      <c r="AV311" s="299">
        <v>18.085456417581103</v>
      </c>
      <c r="AX311" s="309" t="s">
        <v>587</v>
      </c>
      <c r="AY311" s="299">
        <v>8.0590329897976076</v>
      </c>
      <c r="AZ311" s="299">
        <v>17.266335293171579</v>
      </c>
      <c r="BA311" s="299">
        <v>8.8293187532855075</v>
      </c>
      <c r="BB311" s="299">
        <v>11.031085687381902</v>
      </c>
      <c r="BD311" s="309" t="s">
        <v>587</v>
      </c>
      <c r="BE311" s="299" t="e">
        <v>#DIV/0!</v>
      </c>
      <c r="BF311" s="299" t="e">
        <v>#DIV/0!</v>
      </c>
      <c r="BG311" s="299" t="e">
        <v>#DIV/0!</v>
      </c>
      <c r="BH311" s="299">
        <v>10.404643377177436</v>
      </c>
      <c r="BJ311" s="309" t="s">
        <v>587</v>
      </c>
      <c r="BK311" s="299">
        <v>15.104786499030467</v>
      </c>
      <c r="BL311" s="299">
        <v>20.858302567101632</v>
      </c>
      <c r="BM311" s="299">
        <v>15.640655765230749</v>
      </c>
      <c r="BN311" s="299">
        <v>16.898598313358537</v>
      </c>
      <c r="BP311" s="309" t="s">
        <v>587</v>
      </c>
      <c r="BQ311" s="299" t="e">
        <v>#DIV/0!</v>
      </c>
      <c r="BR311" s="299" t="e">
        <v>#DIV/0!</v>
      </c>
      <c r="BS311" s="299" t="e">
        <v>#DIV/0!</v>
      </c>
      <c r="BT311" s="299">
        <v>6.6961536433218312</v>
      </c>
      <c r="BV311" s="309" t="s">
        <v>587</v>
      </c>
      <c r="BW311" s="303">
        <v>25.856740649376601</v>
      </c>
      <c r="BX311" s="303">
        <v>19.821836822089317</v>
      </c>
      <c r="BY311" s="303">
        <v>20.15170954722787</v>
      </c>
      <c r="BZ311" s="303">
        <v>22.115617149583628</v>
      </c>
      <c r="CD311" s="375" t="s">
        <v>454</v>
      </c>
      <c r="CE311" s="375"/>
      <c r="CF311" s="375" t="s">
        <v>714</v>
      </c>
      <c r="CG311" s="375"/>
      <c r="CH311" s="375" t="s">
        <v>715</v>
      </c>
      <c r="CI311" s="375"/>
    </row>
    <row r="312" spans="1:89" s="310" customFormat="1" ht="17" customHeight="1">
      <c r="B312" s="309" t="s">
        <v>412</v>
      </c>
      <c r="C312" s="299">
        <v>85.213827236872646</v>
      </c>
      <c r="D312" s="299">
        <v>90.097402597402592</v>
      </c>
      <c r="E312" s="299">
        <v>91.724250060970633</v>
      </c>
      <c r="F312" s="299">
        <v>85.213827236872646</v>
      </c>
      <c r="H312" s="309" t="s">
        <v>412</v>
      </c>
      <c r="I312" s="299">
        <v>26.315789473684209</v>
      </c>
      <c r="J312" s="299">
        <v>75</v>
      </c>
      <c r="K312" s="299">
        <v>90.990542558486808</v>
      </c>
      <c r="L312" s="299">
        <v>26.315789473684209</v>
      </c>
      <c r="N312" s="309" t="s">
        <v>412</v>
      </c>
      <c r="O312" s="299">
        <v>161.97183098591549</v>
      </c>
      <c r="P312" s="299">
        <v>47.5</v>
      </c>
      <c r="Q312" s="299">
        <v>155.78947368421052</v>
      </c>
      <c r="R312" s="299">
        <v>47.5</v>
      </c>
      <c r="T312" s="309" t="s">
        <v>412</v>
      </c>
      <c r="U312" s="299">
        <v>69.974554707379127</v>
      </c>
      <c r="V312" s="299">
        <v>94.143199520671061</v>
      </c>
      <c r="W312" s="299">
        <v>91.843971631205662</v>
      </c>
      <c r="X312" s="299">
        <v>69.974554707379127</v>
      </c>
      <c r="Z312" s="309" t="s">
        <v>412</v>
      </c>
      <c r="AA312" s="299">
        <v>56.786271450858038</v>
      </c>
      <c r="AB312" s="299">
        <v>62.2568093385214</v>
      </c>
      <c r="AC312" s="299">
        <v>75.147347740667982</v>
      </c>
      <c r="AD312" s="299">
        <v>56.786271450858038</v>
      </c>
      <c r="AF312" s="309" t="s">
        <v>412</v>
      </c>
      <c r="AG312" s="299">
        <v>134.79532163742689</v>
      </c>
      <c r="AH312" s="299">
        <v>113.12127236580515</v>
      </c>
      <c r="AI312" s="299">
        <v>131.65829145728642</v>
      </c>
      <c r="AJ312" s="299">
        <v>113.12127236580515</v>
      </c>
      <c r="AL312" s="309" t="s">
        <v>412</v>
      </c>
      <c r="AM312" s="299">
        <v>105.02283105022832</v>
      </c>
      <c r="AN312" s="299">
        <v>119.85294117647058</v>
      </c>
      <c r="AO312" s="299">
        <v>106.83229813664596</v>
      </c>
      <c r="AP312" s="299">
        <v>105.02283105022832</v>
      </c>
      <c r="AR312" s="309" t="s">
        <v>412</v>
      </c>
      <c r="AS312" s="299">
        <v>90.688259109311744</v>
      </c>
      <c r="AT312" s="299">
        <v>85.280175463421543</v>
      </c>
      <c r="AU312" s="299">
        <v>98.986486486486484</v>
      </c>
      <c r="AV312" s="299">
        <v>85.280175463421543</v>
      </c>
      <c r="AX312" s="309" t="s">
        <v>412</v>
      </c>
      <c r="AY312" s="299">
        <v>92.659514398644831</v>
      </c>
      <c r="AZ312" s="299">
        <v>88.065489013356313</v>
      </c>
      <c r="BA312" s="299">
        <v>96.607614021862048</v>
      </c>
      <c r="BB312" s="299">
        <v>88.065489013356313</v>
      </c>
      <c r="BD312" s="309" t="s">
        <v>412</v>
      </c>
      <c r="BE312" s="299">
        <v>104.38931297709924</v>
      </c>
      <c r="BF312" s="299">
        <v>93.699515347334412</v>
      </c>
      <c r="BG312" s="299">
        <v>114.50617283950618</v>
      </c>
      <c r="BH312" s="299">
        <v>93.699515347334412</v>
      </c>
      <c r="BJ312" s="309" t="s">
        <v>412</v>
      </c>
      <c r="BK312" s="299">
        <v>80.778790389395198</v>
      </c>
      <c r="BL312" s="299">
        <v>63.382467028704426</v>
      </c>
      <c r="BM312" s="299">
        <v>72.176308539944898</v>
      </c>
      <c r="BN312" s="299">
        <v>63.382467028704426</v>
      </c>
      <c r="BP312" s="309" t="s">
        <v>412</v>
      </c>
      <c r="BQ312" s="299">
        <v>85.007626933972531</v>
      </c>
      <c r="BR312" s="299">
        <v>89.752281616688407</v>
      </c>
      <c r="BS312" s="299">
        <v>98.225764978143488</v>
      </c>
      <c r="BT312" s="299">
        <v>85.007626933972531</v>
      </c>
      <c r="BV312" s="309" t="s">
        <v>412</v>
      </c>
      <c r="BW312" s="303">
        <v>26.315789473684209</v>
      </c>
      <c r="BX312" s="303">
        <v>47.5</v>
      </c>
      <c r="BY312" s="303">
        <v>72.176308539944898</v>
      </c>
      <c r="BZ312" s="303">
        <v>26.315789473684209</v>
      </c>
      <c r="CD312" s="58"/>
      <c r="CE312" s="58"/>
      <c r="CF312" s="58"/>
      <c r="CG312" s="58"/>
      <c r="CH312" s="58"/>
      <c r="CI312" s="58"/>
    </row>
    <row r="313" spans="1:89" s="310" customFormat="1" ht="17" customHeight="1">
      <c r="B313" s="309" t="s">
        <v>413</v>
      </c>
      <c r="C313" s="299">
        <v>125.55507183282542</v>
      </c>
      <c r="D313" s="299">
        <v>147.47313967369678</v>
      </c>
      <c r="E313" s="299">
        <v>167.38609112709833</v>
      </c>
      <c r="F313" s="299">
        <v>167.38609112709833</v>
      </c>
      <c r="H313" s="309" t="s">
        <v>413</v>
      </c>
      <c r="I313" s="299">
        <v>93.333333333333329</v>
      </c>
      <c r="J313" s="299">
        <v>86.072083078802692</v>
      </c>
      <c r="K313" s="299">
        <v>116.66666666666667</v>
      </c>
      <c r="L313" s="299">
        <v>116.66666666666667</v>
      </c>
      <c r="N313" s="309" t="s">
        <v>413</v>
      </c>
      <c r="O313" s="299">
        <v>161.97183098591549</v>
      </c>
      <c r="P313" s="299">
        <v>47.5</v>
      </c>
      <c r="Q313" s="299">
        <v>155.78947368421052</v>
      </c>
      <c r="R313" s="299">
        <v>161.97183098591549</v>
      </c>
      <c r="T313" s="309" t="s">
        <v>413</v>
      </c>
      <c r="U313" s="299">
        <v>216.66666666666666</v>
      </c>
      <c r="V313" s="299">
        <v>150.92592592592592</v>
      </c>
      <c r="W313" s="299">
        <v>134.61538461538461</v>
      </c>
      <c r="X313" s="299">
        <v>216.66666666666666</v>
      </c>
      <c r="Z313" s="309" t="s">
        <v>413</v>
      </c>
      <c r="AA313" s="299">
        <v>220.50290135396517</v>
      </c>
      <c r="AB313" s="299">
        <v>197.07379134860051</v>
      </c>
      <c r="AC313" s="299">
        <v>202.36966824644549</v>
      </c>
      <c r="AD313" s="299">
        <v>220.50290135396517</v>
      </c>
      <c r="AF313" s="309" t="s">
        <v>413</v>
      </c>
      <c r="AG313" s="299">
        <v>134.79532163742689</v>
      </c>
      <c r="AH313" s="299">
        <v>113.12127236580515</v>
      </c>
      <c r="AI313" s="299">
        <v>131.65829145728642</v>
      </c>
      <c r="AJ313" s="299">
        <v>134.79532163742689</v>
      </c>
      <c r="AL313" s="309" t="s">
        <v>413</v>
      </c>
      <c r="AM313" s="299">
        <v>105.02283105022832</v>
      </c>
      <c r="AN313" s="299">
        <v>119.85294117647058</v>
      </c>
      <c r="AO313" s="299">
        <v>106.83229813664596</v>
      </c>
      <c r="AP313" s="299">
        <v>119.85294117647058</v>
      </c>
      <c r="AR313" s="309" t="s">
        <v>413</v>
      </c>
      <c r="AS313" s="299">
        <v>139.0728476821192</v>
      </c>
      <c r="AT313" s="299">
        <v>117.31843575418995</v>
      </c>
      <c r="AU313" s="299">
        <v>137.35690425252415</v>
      </c>
      <c r="AV313" s="299">
        <v>139.0728476821192</v>
      </c>
      <c r="AX313" s="309" t="s">
        <v>413</v>
      </c>
      <c r="AY313" s="299">
        <v>112.05020920502091</v>
      </c>
      <c r="AZ313" s="299">
        <v>129.01069518716577</v>
      </c>
      <c r="BA313" s="299">
        <v>116.29374641422834</v>
      </c>
      <c r="BB313" s="299">
        <v>129.01069518716577</v>
      </c>
      <c r="BD313" s="309" t="s">
        <v>413</v>
      </c>
      <c r="BE313" s="299">
        <v>104.38931297709924</v>
      </c>
      <c r="BF313" s="299">
        <v>93.699515347334412</v>
      </c>
      <c r="BG313" s="299">
        <v>114.50617283950618</v>
      </c>
      <c r="BH313" s="299">
        <v>114.50617283950618</v>
      </c>
      <c r="BJ313" s="309" t="s">
        <v>413</v>
      </c>
      <c r="BK313" s="299">
        <v>129.87421383647799</v>
      </c>
      <c r="BL313" s="299">
        <v>127.39726027397261</v>
      </c>
      <c r="BM313" s="299">
        <v>112.13517665130568</v>
      </c>
      <c r="BN313" s="299">
        <v>129.87421383647799</v>
      </c>
      <c r="BP313" s="309" t="s">
        <v>413</v>
      </c>
      <c r="BQ313" s="299">
        <v>85.007626933972531</v>
      </c>
      <c r="BR313" s="299">
        <v>89.752281616688407</v>
      </c>
      <c r="BS313" s="299">
        <v>98.225764978143488</v>
      </c>
      <c r="BT313" s="299">
        <v>98.225764978143488</v>
      </c>
      <c r="BV313" s="309" t="s">
        <v>413</v>
      </c>
      <c r="BW313" s="303">
        <v>220.50290135396517</v>
      </c>
      <c r="BX313" s="303">
        <v>197.07379134860051</v>
      </c>
      <c r="BY313" s="303">
        <v>202.36966824644549</v>
      </c>
      <c r="BZ313" s="303">
        <v>220.50290135396517</v>
      </c>
      <c r="CD313" s="58" t="s">
        <v>455</v>
      </c>
      <c r="CE313" s="58">
        <v>104.38931297709924</v>
      </c>
      <c r="CF313" s="58" t="s">
        <v>455</v>
      </c>
      <c r="CG313" s="58">
        <v>93.699515347334412</v>
      </c>
      <c r="CH313" s="58" t="s">
        <v>455</v>
      </c>
      <c r="CI313" s="58">
        <v>114.50617283950618</v>
      </c>
    </row>
    <row r="314" spans="1:89" s="310" customFormat="1" ht="17" customHeight="1">
      <c r="B314" s="309" t="s">
        <v>588</v>
      </c>
      <c r="C314" s="299">
        <v>7.1138659886422682</v>
      </c>
      <c r="D314" s="299">
        <v>11.273648931187225</v>
      </c>
      <c r="E314" s="299">
        <v>15.011771387670695</v>
      </c>
      <c r="F314" s="299">
        <v>6.3173793819534509</v>
      </c>
      <c r="H314" s="309" t="s">
        <v>588</v>
      </c>
      <c r="I314" s="299">
        <v>425.76931659813442</v>
      </c>
      <c r="J314" s="299">
        <v>70.342077227601209</v>
      </c>
      <c r="K314" s="299">
        <v>163.12304487498241</v>
      </c>
      <c r="L314" s="299">
        <v>31.744965868684162</v>
      </c>
      <c r="N314" s="309" t="s">
        <v>588</v>
      </c>
      <c r="O314" s="299" t="e">
        <v>#NUM!</v>
      </c>
      <c r="P314" s="299" t="e">
        <v>#NUM!</v>
      </c>
      <c r="Q314" s="299" t="e">
        <v>#NUM!</v>
      </c>
      <c r="R314" s="299">
        <v>159.9285458219118</v>
      </c>
      <c r="T314" s="309" t="s">
        <v>588</v>
      </c>
      <c r="U314" s="299">
        <v>29.140969791526945</v>
      </c>
      <c r="V314" s="299">
        <v>12.019347507983017</v>
      </c>
      <c r="W314" s="299">
        <v>8.8188515813992527</v>
      </c>
      <c r="X314" s="299">
        <v>9.5319982398406697</v>
      </c>
      <c r="Z314" s="309" t="s">
        <v>588</v>
      </c>
      <c r="AA314" s="299">
        <v>7.5853793042221422</v>
      </c>
      <c r="AB314" s="299">
        <v>6.0500932461331711</v>
      </c>
      <c r="AC314" s="299">
        <v>6.1941686516265051</v>
      </c>
      <c r="AD314" s="299">
        <v>3.7477128825166339</v>
      </c>
      <c r="AF314" s="309" t="s">
        <v>588</v>
      </c>
      <c r="AG314" s="299" t="e">
        <v>#NUM!</v>
      </c>
      <c r="AH314" s="299" t="e">
        <v>#NUM!</v>
      </c>
      <c r="AI314" s="299" t="e">
        <v>#NUM!</v>
      </c>
      <c r="AJ314" s="299">
        <v>29.097769534895281</v>
      </c>
      <c r="AL314" s="309" t="s">
        <v>588</v>
      </c>
      <c r="AM314" s="299" t="e">
        <v>#NUM!</v>
      </c>
      <c r="AN314" s="299" t="e">
        <v>#NUM!</v>
      </c>
      <c r="AO314" s="299" t="e">
        <v>#NUM!</v>
      </c>
      <c r="AP314" s="299">
        <v>20.098078407504552</v>
      </c>
      <c r="AR314" s="309" t="s">
        <v>588</v>
      </c>
      <c r="AS314" s="299">
        <v>34.39320010724672</v>
      </c>
      <c r="AT314" s="299">
        <v>23.897775610121677</v>
      </c>
      <c r="AU314" s="299">
        <v>26.35644026716114</v>
      </c>
      <c r="AV314" s="299">
        <v>11.490950789270412</v>
      </c>
      <c r="AX314" s="309" t="s">
        <v>588</v>
      </c>
      <c r="AY314" s="299">
        <v>12.823719881270454</v>
      </c>
      <c r="AZ314" s="299">
        <v>27.47459247977179</v>
      </c>
      <c r="BA314" s="299">
        <v>14.049416422282809</v>
      </c>
      <c r="BB314" s="299">
        <v>7.008817464109331</v>
      </c>
      <c r="BD314" s="309" t="s">
        <v>588</v>
      </c>
      <c r="BE314" s="299" t="e">
        <v>#NUM!</v>
      </c>
      <c r="BF314" s="299" t="e">
        <v>#NUM!</v>
      </c>
      <c r="BG314" s="299" t="e">
        <v>#NUM!</v>
      </c>
      <c r="BH314" s="299">
        <v>25.846566990559783</v>
      </c>
      <c r="BJ314" s="309" t="s">
        <v>588</v>
      </c>
      <c r="BK314" s="299">
        <v>13.969597572880073</v>
      </c>
      <c r="BL314" s="299">
        <v>19.290712446315219</v>
      </c>
      <c r="BM314" s="299">
        <v>14.465193985379711</v>
      </c>
      <c r="BN314" s="299">
        <v>7.6921497293530665</v>
      </c>
      <c r="BP314" s="309" t="s">
        <v>588</v>
      </c>
      <c r="BQ314" s="299" t="e">
        <v>#NUM!</v>
      </c>
      <c r="BR314" s="299" t="e">
        <v>#NUM!</v>
      </c>
      <c r="BS314" s="299" t="e">
        <v>#NUM!</v>
      </c>
      <c r="BT314" s="299">
        <v>16.634167789050132</v>
      </c>
      <c r="BV314" s="309" t="s">
        <v>588</v>
      </c>
      <c r="BW314" s="303">
        <v>5.3251325745223612</v>
      </c>
      <c r="BX314" s="303">
        <v>4.082258873208735</v>
      </c>
      <c r="BY314" s="303">
        <v>4.1501953551459554</v>
      </c>
      <c r="BZ314" s="303">
        <v>2.6063928531017035</v>
      </c>
      <c r="CD314" s="58" t="s">
        <v>456</v>
      </c>
      <c r="CE314" s="58">
        <v>0</v>
      </c>
      <c r="CF314" s="58" t="s">
        <v>456</v>
      </c>
      <c r="CG314" s="58">
        <v>0</v>
      </c>
      <c r="CH314" s="58" t="s">
        <v>456</v>
      </c>
      <c r="CI314" s="58">
        <v>0</v>
      </c>
    </row>
    <row r="315" spans="1:89">
      <c r="CD315" s="58" t="s">
        <v>431</v>
      </c>
      <c r="CE315" s="58">
        <v>104.38931297709924</v>
      </c>
      <c r="CF315" s="58" t="s">
        <v>431</v>
      </c>
      <c r="CG315" s="58">
        <v>93.699515347334412</v>
      </c>
      <c r="CH315" s="58" t="s">
        <v>431</v>
      </c>
      <c r="CI315" s="58">
        <v>114.50617283950618</v>
      </c>
    </row>
    <row r="316" spans="1:89">
      <c r="CD316" s="58" t="s">
        <v>457</v>
      </c>
      <c r="CE316" s="58" t="e">
        <v>#N/A</v>
      </c>
      <c r="CF316" s="58" t="s">
        <v>457</v>
      </c>
      <c r="CG316" s="58" t="e">
        <v>#N/A</v>
      </c>
      <c r="CH316" s="58" t="s">
        <v>457</v>
      </c>
      <c r="CI316" s="58" t="e">
        <v>#N/A</v>
      </c>
    </row>
    <row r="317" spans="1:89">
      <c r="CD317" s="58" t="s">
        <v>458</v>
      </c>
      <c r="CE317" s="58" t="e">
        <v>#DIV/0!</v>
      </c>
      <c r="CF317" s="58" t="s">
        <v>458</v>
      </c>
      <c r="CG317" s="58" t="e">
        <v>#DIV/0!</v>
      </c>
      <c r="CH317" s="58" t="s">
        <v>458</v>
      </c>
      <c r="CI317" s="58" t="e">
        <v>#DIV/0!</v>
      </c>
    </row>
    <row r="318" spans="1:89">
      <c r="CD318" s="58" t="s">
        <v>459</v>
      </c>
      <c r="CE318" s="58" t="e">
        <v>#DIV/0!</v>
      </c>
      <c r="CF318" s="58" t="s">
        <v>459</v>
      </c>
      <c r="CG318" s="58" t="e">
        <v>#DIV/0!</v>
      </c>
      <c r="CH318" s="58" t="s">
        <v>459</v>
      </c>
      <c r="CI318" s="58" t="e">
        <v>#DIV/0!</v>
      </c>
    </row>
    <row r="319" spans="1:89">
      <c r="CD319" s="58" t="s">
        <v>460</v>
      </c>
      <c r="CE319" s="58" t="e">
        <v>#DIV/0!</v>
      </c>
      <c r="CF319" s="58" t="s">
        <v>460</v>
      </c>
      <c r="CG319" s="58" t="e">
        <v>#DIV/0!</v>
      </c>
      <c r="CH319" s="58" t="s">
        <v>460</v>
      </c>
      <c r="CI319" s="58" t="e">
        <v>#DIV/0!</v>
      </c>
    </row>
    <row r="320" spans="1:89">
      <c r="CD320" s="58" t="s">
        <v>461</v>
      </c>
      <c r="CE320" s="58" t="e">
        <v>#DIV/0!</v>
      </c>
      <c r="CF320" s="58" t="s">
        <v>461</v>
      </c>
      <c r="CG320" s="58" t="e">
        <v>#DIV/0!</v>
      </c>
      <c r="CH320" s="58" t="s">
        <v>461</v>
      </c>
      <c r="CI320" s="58" t="e">
        <v>#DIV/0!</v>
      </c>
    </row>
    <row r="321" spans="82:87">
      <c r="CD321" s="58" t="s">
        <v>462</v>
      </c>
      <c r="CE321" s="58">
        <v>0</v>
      </c>
      <c r="CF321" s="58" t="s">
        <v>462</v>
      </c>
      <c r="CG321" s="58">
        <v>0</v>
      </c>
      <c r="CH321" s="58" t="s">
        <v>462</v>
      </c>
      <c r="CI321" s="58">
        <v>0</v>
      </c>
    </row>
    <row r="322" spans="82:87">
      <c r="CD322" s="58" t="s">
        <v>412</v>
      </c>
      <c r="CE322" s="58">
        <v>104.38931297709924</v>
      </c>
      <c r="CF322" s="58" t="s">
        <v>412</v>
      </c>
      <c r="CG322" s="58">
        <v>93.699515347334412</v>
      </c>
      <c r="CH322" s="58" t="s">
        <v>412</v>
      </c>
      <c r="CI322" s="58">
        <v>114.50617283950618</v>
      </c>
    </row>
    <row r="323" spans="82:87">
      <c r="CD323" s="58" t="s">
        <v>413</v>
      </c>
      <c r="CE323" s="58">
        <v>104.38931297709924</v>
      </c>
      <c r="CF323" s="58" t="s">
        <v>413</v>
      </c>
      <c r="CG323" s="58">
        <v>93.699515347334412</v>
      </c>
      <c r="CH323" s="58" t="s">
        <v>413</v>
      </c>
      <c r="CI323" s="58">
        <v>114.50617283950618</v>
      </c>
    </row>
    <row r="324" spans="82:87">
      <c r="CD324" s="58" t="s">
        <v>463</v>
      </c>
      <c r="CE324" s="58">
        <v>104.38931297709924</v>
      </c>
      <c r="CF324" s="58" t="s">
        <v>463</v>
      </c>
      <c r="CG324" s="58">
        <v>93.699515347334412</v>
      </c>
      <c r="CH324" s="58" t="s">
        <v>463</v>
      </c>
      <c r="CI324" s="58">
        <v>114.50617283950618</v>
      </c>
    </row>
    <row r="325" spans="82:87" ht="17" thickBot="1">
      <c r="CD325" s="59" t="s">
        <v>464</v>
      </c>
      <c r="CE325" s="59">
        <v>1</v>
      </c>
      <c r="CF325" s="59" t="s">
        <v>464</v>
      </c>
      <c r="CG325" s="59">
        <v>1</v>
      </c>
      <c r="CH325" s="59" t="s">
        <v>464</v>
      </c>
      <c r="CI325" s="59">
        <v>1</v>
      </c>
    </row>
    <row r="326" spans="82:87">
      <c r="CE326" s="296">
        <v>1397446933.0156376</v>
      </c>
    </row>
    <row r="435" spans="77:111">
      <c r="BY435" s="304"/>
      <c r="BZ435" s="304"/>
      <c r="CA435" s="304"/>
      <c r="CB435" s="304"/>
      <c r="CC435" s="304"/>
      <c r="CD435" s="304"/>
      <c r="CE435" s="304"/>
      <c r="CF435" s="304"/>
      <c r="CG435" s="304"/>
      <c r="CH435" s="304"/>
      <c r="CI435" s="304"/>
      <c r="CJ435" s="304"/>
      <c r="CK435" s="304"/>
      <c r="CL435" s="304"/>
      <c r="CM435" s="304"/>
      <c r="CN435" s="304"/>
      <c r="CO435" s="304"/>
      <c r="CP435" s="304"/>
      <c r="CQ435" s="304"/>
      <c r="CR435" s="304"/>
      <c r="CS435" s="304"/>
      <c r="CT435" s="304"/>
      <c r="CU435" s="304"/>
      <c r="CV435" s="304"/>
      <c r="CW435" s="304"/>
      <c r="CX435" s="304"/>
      <c r="CY435" s="304"/>
      <c r="CZ435" s="304"/>
      <c r="DA435" s="304"/>
      <c r="DB435" s="304"/>
      <c r="DC435" s="304"/>
      <c r="DD435" s="304"/>
      <c r="DE435" s="304"/>
      <c r="DF435" s="304"/>
      <c r="DG435" s="304"/>
    </row>
    <row r="436" spans="77:111">
      <c r="BY436" s="304"/>
      <c r="BZ436" s="304"/>
      <c r="CA436" s="304"/>
      <c r="CB436" s="304"/>
      <c r="CC436" s="304"/>
      <c r="CD436" s="304"/>
      <c r="CE436" s="304"/>
      <c r="CF436" s="304"/>
      <c r="CG436" s="304"/>
      <c r="CH436" s="304"/>
      <c r="CI436" s="304"/>
      <c r="CJ436" s="304"/>
      <c r="CK436" s="304"/>
      <c r="CL436" s="304"/>
      <c r="CM436" s="304"/>
      <c r="CN436" s="304"/>
      <c r="CO436" s="304"/>
      <c r="CP436" s="304"/>
      <c r="CQ436" s="304"/>
      <c r="CR436" s="304"/>
      <c r="CS436" s="304"/>
      <c r="CT436" s="304"/>
      <c r="CU436" s="304"/>
      <c r="CV436" s="304"/>
      <c r="CW436" s="304"/>
      <c r="CX436" s="304"/>
      <c r="CY436" s="304"/>
      <c r="CZ436" s="304"/>
      <c r="DA436" s="304"/>
      <c r="DB436" s="304"/>
      <c r="DC436" s="304"/>
      <c r="DD436" s="304"/>
      <c r="DE436" s="304"/>
      <c r="DF436" s="304"/>
      <c r="DG436" s="304"/>
    </row>
    <row r="437" spans="77:111">
      <c r="BY437" s="418"/>
      <c r="BZ437" s="418"/>
      <c r="CA437" s="304"/>
      <c r="CB437" s="304"/>
      <c r="CC437" s="304"/>
      <c r="CD437" s="304"/>
      <c r="CE437" s="304"/>
      <c r="CF437" s="304"/>
      <c r="CG437" s="304"/>
      <c r="CH437" s="304"/>
      <c r="CI437" s="304"/>
      <c r="CJ437" s="304"/>
      <c r="CK437" s="304"/>
      <c r="CL437" s="304"/>
      <c r="CM437" s="304"/>
      <c r="CN437" s="304"/>
      <c r="CO437" s="304"/>
      <c r="CP437" s="304"/>
      <c r="CQ437" s="304"/>
      <c r="CR437" s="304"/>
      <c r="CS437" s="304"/>
      <c r="CT437" s="304"/>
      <c r="CU437" s="304"/>
      <c r="CV437" s="304"/>
      <c r="CW437" s="304"/>
      <c r="CX437" s="304"/>
      <c r="CY437" s="304"/>
      <c r="CZ437" s="304"/>
      <c r="DA437" s="304"/>
      <c r="DB437" s="304"/>
      <c r="DC437" s="304"/>
      <c r="DD437" s="304"/>
      <c r="DE437" s="304"/>
      <c r="DF437" s="304"/>
      <c r="DG437" s="304"/>
    </row>
    <row r="438" spans="77:111">
      <c r="BY438" s="304"/>
      <c r="BZ438" s="304"/>
      <c r="CA438" s="304"/>
      <c r="CB438" s="415"/>
      <c r="CC438" s="415"/>
      <c r="CD438" s="415"/>
      <c r="CE438" s="302"/>
      <c r="CF438" s="415"/>
      <c r="CG438" s="415"/>
      <c r="CH438" s="415"/>
      <c r="CI438" s="415"/>
      <c r="CJ438" s="415"/>
      <c r="CK438" s="415"/>
      <c r="CL438" s="415"/>
      <c r="CM438" s="415"/>
      <c r="CN438" s="415"/>
      <c r="CO438" s="415"/>
      <c r="CP438" s="415"/>
      <c r="CQ438" s="415"/>
      <c r="CR438" s="416"/>
      <c r="CS438" s="416"/>
      <c r="CT438" s="416"/>
      <c r="CU438" s="416"/>
      <c r="CV438" s="416"/>
      <c r="CW438" s="416"/>
      <c r="CX438" s="416"/>
      <c r="CY438" s="416"/>
      <c r="CZ438" s="416"/>
      <c r="DA438" s="416"/>
      <c r="DB438" s="416"/>
      <c r="DC438" s="304"/>
      <c r="DD438" s="304"/>
      <c r="DE438" s="304"/>
      <c r="DF438" s="304"/>
      <c r="DG438" s="304"/>
    </row>
    <row r="439" spans="77:111">
      <c r="BY439" s="304"/>
      <c r="BZ439" s="415"/>
      <c r="CA439" s="415"/>
      <c r="CB439" s="415"/>
      <c r="CC439" s="415"/>
      <c r="CD439" s="415"/>
      <c r="CE439" s="415"/>
      <c r="CF439" s="415"/>
      <c r="CG439" s="415"/>
      <c r="CH439" s="415"/>
      <c r="CI439" s="415"/>
      <c r="CJ439" s="415"/>
      <c r="CK439" s="415"/>
      <c r="CL439" s="415"/>
      <c r="CM439" s="415"/>
      <c r="CN439" s="415"/>
      <c r="CO439" s="415"/>
      <c r="CP439" s="415"/>
      <c r="CQ439" s="415"/>
      <c r="CR439" s="416"/>
      <c r="CS439" s="416"/>
      <c r="CT439" s="416"/>
      <c r="CU439" s="416"/>
      <c r="CV439" s="416"/>
      <c r="CW439" s="416"/>
      <c r="CX439" s="416"/>
      <c r="CY439" s="416"/>
      <c r="CZ439" s="416"/>
      <c r="DA439" s="416"/>
      <c r="DB439" s="416"/>
      <c r="DC439" s="304"/>
      <c r="DD439" s="304"/>
      <c r="DE439" s="304"/>
      <c r="DF439" s="304"/>
      <c r="DG439" s="304"/>
    </row>
    <row r="440" spans="77:111">
      <c r="BY440" s="304"/>
      <c r="BZ440" s="415"/>
      <c r="CA440" s="415"/>
      <c r="CB440" s="305"/>
      <c r="CC440" s="305"/>
      <c r="CD440" s="305"/>
      <c r="CE440" s="302"/>
      <c r="CF440" s="305"/>
      <c r="CG440" s="305"/>
      <c r="CH440" s="305"/>
      <c r="CI440" s="305"/>
      <c r="CJ440" s="305"/>
      <c r="CK440" s="305"/>
      <c r="CL440" s="305"/>
      <c r="CM440" s="305"/>
      <c r="CN440" s="305"/>
      <c r="CO440" s="415"/>
      <c r="CP440" s="415"/>
      <c r="CQ440" s="415"/>
      <c r="CR440" s="416"/>
      <c r="CS440" s="416"/>
      <c r="CT440" s="416"/>
      <c r="CU440" s="416"/>
      <c r="CV440" s="416"/>
      <c r="CW440" s="416"/>
      <c r="CX440" s="416"/>
      <c r="CY440" s="416"/>
      <c r="CZ440" s="416"/>
      <c r="DA440" s="416"/>
      <c r="DB440" s="416"/>
      <c r="DC440" s="304"/>
      <c r="DD440" s="304"/>
      <c r="DE440" s="304"/>
      <c r="DF440" s="304"/>
      <c r="DG440" s="304"/>
    </row>
    <row r="441" spans="77:111">
      <c r="BY441" s="304"/>
      <c r="BZ441" s="415"/>
      <c r="CA441" s="415"/>
      <c r="CB441" s="305"/>
      <c r="CC441" s="305"/>
      <c r="CD441" s="305"/>
      <c r="CE441" s="302"/>
      <c r="CF441" s="305"/>
      <c r="CG441" s="305"/>
      <c r="CH441" s="305"/>
      <c r="CI441" s="305"/>
      <c r="CJ441" s="305"/>
      <c r="CK441" s="305"/>
      <c r="CL441" s="305"/>
      <c r="CM441" s="305"/>
      <c r="CN441" s="305"/>
      <c r="CO441" s="415"/>
      <c r="CP441" s="415"/>
      <c r="CQ441" s="415"/>
      <c r="CR441" s="416"/>
      <c r="CS441" s="416"/>
      <c r="CT441" s="416"/>
      <c r="CU441" s="416"/>
      <c r="CV441" s="416"/>
      <c r="CW441" s="416"/>
      <c r="CX441" s="416"/>
      <c r="CY441" s="416"/>
      <c r="CZ441" s="416"/>
      <c r="DA441" s="416"/>
      <c r="DB441" s="416"/>
      <c r="DC441" s="304"/>
      <c r="DD441" s="304"/>
      <c r="DE441" s="304"/>
      <c r="DF441" s="304"/>
      <c r="DG441" s="304"/>
    </row>
    <row r="442" spans="77:111">
      <c r="BY442" s="304"/>
      <c r="BZ442" s="415"/>
      <c r="CA442" s="415"/>
      <c r="CB442" s="305"/>
      <c r="CC442" s="305"/>
      <c r="CD442" s="305"/>
      <c r="CE442" s="302"/>
      <c r="CF442" s="305"/>
      <c r="CG442" s="305"/>
      <c r="CH442" s="305"/>
      <c r="CI442" s="305"/>
      <c r="CJ442" s="305"/>
      <c r="CK442" s="305"/>
      <c r="CL442" s="305"/>
      <c r="CM442" s="305"/>
      <c r="CN442" s="305"/>
      <c r="CO442" s="415"/>
      <c r="CP442" s="415"/>
      <c r="CQ442" s="415"/>
      <c r="CR442" s="416"/>
      <c r="CS442" s="416"/>
      <c r="CT442" s="416"/>
      <c r="CU442" s="416"/>
      <c r="CV442" s="416"/>
      <c r="CW442" s="416"/>
      <c r="CX442" s="416"/>
      <c r="CY442" s="416"/>
      <c r="CZ442" s="416"/>
      <c r="DA442" s="416"/>
      <c r="DB442" s="416"/>
      <c r="DC442" s="304"/>
      <c r="DD442" s="304"/>
      <c r="DE442" s="304"/>
      <c r="DF442" s="304"/>
      <c r="DG442" s="304"/>
    </row>
    <row r="443" spans="77:111">
      <c r="BY443" s="304"/>
      <c r="BZ443" s="415"/>
      <c r="CA443" s="415"/>
      <c r="CB443" s="305"/>
      <c r="CC443" s="305"/>
      <c r="CD443" s="305"/>
      <c r="CE443" s="302"/>
      <c r="CF443" s="305"/>
      <c r="CG443" s="305"/>
      <c r="CH443" s="305"/>
      <c r="CI443" s="305"/>
      <c r="CJ443" s="305"/>
      <c r="CK443" s="305"/>
      <c r="CL443" s="305"/>
      <c r="CM443" s="305"/>
      <c r="CN443" s="305"/>
      <c r="CO443" s="415"/>
      <c r="CP443" s="415"/>
      <c r="CQ443" s="415"/>
      <c r="CR443" s="416"/>
      <c r="CS443" s="416"/>
      <c r="CT443" s="416"/>
      <c r="CU443" s="416"/>
      <c r="CV443" s="416"/>
      <c r="CW443" s="416"/>
      <c r="CX443" s="416"/>
      <c r="CY443" s="416"/>
      <c r="CZ443" s="416"/>
      <c r="DA443" s="416"/>
      <c r="DB443" s="416"/>
      <c r="DC443" s="304"/>
      <c r="DD443" s="304"/>
      <c r="DE443" s="304"/>
      <c r="DF443" s="304"/>
      <c r="DG443" s="304"/>
    </row>
    <row r="444" spans="77:111">
      <c r="BY444" s="304"/>
      <c r="BZ444" s="415"/>
      <c r="CA444" s="415"/>
      <c r="CB444" s="305"/>
      <c r="CC444" s="305"/>
      <c r="CD444" s="305"/>
      <c r="CE444" s="302"/>
      <c r="CF444" s="305"/>
      <c r="CG444" s="305"/>
      <c r="CH444" s="305"/>
      <c r="CI444" s="305"/>
      <c r="CJ444" s="305"/>
      <c r="CK444" s="305"/>
      <c r="CL444" s="305"/>
      <c r="CM444" s="305"/>
      <c r="CN444" s="305"/>
      <c r="CO444" s="415"/>
      <c r="CP444" s="415"/>
      <c r="CQ444" s="415"/>
      <c r="CR444" s="416"/>
      <c r="CS444" s="416"/>
      <c r="CT444" s="416"/>
      <c r="CU444" s="416"/>
      <c r="CV444" s="416"/>
      <c r="CW444" s="416"/>
      <c r="CX444" s="416"/>
      <c r="CY444" s="416"/>
      <c r="CZ444" s="416"/>
      <c r="DA444" s="416"/>
      <c r="DB444" s="416"/>
      <c r="DC444" s="304"/>
      <c r="DD444" s="304"/>
      <c r="DE444" s="304"/>
      <c r="DF444" s="304"/>
      <c r="DG444" s="304"/>
    </row>
    <row r="445" spans="77:111">
      <c r="BY445" s="304"/>
      <c r="BZ445" s="415"/>
      <c r="CA445" s="415"/>
      <c r="CB445" s="305"/>
      <c r="CC445" s="305"/>
      <c r="CD445" s="305"/>
      <c r="CE445" s="302"/>
      <c r="CF445" s="305"/>
      <c r="CG445" s="305"/>
      <c r="CH445" s="305"/>
      <c r="CI445" s="305"/>
      <c r="CJ445" s="305"/>
      <c r="CK445" s="305"/>
      <c r="CL445" s="305"/>
      <c r="CM445" s="305"/>
      <c r="CN445" s="305"/>
      <c r="CO445" s="415"/>
      <c r="CP445" s="415"/>
      <c r="CQ445" s="415"/>
      <c r="CR445" s="416"/>
      <c r="CS445" s="416"/>
      <c r="CT445" s="416"/>
      <c r="CU445" s="416"/>
      <c r="CV445" s="416"/>
      <c r="CW445" s="416"/>
      <c r="CX445" s="416"/>
      <c r="CY445" s="416"/>
      <c r="CZ445" s="416"/>
      <c r="DA445" s="416"/>
      <c r="DB445" s="416"/>
      <c r="DC445" s="304"/>
      <c r="DD445" s="304"/>
      <c r="DE445" s="304"/>
      <c r="DF445" s="304"/>
      <c r="DG445" s="304"/>
    </row>
    <row r="446" spans="77:111">
      <c r="BY446" s="304"/>
      <c r="BZ446" s="305"/>
      <c r="CA446" s="305"/>
      <c r="CB446" s="305"/>
      <c r="CC446" s="305"/>
      <c r="CD446" s="305"/>
      <c r="CE446" s="302"/>
      <c r="CF446" s="305"/>
      <c r="CG446" s="305"/>
      <c r="CH446" s="305"/>
      <c r="CI446" s="305"/>
      <c r="CJ446" s="305"/>
      <c r="CK446" s="305"/>
      <c r="CL446" s="305"/>
      <c r="CM446" s="305"/>
      <c r="CN446" s="305"/>
      <c r="CO446" s="415"/>
      <c r="CP446" s="415"/>
      <c r="CQ446" s="415"/>
      <c r="CR446" s="416"/>
      <c r="CS446" s="416"/>
      <c r="CT446" s="416"/>
      <c r="CU446" s="416"/>
      <c r="CV446" s="416"/>
      <c r="CW446" s="416"/>
      <c r="CX446" s="416"/>
      <c r="CY446" s="416"/>
      <c r="CZ446" s="416"/>
      <c r="DA446" s="416"/>
      <c r="DB446" s="416"/>
      <c r="DC446" s="304"/>
      <c r="DD446" s="304"/>
      <c r="DE446" s="304"/>
      <c r="DF446" s="304"/>
      <c r="DG446" s="304"/>
    </row>
    <row r="447" spans="77:111">
      <c r="BY447" s="304"/>
      <c r="BZ447" s="415"/>
      <c r="CA447" s="415"/>
      <c r="CB447" s="305"/>
      <c r="CC447" s="305"/>
      <c r="CD447" s="305"/>
      <c r="CE447" s="302"/>
      <c r="CF447" s="305"/>
      <c r="CG447" s="305"/>
      <c r="CH447" s="305"/>
      <c r="CI447" s="305"/>
      <c r="CJ447" s="305"/>
      <c r="CK447" s="305"/>
      <c r="CL447" s="305"/>
      <c r="CM447" s="305"/>
      <c r="CN447" s="305"/>
      <c r="CO447" s="415"/>
      <c r="CP447" s="415"/>
      <c r="CQ447" s="415"/>
      <c r="CR447" s="416"/>
      <c r="CS447" s="416"/>
      <c r="CT447" s="416"/>
      <c r="CU447" s="416"/>
      <c r="CV447" s="416"/>
      <c r="CW447" s="416"/>
      <c r="CX447" s="416"/>
      <c r="CY447" s="416"/>
      <c r="CZ447" s="416"/>
      <c r="DA447" s="416"/>
      <c r="DB447" s="416"/>
      <c r="DC447" s="304"/>
      <c r="DD447" s="304"/>
      <c r="DE447" s="304"/>
      <c r="DF447" s="304"/>
      <c r="DG447" s="304"/>
    </row>
    <row r="448" spans="77:111">
      <c r="BY448" s="304"/>
      <c r="BZ448" s="417"/>
      <c r="CA448" s="417"/>
      <c r="CB448" s="305"/>
      <c r="CC448" s="305"/>
      <c r="CD448" s="305"/>
      <c r="CE448" s="302"/>
      <c r="CF448" s="305"/>
      <c r="CG448" s="305"/>
      <c r="CH448" s="305"/>
      <c r="CI448" s="305"/>
      <c r="CJ448" s="305"/>
      <c r="CK448" s="305"/>
      <c r="CL448" s="305"/>
      <c r="CM448" s="305"/>
      <c r="CN448" s="305"/>
      <c r="CO448" s="415"/>
      <c r="CP448" s="415"/>
      <c r="CQ448" s="415"/>
      <c r="CR448" s="416"/>
      <c r="CS448" s="416"/>
      <c r="CT448" s="416"/>
      <c r="CU448" s="416"/>
      <c r="CV448" s="416"/>
      <c r="CW448" s="416"/>
      <c r="CX448" s="416"/>
      <c r="CY448" s="416"/>
      <c r="CZ448" s="416"/>
      <c r="DA448" s="416"/>
      <c r="DB448" s="416"/>
      <c r="DC448" s="304"/>
      <c r="DD448" s="304"/>
      <c r="DE448" s="304"/>
      <c r="DF448" s="304"/>
      <c r="DG448" s="304"/>
    </row>
    <row r="449" spans="77:111">
      <c r="BY449" s="304"/>
      <c r="BZ449" s="415"/>
      <c r="CA449" s="415"/>
      <c r="CB449" s="415"/>
      <c r="CC449" s="415"/>
      <c r="CD449" s="415"/>
      <c r="CE449" s="415"/>
      <c r="CF449" s="415"/>
      <c r="CG449" s="415"/>
      <c r="CH449" s="415"/>
      <c r="CI449" s="415"/>
      <c r="CJ449" s="415"/>
      <c r="CK449" s="415"/>
      <c r="CL449" s="415"/>
      <c r="CM449" s="415"/>
      <c r="CN449" s="415"/>
      <c r="CO449" s="415"/>
      <c r="CP449" s="415"/>
      <c r="CQ449" s="415"/>
      <c r="CR449" s="415"/>
      <c r="CS449" s="415"/>
      <c r="CT449" s="415"/>
      <c r="CU449" s="415"/>
      <c r="CV449" s="415"/>
      <c r="CW449" s="415"/>
      <c r="CX449" s="415"/>
      <c r="CY449" s="415"/>
      <c r="CZ449" s="415"/>
      <c r="DA449" s="416"/>
      <c r="DB449" s="416"/>
      <c r="DC449" s="304"/>
      <c r="DD449" s="304"/>
      <c r="DE449" s="304"/>
      <c r="DF449" s="304"/>
      <c r="DG449" s="304"/>
    </row>
    <row r="450" spans="77:111">
      <c r="BY450" s="304"/>
      <c r="BZ450" s="306"/>
      <c r="CA450" s="302"/>
      <c r="CB450" s="415"/>
      <c r="CC450" s="415"/>
      <c r="CD450" s="415"/>
      <c r="CE450" s="415"/>
      <c r="CF450" s="415"/>
      <c r="CG450" s="415"/>
      <c r="CH450" s="415"/>
      <c r="CI450" s="415"/>
      <c r="CJ450" s="415"/>
      <c r="CK450" s="415"/>
      <c r="CL450" s="415"/>
      <c r="CM450" s="415"/>
      <c r="CN450" s="415"/>
      <c r="CO450" s="415"/>
      <c r="CP450" s="415"/>
      <c r="CQ450" s="415"/>
      <c r="CR450" s="415"/>
      <c r="CS450" s="415"/>
      <c r="CT450" s="415"/>
      <c r="CU450" s="415"/>
      <c r="CV450" s="415"/>
      <c r="CW450" s="415"/>
      <c r="CX450" s="415"/>
      <c r="CY450" s="415"/>
      <c r="CZ450" s="415"/>
      <c r="DA450" s="416"/>
      <c r="DB450" s="416"/>
      <c r="DC450" s="304"/>
      <c r="DD450" s="304"/>
      <c r="DE450" s="304"/>
      <c r="DF450" s="304"/>
      <c r="DG450" s="304"/>
    </row>
    <row r="451" spans="77:111">
      <c r="BY451" s="304"/>
      <c r="BZ451" s="415"/>
      <c r="CA451" s="415"/>
      <c r="CB451" s="415"/>
      <c r="CC451" s="415"/>
      <c r="CD451" s="415"/>
      <c r="CE451" s="415"/>
      <c r="CF451" s="415"/>
      <c r="CG451" s="415"/>
      <c r="CH451" s="415"/>
      <c r="CI451" s="415"/>
      <c r="CJ451" s="415"/>
      <c r="CK451" s="415"/>
      <c r="CL451" s="415"/>
      <c r="CM451" s="415"/>
      <c r="CN451" s="415"/>
      <c r="CO451" s="415"/>
      <c r="CP451" s="415"/>
      <c r="CQ451" s="415"/>
      <c r="CR451" s="415"/>
      <c r="CS451" s="415"/>
      <c r="CT451" s="415"/>
      <c r="CU451" s="415"/>
      <c r="CV451" s="415"/>
      <c r="CW451" s="415"/>
      <c r="CX451" s="415"/>
      <c r="CY451" s="415"/>
      <c r="CZ451" s="415"/>
      <c r="DA451" s="416"/>
      <c r="DB451" s="416"/>
      <c r="DC451" s="304"/>
      <c r="DD451" s="304"/>
      <c r="DE451" s="304"/>
      <c r="DF451" s="304"/>
      <c r="DG451" s="304"/>
    </row>
    <row r="452" spans="77:111">
      <c r="BY452" s="304"/>
      <c r="BZ452" s="415"/>
      <c r="CA452" s="415"/>
      <c r="CB452" s="415"/>
      <c r="CC452" s="415"/>
      <c r="CD452" s="415"/>
      <c r="CE452" s="415"/>
      <c r="CF452" s="415"/>
      <c r="CG452" s="415"/>
      <c r="CH452" s="415"/>
      <c r="CI452" s="415"/>
      <c r="CJ452" s="415"/>
      <c r="CK452" s="415"/>
      <c r="CL452" s="415"/>
      <c r="CM452" s="415"/>
      <c r="CN452" s="415"/>
      <c r="CO452" s="415"/>
      <c r="CP452" s="415"/>
      <c r="CQ452" s="415"/>
      <c r="CR452" s="415"/>
      <c r="CS452" s="415"/>
      <c r="CT452" s="415"/>
      <c r="CU452" s="415"/>
      <c r="CV452" s="415"/>
      <c r="CW452" s="415"/>
      <c r="CX452" s="415"/>
      <c r="CY452" s="415"/>
      <c r="CZ452" s="415"/>
      <c r="DA452" s="416"/>
      <c r="DB452" s="416"/>
      <c r="DC452" s="304"/>
      <c r="DD452" s="304"/>
      <c r="DE452" s="304"/>
      <c r="DF452" s="304"/>
      <c r="DG452" s="304"/>
    </row>
    <row r="453" spans="77:111">
      <c r="BY453" s="304"/>
      <c r="BZ453" s="415"/>
      <c r="CA453" s="415"/>
      <c r="CB453" s="415"/>
      <c r="CC453" s="415"/>
      <c r="CD453" s="415"/>
      <c r="CE453" s="415"/>
      <c r="CF453" s="415"/>
      <c r="CG453" s="415"/>
      <c r="CH453" s="415"/>
      <c r="CI453" s="415"/>
      <c r="CJ453" s="415"/>
      <c r="CK453" s="415"/>
      <c r="CL453" s="415"/>
      <c r="CM453" s="415"/>
      <c r="CN453" s="415"/>
      <c r="CO453" s="415"/>
      <c r="CP453" s="415"/>
      <c r="CQ453" s="415"/>
      <c r="CR453" s="415"/>
      <c r="CS453" s="415"/>
      <c r="CT453" s="415"/>
      <c r="CU453" s="415"/>
      <c r="CV453" s="415"/>
      <c r="CW453" s="415"/>
      <c r="CX453" s="415"/>
      <c r="CY453" s="415"/>
      <c r="CZ453" s="415"/>
      <c r="DA453" s="416"/>
      <c r="DB453" s="416"/>
      <c r="DC453" s="304"/>
      <c r="DD453" s="304"/>
      <c r="DE453" s="304"/>
      <c r="DF453" s="304"/>
      <c r="DG453" s="304"/>
    </row>
    <row r="454" spans="77:111">
      <c r="BY454" s="304"/>
      <c r="BZ454" s="415"/>
      <c r="CA454" s="415"/>
      <c r="CB454" s="415"/>
      <c r="CC454" s="415"/>
      <c r="CD454" s="415"/>
      <c r="CE454" s="415"/>
      <c r="CF454" s="415"/>
      <c r="CG454" s="415"/>
      <c r="CH454" s="415"/>
      <c r="CI454" s="415"/>
      <c r="CJ454" s="415"/>
      <c r="CK454" s="415"/>
      <c r="CL454" s="415"/>
      <c r="CM454" s="415"/>
      <c r="CN454" s="415"/>
      <c r="CO454" s="415"/>
      <c r="CP454" s="415"/>
      <c r="CQ454" s="415"/>
      <c r="CR454" s="415"/>
      <c r="CS454" s="415"/>
      <c r="CT454" s="415"/>
      <c r="CU454" s="415"/>
      <c r="CV454" s="415"/>
      <c r="CW454" s="415"/>
      <c r="CX454" s="415"/>
      <c r="CY454" s="415"/>
      <c r="CZ454" s="415"/>
      <c r="DA454" s="416"/>
      <c r="DB454" s="416"/>
      <c r="DC454" s="304"/>
      <c r="DD454" s="304"/>
      <c r="DE454" s="304"/>
      <c r="DF454" s="304"/>
      <c r="DG454" s="304"/>
    </row>
    <row r="455" spans="77:111">
      <c r="BY455" s="304"/>
      <c r="BZ455" s="415"/>
      <c r="CA455" s="415"/>
      <c r="CB455" s="415"/>
      <c r="CC455" s="415"/>
      <c r="CD455" s="415"/>
      <c r="CE455" s="415"/>
      <c r="CF455" s="415"/>
      <c r="CG455" s="415"/>
      <c r="CH455" s="415"/>
      <c r="CI455" s="415"/>
      <c r="CJ455" s="415"/>
      <c r="CK455" s="415"/>
      <c r="CL455" s="415"/>
      <c r="CM455" s="415"/>
      <c r="CN455" s="415"/>
      <c r="CO455" s="415"/>
      <c r="CP455" s="415"/>
      <c r="CQ455" s="415"/>
      <c r="CR455" s="415"/>
      <c r="CS455" s="415"/>
      <c r="CT455" s="415"/>
      <c r="CU455" s="415"/>
      <c r="CV455" s="415"/>
      <c r="CW455" s="415"/>
      <c r="CX455" s="415"/>
      <c r="CY455" s="415"/>
      <c r="CZ455" s="415"/>
      <c r="DA455" s="416"/>
      <c r="DB455" s="416"/>
      <c r="DC455" s="304"/>
      <c r="DD455" s="304"/>
      <c r="DE455" s="304"/>
      <c r="DF455" s="304"/>
      <c r="DG455" s="304"/>
    </row>
    <row r="456" spans="77:111">
      <c r="BY456" s="304"/>
      <c r="BZ456" s="415"/>
      <c r="CA456" s="415"/>
      <c r="CB456" s="415"/>
      <c r="CC456" s="415"/>
      <c r="CD456" s="415"/>
      <c r="CE456" s="415"/>
      <c r="CF456" s="415"/>
      <c r="CG456" s="415"/>
      <c r="CH456" s="415"/>
      <c r="CI456" s="415"/>
      <c r="CJ456" s="415"/>
      <c r="CK456" s="415"/>
      <c r="CL456" s="415"/>
      <c r="CM456" s="415"/>
      <c r="CN456" s="415"/>
      <c r="CO456" s="415"/>
      <c r="CP456" s="415"/>
      <c r="CQ456" s="415"/>
      <c r="CR456" s="415"/>
      <c r="CS456" s="415"/>
      <c r="CT456" s="415"/>
      <c r="CU456" s="415"/>
      <c r="CV456" s="415"/>
      <c r="CW456" s="415"/>
      <c r="CX456" s="415"/>
      <c r="CY456" s="415"/>
      <c r="CZ456" s="415"/>
      <c r="DA456" s="416"/>
      <c r="DB456" s="416"/>
      <c r="DC456" s="304"/>
      <c r="DD456" s="304"/>
      <c r="DE456" s="304"/>
      <c r="DF456" s="304"/>
      <c r="DG456" s="304"/>
    </row>
    <row r="457" spans="77:111">
      <c r="BY457" s="304"/>
      <c r="BZ457" s="415"/>
      <c r="CA457" s="415"/>
      <c r="CB457" s="415"/>
      <c r="CC457" s="415"/>
      <c r="CD457" s="415"/>
      <c r="CE457" s="415"/>
      <c r="CF457" s="415"/>
      <c r="CG457" s="415"/>
      <c r="CH457" s="415"/>
      <c r="CI457" s="415"/>
      <c r="CJ457" s="415"/>
      <c r="CK457" s="415"/>
      <c r="CL457" s="415"/>
      <c r="CM457" s="415"/>
      <c r="CN457" s="415"/>
      <c r="CO457" s="415"/>
      <c r="CP457" s="415"/>
      <c r="CQ457" s="415"/>
      <c r="CR457" s="415"/>
      <c r="CS457" s="415"/>
      <c r="CT457" s="415"/>
      <c r="CU457" s="415"/>
      <c r="CV457" s="415"/>
      <c r="CW457" s="415"/>
      <c r="CX457" s="415"/>
      <c r="CY457" s="415"/>
      <c r="CZ457" s="415"/>
      <c r="DA457" s="416"/>
      <c r="DB457" s="416"/>
      <c r="DC457" s="304"/>
      <c r="DD457" s="304"/>
      <c r="DE457" s="304"/>
      <c r="DF457" s="304"/>
      <c r="DG457" s="304"/>
    </row>
    <row r="458" spans="77:111">
      <c r="BY458" s="304"/>
      <c r="BZ458" s="417"/>
      <c r="CA458" s="417"/>
      <c r="CB458" s="415"/>
      <c r="CC458" s="415"/>
      <c r="CD458" s="415"/>
      <c r="CE458" s="415"/>
      <c r="CF458" s="415"/>
      <c r="CG458" s="415"/>
      <c r="CH458" s="415"/>
      <c r="CI458" s="415"/>
      <c r="CJ458" s="415"/>
      <c r="CK458" s="415"/>
      <c r="CL458" s="415"/>
      <c r="CM458" s="415"/>
      <c r="CN458" s="415"/>
      <c r="CO458" s="415"/>
      <c r="CP458" s="415"/>
      <c r="CQ458" s="415"/>
      <c r="CR458" s="415"/>
      <c r="CS458" s="415"/>
      <c r="CT458" s="415"/>
      <c r="CU458" s="415"/>
      <c r="CV458" s="415"/>
      <c r="CW458" s="415"/>
      <c r="CX458" s="415"/>
      <c r="CY458" s="415"/>
      <c r="CZ458" s="415"/>
      <c r="DA458" s="416"/>
      <c r="DB458" s="416"/>
      <c r="DC458" s="304"/>
      <c r="DD458" s="304"/>
      <c r="DE458" s="304"/>
      <c r="DF458" s="304"/>
      <c r="DG458" s="304"/>
    </row>
    <row r="459" spans="77:111">
      <c r="BY459" s="304"/>
      <c r="BZ459" s="415"/>
      <c r="CA459" s="415"/>
      <c r="CB459" s="415"/>
      <c r="CC459" s="415"/>
      <c r="CD459" s="415"/>
      <c r="CE459" s="415"/>
      <c r="CF459" s="415"/>
      <c r="CG459" s="415"/>
      <c r="CH459" s="415"/>
      <c r="CI459" s="415"/>
      <c r="CJ459" s="415"/>
      <c r="CK459" s="415"/>
      <c r="CL459" s="415"/>
      <c r="CM459" s="415"/>
      <c r="CN459" s="415"/>
      <c r="CO459" s="415"/>
      <c r="CP459" s="415"/>
      <c r="CQ459" s="415"/>
      <c r="CR459" s="415"/>
      <c r="CS459" s="415"/>
      <c r="CT459" s="415"/>
      <c r="CU459" s="415"/>
      <c r="CV459" s="415"/>
      <c r="CW459" s="415"/>
      <c r="CX459" s="415"/>
      <c r="CY459" s="415"/>
      <c r="CZ459" s="415"/>
      <c r="DA459" s="416"/>
      <c r="DB459" s="416"/>
      <c r="DC459" s="304"/>
      <c r="DD459" s="304"/>
      <c r="DE459" s="304"/>
      <c r="DF459" s="304"/>
      <c r="DG459" s="304"/>
    </row>
    <row r="460" spans="77:111">
      <c r="BY460" s="304"/>
      <c r="BZ460" s="415"/>
      <c r="CA460" s="415"/>
      <c r="CB460" s="415"/>
      <c r="CC460" s="415"/>
      <c r="CD460" s="415"/>
      <c r="CE460" s="415"/>
      <c r="CF460" s="415"/>
      <c r="CG460" s="415"/>
      <c r="CH460" s="415"/>
      <c r="CI460" s="415"/>
      <c r="CJ460" s="415"/>
      <c r="CK460" s="415"/>
      <c r="CL460" s="415"/>
      <c r="CM460" s="415"/>
      <c r="CN460" s="415"/>
      <c r="CO460" s="415"/>
      <c r="CP460" s="415"/>
      <c r="CQ460" s="415"/>
      <c r="CR460" s="415"/>
      <c r="CS460" s="415"/>
      <c r="CT460" s="415"/>
      <c r="CU460" s="415"/>
      <c r="CV460" s="415"/>
      <c r="CW460" s="415"/>
      <c r="CX460" s="415"/>
      <c r="CY460" s="415"/>
      <c r="CZ460" s="415"/>
      <c r="DA460" s="416"/>
      <c r="DB460" s="416"/>
      <c r="DC460" s="304"/>
      <c r="DD460" s="304"/>
      <c r="DE460" s="304"/>
      <c r="DF460" s="304"/>
      <c r="DG460" s="304"/>
    </row>
    <row r="461" spans="77:111">
      <c r="BY461" s="304"/>
      <c r="BZ461" s="415"/>
      <c r="CA461" s="415"/>
      <c r="CB461" s="415"/>
      <c r="CC461" s="415"/>
      <c r="CD461" s="415"/>
      <c r="CE461" s="415"/>
      <c r="CF461" s="415"/>
      <c r="CG461" s="415"/>
      <c r="CH461" s="415"/>
      <c r="CI461" s="415"/>
      <c r="CJ461" s="415"/>
      <c r="CK461" s="415"/>
      <c r="CL461" s="415"/>
      <c r="CM461" s="415"/>
      <c r="CN461" s="415"/>
      <c r="CO461" s="415"/>
      <c r="CP461" s="415"/>
      <c r="CQ461" s="415"/>
      <c r="CR461" s="415"/>
      <c r="CS461" s="415"/>
      <c r="CT461" s="415"/>
      <c r="CU461" s="415"/>
      <c r="CV461" s="415"/>
      <c r="CW461" s="415"/>
      <c r="CX461" s="415"/>
      <c r="CY461" s="415"/>
      <c r="CZ461" s="415"/>
      <c r="DA461" s="416"/>
      <c r="DB461" s="416"/>
      <c r="DC461" s="304"/>
      <c r="DD461" s="304"/>
      <c r="DE461" s="304"/>
      <c r="DF461" s="304"/>
      <c r="DG461" s="304"/>
    </row>
    <row r="462" spans="77:111">
      <c r="BY462" s="304"/>
      <c r="BZ462" s="415"/>
      <c r="CA462" s="415"/>
      <c r="CB462" s="415"/>
      <c r="CC462" s="415"/>
      <c r="CD462" s="415"/>
      <c r="CE462" s="415"/>
      <c r="CF462" s="415"/>
      <c r="CG462" s="415"/>
      <c r="CH462" s="415"/>
      <c r="CI462" s="415"/>
      <c r="CJ462" s="415"/>
      <c r="CK462" s="415"/>
      <c r="CL462" s="415"/>
      <c r="CM462" s="415"/>
      <c r="CN462" s="415"/>
      <c r="CO462" s="415"/>
      <c r="CP462" s="415"/>
      <c r="CQ462" s="415"/>
      <c r="CR462" s="415"/>
      <c r="CS462" s="415"/>
      <c r="CT462" s="415"/>
      <c r="CU462" s="415"/>
      <c r="CV462" s="415"/>
      <c r="CW462" s="415"/>
      <c r="CX462" s="415"/>
      <c r="CY462" s="415"/>
      <c r="CZ462" s="415"/>
      <c r="DA462" s="416"/>
      <c r="DB462" s="416"/>
      <c r="DC462" s="304"/>
      <c r="DD462" s="304"/>
      <c r="DE462" s="304"/>
      <c r="DF462" s="304"/>
      <c r="DG462" s="304"/>
    </row>
    <row r="463" spans="77:111">
      <c r="BY463" s="304"/>
      <c r="BZ463" s="415"/>
      <c r="CA463" s="415"/>
      <c r="CB463" s="415"/>
      <c r="CC463" s="415"/>
      <c r="CD463" s="415"/>
      <c r="CE463" s="415"/>
      <c r="CF463" s="415"/>
      <c r="CG463" s="415"/>
      <c r="CH463" s="415"/>
      <c r="CI463" s="415"/>
      <c r="CJ463" s="415"/>
      <c r="CK463" s="415"/>
      <c r="CL463" s="415"/>
      <c r="CM463" s="415"/>
      <c r="CN463" s="415"/>
      <c r="CO463" s="415"/>
      <c r="CP463" s="415"/>
      <c r="CQ463" s="415"/>
      <c r="CR463" s="415"/>
      <c r="CS463" s="415"/>
      <c r="CT463" s="415"/>
      <c r="CU463" s="415"/>
      <c r="CV463" s="415"/>
      <c r="CW463" s="415"/>
      <c r="CX463" s="415"/>
      <c r="CY463" s="415"/>
      <c r="CZ463" s="415"/>
      <c r="DA463" s="416"/>
      <c r="DB463" s="416"/>
      <c r="DC463" s="304"/>
      <c r="DD463" s="304"/>
      <c r="DE463" s="304"/>
      <c r="DF463" s="304"/>
      <c r="DG463" s="304"/>
    </row>
    <row r="464" spans="77:111">
      <c r="BY464" s="304"/>
      <c r="BZ464" s="415"/>
      <c r="CA464" s="415"/>
      <c r="CB464" s="415"/>
      <c r="CC464" s="415"/>
      <c r="CD464" s="415"/>
      <c r="CE464" s="415"/>
      <c r="CF464" s="415"/>
      <c r="CG464" s="415"/>
      <c r="CH464" s="415"/>
      <c r="CI464" s="415"/>
      <c r="CJ464" s="415"/>
      <c r="CK464" s="415"/>
      <c r="CL464" s="415"/>
      <c r="CM464" s="415"/>
      <c r="CN464" s="415"/>
      <c r="CO464" s="415"/>
      <c r="CP464" s="415"/>
      <c r="CQ464" s="415"/>
      <c r="CR464" s="415"/>
      <c r="CS464" s="415"/>
      <c r="CT464" s="415"/>
      <c r="CU464" s="415"/>
      <c r="CV464" s="415"/>
      <c r="CW464" s="415"/>
      <c r="CX464" s="415"/>
      <c r="CY464" s="415"/>
      <c r="CZ464" s="415"/>
      <c r="DA464" s="416"/>
      <c r="DB464" s="416"/>
      <c r="DC464" s="304"/>
      <c r="DD464" s="304"/>
      <c r="DE464" s="304"/>
      <c r="DF464" s="304"/>
      <c r="DG464" s="304"/>
    </row>
    <row r="465" spans="77:111">
      <c r="BY465" s="304"/>
      <c r="BZ465" s="415"/>
      <c r="CA465" s="415"/>
      <c r="CB465" s="415"/>
      <c r="CC465" s="415"/>
      <c r="CD465" s="415"/>
      <c r="CE465" s="415"/>
      <c r="CF465" s="415"/>
      <c r="CG465" s="415"/>
      <c r="CH465" s="415"/>
      <c r="CI465" s="415"/>
      <c r="CJ465" s="415"/>
      <c r="CK465" s="415"/>
      <c r="CL465" s="415"/>
      <c r="CM465" s="415"/>
      <c r="CN465" s="415"/>
      <c r="CO465" s="415"/>
      <c r="CP465" s="415"/>
      <c r="CQ465" s="415"/>
      <c r="CR465" s="415"/>
      <c r="CS465" s="415"/>
      <c r="CT465" s="415"/>
      <c r="CU465" s="415"/>
      <c r="CV465" s="415"/>
      <c r="CW465" s="415"/>
      <c r="CX465" s="415"/>
      <c r="CY465" s="415"/>
      <c r="CZ465" s="415"/>
      <c r="DA465" s="416"/>
      <c r="DB465" s="416"/>
      <c r="DC465" s="304"/>
      <c r="DD465" s="304"/>
      <c r="DE465" s="304"/>
      <c r="DF465" s="304"/>
      <c r="DG465" s="304"/>
    </row>
    <row r="466" spans="77:111">
      <c r="BY466" s="304"/>
      <c r="BZ466" s="415"/>
      <c r="CA466" s="415"/>
      <c r="CB466" s="415"/>
      <c r="CC466" s="415"/>
      <c r="CD466" s="415"/>
      <c r="CE466" s="415"/>
      <c r="CF466" s="415"/>
      <c r="CG466" s="415"/>
      <c r="CH466" s="415"/>
      <c r="CI466" s="415"/>
      <c r="CJ466" s="415"/>
      <c r="CK466" s="415"/>
      <c r="CL466" s="415"/>
      <c r="CM466" s="415"/>
      <c r="CN466" s="415"/>
      <c r="CO466" s="415"/>
      <c r="CP466" s="415"/>
      <c r="CQ466" s="415"/>
      <c r="CR466" s="415"/>
      <c r="CS466" s="415"/>
      <c r="CT466" s="415"/>
      <c r="CU466" s="415"/>
      <c r="CV466" s="415"/>
      <c r="CW466" s="415"/>
      <c r="CX466" s="415"/>
      <c r="CY466" s="415"/>
      <c r="CZ466" s="415"/>
      <c r="DA466" s="416"/>
      <c r="DB466" s="416"/>
      <c r="DC466" s="304"/>
      <c r="DD466" s="304"/>
      <c r="DE466" s="304"/>
      <c r="DF466" s="304"/>
      <c r="DG466" s="304"/>
    </row>
    <row r="467" spans="77:111">
      <c r="BY467" s="304"/>
      <c r="BZ467" s="415"/>
      <c r="CA467" s="415"/>
      <c r="CB467" s="415"/>
      <c r="CC467" s="415"/>
      <c r="CD467" s="415"/>
      <c r="CE467" s="415"/>
      <c r="CF467" s="415"/>
      <c r="CG467" s="415"/>
      <c r="CH467" s="415"/>
      <c r="CI467" s="415"/>
      <c r="CJ467" s="415"/>
      <c r="CK467" s="415"/>
      <c r="CL467" s="415"/>
      <c r="CM467" s="415"/>
      <c r="CN467" s="415"/>
      <c r="CO467" s="415"/>
      <c r="CP467" s="415"/>
      <c r="CQ467" s="415"/>
      <c r="CR467" s="415"/>
      <c r="CS467" s="415"/>
      <c r="CT467" s="415"/>
      <c r="CU467" s="415"/>
      <c r="CV467" s="415"/>
      <c r="CW467" s="415"/>
      <c r="CX467" s="415"/>
      <c r="CY467" s="415"/>
      <c r="CZ467" s="415"/>
      <c r="DA467" s="416"/>
      <c r="DB467" s="416"/>
      <c r="DC467" s="304"/>
      <c r="DD467" s="304"/>
      <c r="DE467" s="304"/>
      <c r="DF467" s="304"/>
      <c r="DG467" s="304"/>
    </row>
    <row r="468" spans="77:111">
      <c r="BY468" s="304"/>
      <c r="BZ468" s="417"/>
      <c r="CA468" s="417"/>
      <c r="CB468" s="415"/>
      <c r="CC468" s="415"/>
      <c r="CD468" s="415"/>
      <c r="CE468" s="415"/>
      <c r="CF468" s="415"/>
      <c r="CG468" s="415"/>
      <c r="CH468" s="415"/>
      <c r="CI468" s="415"/>
      <c r="CJ468" s="415"/>
      <c r="CK468" s="415"/>
      <c r="CL468" s="415"/>
      <c r="CM468" s="415"/>
      <c r="CN468" s="415"/>
      <c r="CO468" s="415"/>
      <c r="CP468" s="415"/>
      <c r="CQ468" s="415"/>
      <c r="CR468" s="415"/>
      <c r="CS468" s="415"/>
      <c r="CT468" s="415"/>
      <c r="CU468" s="415"/>
      <c r="CV468" s="415"/>
      <c r="CW468" s="415"/>
      <c r="CX468" s="415"/>
      <c r="CY468" s="415"/>
      <c r="CZ468" s="415"/>
      <c r="DA468" s="416"/>
      <c r="DB468" s="416"/>
      <c r="DC468" s="304"/>
      <c r="DD468" s="304"/>
      <c r="DE468" s="304"/>
      <c r="DF468" s="304"/>
      <c r="DG468" s="304"/>
    </row>
    <row r="469" spans="77:111">
      <c r="BY469" s="304"/>
      <c r="BZ469" s="415"/>
      <c r="CA469" s="415"/>
      <c r="CB469" s="415"/>
      <c r="CC469" s="415"/>
      <c r="CD469" s="415"/>
      <c r="CE469" s="415"/>
      <c r="CF469" s="415"/>
      <c r="CG469" s="415"/>
      <c r="CH469" s="415"/>
      <c r="CI469" s="415"/>
      <c r="CJ469" s="415"/>
      <c r="CK469" s="415"/>
      <c r="CL469" s="415"/>
      <c r="CM469" s="415"/>
      <c r="CN469" s="415"/>
      <c r="CO469" s="415"/>
      <c r="CP469" s="415"/>
      <c r="CQ469" s="415"/>
      <c r="CR469" s="415"/>
      <c r="CS469" s="415"/>
      <c r="CT469" s="415"/>
      <c r="CU469" s="415"/>
      <c r="CV469" s="415"/>
      <c r="CW469" s="415"/>
      <c r="CX469" s="415"/>
      <c r="CY469" s="415"/>
      <c r="CZ469" s="415"/>
      <c r="DA469" s="415"/>
      <c r="DB469" s="415"/>
      <c r="DC469" s="304"/>
      <c r="DD469" s="304"/>
      <c r="DE469" s="304"/>
      <c r="DF469" s="304"/>
      <c r="DG469" s="304"/>
    </row>
    <row r="470" spans="77:111">
      <c r="BY470" s="304"/>
      <c r="BZ470" s="415"/>
      <c r="CA470" s="415"/>
      <c r="CB470" s="415"/>
      <c r="CC470" s="415"/>
      <c r="CD470" s="415"/>
      <c r="CE470" s="415"/>
      <c r="CF470" s="415"/>
      <c r="CG470" s="415"/>
      <c r="CH470" s="415"/>
      <c r="CI470" s="415"/>
      <c r="CJ470" s="415"/>
      <c r="CK470" s="415"/>
      <c r="CL470" s="415"/>
      <c r="CM470" s="415"/>
      <c r="CN470" s="415"/>
      <c r="CO470" s="415"/>
      <c r="CP470" s="415"/>
      <c r="CQ470" s="415"/>
      <c r="CR470" s="415"/>
      <c r="CS470" s="415"/>
      <c r="CT470" s="415"/>
      <c r="CU470" s="415"/>
      <c r="CV470" s="415"/>
      <c r="CW470" s="415"/>
      <c r="CX470" s="415"/>
      <c r="CY470" s="415"/>
      <c r="CZ470" s="415"/>
      <c r="DA470" s="415"/>
      <c r="DB470" s="415"/>
      <c r="DC470" s="304"/>
      <c r="DD470" s="304"/>
      <c r="DE470" s="304"/>
      <c r="DF470" s="304"/>
      <c r="DG470" s="304"/>
    </row>
    <row r="471" spans="77:111">
      <c r="BY471" s="304"/>
      <c r="BZ471" s="415"/>
      <c r="CA471" s="415"/>
      <c r="CB471" s="415"/>
      <c r="CC471" s="415"/>
      <c r="CD471" s="415"/>
      <c r="CE471" s="415"/>
      <c r="CF471" s="415"/>
      <c r="CG471" s="415"/>
      <c r="CH471" s="415"/>
      <c r="CI471" s="415"/>
      <c r="CJ471" s="415"/>
      <c r="CK471" s="415"/>
      <c r="CL471" s="415"/>
      <c r="CM471" s="415"/>
      <c r="CN471" s="415"/>
      <c r="CO471" s="415"/>
      <c r="CP471" s="415"/>
      <c r="CQ471" s="415"/>
      <c r="CR471" s="415"/>
      <c r="CS471" s="415"/>
      <c r="CT471" s="415"/>
      <c r="CU471" s="415"/>
      <c r="CV471" s="415"/>
      <c r="CW471" s="415"/>
      <c r="CX471" s="415"/>
      <c r="CY471" s="415"/>
      <c r="CZ471" s="415"/>
      <c r="DA471" s="415"/>
      <c r="DB471" s="415"/>
      <c r="DC471" s="304"/>
      <c r="DD471" s="304"/>
      <c r="DE471" s="304"/>
      <c r="DF471" s="304"/>
      <c r="DG471" s="304"/>
    </row>
    <row r="472" spans="77:111">
      <c r="BY472" s="304"/>
      <c r="BZ472" s="415"/>
      <c r="CA472" s="415"/>
      <c r="CB472" s="415"/>
      <c r="CC472" s="415"/>
      <c r="CD472" s="415"/>
      <c r="CE472" s="415"/>
      <c r="CF472" s="415"/>
      <c r="CG472" s="415"/>
      <c r="CH472" s="415"/>
      <c r="CI472" s="415"/>
      <c r="CJ472" s="415"/>
      <c r="CK472" s="415"/>
      <c r="CL472" s="415"/>
      <c r="CM472" s="415"/>
      <c r="CN472" s="415"/>
      <c r="CO472" s="415"/>
      <c r="CP472" s="415"/>
      <c r="CQ472" s="415"/>
      <c r="CR472" s="415"/>
      <c r="CS472" s="415"/>
      <c r="CT472" s="415"/>
      <c r="CU472" s="415"/>
      <c r="CV472" s="415"/>
      <c r="CW472" s="415"/>
      <c r="CX472" s="415"/>
      <c r="CY472" s="415"/>
      <c r="CZ472" s="415"/>
      <c r="DA472" s="415"/>
      <c r="DB472" s="415"/>
      <c r="DC472" s="304"/>
      <c r="DD472" s="304"/>
      <c r="DE472" s="304"/>
      <c r="DF472" s="304"/>
      <c r="DG472" s="304"/>
    </row>
    <row r="473" spans="77:111">
      <c r="BY473" s="304"/>
      <c r="BZ473" s="415"/>
      <c r="CA473" s="415"/>
      <c r="CB473" s="415"/>
      <c r="CC473" s="415"/>
      <c r="CD473" s="415"/>
      <c r="CE473" s="415"/>
      <c r="CF473" s="415"/>
      <c r="CG473" s="415"/>
      <c r="CH473" s="415"/>
      <c r="CI473" s="415"/>
      <c r="CJ473" s="415"/>
      <c r="CK473" s="415"/>
      <c r="CL473" s="415"/>
      <c r="CM473" s="415"/>
      <c r="CN473" s="415"/>
      <c r="CO473" s="415"/>
      <c r="CP473" s="415"/>
      <c r="CQ473" s="415"/>
      <c r="CR473" s="415"/>
      <c r="CS473" s="415"/>
      <c r="CT473" s="415"/>
      <c r="CU473" s="415"/>
      <c r="CV473" s="415"/>
      <c r="CW473" s="415"/>
      <c r="CX473" s="415"/>
      <c r="CY473" s="415"/>
      <c r="CZ473" s="415"/>
      <c r="DA473" s="415"/>
      <c r="DB473" s="415"/>
      <c r="DC473" s="304"/>
      <c r="DD473" s="304"/>
      <c r="DE473" s="304"/>
      <c r="DF473" s="304"/>
      <c r="DG473" s="304"/>
    </row>
    <row r="474" spans="77:111">
      <c r="BY474" s="304"/>
      <c r="BZ474" s="415"/>
      <c r="CA474" s="415"/>
      <c r="CB474" s="415"/>
      <c r="CC474" s="415"/>
      <c r="CD474" s="415"/>
      <c r="CE474" s="415"/>
      <c r="CF474" s="415"/>
      <c r="CG474" s="415"/>
      <c r="CH474" s="415"/>
      <c r="CI474" s="415"/>
      <c r="CJ474" s="415"/>
      <c r="CK474" s="415"/>
      <c r="CL474" s="415"/>
      <c r="CM474" s="415"/>
      <c r="CN474" s="415"/>
      <c r="CO474" s="415"/>
      <c r="CP474" s="415"/>
      <c r="CQ474" s="415"/>
      <c r="CR474" s="415"/>
      <c r="CS474" s="415"/>
      <c r="CT474" s="415"/>
      <c r="CU474" s="415"/>
      <c r="CV474" s="415"/>
      <c r="CW474" s="415"/>
      <c r="CX474" s="415"/>
      <c r="CY474" s="415"/>
      <c r="CZ474" s="415"/>
      <c r="DA474" s="415"/>
      <c r="DB474" s="415"/>
      <c r="DC474" s="304"/>
      <c r="DD474" s="304"/>
      <c r="DE474" s="304"/>
      <c r="DF474" s="304"/>
      <c r="DG474" s="304"/>
    </row>
    <row r="475" spans="77:111">
      <c r="BY475" s="304"/>
      <c r="BZ475" s="415"/>
      <c r="CA475" s="415"/>
      <c r="CB475" s="415"/>
      <c r="CC475" s="415"/>
      <c r="CD475" s="415"/>
      <c r="CE475" s="415"/>
      <c r="CF475" s="415"/>
      <c r="CG475" s="415"/>
      <c r="CH475" s="415"/>
      <c r="CI475" s="415"/>
      <c r="CJ475" s="415"/>
      <c r="CK475" s="415"/>
      <c r="CL475" s="415"/>
      <c r="CM475" s="415"/>
      <c r="CN475" s="415"/>
      <c r="CO475" s="415"/>
      <c r="CP475" s="415"/>
      <c r="CQ475" s="415"/>
      <c r="CR475" s="415"/>
      <c r="CS475" s="415"/>
      <c r="CT475" s="415"/>
      <c r="CU475" s="415"/>
      <c r="CV475" s="415"/>
      <c r="CW475" s="415"/>
      <c r="CX475" s="415"/>
      <c r="CY475" s="415"/>
      <c r="CZ475" s="415"/>
      <c r="DA475" s="415"/>
      <c r="DB475" s="415"/>
      <c r="DC475" s="304"/>
      <c r="DD475" s="304"/>
      <c r="DE475" s="304"/>
      <c r="DF475" s="304"/>
      <c r="DG475" s="304"/>
    </row>
    <row r="476" spans="77:111">
      <c r="BY476" s="304"/>
      <c r="BZ476" s="415"/>
      <c r="CA476" s="415"/>
      <c r="CB476" s="415"/>
      <c r="CC476" s="415"/>
      <c r="CD476" s="415"/>
      <c r="CE476" s="415"/>
      <c r="CF476" s="415"/>
      <c r="CG476" s="415"/>
      <c r="CH476" s="415"/>
      <c r="CI476" s="415"/>
      <c r="CJ476" s="415"/>
      <c r="CK476" s="415"/>
      <c r="CL476" s="415"/>
      <c r="CM476" s="415"/>
      <c r="CN476" s="415"/>
      <c r="CO476" s="415"/>
      <c r="CP476" s="415"/>
      <c r="CQ476" s="415"/>
      <c r="CR476" s="415"/>
      <c r="CS476" s="415"/>
      <c r="CT476" s="415"/>
      <c r="CU476" s="415"/>
      <c r="CV476" s="415"/>
      <c r="CW476" s="415"/>
      <c r="CX476" s="415"/>
      <c r="CY476" s="415"/>
      <c r="CZ476" s="415"/>
      <c r="DA476" s="415"/>
      <c r="DB476" s="415"/>
      <c r="DC476" s="304"/>
      <c r="DD476" s="304"/>
      <c r="DE476" s="304"/>
      <c r="DF476" s="304"/>
      <c r="DG476" s="304"/>
    </row>
    <row r="477" spans="77:111">
      <c r="BY477" s="304"/>
      <c r="BZ477" s="415"/>
      <c r="CA477" s="415"/>
      <c r="CB477" s="415"/>
      <c r="CC477" s="415"/>
      <c r="CD477" s="415"/>
      <c r="CE477" s="415"/>
      <c r="CF477" s="415"/>
      <c r="CG477" s="415"/>
      <c r="CH477" s="415"/>
      <c r="CI477" s="415"/>
      <c r="CJ477" s="415"/>
      <c r="CK477" s="415"/>
      <c r="CL477" s="415"/>
      <c r="CM477" s="415"/>
      <c r="CN477" s="415"/>
      <c r="CO477" s="415"/>
      <c r="CP477" s="415"/>
      <c r="CQ477" s="415"/>
      <c r="CR477" s="415"/>
      <c r="CS477" s="415"/>
      <c r="CT477" s="415"/>
      <c r="CU477" s="415"/>
      <c r="CV477" s="415"/>
      <c r="CW477" s="415"/>
      <c r="CX477" s="415"/>
      <c r="CY477" s="415"/>
      <c r="CZ477" s="415"/>
      <c r="DA477" s="415"/>
      <c r="DB477" s="415"/>
      <c r="DC477" s="304"/>
      <c r="DD477" s="304"/>
      <c r="DE477" s="304"/>
      <c r="DF477" s="304"/>
      <c r="DG477" s="304"/>
    </row>
    <row r="478" spans="77:111">
      <c r="BY478" s="304"/>
      <c r="BZ478" s="417"/>
      <c r="CA478" s="417"/>
      <c r="CB478" s="415"/>
      <c r="CC478" s="415"/>
      <c r="CD478" s="415"/>
      <c r="CE478" s="415"/>
      <c r="CF478" s="415"/>
      <c r="CG478" s="415"/>
      <c r="CH478" s="415"/>
      <c r="CI478" s="415"/>
      <c r="CJ478" s="415"/>
      <c r="CK478" s="415"/>
      <c r="CL478" s="415"/>
      <c r="CM478" s="415"/>
      <c r="CN478" s="415"/>
      <c r="CO478" s="415"/>
      <c r="CP478" s="415"/>
      <c r="CQ478" s="415"/>
      <c r="CR478" s="415"/>
      <c r="CS478" s="415"/>
      <c r="CT478" s="415"/>
      <c r="CU478" s="415"/>
      <c r="CV478" s="415"/>
      <c r="CW478" s="415"/>
      <c r="CX478" s="415"/>
      <c r="CY478" s="415"/>
      <c r="CZ478" s="415"/>
      <c r="DA478" s="415"/>
      <c r="DB478" s="415"/>
      <c r="DC478" s="304"/>
      <c r="DD478" s="304"/>
      <c r="DE478" s="304"/>
      <c r="DF478" s="304"/>
      <c r="DG478" s="304"/>
    </row>
    <row r="479" spans="77:111">
      <c r="BY479" s="304"/>
      <c r="BZ479" s="415"/>
      <c r="CA479" s="415"/>
      <c r="CB479" s="415"/>
      <c r="CC479" s="415"/>
      <c r="CD479" s="415"/>
      <c r="CE479" s="415"/>
      <c r="CF479" s="415"/>
      <c r="CG479" s="415"/>
      <c r="CH479" s="415"/>
      <c r="CI479" s="415"/>
      <c r="CJ479" s="415"/>
      <c r="CK479" s="415"/>
      <c r="CL479" s="415"/>
      <c r="CM479" s="415"/>
      <c r="CN479" s="415"/>
      <c r="CO479" s="415"/>
      <c r="CP479" s="415"/>
      <c r="CQ479" s="415"/>
      <c r="CR479" s="415"/>
      <c r="CS479" s="415"/>
      <c r="CT479" s="415"/>
      <c r="CU479" s="415"/>
      <c r="CV479" s="415"/>
      <c r="CW479" s="415"/>
      <c r="CX479" s="415"/>
      <c r="CY479" s="415"/>
      <c r="CZ479" s="415"/>
      <c r="DA479" s="416"/>
      <c r="DB479" s="416"/>
      <c r="DC479" s="304"/>
      <c r="DD479" s="304"/>
      <c r="DE479" s="304"/>
      <c r="DF479" s="304"/>
      <c r="DG479" s="304"/>
    </row>
    <row r="480" spans="77:111">
      <c r="BY480" s="304"/>
      <c r="BZ480" s="415"/>
      <c r="CA480" s="415"/>
      <c r="CB480" s="415"/>
      <c r="CC480" s="415"/>
      <c r="CD480" s="415"/>
      <c r="CE480" s="415"/>
      <c r="CF480" s="415"/>
      <c r="CG480" s="415"/>
      <c r="CH480" s="415"/>
      <c r="CI480" s="415"/>
      <c r="CJ480" s="415"/>
      <c r="CK480" s="415"/>
      <c r="CL480" s="415"/>
      <c r="CM480" s="415"/>
      <c r="CN480" s="415"/>
      <c r="CO480" s="415"/>
      <c r="CP480" s="415"/>
      <c r="CQ480" s="415"/>
      <c r="CR480" s="415"/>
      <c r="CS480" s="415"/>
      <c r="CT480" s="415"/>
      <c r="CU480" s="415"/>
      <c r="CV480" s="415"/>
      <c r="CW480" s="415"/>
      <c r="CX480" s="415"/>
      <c r="CY480" s="415"/>
      <c r="CZ480" s="415"/>
      <c r="DA480" s="415"/>
      <c r="DB480" s="306"/>
      <c r="DC480" s="304"/>
      <c r="DD480" s="304"/>
      <c r="DE480" s="304"/>
      <c r="DF480" s="304"/>
      <c r="DG480" s="304"/>
    </row>
    <row r="481" spans="77:111">
      <c r="BY481" s="304"/>
      <c r="BZ481" s="415"/>
      <c r="CA481" s="415"/>
      <c r="CB481" s="415"/>
      <c r="CC481" s="415"/>
      <c r="CD481" s="415"/>
      <c r="CE481" s="415"/>
      <c r="CF481" s="415"/>
      <c r="CG481" s="415"/>
      <c r="CH481" s="415"/>
      <c r="CI481" s="415"/>
      <c r="CJ481" s="415"/>
      <c r="CK481" s="415"/>
      <c r="CL481" s="415"/>
      <c r="CM481" s="415"/>
      <c r="CN481" s="415"/>
      <c r="CO481" s="415"/>
      <c r="CP481" s="415"/>
      <c r="CQ481" s="415"/>
      <c r="CR481" s="415"/>
      <c r="CS481" s="415"/>
      <c r="CT481" s="415"/>
      <c r="CU481" s="415"/>
      <c r="CV481" s="415"/>
      <c r="CW481" s="415"/>
      <c r="CX481" s="415"/>
      <c r="CY481" s="415"/>
      <c r="CZ481" s="415"/>
      <c r="DA481" s="415"/>
      <c r="DB481" s="306"/>
      <c r="DC481" s="304"/>
      <c r="DD481" s="304"/>
      <c r="DE481" s="304"/>
      <c r="DF481" s="304"/>
      <c r="DG481" s="304"/>
    </row>
    <row r="482" spans="77:111">
      <c r="BY482" s="304"/>
      <c r="BZ482" s="415"/>
      <c r="CA482" s="415"/>
      <c r="CB482" s="415"/>
      <c r="CC482" s="415"/>
      <c r="CD482" s="415"/>
      <c r="CE482" s="415"/>
      <c r="CF482" s="415"/>
      <c r="CG482" s="415"/>
      <c r="CH482" s="415"/>
      <c r="CI482" s="415"/>
      <c r="CJ482" s="415"/>
      <c r="CK482" s="415"/>
      <c r="CL482" s="415"/>
      <c r="CM482" s="415"/>
      <c r="CN482" s="415"/>
      <c r="CO482" s="415"/>
      <c r="CP482" s="415"/>
      <c r="CQ482" s="415"/>
      <c r="CR482" s="415"/>
      <c r="CS482" s="415"/>
      <c r="CT482" s="415"/>
      <c r="CU482" s="415"/>
      <c r="CV482" s="415"/>
      <c r="CW482" s="415"/>
      <c r="CX482" s="415"/>
      <c r="CY482" s="415"/>
      <c r="CZ482" s="415"/>
      <c r="DA482" s="415"/>
      <c r="DB482" s="306"/>
      <c r="DC482" s="304"/>
      <c r="DD482" s="304"/>
      <c r="DE482" s="304"/>
      <c r="DF482" s="304"/>
      <c r="DG482" s="304"/>
    </row>
    <row r="483" spans="77:111">
      <c r="BY483" s="304"/>
      <c r="BZ483" s="415"/>
      <c r="CA483" s="415"/>
      <c r="CB483" s="415"/>
      <c r="CC483" s="415"/>
      <c r="CD483" s="415"/>
      <c r="CE483" s="415"/>
      <c r="CF483" s="415"/>
      <c r="CG483" s="415"/>
      <c r="CH483" s="415"/>
      <c r="CI483" s="415"/>
      <c r="CJ483" s="415"/>
      <c r="CK483" s="415"/>
      <c r="CL483" s="415"/>
      <c r="CM483" s="415"/>
      <c r="CN483" s="415"/>
      <c r="CO483" s="415"/>
      <c r="CP483" s="415"/>
      <c r="CQ483" s="415"/>
      <c r="CR483" s="415"/>
      <c r="CS483" s="415"/>
      <c r="CT483" s="415"/>
      <c r="CU483" s="415"/>
      <c r="CV483" s="415"/>
      <c r="CW483" s="415"/>
      <c r="CX483" s="415"/>
      <c r="CY483" s="415"/>
      <c r="CZ483" s="415"/>
      <c r="DA483" s="415"/>
      <c r="DB483" s="306"/>
      <c r="DC483" s="304"/>
      <c r="DD483" s="304"/>
      <c r="DE483" s="304"/>
      <c r="DF483" s="304"/>
      <c r="DG483" s="304"/>
    </row>
    <row r="484" spans="77:111">
      <c r="BY484" s="304"/>
      <c r="BZ484" s="415"/>
      <c r="CA484" s="415"/>
      <c r="CB484" s="415"/>
      <c r="CC484" s="415"/>
      <c r="CD484" s="415"/>
      <c r="CE484" s="415"/>
      <c r="CF484" s="415"/>
      <c r="CG484" s="415"/>
      <c r="CH484" s="415"/>
      <c r="CI484" s="415"/>
      <c r="CJ484" s="415"/>
      <c r="CK484" s="415"/>
      <c r="CL484" s="415"/>
      <c r="CM484" s="415"/>
      <c r="CN484" s="415"/>
      <c r="CO484" s="415"/>
      <c r="CP484" s="415"/>
      <c r="CQ484" s="415"/>
      <c r="CR484" s="415"/>
      <c r="CS484" s="415"/>
      <c r="CT484" s="415"/>
      <c r="CU484" s="415"/>
      <c r="CV484" s="415"/>
      <c r="CW484" s="415"/>
      <c r="CX484" s="415"/>
      <c r="CY484" s="415"/>
      <c r="CZ484" s="415"/>
      <c r="DA484" s="415"/>
      <c r="DB484" s="306"/>
      <c r="DC484" s="304"/>
      <c r="DD484" s="304"/>
      <c r="DE484" s="304"/>
      <c r="DF484" s="304"/>
      <c r="DG484" s="304"/>
    </row>
    <row r="485" spans="77:111">
      <c r="BY485" s="304"/>
      <c r="BZ485" s="415"/>
      <c r="CA485" s="415"/>
      <c r="CB485" s="415"/>
      <c r="CC485" s="415"/>
      <c r="CD485" s="415"/>
      <c r="CE485" s="415"/>
      <c r="CF485" s="415"/>
      <c r="CG485" s="415"/>
      <c r="CH485" s="415"/>
      <c r="CI485" s="415"/>
      <c r="CJ485" s="415"/>
      <c r="CK485" s="415"/>
      <c r="CL485" s="415"/>
      <c r="CM485" s="415"/>
      <c r="CN485" s="415"/>
      <c r="CO485" s="415"/>
      <c r="CP485" s="415"/>
      <c r="CQ485" s="415"/>
      <c r="CR485" s="415"/>
      <c r="CS485" s="415"/>
      <c r="CT485" s="415"/>
      <c r="CU485" s="415"/>
      <c r="CV485" s="415"/>
      <c r="CW485" s="415"/>
      <c r="CX485" s="415"/>
      <c r="CY485" s="415"/>
      <c r="CZ485" s="415"/>
      <c r="DA485" s="415"/>
      <c r="DB485" s="306"/>
      <c r="DC485" s="304"/>
      <c r="DD485" s="304"/>
      <c r="DE485" s="304"/>
      <c r="DF485" s="304"/>
      <c r="DG485" s="304"/>
    </row>
    <row r="486" spans="77:111">
      <c r="BY486" s="304"/>
      <c r="BZ486" s="415"/>
      <c r="CA486" s="415"/>
      <c r="CB486" s="415"/>
      <c r="CC486" s="415"/>
      <c r="CD486" s="415"/>
      <c r="CE486" s="415"/>
      <c r="CF486" s="415"/>
      <c r="CG486" s="415"/>
      <c r="CH486" s="415"/>
      <c r="CI486" s="415"/>
      <c r="CJ486" s="415"/>
      <c r="CK486" s="415"/>
      <c r="CL486" s="415"/>
      <c r="CM486" s="415"/>
      <c r="CN486" s="415"/>
      <c r="CO486" s="415"/>
      <c r="CP486" s="415"/>
      <c r="CQ486" s="415"/>
      <c r="CR486" s="415"/>
      <c r="CS486" s="415"/>
      <c r="CT486" s="415"/>
      <c r="CU486" s="415"/>
      <c r="CV486" s="415"/>
      <c r="CW486" s="415"/>
      <c r="CX486" s="415"/>
      <c r="CY486" s="415"/>
      <c r="CZ486" s="415"/>
      <c r="DA486" s="415"/>
      <c r="DB486" s="306"/>
      <c r="DC486" s="304"/>
      <c r="DD486" s="304"/>
      <c r="DE486" s="304"/>
      <c r="DF486" s="304"/>
      <c r="DG486" s="304"/>
    </row>
    <row r="487" spans="77:111">
      <c r="BY487" s="304"/>
      <c r="BZ487" s="415"/>
      <c r="CA487" s="415"/>
      <c r="CB487" s="415"/>
      <c r="CC487" s="415"/>
      <c r="CD487" s="415"/>
      <c r="CE487" s="415"/>
      <c r="CF487" s="415"/>
      <c r="CG487" s="415"/>
      <c r="CH487" s="415"/>
      <c r="CI487" s="415"/>
      <c r="CJ487" s="415"/>
      <c r="CK487" s="415"/>
      <c r="CL487" s="415"/>
      <c r="CM487" s="415"/>
      <c r="CN487" s="415"/>
      <c r="CO487" s="415"/>
      <c r="CP487" s="415"/>
      <c r="CQ487" s="415"/>
      <c r="CR487" s="415"/>
      <c r="CS487" s="415"/>
      <c r="CT487" s="415"/>
      <c r="CU487" s="415"/>
      <c r="CV487" s="415"/>
      <c r="CW487" s="415"/>
      <c r="CX487" s="415"/>
      <c r="CY487" s="415"/>
      <c r="CZ487" s="415"/>
      <c r="DA487" s="415"/>
      <c r="DB487" s="306"/>
      <c r="DC487" s="304"/>
      <c r="DD487" s="304"/>
      <c r="DE487" s="304"/>
      <c r="DF487" s="304"/>
      <c r="DG487" s="304"/>
    </row>
    <row r="488" spans="77:111">
      <c r="BY488" s="304"/>
      <c r="BZ488" s="417"/>
      <c r="CA488" s="417"/>
      <c r="CB488" s="415"/>
      <c r="CC488" s="415"/>
      <c r="CD488" s="415"/>
      <c r="CE488" s="415"/>
      <c r="CF488" s="415"/>
      <c r="CG488" s="415"/>
      <c r="CH488" s="415"/>
      <c r="CI488" s="415"/>
      <c r="CJ488" s="415"/>
      <c r="CK488" s="415"/>
      <c r="CL488" s="415"/>
      <c r="CM488" s="415"/>
      <c r="CN488" s="415"/>
      <c r="CO488" s="415"/>
      <c r="CP488" s="415"/>
      <c r="CQ488" s="415"/>
      <c r="CR488" s="415"/>
      <c r="CS488" s="415"/>
      <c r="CT488" s="415"/>
      <c r="CU488" s="415"/>
      <c r="CV488" s="415"/>
      <c r="CW488" s="415"/>
      <c r="CX488" s="415"/>
      <c r="CY488" s="415"/>
      <c r="CZ488" s="415"/>
      <c r="DA488" s="415"/>
      <c r="DB488" s="306"/>
      <c r="DC488" s="304"/>
      <c r="DD488" s="304"/>
      <c r="DE488" s="304"/>
      <c r="DF488" s="304"/>
      <c r="DG488" s="304"/>
    </row>
    <row r="489" spans="77:111">
      <c r="BY489" s="304"/>
      <c r="BZ489" s="415"/>
      <c r="CA489" s="415"/>
      <c r="CB489" s="415"/>
      <c r="CC489" s="415"/>
      <c r="CD489" s="415"/>
      <c r="CE489" s="415"/>
      <c r="CF489" s="415"/>
      <c r="CG489" s="415"/>
      <c r="CH489" s="415"/>
      <c r="CI489" s="415"/>
      <c r="CJ489" s="415"/>
      <c r="CK489" s="415"/>
      <c r="CL489" s="415"/>
      <c r="CM489" s="415"/>
      <c r="CN489" s="415"/>
      <c r="CO489" s="415"/>
      <c r="CP489" s="415"/>
      <c r="CQ489" s="415"/>
      <c r="CR489" s="415"/>
      <c r="CS489" s="415"/>
      <c r="CT489" s="416"/>
      <c r="CU489" s="416"/>
      <c r="CV489" s="416"/>
      <c r="CW489" s="416"/>
      <c r="CX489" s="416"/>
      <c r="CY489" s="416"/>
      <c r="CZ489" s="416"/>
      <c r="DA489" s="416"/>
      <c r="DB489" s="416"/>
      <c r="DC489" s="304"/>
      <c r="DD489" s="304"/>
      <c r="DE489" s="304"/>
      <c r="DF489" s="304"/>
      <c r="DG489" s="304"/>
    </row>
    <row r="490" spans="77:111">
      <c r="BY490" s="304"/>
      <c r="BZ490" s="415"/>
      <c r="CA490" s="415"/>
      <c r="CB490" s="415"/>
      <c r="CC490" s="415"/>
      <c r="CD490" s="415"/>
      <c r="CE490" s="415"/>
      <c r="CF490" s="415"/>
      <c r="CG490" s="415"/>
      <c r="CH490" s="415"/>
      <c r="CI490" s="415"/>
      <c r="CJ490" s="415"/>
      <c r="CK490" s="415"/>
      <c r="CL490" s="415"/>
      <c r="CM490" s="415"/>
      <c r="CN490" s="415"/>
      <c r="CO490" s="415"/>
      <c r="CP490" s="415"/>
      <c r="CQ490" s="415"/>
      <c r="CR490" s="415"/>
      <c r="CS490" s="415"/>
      <c r="CT490" s="415"/>
      <c r="CU490" s="415"/>
      <c r="CV490" s="415"/>
      <c r="CW490" s="415"/>
      <c r="CX490" s="415"/>
      <c r="CY490" s="416"/>
      <c r="CZ490" s="416"/>
      <c r="DA490" s="416"/>
      <c r="DB490" s="416"/>
      <c r="DC490" s="304"/>
      <c r="DD490" s="304"/>
      <c r="DE490" s="304"/>
      <c r="DF490" s="304"/>
      <c r="DG490" s="304"/>
    </row>
    <row r="491" spans="77:111">
      <c r="BY491" s="304"/>
      <c r="BZ491" s="415"/>
      <c r="CA491" s="415"/>
      <c r="CB491" s="415"/>
      <c r="CC491" s="415"/>
      <c r="CD491" s="415"/>
      <c r="CE491" s="415"/>
      <c r="CF491" s="415"/>
      <c r="CG491" s="415"/>
      <c r="CH491" s="415"/>
      <c r="CI491" s="415"/>
      <c r="CJ491" s="415"/>
      <c r="CK491" s="415"/>
      <c r="CL491" s="415"/>
      <c r="CM491" s="415"/>
      <c r="CN491" s="415"/>
      <c r="CO491" s="415"/>
      <c r="CP491" s="415"/>
      <c r="CQ491" s="415"/>
      <c r="CR491" s="415"/>
      <c r="CS491" s="415"/>
      <c r="CT491" s="415"/>
      <c r="CU491" s="415"/>
      <c r="CV491" s="415"/>
      <c r="CW491" s="415"/>
      <c r="CX491" s="415"/>
      <c r="CY491" s="416"/>
      <c r="CZ491" s="416"/>
      <c r="DA491" s="416"/>
      <c r="DB491" s="416"/>
      <c r="DC491" s="304"/>
      <c r="DD491" s="304"/>
      <c r="DE491" s="304"/>
      <c r="DF491" s="304"/>
      <c r="DG491" s="304"/>
    </row>
    <row r="492" spans="77:111">
      <c r="BY492" s="304"/>
      <c r="BZ492" s="415"/>
      <c r="CA492" s="415"/>
      <c r="CB492" s="415"/>
      <c r="CC492" s="415"/>
      <c r="CD492" s="415"/>
      <c r="CE492" s="415"/>
      <c r="CF492" s="415"/>
      <c r="CG492" s="415"/>
      <c r="CH492" s="415"/>
      <c r="CI492" s="415"/>
      <c r="CJ492" s="415"/>
      <c r="CK492" s="415"/>
      <c r="CL492" s="415"/>
      <c r="CM492" s="415"/>
      <c r="CN492" s="415"/>
      <c r="CO492" s="415"/>
      <c r="CP492" s="415"/>
      <c r="CQ492" s="415"/>
      <c r="CR492" s="415"/>
      <c r="CS492" s="415"/>
      <c r="CT492" s="415"/>
      <c r="CU492" s="415"/>
      <c r="CV492" s="415"/>
      <c r="CW492" s="415"/>
      <c r="CX492" s="415"/>
      <c r="CY492" s="416"/>
      <c r="CZ492" s="416"/>
      <c r="DA492" s="416"/>
      <c r="DB492" s="416"/>
      <c r="DC492" s="304"/>
      <c r="DD492" s="304"/>
      <c r="DE492" s="304"/>
      <c r="DF492" s="304"/>
      <c r="DG492" s="304"/>
    </row>
    <row r="493" spans="77:111">
      <c r="BY493" s="304"/>
      <c r="BZ493" s="415"/>
      <c r="CA493" s="415"/>
      <c r="CB493" s="415"/>
      <c r="CC493" s="415"/>
      <c r="CD493" s="415"/>
      <c r="CE493" s="415"/>
      <c r="CF493" s="415"/>
      <c r="CG493" s="415"/>
      <c r="CH493" s="415"/>
      <c r="CI493" s="415"/>
      <c r="CJ493" s="415"/>
      <c r="CK493" s="415"/>
      <c r="CL493" s="415"/>
      <c r="CM493" s="415"/>
      <c r="CN493" s="415"/>
      <c r="CO493" s="415"/>
      <c r="CP493" s="415"/>
      <c r="CQ493" s="415"/>
      <c r="CR493" s="415"/>
      <c r="CS493" s="415"/>
      <c r="CT493" s="415"/>
      <c r="CU493" s="415"/>
      <c r="CV493" s="415"/>
      <c r="CW493" s="415"/>
      <c r="CX493" s="415"/>
      <c r="CY493" s="416"/>
      <c r="CZ493" s="416"/>
      <c r="DA493" s="416"/>
      <c r="DB493" s="416"/>
      <c r="DC493" s="304"/>
      <c r="DD493" s="304"/>
      <c r="DE493" s="304"/>
      <c r="DF493" s="304"/>
      <c r="DG493" s="304"/>
    </row>
    <row r="494" spans="77:111">
      <c r="BY494" s="304"/>
      <c r="BZ494" s="415"/>
      <c r="CA494" s="415"/>
      <c r="CB494" s="415"/>
      <c r="CC494" s="415"/>
      <c r="CD494" s="415"/>
      <c r="CE494" s="415"/>
      <c r="CF494" s="415"/>
      <c r="CG494" s="415"/>
      <c r="CH494" s="415"/>
      <c r="CI494" s="415"/>
      <c r="CJ494" s="415"/>
      <c r="CK494" s="415"/>
      <c r="CL494" s="415"/>
      <c r="CM494" s="415"/>
      <c r="CN494" s="415"/>
      <c r="CO494" s="415"/>
      <c r="CP494" s="415"/>
      <c r="CQ494" s="415"/>
      <c r="CR494" s="415"/>
      <c r="CS494" s="415"/>
      <c r="CT494" s="415"/>
      <c r="CU494" s="415"/>
      <c r="CV494" s="415"/>
      <c r="CW494" s="415"/>
      <c r="CX494" s="415"/>
      <c r="CY494" s="416"/>
      <c r="CZ494" s="416"/>
      <c r="DA494" s="416"/>
      <c r="DB494" s="416"/>
      <c r="DC494" s="304"/>
      <c r="DD494" s="304"/>
      <c r="DE494" s="304"/>
      <c r="DF494" s="304"/>
      <c r="DG494" s="304"/>
    </row>
    <row r="495" spans="77:111">
      <c r="BY495" s="304"/>
      <c r="BZ495" s="415"/>
      <c r="CA495" s="415"/>
      <c r="CB495" s="415"/>
      <c r="CC495" s="415"/>
      <c r="CD495" s="415"/>
      <c r="CE495" s="415"/>
      <c r="CF495" s="415"/>
      <c r="CG495" s="415"/>
      <c r="CH495" s="415"/>
      <c r="CI495" s="415"/>
      <c r="CJ495" s="415"/>
      <c r="CK495" s="415"/>
      <c r="CL495" s="415"/>
      <c r="CM495" s="415"/>
      <c r="CN495" s="415"/>
      <c r="CO495" s="415"/>
      <c r="CP495" s="415"/>
      <c r="CQ495" s="415"/>
      <c r="CR495" s="415"/>
      <c r="CS495" s="415"/>
      <c r="CT495" s="415"/>
      <c r="CU495" s="415"/>
      <c r="CV495" s="415"/>
      <c r="CW495" s="415"/>
      <c r="CX495" s="415"/>
      <c r="CY495" s="416"/>
      <c r="CZ495" s="416"/>
      <c r="DA495" s="416"/>
      <c r="DB495" s="416"/>
      <c r="DC495" s="304"/>
      <c r="DD495" s="304"/>
      <c r="DE495" s="304"/>
      <c r="DF495" s="304"/>
      <c r="DG495" s="304"/>
    </row>
    <row r="496" spans="77:111">
      <c r="BY496" s="304"/>
      <c r="BZ496" s="415"/>
      <c r="CA496" s="415"/>
      <c r="CB496" s="415"/>
      <c r="CC496" s="415"/>
      <c r="CD496" s="415"/>
      <c r="CE496" s="415"/>
      <c r="CF496" s="415"/>
      <c r="CG496" s="415"/>
      <c r="CH496" s="415"/>
      <c r="CI496" s="415"/>
      <c r="CJ496" s="415"/>
      <c r="CK496" s="415"/>
      <c r="CL496" s="415"/>
      <c r="CM496" s="415"/>
      <c r="CN496" s="415"/>
      <c r="CO496" s="415"/>
      <c r="CP496" s="415"/>
      <c r="CQ496" s="415"/>
      <c r="CR496" s="415"/>
      <c r="CS496" s="415"/>
      <c r="CT496" s="415"/>
      <c r="CU496" s="415"/>
      <c r="CV496" s="415"/>
      <c r="CW496" s="415"/>
      <c r="CX496" s="415"/>
      <c r="CY496" s="416"/>
      <c r="CZ496" s="416"/>
      <c r="DA496" s="416"/>
      <c r="DB496" s="416"/>
      <c r="DC496" s="304"/>
      <c r="DD496" s="304"/>
      <c r="DE496" s="304"/>
      <c r="DF496" s="304"/>
      <c r="DG496" s="304"/>
    </row>
    <row r="497" spans="77:111">
      <c r="BY497" s="304"/>
      <c r="BZ497" s="415"/>
      <c r="CA497" s="415"/>
      <c r="CB497" s="415"/>
      <c r="CC497" s="415"/>
      <c r="CD497" s="415"/>
      <c r="CE497" s="415"/>
      <c r="CF497" s="415"/>
      <c r="CG497" s="415"/>
      <c r="CH497" s="415"/>
      <c r="CI497" s="415"/>
      <c r="CJ497" s="415"/>
      <c r="CK497" s="415"/>
      <c r="CL497" s="415"/>
      <c r="CM497" s="415"/>
      <c r="CN497" s="415"/>
      <c r="CO497" s="415"/>
      <c r="CP497" s="415"/>
      <c r="CQ497" s="415"/>
      <c r="CR497" s="415"/>
      <c r="CS497" s="415"/>
      <c r="CT497" s="415"/>
      <c r="CU497" s="415"/>
      <c r="CV497" s="415"/>
      <c r="CW497" s="415"/>
      <c r="CX497" s="415"/>
      <c r="CY497" s="416"/>
      <c r="CZ497" s="416"/>
      <c r="DA497" s="416"/>
      <c r="DB497" s="416"/>
      <c r="DC497" s="304"/>
      <c r="DD497" s="304"/>
      <c r="DE497" s="304"/>
      <c r="DF497" s="304"/>
      <c r="DG497" s="304"/>
    </row>
    <row r="498" spans="77:111">
      <c r="BY498" s="304"/>
      <c r="BZ498" s="417"/>
      <c r="CA498" s="417"/>
      <c r="CB498" s="415"/>
      <c r="CC498" s="415"/>
      <c r="CD498" s="415"/>
      <c r="CE498" s="415"/>
      <c r="CF498" s="415"/>
      <c r="CG498" s="415"/>
      <c r="CH498" s="415"/>
      <c r="CI498" s="415"/>
      <c r="CJ498" s="415"/>
      <c r="CK498" s="415"/>
      <c r="CL498" s="415"/>
      <c r="CM498" s="415"/>
      <c r="CN498" s="415"/>
      <c r="CO498" s="415"/>
      <c r="CP498" s="415"/>
      <c r="CQ498" s="415"/>
      <c r="CR498" s="415"/>
      <c r="CS498" s="415"/>
      <c r="CT498" s="415"/>
      <c r="CU498" s="415"/>
      <c r="CV498" s="415"/>
      <c r="CW498" s="415"/>
      <c r="CX498" s="415"/>
      <c r="CY498" s="416"/>
      <c r="CZ498" s="416"/>
      <c r="DA498" s="416"/>
      <c r="DB498" s="416"/>
      <c r="DC498" s="304"/>
      <c r="DD498" s="304"/>
      <c r="DE498" s="304"/>
      <c r="DF498" s="304"/>
      <c r="DG498" s="304"/>
    </row>
    <row r="499" spans="77:111">
      <c r="BY499" s="304"/>
      <c r="BZ499" s="415"/>
      <c r="CA499" s="415"/>
      <c r="CB499" s="415"/>
      <c r="CC499" s="415"/>
      <c r="CD499" s="415"/>
      <c r="CE499" s="415"/>
      <c r="CF499" s="415"/>
      <c r="CG499" s="415"/>
      <c r="CH499" s="415"/>
      <c r="CI499" s="415"/>
      <c r="CJ499" s="415"/>
      <c r="CK499" s="415"/>
      <c r="CL499" s="415"/>
      <c r="CM499" s="415"/>
      <c r="CN499" s="415"/>
      <c r="CO499" s="415"/>
      <c r="CP499" s="415"/>
      <c r="CQ499" s="415"/>
      <c r="CR499" s="415"/>
      <c r="CS499" s="415"/>
      <c r="CT499" s="415"/>
      <c r="CU499" s="415"/>
      <c r="CV499" s="415"/>
      <c r="CW499" s="415"/>
      <c r="CX499" s="415"/>
      <c r="CY499" s="415"/>
      <c r="CZ499" s="415"/>
      <c r="DA499" s="416"/>
      <c r="DB499" s="416"/>
      <c r="DC499" s="304"/>
      <c r="DD499" s="304"/>
      <c r="DE499" s="304"/>
      <c r="DF499" s="304"/>
      <c r="DG499" s="304"/>
    </row>
    <row r="500" spans="77:111">
      <c r="BY500" s="304"/>
      <c r="BZ500" s="415"/>
      <c r="CA500" s="415"/>
      <c r="CB500" s="415"/>
      <c r="CC500" s="302"/>
      <c r="CD500" s="415"/>
      <c r="CE500" s="415"/>
      <c r="CF500" s="415"/>
      <c r="CG500" s="415"/>
      <c r="CH500" s="415"/>
      <c r="CI500" s="415"/>
      <c r="CJ500" s="415"/>
      <c r="CK500" s="415"/>
      <c r="CL500" s="415"/>
      <c r="CM500" s="415"/>
      <c r="CN500" s="415"/>
      <c r="CO500" s="415"/>
      <c r="CP500" s="415"/>
      <c r="CQ500" s="415"/>
      <c r="CR500" s="415"/>
      <c r="CS500" s="415"/>
      <c r="CT500" s="415"/>
      <c r="CU500" s="415"/>
      <c r="CV500" s="415"/>
      <c r="CW500" s="415"/>
      <c r="CX500" s="415"/>
      <c r="CY500" s="415"/>
      <c r="CZ500" s="415"/>
      <c r="DA500" s="416"/>
      <c r="DB500" s="416"/>
      <c r="DC500" s="304"/>
      <c r="DD500" s="304"/>
      <c r="DE500" s="304"/>
      <c r="DF500" s="304"/>
      <c r="DG500" s="304"/>
    </row>
    <row r="501" spans="77:111">
      <c r="BY501" s="304"/>
      <c r="BZ501" s="415"/>
      <c r="CA501" s="415"/>
      <c r="CB501" s="415"/>
      <c r="CC501" s="302"/>
      <c r="CD501" s="415"/>
      <c r="CE501" s="415"/>
      <c r="CF501" s="415"/>
      <c r="CG501" s="415"/>
      <c r="CH501" s="415"/>
      <c r="CI501" s="415"/>
      <c r="CJ501" s="415"/>
      <c r="CK501" s="415"/>
      <c r="CL501" s="415"/>
      <c r="CM501" s="415"/>
      <c r="CN501" s="415"/>
      <c r="CO501" s="415"/>
      <c r="CP501" s="415"/>
      <c r="CQ501" s="415"/>
      <c r="CR501" s="415"/>
      <c r="CS501" s="415"/>
      <c r="CT501" s="415"/>
      <c r="CU501" s="415"/>
      <c r="CV501" s="415"/>
      <c r="CW501" s="415"/>
      <c r="CX501" s="415"/>
      <c r="CY501" s="415"/>
      <c r="CZ501" s="415"/>
      <c r="DA501" s="416"/>
      <c r="DB501" s="416"/>
      <c r="DC501" s="304"/>
      <c r="DD501" s="304"/>
      <c r="DE501" s="304"/>
      <c r="DF501" s="304"/>
      <c r="DG501" s="304"/>
    </row>
    <row r="502" spans="77:111">
      <c r="BY502" s="304"/>
      <c r="BZ502" s="415"/>
      <c r="CA502" s="415"/>
      <c r="CB502" s="415"/>
      <c r="CC502" s="302"/>
      <c r="CD502" s="415"/>
      <c r="CE502" s="415"/>
      <c r="CF502" s="415"/>
      <c r="CG502" s="415"/>
      <c r="CH502" s="415"/>
      <c r="CI502" s="415"/>
      <c r="CJ502" s="415"/>
      <c r="CK502" s="415"/>
      <c r="CL502" s="415"/>
      <c r="CM502" s="415"/>
      <c r="CN502" s="415"/>
      <c r="CO502" s="415"/>
      <c r="CP502" s="415"/>
      <c r="CQ502" s="415"/>
      <c r="CR502" s="415"/>
      <c r="CS502" s="415"/>
      <c r="CT502" s="415"/>
      <c r="CU502" s="415"/>
      <c r="CV502" s="415"/>
      <c r="CW502" s="415"/>
      <c r="CX502" s="415"/>
      <c r="CY502" s="415"/>
      <c r="CZ502" s="415"/>
      <c r="DA502" s="416"/>
      <c r="DB502" s="416"/>
      <c r="DC502" s="304"/>
      <c r="DD502" s="304"/>
      <c r="DE502" s="304"/>
      <c r="DF502" s="304"/>
      <c r="DG502" s="304"/>
    </row>
    <row r="503" spans="77:111">
      <c r="BY503" s="304"/>
      <c r="BZ503" s="415"/>
      <c r="CA503" s="415"/>
      <c r="CB503" s="415"/>
      <c r="CC503" s="302"/>
      <c r="CD503" s="415"/>
      <c r="CE503" s="415"/>
      <c r="CF503" s="415"/>
      <c r="CG503" s="415"/>
      <c r="CH503" s="415"/>
      <c r="CI503" s="415"/>
      <c r="CJ503" s="415"/>
      <c r="CK503" s="415"/>
      <c r="CL503" s="415"/>
      <c r="CM503" s="415"/>
      <c r="CN503" s="415"/>
      <c r="CO503" s="415"/>
      <c r="CP503" s="415"/>
      <c r="CQ503" s="415"/>
      <c r="CR503" s="415"/>
      <c r="CS503" s="415"/>
      <c r="CT503" s="415"/>
      <c r="CU503" s="415"/>
      <c r="CV503" s="415"/>
      <c r="CW503" s="415"/>
      <c r="CX503" s="415"/>
      <c r="CY503" s="415"/>
      <c r="CZ503" s="415"/>
      <c r="DA503" s="416"/>
      <c r="DB503" s="416"/>
      <c r="DC503" s="304"/>
      <c r="DD503" s="304"/>
      <c r="DE503" s="304"/>
      <c r="DF503" s="304"/>
      <c r="DG503" s="304"/>
    </row>
    <row r="504" spans="77:111">
      <c r="BY504" s="304"/>
      <c r="BZ504" s="415"/>
      <c r="CA504" s="415"/>
      <c r="CB504" s="415"/>
      <c r="CC504" s="302"/>
      <c r="CD504" s="415"/>
      <c r="CE504" s="415"/>
      <c r="CF504" s="415"/>
      <c r="CG504" s="415"/>
      <c r="CH504" s="415"/>
      <c r="CI504" s="415"/>
      <c r="CJ504" s="415"/>
      <c r="CK504" s="415"/>
      <c r="CL504" s="415"/>
      <c r="CM504" s="415"/>
      <c r="CN504" s="415"/>
      <c r="CO504" s="415"/>
      <c r="CP504" s="415"/>
      <c r="CQ504" s="415"/>
      <c r="CR504" s="415"/>
      <c r="CS504" s="415"/>
      <c r="CT504" s="415"/>
      <c r="CU504" s="415"/>
      <c r="CV504" s="415"/>
      <c r="CW504" s="415"/>
      <c r="CX504" s="415"/>
      <c r="CY504" s="415"/>
      <c r="CZ504" s="415"/>
      <c r="DA504" s="416"/>
      <c r="DB504" s="416"/>
      <c r="DC504" s="304"/>
      <c r="DD504" s="304"/>
      <c r="DE504" s="304"/>
      <c r="DF504" s="304"/>
      <c r="DG504" s="304"/>
    </row>
    <row r="505" spans="77:111">
      <c r="BY505" s="304"/>
      <c r="BZ505" s="415"/>
      <c r="CA505" s="415"/>
      <c r="CB505" s="415"/>
      <c r="CC505" s="302"/>
      <c r="CD505" s="415"/>
      <c r="CE505" s="415"/>
      <c r="CF505" s="415"/>
      <c r="CG505" s="415"/>
      <c r="CH505" s="415"/>
      <c r="CI505" s="415"/>
      <c r="CJ505" s="415"/>
      <c r="CK505" s="415"/>
      <c r="CL505" s="415"/>
      <c r="CM505" s="415"/>
      <c r="CN505" s="415"/>
      <c r="CO505" s="415"/>
      <c r="CP505" s="415"/>
      <c r="CQ505" s="415"/>
      <c r="CR505" s="415"/>
      <c r="CS505" s="415"/>
      <c r="CT505" s="415"/>
      <c r="CU505" s="415"/>
      <c r="CV505" s="415"/>
      <c r="CW505" s="415"/>
      <c r="CX505" s="415"/>
      <c r="CY505" s="415"/>
      <c r="CZ505" s="415"/>
      <c r="DA505" s="416"/>
      <c r="DB505" s="416"/>
      <c r="DC505" s="304"/>
      <c r="DD505" s="304"/>
      <c r="DE505" s="304"/>
      <c r="DF505" s="304"/>
      <c r="DG505" s="304"/>
    </row>
    <row r="506" spans="77:111">
      <c r="BY506" s="304"/>
      <c r="BZ506" s="415"/>
      <c r="CA506" s="415"/>
      <c r="CB506" s="415"/>
      <c r="CC506" s="302"/>
      <c r="CD506" s="415"/>
      <c r="CE506" s="415"/>
      <c r="CF506" s="415"/>
      <c r="CG506" s="415"/>
      <c r="CH506" s="415"/>
      <c r="CI506" s="415"/>
      <c r="CJ506" s="415"/>
      <c r="CK506" s="415"/>
      <c r="CL506" s="415"/>
      <c r="CM506" s="415"/>
      <c r="CN506" s="415"/>
      <c r="CO506" s="415"/>
      <c r="CP506" s="415"/>
      <c r="CQ506" s="415"/>
      <c r="CR506" s="415"/>
      <c r="CS506" s="415"/>
      <c r="CT506" s="415"/>
      <c r="CU506" s="415"/>
      <c r="CV506" s="415"/>
      <c r="CW506" s="415"/>
      <c r="CX506" s="415"/>
      <c r="CY506" s="415"/>
      <c r="CZ506" s="415"/>
      <c r="DA506" s="416"/>
      <c r="DB506" s="416"/>
      <c r="DC506" s="304"/>
      <c r="DD506" s="304"/>
      <c r="DE506" s="304"/>
      <c r="DF506" s="304"/>
      <c r="DG506" s="304"/>
    </row>
    <row r="507" spans="77:111">
      <c r="BY507" s="304"/>
      <c r="BZ507" s="415"/>
      <c r="CA507" s="415"/>
      <c r="CB507" s="415"/>
      <c r="CC507" s="302"/>
      <c r="CD507" s="415"/>
      <c r="CE507" s="415"/>
      <c r="CF507" s="415"/>
      <c r="CG507" s="415"/>
      <c r="CH507" s="415"/>
      <c r="CI507" s="415"/>
      <c r="CJ507" s="415"/>
      <c r="CK507" s="415"/>
      <c r="CL507" s="415"/>
      <c r="CM507" s="415"/>
      <c r="CN507" s="415"/>
      <c r="CO507" s="415"/>
      <c r="CP507" s="415"/>
      <c r="CQ507" s="415"/>
      <c r="CR507" s="415"/>
      <c r="CS507" s="415"/>
      <c r="CT507" s="415"/>
      <c r="CU507" s="415"/>
      <c r="CV507" s="415"/>
      <c r="CW507" s="415"/>
      <c r="CX507" s="415"/>
      <c r="CY507" s="415"/>
      <c r="CZ507" s="415"/>
      <c r="DA507" s="416"/>
      <c r="DB507" s="416"/>
      <c r="DC507" s="304"/>
      <c r="DD507" s="304"/>
      <c r="DE507" s="304"/>
      <c r="DF507" s="304"/>
      <c r="DG507" s="304"/>
    </row>
    <row r="508" spans="77:111">
      <c r="BY508" s="304"/>
      <c r="BZ508" s="417"/>
      <c r="CA508" s="417"/>
      <c r="CB508" s="417"/>
      <c r="CC508" s="302"/>
      <c r="CD508" s="415"/>
      <c r="CE508" s="415"/>
      <c r="CF508" s="415"/>
      <c r="CG508" s="415"/>
      <c r="CH508" s="415"/>
      <c r="CI508" s="415"/>
      <c r="CJ508" s="415"/>
      <c r="CK508" s="415"/>
      <c r="CL508" s="415"/>
      <c r="CM508" s="415"/>
      <c r="CN508" s="415"/>
      <c r="CO508" s="415"/>
      <c r="CP508" s="415"/>
      <c r="CQ508" s="415"/>
      <c r="CR508" s="415"/>
      <c r="CS508" s="415"/>
      <c r="CT508" s="415"/>
      <c r="CU508" s="415"/>
      <c r="CV508" s="415"/>
      <c r="CW508" s="415"/>
      <c r="CX508" s="415"/>
      <c r="CY508" s="415"/>
      <c r="CZ508" s="415"/>
      <c r="DA508" s="416"/>
      <c r="DB508" s="416"/>
      <c r="DC508" s="304"/>
      <c r="DD508" s="304"/>
      <c r="DE508" s="304"/>
      <c r="DF508" s="304"/>
      <c r="DG508" s="304"/>
    </row>
    <row r="509" spans="77:111">
      <c r="BY509" s="304"/>
      <c r="BZ509" s="415"/>
      <c r="CA509" s="415"/>
      <c r="CB509" s="415"/>
      <c r="CC509" s="415"/>
      <c r="CD509" s="415"/>
      <c r="CE509" s="415"/>
      <c r="CF509" s="415"/>
      <c r="CG509" s="415"/>
      <c r="CH509" s="415"/>
      <c r="CI509" s="415"/>
      <c r="CJ509" s="415"/>
      <c r="CK509" s="415"/>
      <c r="CL509" s="415"/>
      <c r="CM509" s="415"/>
      <c r="CN509" s="415"/>
      <c r="CO509" s="415"/>
      <c r="CP509" s="415"/>
      <c r="CQ509" s="415"/>
      <c r="CR509" s="415"/>
      <c r="CS509" s="415"/>
      <c r="CT509" s="415"/>
      <c r="CU509" s="415"/>
      <c r="CV509" s="415"/>
      <c r="CW509" s="415"/>
      <c r="CX509" s="415"/>
      <c r="CY509" s="415"/>
      <c r="CZ509" s="416"/>
      <c r="DA509" s="416"/>
      <c r="DB509" s="416"/>
      <c r="DC509" s="304"/>
      <c r="DD509" s="304"/>
      <c r="DE509" s="304"/>
      <c r="DF509" s="304"/>
      <c r="DG509" s="304"/>
    </row>
    <row r="510" spans="77:111">
      <c r="BY510" s="304"/>
      <c r="BZ510" s="415"/>
      <c r="CA510" s="415"/>
      <c r="CB510" s="415"/>
      <c r="CC510" s="302"/>
      <c r="CD510" s="415"/>
      <c r="CE510" s="415"/>
      <c r="CF510" s="415"/>
      <c r="CG510" s="415"/>
      <c r="CH510" s="415"/>
      <c r="CI510" s="415"/>
      <c r="CJ510" s="415"/>
      <c r="CK510" s="415"/>
      <c r="CL510" s="415"/>
      <c r="CM510" s="415"/>
      <c r="CN510" s="415"/>
      <c r="CO510" s="415"/>
      <c r="CP510" s="415"/>
      <c r="CQ510" s="415"/>
      <c r="CR510" s="415"/>
      <c r="CS510" s="415"/>
      <c r="CT510" s="415"/>
      <c r="CU510" s="415"/>
      <c r="CV510" s="415"/>
      <c r="CW510" s="415"/>
      <c r="CX510" s="415"/>
      <c r="CY510" s="415"/>
      <c r="CZ510" s="416"/>
      <c r="DA510" s="416"/>
      <c r="DB510" s="416"/>
      <c r="DC510" s="304"/>
      <c r="DD510" s="304"/>
      <c r="DE510" s="304"/>
      <c r="DF510" s="304"/>
      <c r="DG510" s="304"/>
    </row>
    <row r="511" spans="77:111">
      <c r="BY511" s="304"/>
      <c r="BZ511" s="415"/>
      <c r="CA511" s="415"/>
      <c r="CB511" s="415"/>
      <c r="CC511" s="302"/>
      <c r="CD511" s="415"/>
      <c r="CE511" s="415"/>
      <c r="CF511" s="415"/>
      <c r="CG511" s="415"/>
      <c r="CH511" s="415"/>
      <c r="CI511" s="415"/>
      <c r="CJ511" s="415"/>
      <c r="CK511" s="415"/>
      <c r="CL511" s="415"/>
      <c r="CM511" s="415"/>
      <c r="CN511" s="415"/>
      <c r="CO511" s="415"/>
      <c r="CP511" s="415"/>
      <c r="CQ511" s="415"/>
      <c r="CR511" s="415"/>
      <c r="CS511" s="415"/>
      <c r="CT511" s="415"/>
      <c r="CU511" s="415"/>
      <c r="CV511" s="415"/>
      <c r="CW511" s="415"/>
      <c r="CX511" s="415"/>
      <c r="CY511" s="415"/>
      <c r="CZ511" s="416"/>
      <c r="DA511" s="416"/>
      <c r="DB511" s="416"/>
      <c r="DC511" s="304"/>
      <c r="DD511" s="304"/>
      <c r="DE511" s="304"/>
      <c r="DF511" s="304"/>
      <c r="DG511" s="304"/>
    </row>
    <row r="512" spans="77:111">
      <c r="BY512" s="304"/>
      <c r="BZ512" s="415"/>
      <c r="CA512" s="415"/>
      <c r="CB512" s="415"/>
      <c r="CC512" s="302"/>
      <c r="CD512" s="415"/>
      <c r="CE512" s="415"/>
      <c r="CF512" s="415"/>
      <c r="CG512" s="415"/>
      <c r="CH512" s="415"/>
      <c r="CI512" s="415"/>
      <c r="CJ512" s="415"/>
      <c r="CK512" s="415"/>
      <c r="CL512" s="415"/>
      <c r="CM512" s="415"/>
      <c r="CN512" s="415"/>
      <c r="CO512" s="415"/>
      <c r="CP512" s="415"/>
      <c r="CQ512" s="415"/>
      <c r="CR512" s="415"/>
      <c r="CS512" s="415"/>
      <c r="CT512" s="415"/>
      <c r="CU512" s="415"/>
      <c r="CV512" s="415"/>
      <c r="CW512" s="415"/>
      <c r="CX512" s="415"/>
      <c r="CY512" s="415"/>
      <c r="CZ512" s="416"/>
      <c r="DA512" s="416"/>
      <c r="DB512" s="416"/>
      <c r="DC512" s="304"/>
      <c r="DD512" s="304"/>
      <c r="DE512" s="304"/>
      <c r="DF512" s="304"/>
      <c r="DG512" s="304"/>
    </row>
    <row r="513" spans="77:111">
      <c r="BY513" s="304"/>
      <c r="BZ513" s="415"/>
      <c r="CA513" s="415"/>
      <c r="CB513" s="415"/>
      <c r="CC513" s="302"/>
      <c r="CD513" s="415"/>
      <c r="CE513" s="415"/>
      <c r="CF513" s="415"/>
      <c r="CG513" s="415"/>
      <c r="CH513" s="415"/>
      <c r="CI513" s="415"/>
      <c r="CJ513" s="415"/>
      <c r="CK513" s="415"/>
      <c r="CL513" s="415"/>
      <c r="CM513" s="415"/>
      <c r="CN513" s="415"/>
      <c r="CO513" s="415"/>
      <c r="CP513" s="415"/>
      <c r="CQ513" s="415"/>
      <c r="CR513" s="415"/>
      <c r="CS513" s="415"/>
      <c r="CT513" s="415"/>
      <c r="CU513" s="415"/>
      <c r="CV513" s="415"/>
      <c r="CW513" s="415"/>
      <c r="CX513" s="415"/>
      <c r="CY513" s="415"/>
      <c r="CZ513" s="416"/>
      <c r="DA513" s="416"/>
      <c r="DB513" s="416"/>
      <c r="DC513" s="304"/>
      <c r="DD513" s="304"/>
      <c r="DE513" s="304"/>
      <c r="DF513" s="304"/>
      <c r="DG513" s="304"/>
    </row>
    <row r="514" spans="77:111">
      <c r="BY514" s="304"/>
      <c r="BZ514" s="415"/>
      <c r="CA514" s="415"/>
      <c r="CB514" s="415"/>
      <c r="CC514" s="302"/>
      <c r="CD514" s="415"/>
      <c r="CE514" s="415"/>
      <c r="CF514" s="415"/>
      <c r="CG514" s="415"/>
      <c r="CH514" s="415"/>
      <c r="CI514" s="415"/>
      <c r="CJ514" s="415"/>
      <c r="CK514" s="415"/>
      <c r="CL514" s="415"/>
      <c r="CM514" s="415"/>
      <c r="CN514" s="415"/>
      <c r="CO514" s="415"/>
      <c r="CP514" s="415"/>
      <c r="CQ514" s="415"/>
      <c r="CR514" s="415"/>
      <c r="CS514" s="415"/>
      <c r="CT514" s="415"/>
      <c r="CU514" s="415"/>
      <c r="CV514" s="415"/>
      <c r="CW514" s="415"/>
      <c r="CX514" s="415"/>
      <c r="CY514" s="415"/>
      <c r="CZ514" s="416"/>
      <c r="DA514" s="416"/>
      <c r="DB514" s="416"/>
      <c r="DC514" s="304"/>
      <c r="DD514" s="304"/>
      <c r="DE514" s="304"/>
      <c r="DF514" s="304"/>
      <c r="DG514" s="304"/>
    </row>
    <row r="515" spans="77:111">
      <c r="BY515" s="304"/>
      <c r="BZ515" s="415"/>
      <c r="CA515" s="415"/>
      <c r="CB515" s="415"/>
      <c r="CC515" s="302"/>
      <c r="CD515" s="415"/>
      <c r="CE515" s="415"/>
      <c r="CF515" s="415"/>
      <c r="CG515" s="415"/>
      <c r="CH515" s="415"/>
      <c r="CI515" s="415"/>
      <c r="CJ515" s="415"/>
      <c r="CK515" s="415"/>
      <c r="CL515" s="415"/>
      <c r="CM515" s="415"/>
      <c r="CN515" s="415"/>
      <c r="CO515" s="415"/>
      <c r="CP515" s="415"/>
      <c r="CQ515" s="415"/>
      <c r="CR515" s="415"/>
      <c r="CS515" s="415"/>
      <c r="CT515" s="415"/>
      <c r="CU515" s="415"/>
      <c r="CV515" s="415"/>
      <c r="CW515" s="415"/>
      <c r="CX515" s="415"/>
      <c r="CY515" s="415"/>
      <c r="CZ515" s="416"/>
      <c r="DA515" s="416"/>
      <c r="DB515" s="416"/>
      <c r="DC515" s="304"/>
      <c r="DD515" s="304"/>
      <c r="DE515" s="304"/>
      <c r="DF515" s="304"/>
      <c r="DG515" s="304"/>
    </row>
    <row r="516" spans="77:111">
      <c r="BY516" s="304"/>
      <c r="BZ516" s="415"/>
      <c r="CA516" s="415"/>
      <c r="CB516" s="415"/>
      <c r="CC516" s="302"/>
      <c r="CD516" s="415"/>
      <c r="CE516" s="415"/>
      <c r="CF516" s="415"/>
      <c r="CG516" s="415"/>
      <c r="CH516" s="415"/>
      <c r="CI516" s="415"/>
      <c r="CJ516" s="415"/>
      <c r="CK516" s="415"/>
      <c r="CL516" s="415"/>
      <c r="CM516" s="415"/>
      <c r="CN516" s="415"/>
      <c r="CO516" s="415"/>
      <c r="CP516" s="415"/>
      <c r="CQ516" s="415"/>
      <c r="CR516" s="415"/>
      <c r="CS516" s="415"/>
      <c r="CT516" s="415"/>
      <c r="CU516" s="415"/>
      <c r="CV516" s="415"/>
      <c r="CW516" s="415"/>
      <c r="CX516" s="415"/>
      <c r="CY516" s="415"/>
      <c r="CZ516" s="416"/>
      <c r="DA516" s="416"/>
      <c r="DB516" s="416"/>
      <c r="DC516" s="304"/>
      <c r="DD516" s="304"/>
      <c r="DE516" s="304"/>
      <c r="DF516" s="304"/>
      <c r="DG516" s="304"/>
    </row>
    <row r="517" spans="77:111">
      <c r="BY517" s="304"/>
      <c r="BZ517" s="415"/>
      <c r="CA517" s="415"/>
      <c r="CB517" s="415"/>
      <c r="CC517" s="302"/>
      <c r="CD517" s="415"/>
      <c r="CE517" s="415"/>
      <c r="CF517" s="415"/>
      <c r="CG517" s="415"/>
      <c r="CH517" s="415"/>
      <c r="CI517" s="415"/>
      <c r="CJ517" s="415"/>
      <c r="CK517" s="415"/>
      <c r="CL517" s="415"/>
      <c r="CM517" s="415"/>
      <c r="CN517" s="415"/>
      <c r="CO517" s="415"/>
      <c r="CP517" s="415"/>
      <c r="CQ517" s="415"/>
      <c r="CR517" s="415"/>
      <c r="CS517" s="415"/>
      <c r="CT517" s="415"/>
      <c r="CU517" s="415"/>
      <c r="CV517" s="415"/>
      <c r="CW517" s="415"/>
      <c r="CX517" s="415"/>
      <c r="CY517" s="415"/>
      <c r="CZ517" s="416"/>
      <c r="DA517" s="416"/>
      <c r="DB517" s="416"/>
      <c r="DC517" s="304"/>
      <c r="DD517" s="304"/>
      <c r="DE517" s="304"/>
      <c r="DF517" s="304"/>
      <c r="DG517" s="304"/>
    </row>
    <row r="518" spans="77:111">
      <c r="BY518" s="304"/>
      <c r="BZ518" s="417"/>
      <c r="CA518" s="417"/>
      <c r="CB518" s="417"/>
      <c r="CC518" s="302"/>
      <c r="CD518" s="415"/>
      <c r="CE518" s="415"/>
      <c r="CF518" s="415"/>
      <c r="CG518" s="415"/>
      <c r="CH518" s="415"/>
      <c r="CI518" s="415"/>
      <c r="CJ518" s="415"/>
      <c r="CK518" s="415"/>
      <c r="CL518" s="415"/>
      <c r="CM518" s="415"/>
      <c r="CN518" s="415"/>
      <c r="CO518" s="415"/>
      <c r="CP518" s="415"/>
      <c r="CQ518" s="415"/>
      <c r="CR518" s="415"/>
      <c r="CS518" s="415"/>
      <c r="CT518" s="415"/>
      <c r="CU518" s="415"/>
      <c r="CV518" s="415"/>
      <c r="CW518" s="415"/>
      <c r="CX518" s="415"/>
      <c r="CY518" s="415"/>
      <c r="CZ518" s="416"/>
      <c r="DA518" s="416"/>
      <c r="DB518" s="416"/>
      <c r="DC518" s="304"/>
      <c r="DD518" s="304"/>
      <c r="DE518" s="304"/>
      <c r="DF518" s="304"/>
      <c r="DG518" s="304"/>
    </row>
    <row r="519" spans="77:111">
      <c r="BY519" s="304"/>
      <c r="BZ519" s="415"/>
      <c r="CA519" s="415"/>
      <c r="CB519" s="415"/>
      <c r="CC519" s="415"/>
      <c r="CD519" s="415"/>
      <c r="CE519" s="415"/>
      <c r="CF519" s="415"/>
      <c r="CG519" s="415"/>
      <c r="CH519" s="415"/>
      <c r="CI519" s="415"/>
      <c r="CJ519" s="415"/>
      <c r="CK519" s="415"/>
      <c r="CL519" s="415"/>
      <c r="CM519" s="415"/>
      <c r="CN519" s="415"/>
      <c r="CO519" s="415"/>
      <c r="CP519" s="415"/>
      <c r="CQ519" s="415"/>
      <c r="CR519" s="415"/>
      <c r="CS519" s="415"/>
      <c r="CT519" s="415"/>
      <c r="CU519" s="415"/>
      <c r="CV519" s="415"/>
      <c r="CW519" s="415"/>
      <c r="CX519" s="415"/>
      <c r="CY519" s="416"/>
      <c r="CZ519" s="416"/>
      <c r="DA519" s="416"/>
      <c r="DB519" s="416"/>
      <c r="DC519" s="304"/>
      <c r="DD519" s="304"/>
      <c r="DE519" s="304"/>
      <c r="DF519" s="304"/>
      <c r="DG519" s="304"/>
    </row>
    <row r="520" spans="77:111">
      <c r="BY520" s="304"/>
      <c r="BZ520" s="415"/>
      <c r="CA520" s="415"/>
      <c r="CB520" s="415"/>
      <c r="CC520" s="302"/>
      <c r="CD520" s="415"/>
      <c r="CE520" s="415"/>
      <c r="CF520" s="415"/>
      <c r="CG520" s="415"/>
      <c r="CH520" s="415"/>
      <c r="CI520" s="415"/>
      <c r="CJ520" s="415"/>
      <c r="CK520" s="415"/>
      <c r="CL520" s="415"/>
      <c r="CM520" s="415"/>
      <c r="CN520" s="415"/>
      <c r="CO520" s="415"/>
      <c r="CP520" s="415"/>
      <c r="CQ520" s="415"/>
      <c r="CR520" s="415"/>
      <c r="CS520" s="415"/>
      <c r="CT520" s="415"/>
      <c r="CU520" s="415"/>
      <c r="CV520" s="415"/>
      <c r="CW520" s="415"/>
      <c r="CX520" s="415"/>
      <c r="CY520" s="416"/>
      <c r="CZ520" s="416"/>
      <c r="DA520" s="416"/>
      <c r="DB520" s="416"/>
      <c r="DC520" s="304"/>
      <c r="DD520" s="304"/>
      <c r="DE520" s="304"/>
      <c r="DF520" s="304"/>
      <c r="DG520" s="304"/>
    </row>
    <row r="521" spans="77:111">
      <c r="BY521" s="304"/>
      <c r="BZ521" s="415"/>
      <c r="CA521" s="415"/>
      <c r="CB521" s="415"/>
      <c r="CC521" s="302"/>
      <c r="CD521" s="415"/>
      <c r="CE521" s="415"/>
      <c r="CF521" s="415"/>
      <c r="CG521" s="415"/>
      <c r="CH521" s="415"/>
      <c r="CI521" s="415"/>
      <c r="CJ521" s="415"/>
      <c r="CK521" s="415"/>
      <c r="CL521" s="415"/>
      <c r="CM521" s="415"/>
      <c r="CN521" s="415"/>
      <c r="CO521" s="415"/>
      <c r="CP521" s="415"/>
      <c r="CQ521" s="415"/>
      <c r="CR521" s="415"/>
      <c r="CS521" s="415"/>
      <c r="CT521" s="415"/>
      <c r="CU521" s="415"/>
      <c r="CV521" s="415"/>
      <c r="CW521" s="415"/>
      <c r="CX521" s="415"/>
      <c r="CY521" s="416"/>
      <c r="CZ521" s="416"/>
      <c r="DA521" s="416"/>
      <c r="DB521" s="416"/>
      <c r="DC521" s="304"/>
      <c r="DD521" s="304"/>
      <c r="DE521" s="304"/>
      <c r="DF521" s="304"/>
      <c r="DG521" s="304"/>
    </row>
    <row r="522" spans="77:111">
      <c r="BY522" s="304"/>
      <c r="BZ522" s="415"/>
      <c r="CA522" s="415"/>
      <c r="CB522" s="415"/>
      <c r="CC522" s="302"/>
      <c r="CD522" s="415"/>
      <c r="CE522" s="415"/>
      <c r="CF522" s="415"/>
      <c r="CG522" s="415"/>
      <c r="CH522" s="415"/>
      <c r="CI522" s="415"/>
      <c r="CJ522" s="415"/>
      <c r="CK522" s="415"/>
      <c r="CL522" s="415"/>
      <c r="CM522" s="415"/>
      <c r="CN522" s="415"/>
      <c r="CO522" s="415"/>
      <c r="CP522" s="415"/>
      <c r="CQ522" s="415"/>
      <c r="CR522" s="415"/>
      <c r="CS522" s="415"/>
      <c r="CT522" s="415"/>
      <c r="CU522" s="415"/>
      <c r="CV522" s="415"/>
      <c r="CW522" s="415"/>
      <c r="CX522" s="415"/>
      <c r="CY522" s="416"/>
      <c r="CZ522" s="416"/>
      <c r="DA522" s="416"/>
      <c r="DB522" s="416"/>
      <c r="DC522" s="304"/>
      <c r="DD522" s="304"/>
      <c r="DE522" s="304"/>
      <c r="DF522" s="304"/>
      <c r="DG522" s="304"/>
    </row>
    <row r="523" spans="77:111">
      <c r="BY523" s="304"/>
      <c r="BZ523" s="415"/>
      <c r="CA523" s="415"/>
      <c r="CB523" s="415"/>
      <c r="CC523" s="302"/>
      <c r="CD523" s="415"/>
      <c r="CE523" s="415"/>
      <c r="CF523" s="415"/>
      <c r="CG523" s="415"/>
      <c r="CH523" s="415"/>
      <c r="CI523" s="415"/>
      <c r="CJ523" s="415"/>
      <c r="CK523" s="415"/>
      <c r="CL523" s="415"/>
      <c r="CM523" s="415"/>
      <c r="CN523" s="415"/>
      <c r="CO523" s="415"/>
      <c r="CP523" s="415"/>
      <c r="CQ523" s="415"/>
      <c r="CR523" s="415"/>
      <c r="CS523" s="415"/>
      <c r="CT523" s="415"/>
      <c r="CU523" s="415"/>
      <c r="CV523" s="415"/>
      <c r="CW523" s="415"/>
      <c r="CX523" s="415"/>
      <c r="CY523" s="416"/>
      <c r="CZ523" s="416"/>
      <c r="DA523" s="416"/>
      <c r="DB523" s="416"/>
      <c r="DC523" s="304"/>
      <c r="DD523" s="304"/>
      <c r="DE523" s="304"/>
      <c r="DF523" s="304"/>
      <c r="DG523" s="304"/>
    </row>
    <row r="524" spans="77:111">
      <c r="BY524" s="304"/>
      <c r="BZ524" s="415"/>
      <c r="CA524" s="415"/>
      <c r="CB524" s="415"/>
      <c r="CC524" s="302"/>
      <c r="CD524" s="415"/>
      <c r="CE524" s="415"/>
      <c r="CF524" s="415"/>
      <c r="CG524" s="415"/>
      <c r="CH524" s="415"/>
      <c r="CI524" s="415"/>
      <c r="CJ524" s="415"/>
      <c r="CK524" s="415"/>
      <c r="CL524" s="415"/>
      <c r="CM524" s="415"/>
      <c r="CN524" s="415"/>
      <c r="CO524" s="415"/>
      <c r="CP524" s="415"/>
      <c r="CQ524" s="415"/>
      <c r="CR524" s="415"/>
      <c r="CS524" s="415"/>
      <c r="CT524" s="415"/>
      <c r="CU524" s="415"/>
      <c r="CV524" s="415"/>
      <c r="CW524" s="415"/>
      <c r="CX524" s="415"/>
      <c r="CY524" s="416"/>
      <c r="CZ524" s="416"/>
      <c r="DA524" s="416"/>
      <c r="DB524" s="416"/>
      <c r="DC524" s="304"/>
      <c r="DD524" s="304"/>
      <c r="DE524" s="304"/>
      <c r="DF524" s="304"/>
      <c r="DG524" s="304"/>
    </row>
    <row r="525" spans="77:111">
      <c r="BY525" s="304"/>
      <c r="BZ525" s="415"/>
      <c r="CA525" s="415"/>
      <c r="CB525" s="415"/>
      <c r="CC525" s="302"/>
      <c r="CD525" s="415"/>
      <c r="CE525" s="415"/>
      <c r="CF525" s="415"/>
      <c r="CG525" s="415"/>
      <c r="CH525" s="415"/>
      <c r="CI525" s="415"/>
      <c r="CJ525" s="415"/>
      <c r="CK525" s="415"/>
      <c r="CL525" s="415"/>
      <c r="CM525" s="415"/>
      <c r="CN525" s="415"/>
      <c r="CO525" s="415"/>
      <c r="CP525" s="415"/>
      <c r="CQ525" s="415"/>
      <c r="CR525" s="415"/>
      <c r="CS525" s="415"/>
      <c r="CT525" s="415"/>
      <c r="CU525" s="415"/>
      <c r="CV525" s="415"/>
      <c r="CW525" s="415"/>
      <c r="CX525" s="415"/>
      <c r="CY525" s="416"/>
      <c r="CZ525" s="416"/>
      <c r="DA525" s="416"/>
      <c r="DB525" s="416"/>
      <c r="DC525" s="304"/>
      <c r="DD525" s="304"/>
      <c r="DE525" s="304"/>
      <c r="DF525" s="304"/>
      <c r="DG525" s="304"/>
    </row>
    <row r="526" spans="77:111">
      <c r="BY526" s="304"/>
      <c r="BZ526" s="415"/>
      <c r="CA526" s="415"/>
      <c r="CB526" s="415"/>
      <c r="CC526" s="302"/>
      <c r="CD526" s="415"/>
      <c r="CE526" s="415"/>
      <c r="CF526" s="415"/>
      <c r="CG526" s="415"/>
      <c r="CH526" s="415"/>
      <c r="CI526" s="415"/>
      <c r="CJ526" s="415"/>
      <c r="CK526" s="415"/>
      <c r="CL526" s="415"/>
      <c r="CM526" s="415"/>
      <c r="CN526" s="415"/>
      <c r="CO526" s="415"/>
      <c r="CP526" s="415"/>
      <c r="CQ526" s="415"/>
      <c r="CR526" s="415"/>
      <c r="CS526" s="415"/>
      <c r="CT526" s="415"/>
      <c r="CU526" s="415"/>
      <c r="CV526" s="415"/>
      <c r="CW526" s="415"/>
      <c r="CX526" s="415"/>
      <c r="CY526" s="416"/>
      <c r="CZ526" s="416"/>
      <c r="DA526" s="416"/>
      <c r="DB526" s="416"/>
      <c r="DC526" s="304"/>
      <c r="DD526" s="304"/>
      <c r="DE526" s="304"/>
      <c r="DF526" s="304"/>
      <c r="DG526" s="304"/>
    </row>
    <row r="527" spans="77:111">
      <c r="BY527" s="304"/>
      <c r="BZ527" s="415"/>
      <c r="CA527" s="415"/>
      <c r="CB527" s="415"/>
      <c r="CC527" s="302"/>
      <c r="CD527" s="415"/>
      <c r="CE527" s="415"/>
      <c r="CF527" s="415"/>
      <c r="CG527" s="415"/>
      <c r="CH527" s="415"/>
      <c r="CI527" s="415"/>
      <c r="CJ527" s="415"/>
      <c r="CK527" s="415"/>
      <c r="CL527" s="415"/>
      <c r="CM527" s="415"/>
      <c r="CN527" s="415"/>
      <c r="CO527" s="415"/>
      <c r="CP527" s="415"/>
      <c r="CQ527" s="415"/>
      <c r="CR527" s="415"/>
      <c r="CS527" s="415"/>
      <c r="CT527" s="415"/>
      <c r="CU527" s="415"/>
      <c r="CV527" s="415"/>
      <c r="CW527" s="415"/>
      <c r="CX527" s="415"/>
      <c r="CY527" s="416"/>
      <c r="CZ527" s="416"/>
      <c r="DA527" s="416"/>
      <c r="DB527" s="416"/>
      <c r="DC527" s="304"/>
      <c r="DD527" s="304"/>
      <c r="DE527" s="304"/>
      <c r="DF527" s="304"/>
      <c r="DG527" s="304"/>
    </row>
    <row r="528" spans="77:111">
      <c r="BY528" s="304"/>
      <c r="BZ528" s="417"/>
      <c r="CA528" s="417"/>
      <c r="CB528" s="417"/>
      <c r="CC528" s="302"/>
      <c r="CD528" s="415"/>
      <c r="CE528" s="415"/>
      <c r="CF528" s="415"/>
      <c r="CG528" s="415"/>
      <c r="CH528" s="415"/>
      <c r="CI528" s="415"/>
      <c r="CJ528" s="415"/>
      <c r="CK528" s="415"/>
      <c r="CL528" s="415"/>
      <c r="CM528" s="415"/>
      <c r="CN528" s="415"/>
      <c r="CO528" s="415"/>
      <c r="CP528" s="415"/>
      <c r="CQ528" s="415"/>
      <c r="CR528" s="415"/>
      <c r="CS528" s="415"/>
      <c r="CT528" s="415"/>
      <c r="CU528" s="415"/>
      <c r="CV528" s="415"/>
      <c r="CW528" s="415"/>
      <c r="CX528" s="415"/>
      <c r="CY528" s="416"/>
      <c r="CZ528" s="416"/>
      <c r="DA528" s="416"/>
      <c r="DB528" s="416"/>
      <c r="DC528" s="304"/>
      <c r="DD528" s="304"/>
      <c r="DE528" s="304"/>
      <c r="DF528" s="304"/>
      <c r="DG528" s="304"/>
    </row>
    <row r="529" spans="77:111">
      <c r="BY529" s="304"/>
      <c r="BZ529" s="415"/>
      <c r="CA529" s="415"/>
      <c r="CB529" s="415"/>
      <c r="CC529" s="415"/>
      <c r="CD529" s="415"/>
      <c r="CE529" s="415"/>
      <c r="CF529" s="415"/>
      <c r="CG529" s="415"/>
      <c r="CH529" s="415"/>
      <c r="CI529" s="415"/>
      <c r="CJ529" s="415"/>
      <c r="CK529" s="415"/>
      <c r="CL529" s="415"/>
      <c r="CM529" s="415"/>
      <c r="CN529" s="415"/>
      <c r="CO529" s="415"/>
      <c r="CP529" s="415"/>
      <c r="CQ529" s="415"/>
      <c r="CR529" s="415"/>
      <c r="CS529" s="415"/>
      <c r="CT529" s="415"/>
      <c r="CU529" s="415"/>
      <c r="CV529" s="415"/>
      <c r="CW529" s="415"/>
      <c r="CX529" s="416"/>
      <c r="CY529" s="416"/>
      <c r="CZ529" s="416"/>
      <c r="DA529" s="416"/>
      <c r="DB529" s="416"/>
      <c r="DC529" s="304"/>
      <c r="DD529" s="304"/>
      <c r="DE529" s="304"/>
      <c r="DF529" s="304"/>
      <c r="DG529" s="304"/>
    </row>
    <row r="530" spans="77:111">
      <c r="BY530" s="304"/>
      <c r="BZ530" s="415"/>
      <c r="CA530" s="415"/>
      <c r="CB530" s="415"/>
      <c r="CC530" s="302"/>
      <c r="CD530" s="415"/>
      <c r="CE530" s="415"/>
      <c r="CF530" s="415"/>
      <c r="CG530" s="415"/>
      <c r="CH530" s="415"/>
      <c r="CI530" s="415"/>
      <c r="CJ530" s="415"/>
      <c r="CK530" s="415"/>
      <c r="CL530" s="415"/>
      <c r="CM530" s="415"/>
      <c r="CN530" s="415"/>
      <c r="CO530" s="415"/>
      <c r="CP530" s="415"/>
      <c r="CQ530" s="415"/>
      <c r="CR530" s="415"/>
      <c r="CS530" s="415"/>
      <c r="CT530" s="415"/>
      <c r="CU530" s="415"/>
      <c r="CV530" s="415"/>
      <c r="CW530" s="415"/>
      <c r="CX530" s="416"/>
      <c r="CY530" s="416"/>
      <c r="CZ530" s="416"/>
      <c r="DA530" s="416"/>
      <c r="DB530" s="416"/>
      <c r="DC530" s="304"/>
      <c r="DD530" s="304"/>
      <c r="DE530" s="304"/>
      <c r="DF530" s="304"/>
      <c r="DG530" s="304"/>
    </row>
    <row r="531" spans="77:111">
      <c r="BY531" s="304"/>
      <c r="BZ531" s="415"/>
      <c r="CA531" s="415"/>
      <c r="CB531" s="415"/>
      <c r="CC531" s="302"/>
      <c r="CD531" s="415"/>
      <c r="CE531" s="415"/>
      <c r="CF531" s="415"/>
      <c r="CG531" s="415"/>
      <c r="CH531" s="415"/>
      <c r="CI531" s="415"/>
      <c r="CJ531" s="415"/>
      <c r="CK531" s="415"/>
      <c r="CL531" s="415"/>
      <c r="CM531" s="415"/>
      <c r="CN531" s="415"/>
      <c r="CO531" s="415"/>
      <c r="CP531" s="415"/>
      <c r="CQ531" s="415"/>
      <c r="CR531" s="415"/>
      <c r="CS531" s="415"/>
      <c r="CT531" s="415"/>
      <c r="CU531" s="415"/>
      <c r="CV531" s="415"/>
      <c r="CW531" s="415"/>
      <c r="CX531" s="416"/>
      <c r="CY531" s="416"/>
      <c r="CZ531" s="416"/>
      <c r="DA531" s="416"/>
      <c r="DB531" s="416"/>
      <c r="DC531" s="304"/>
      <c r="DD531" s="304"/>
      <c r="DE531" s="304"/>
      <c r="DF531" s="304"/>
      <c r="DG531" s="304"/>
    </row>
    <row r="532" spans="77:111">
      <c r="BY532" s="304"/>
      <c r="BZ532" s="415"/>
      <c r="CA532" s="415"/>
      <c r="CB532" s="415"/>
      <c r="CC532" s="302"/>
      <c r="CD532" s="415"/>
      <c r="CE532" s="415"/>
      <c r="CF532" s="415"/>
      <c r="CG532" s="415"/>
      <c r="CH532" s="415"/>
      <c r="CI532" s="415"/>
      <c r="CJ532" s="415"/>
      <c r="CK532" s="415"/>
      <c r="CL532" s="415"/>
      <c r="CM532" s="415"/>
      <c r="CN532" s="415"/>
      <c r="CO532" s="415"/>
      <c r="CP532" s="415"/>
      <c r="CQ532" s="415"/>
      <c r="CR532" s="415"/>
      <c r="CS532" s="415"/>
      <c r="CT532" s="415"/>
      <c r="CU532" s="415"/>
      <c r="CV532" s="415"/>
      <c r="CW532" s="415"/>
      <c r="CX532" s="416"/>
      <c r="CY532" s="416"/>
      <c r="CZ532" s="416"/>
      <c r="DA532" s="416"/>
      <c r="DB532" s="416"/>
      <c r="DC532" s="304"/>
      <c r="DD532" s="304"/>
      <c r="DE532" s="304"/>
      <c r="DF532" s="304"/>
      <c r="DG532" s="304"/>
    </row>
    <row r="533" spans="77:111">
      <c r="BY533" s="304"/>
      <c r="BZ533" s="415"/>
      <c r="CA533" s="415"/>
      <c r="CB533" s="415"/>
      <c r="CC533" s="302"/>
      <c r="CD533" s="415"/>
      <c r="CE533" s="415"/>
      <c r="CF533" s="415"/>
      <c r="CG533" s="415"/>
      <c r="CH533" s="415"/>
      <c r="CI533" s="415"/>
      <c r="CJ533" s="415"/>
      <c r="CK533" s="415"/>
      <c r="CL533" s="415"/>
      <c r="CM533" s="415"/>
      <c r="CN533" s="415"/>
      <c r="CO533" s="415"/>
      <c r="CP533" s="415"/>
      <c r="CQ533" s="415"/>
      <c r="CR533" s="415"/>
      <c r="CS533" s="415"/>
      <c r="CT533" s="415"/>
      <c r="CU533" s="415"/>
      <c r="CV533" s="415"/>
      <c r="CW533" s="415"/>
      <c r="CX533" s="416"/>
      <c r="CY533" s="416"/>
      <c r="CZ533" s="416"/>
      <c r="DA533" s="416"/>
      <c r="DB533" s="416"/>
      <c r="DC533" s="304"/>
      <c r="DD533" s="304"/>
      <c r="DE533" s="304"/>
      <c r="DF533" s="304"/>
      <c r="DG533" s="304"/>
    </row>
    <row r="534" spans="77:111">
      <c r="BY534" s="304"/>
      <c r="BZ534" s="415"/>
      <c r="CA534" s="415"/>
      <c r="CB534" s="415"/>
      <c r="CC534" s="302"/>
      <c r="CD534" s="415"/>
      <c r="CE534" s="415"/>
      <c r="CF534" s="415"/>
      <c r="CG534" s="415"/>
      <c r="CH534" s="415"/>
      <c r="CI534" s="415"/>
      <c r="CJ534" s="415"/>
      <c r="CK534" s="415"/>
      <c r="CL534" s="415"/>
      <c r="CM534" s="415"/>
      <c r="CN534" s="415"/>
      <c r="CO534" s="415"/>
      <c r="CP534" s="415"/>
      <c r="CQ534" s="415"/>
      <c r="CR534" s="415"/>
      <c r="CS534" s="415"/>
      <c r="CT534" s="415"/>
      <c r="CU534" s="415"/>
      <c r="CV534" s="415"/>
      <c r="CW534" s="415"/>
      <c r="CX534" s="416"/>
      <c r="CY534" s="416"/>
      <c r="CZ534" s="416"/>
      <c r="DA534" s="416"/>
      <c r="DB534" s="416"/>
      <c r="DC534" s="304"/>
      <c r="DD534" s="304"/>
      <c r="DE534" s="304"/>
      <c r="DF534" s="304"/>
      <c r="DG534" s="304"/>
    </row>
    <row r="535" spans="77:111">
      <c r="BY535" s="304"/>
      <c r="BZ535" s="415"/>
      <c r="CA535" s="415"/>
      <c r="CB535" s="415"/>
      <c r="CC535" s="302"/>
      <c r="CD535" s="415"/>
      <c r="CE535" s="415"/>
      <c r="CF535" s="415"/>
      <c r="CG535" s="415"/>
      <c r="CH535" s="415"/>
      <c r="CI535" s="415"/>
      <c r="CJ535" s="415"/>
      <c r="CK535" s="415"/>
      <c r="CL535" s="415"/>
      <c r="CM535" s="415"/>
      <c r="CN535" s="415"/>
      <c r="CO535" s="415"/>
      <c r="CP535" s="415"/>
      <c r="CQ535" s="415"/>
      <c r="CR535" s="415"/>
      <c r="CS535" s="415"/>
      <c r="CT535" s="415"/>
      <c r="CU535" s="415"/>
      <c r="CV535" s="415"/>
      <c r="CW535" s="415"/>
      <c r="CX535" s="416"/>
      <c r="CY535" s="416"/>
      <c r="CZ535" s="416"/>
      <c r="DA535" s="416"/>
      <c r="DB535" s="416"/>
      <c r="DC535" s="304"/>
      <c r="DD535" s="304"/>
      <c r="DE535" s="304"/>
      <c r="DF535" s="304"/>
      <c r="DG535" s="304"/>
    </row>
    <row r="536" spans="77:111">
      <c r="BY536" s="304"/>
      <c r="BZ536" s="415"/>
      <c r="CA536" s="415"/>
      <c r="CB536" s="415"/>
      <c r="CC536" s="302"/>
      <c r="CD536" s="415"/>
      <c r="CE536" s="415"/>
      <c r="CF536" s="415"/>
      <c r="CG536" s="415"/>
      <c r="CH536" s="415"/>
      <c r="CI536" s="415"/>
      <c r="CJ536" s="415"/>
      <c r="CK536" s="415"/>
      <c r="CL536" s="415"/>
      <c r="CM536" s="415"/>
      <c r="CN536" s="415"/>
      <c r="CO536" s="415"/>
      <c r="CP536" s="415"/>
      <c r="CQ536" s="415"/>
      <c r="CR536" s="415"/>
      <c r="CS536" s="415"/>
      <c r="CT536" s="415"/>
      <c r="CU536" s="415"/>
      <c r="CV536" s="415"/>
      <c r="CW536" s="415"/>
      <c r="CX536" s="416"/>
      <c r="CY536" s="416"/>
      <c r="CZ536" s="416"/>
      <c r="DA536" s="416"/>
      <c r="DB536" s="416"/>
      <c r="DC536" s="304"/>
      <c r="DD536" s="304"/>
      <c r="DE536" s="304"/>
      <c r="DF536" s="304"/>
      <c r="DG536" s="304"/>
    </row>
    <row r="537" spans="77:111">
      <c r="BY537" s="304"/>
      <c r="BZ537" s="415"/>
      <c r="CA537" s="415"/>
      <c r="CB537" s="415"/>
      <c r="CC537" s="302"/>
      <c r="CD537" s="415"/>
      <c r="CE537" s="415"/>
      <c r="CF537" s="415"/>
      <c r="CG537" s="415"/>
      <c r="CH537" s="415"/>
      <c r="CI537" s="415"/>
      <c r="CJ537" s="415"/>
      <c r="CK537" s="415"/>
      <c r="CL537" s="415"/>
      <c r="CM537" s="415"/>
      <c r="CN537" s="415"/>
      <c r="CO537" s="415"/>
      <c r="CP537" s="415"/>
      <c r="CQ537" s="415"/>
      <c r="CR537" s="415"/>
      <c r="CS537" s="415"/>
      <c r="CT537" s="415"/>
      <c r="CU537" s="415"/>
      <c r="CV537" s="415"/>
      <c r="CW537" s="415"/>
      <c r="CX537" s="416"/>
      <c r="CY537" s="416"/>
      <c r="CZ537" s="416"/>
      <c r="DA537" s="416"/>
      <c r="DB537" s="416"/>
      <c r="DC537" s="304"/>
      <c r="DD537" s="304"/>
      <c r="DE537" s="304"/>
      <c r="DF537" s="304"/>
      <c r="DG537" s="304"/>
    </row>
    <row r="538" spans="77:111">
      <c r="BY538" s="304"/>
      <c r="BZ538" s="417"/>
      <c r="CA538" s="417"/>
      <c r="CB538" s="417"/>
      <c r="CC538" s="302"/>
      <c r="CD538" s="415"/>
      <c r="CE538" s="415"/>
      <c r="CF538" s="415"/>
      <c r="CG538" s="415"/>
      <c r="CH538" s="415"/>
      <c r="CI538" s="415"/>
      <c r="CJ538" s="415"/>
      <c r="CK538" s="415"/>
      <c r="CL538" s="415"/>
      <c r="CM538" s="415"/>
      <c r="CN538" s="415"/>
      <c r="CO538" s="415"/>
      <c r="CP538" s="415"/>
      <c r="CQ538" s="415"/>
      <c r="CR538" s="415"/>
      <c r="CS538" s="415"/>
      <c r="CT538" s="415"/>
      <c r="CU538" s="415"/>
      <c r="CV538" s="415"/>
      <c r="CW538" s="415"/>
      <c r="CX538" s="416"/>
      <c r="CY538" s="416"/>
      <c r="CZ538" s="416"/>
      <c r="DA538" s="416"/>
      <c r="DB538" s="416"/>
      <c r="DC538" s="304"/>
      <c r="DD538" s="304"/>
      <c r="DE538" s="304"/>
      <c r="DF538" s="304"/>
      <c r="DG538" s="304"/>
    </row>
    <row r="539" spans="77:111">
      <c r="BY539" s="304"/>
      <c r="BZ539" s="415"/>
      <c r="CA539" s="415"/>
      <c r="CB539" s="415"/>
      <c r="CC539" s="415"/>
      <c r="CD539" s="415"/>
      <c r="CE539" s="415"/>
      <c r="CF539" s="415"/>
      <c r="CG539" s="415"/>
      <c r="CH539" s="415"/>
      <c r="CI539" s="415"/>
      <c r="CJ539" s="415"/>
      <c r="CK539" s="415"/>
      <c r="CL539" s="415"/>
      <c r="CM539" s="415"/>
      <c r="CN539" s="415"/>
      <c r="CO539" s="415"/>
      <c r="CP539" s="415"/>
      <c r="CQ539" s="415"/>
      <c r="CR539" s="415"/>
      <c r="CS539" s="415"/>
      <c r="CT539" s="415"/>
      <c r="CU539" s="415"/>
      <c r="CV539" s="415"/>
      <c r="CW539" s="416"/>
      <c r="CX539" s="416"/>
      <c r="CY539" s="416"/>
      <c r="CZ539" s="416"/>
      <c r="DA539" s="416"/>
      <c r="DB539" s="416"/>
      <c r="DC539" s="304"/>
      <c r="DD539" s="304"/>
      <c r="DE539" s="304"/>
      <c r="DF539" s="304"/>
      <c r="DG539" s="304"/>
    </row>
    <row r="540" spans="77:111">
      <c r="BY540" s="304"/>
      <c r="BZ540" s="415"/>
      <c r="CA540" s="415"/>
      <c r="CB540" s="415"/>
      <c r="CC540" s="302"/>
      <c r="CD540" s="415"/>
      <c r="CE540" s="415"/>
      <c r="CF540" s="415"/>
      <c r="CG540" s="415"/>
      <c r="CH540" s="415"/>
      <c r="CI540" s="415"/>
      <c r="CJ540" s="415"/>
      <c r="CK540" s="415"/>
      <c r="CL540" s="415"/>
      <c r="CM540" s="415"/>
      <c r="CN540" s="415"/>
      <c r="CO540" s="415"/>
      <c r="CP540" s="415"/>
      <c r="CQ540" s="415"/>
      <c r="CR540" s="415"/>
      <c r="CS540" s="415"/>
      <c r="CT540" s="415"/>
      <c r="CU540" s="415"/>
      <c r="CV540" s="415"/>
      <c r="CW540" s="416"/>
      <c r="CX540" s="416"/>
      <c r="CY540" s="416"/>
      <c r="CZ540" s="416"/>
      <c r="DA540" s="416"/>
      <c r="DB540" s="416"/>
      <c r="DC540" s="304"/>
      <c r="DD540" s="304"/>
      <c r="DE540" s="304"/>
      <c r="DF540" s="304"/>
      <c r="DG540" s="304"/>
    </row>
    <row r="541" spans="77:111">
      <c r="BY541" s="304"/>
      <c r="BZ541" s="415"/>
      <c r="CA541" s="415"/>
      <c r="CB541" s="415"/>
      <c r="CC541" s="302"/>
      <c r="CD541" s="415"/>
      <c r="CE541" s="415"/>
      <c r="CF541" s="415"/>
      <c r="CG541" s="415"/>
      <c r="CH541" s="415"/>
      <c r="CI541" s="415"/>
      <c r="CJ541" s="415"/>
      <c r="CK541" s="415"/>
      <c r="CL541" s="415"/>
      <c r="CM541" s="415"/>
      <c r="CN541" s="415"/>
      <c r="CO541" s="415"/>
      <c r="CP541" s="415"/>
      <c r="CQ541" s="415"/>
      <c r="CR541" s="415"/>
      <c r="CS541" s="415"/>
      <c r="CT541" s="415"/>
      <c r="CU541" s="415"/>
      <c r="CV541" s="415"/>
      <c r="CW541" s="416"/>
      <c r="CX541" s="416"/>
      <c r="CY541" s="416"/>
      <c r="CZ541" s="416"/>
      <c r="DA541" s="416"/>
      <c r="DB541" s="416"/>
      <c r="DC541" s="304"/>
      <c r="DD541" s="304"/>
      <c r="DE541" s="304"/>
      <c r="DF541" s="304"/>
      <c r="DG541" s="304"/>
    </row>
    <row r="542" spans="77:111">
      <c r="BY542" s="304"/>
      <c r="BZ542" s="415"/>
      <c r="CA542" s="415"/>
      <c r="CB542" s="415"/>
      <c r="CC542" s="302"/>
      <c r="CD542" s="415"/>
      <c r="CE542" s="415"/>
      <c r="CF542" s="415"/>
      <c r="CG542" s="415"/>
      <c r="CH542" s="415"/>
      <c r="CI542" s="415"/>
      <c r="CJ542" s="415"/>
      <c r="CK542" s="415"/>
      <c r="CL542" s="415"/>
      <c r="CM542" s="415"/>
      <c r="CN542" s="415"/>
      <c r="CO542" s="415"/>
      <c r="CP542" s="415"/>
      <c r="CQ542" s="415"/>
      <c r="CR542" s="415"/>
      <c r="CS542" s="415"/>
      <c r="CT542" s="415"/>
      <c r="CU542" s="415"/>
      <c r="CV542" s="415"/>
      <c r="CW542" s="416"/>
      <c r="CX542" s="416"/>
      <c r="CY542" s="416"/>
      <c r="CZ542" s="416"/>
      <c r="DA542" s="416"/>
      <c r="DB542" s="416"/>
      <c r="DC542" s="304"/>
      <c r="DD542" s="304"/>
      <c r="DE542" s="304"/>
      <c r="DF542" s="304"/>
      <c r="DG542" s="304"/>
    </row>
    <row r="543" spans="77:111">
      <c r="BY543" s="304"/>
      <c r="BZ543" s="415"/>
      <c r="CA543" s="415"/>
      <c r="CB543" s="415"/>
      <c r="CC543" s="302"/>
      <c r="CD543" s="415"/>
      <c r="CE543" s="415"/>
      <c r="CF543" s="415"/>
      <c r="CG543" s="415"/>
      <c r="CH543" s="415"/>
      <c r="CI543" s="415"/>
      <c r="CJ543" s="415"/>
      <c r="CK543" s="415"/>
      <c r="CL543" s="415"/>
      <c r="CM543" s="415"/>
      <c r="CN543" s="415"/>
      <c r="CO543" s="415"/>
      <c r="CP543" s="415"/>
      <c r="CQ543" s="415"/>
      <c r="CR543" s="415"/>
      <c r="CS543" s="415"/>
      <c r="CT543" s="415"/>
      <c r="CU543" s="415"/>
      <c r="CV543" s="415"/>
      <c r="CW543" s="416"/>
      <c r="CX543" s="416"/>
      <c r="CY543" s="416"/>
      <c r="CZ543" s="416"/>
      <c r="DA543" s="416"/>
      <c r="DB543" s="416"/>
      <c r="DC543" s="304"/>
      <c r="DD543" s="304"/>
      <c r="DE543" s="304"/>
      <c r="DF543" s="304"/>
      <c r="DG543" s="304"/>
    </row>
    <row r="544" spans="77:111">
      <c r="BY544" s="304"/>
      <c r="BZ544" s="415"/>
      <c r="CA544" s="415"/>
      <c r="CB544" s="415"/>
      <c r="CC544" s="302"/>
      <c r="CD544" s="415"/>
      <c r="CE544" s="415"/>
      <c r="CF544" s="415"/>
      <c r="CG544" s="415"/>
      <c r="CH544" s="415"/>
      <c r="CI544" s="415"/>
      <c r="CJ544" s="415"/>
      <c r="CK544" s="415"/>
      <c r="CL544" s="415"/>
      <c r="CM544" s="415"/>
      <c r="CN544" s="415"/>
      <c r="CO544" s="415"/>
      <c r="CP544" s="415"/>
      <c r="CQ544" s="415"/>
      <c r="CR544" s="415"/>
      <c r="CS544" s="415"/>
      <c r="CT544" s="415"/>
      <c r="CU544" s="415"/>
      <c r="CV544" s="415"/>
      <c r="CW544" s="416"/>
      <c r="CX544" s="416"/>
      <c r="CY544" s="416"/>
      <c r="CZ544" s="416"/>
      <c r="DA544" s="416"/>
      <c r="DB544" s="416"/>
      <c r="DC544" s="304"/>
      <c r="DD544" s="304"/>
      <c r="DE544" s="304"/>
      <c r="DF544" s="304"/>
      <c r="DG544" s="304"/>
    </row>
    <row r="545" spans="77:111">
      <c r="BY545" s="304"/>
      <c r="BZ545" s="415"/>
      <c r="CA545" s="415"/>
      <c r="CB545" s="415"/>
      <c r="CC545" s="302"/>
      <c r="CD545" s="415"/>
      <c r="CE545" s="415"/>
      <c r="CF545" s="415"/>
      <c r="CG545" s="415"/>
      <c r="CH545" s="415"/>
      <c r="CI545" s="415"/>
      <c r="CJ545" s="415"/>
      <c r="CK545" s="415"/>
      <c r="CL545" s="415"/>
      <c r="CM545" s="415"/>
      <c r="CN545" s="415"/>
      <c r="CO545" s="415"/>
      <c r="CP545" s="415"/>
      <c r="CQ545" s="415"/>
      <c r="CR545" s="415"/>
      <c r="CS545" s="415"/>
      <c r="CT545" s="415"/>
      <c r="CU545" s="415"/>
      <c r="CV545" s="415"/>
      <c r="CW545" s="416"/>
      <c r="CX545" s="416"/>
      <c r="CY545" s="416"/>
      <c r="CZ545" s="416"/>
      <c r="DA545" s="416"/>
      <c r="DB545" s="416"/>
      <c r="DC545" s="304"/>
      <c r="DD545" s="304"/>
      <c r="DE545" s="304"/>
      <c r="DF545" s="304"/>
      <c r="DG545" s="304"/>
    </row>
    <row r="546" spans="77:111">
      <c r="BY546" s="304"/>
      <c r="BZ546" s="415"/>
      <c r="CA546" s="415"/>
      <c r="CB546" s="415"/>
      <c r="CC546" s="302"/>
      <c r="CD546" s="415"/>
      <c r="CE546" s="415"/>
      <c r="CF546" s="415"/>
      <c r="CG546" s="415"/>
      <c r="CH546" s="415"/>
      <c r="CI546" s="415"/>
      <c r="CJ546" s="415"/>
      <c r="CK546" s="415"/>
      <c r="CL546" s="415"/>
      <c r="CM546" s="415"/>
      <c r="CN546" s="415"/>
      <c r="CO546" s="415"/>
      <c r="CP546" s="415"/>
      <c r="CQ546" s="415"/>
      <c r="CR546" s="415"/>
      <c r="CS546" s="415"/>
      <c r="CT546" s="415"/>
      <c r="CU546" s="415"/>
      <c r="CV546" s="415"/>
      <c r="CW546" s="416"/>
      <c r="CX546" s="416"/>
      <c r="CY546" s="416"/>
      <c r="CZ546" s="416"/>
      <c r="DA546" s="416"/>
      <c r="DB546" s="416"/>
      <c r="DC546" s="304"/>
      <c r="DD546" s="304"/>
      <c r="DE546" s="304"/>
      <c r="DF546" s="304"/>
      <c r="DG546" s="304"/>
    </row>
    <row r="547" spans="77:111">
      <c r="BY547" s="304"/>
      <c r="BZ547" s="415"/>
      <c r="CA547" s="415"/>
      <c r="CB547" s="415"/>
      <c r="CC547" s="302"/>
      <c r="CD547" s="415"/>
      <c r="CE547" s="415"/>
      <c r="CF547" s="415"/>
      <c r="CG547" s="415"/>
      <c r="CH547" s="415"/>
      <c r="CI547" s="415"/>
      <c r="CJ547" s="415"/>
      <c r="CK547" s="415"/>
      <c r="CL547" s="415"/>
      <c r="CM547" s="415"/>
      <c r="CN547" s="415"/>
      <c r="CO547" s="415"/>
      <c r="CP547" s="415"/>
      <c r="CQ547" s="415"/>
      <c r="CR547" s="415"/>
      <c r="CS547" s="415"/>
      <c r="CT547" s="415"/>
      <c r="CU547" s="415"/>
      <c r="CV547" s="415"/>
      <c r="CW547" s="416"/>
      <c r="CX547" s="416"/>
      <c r="CY547" s="416"/>
      <c r="CZ547" s="416"/>
      <c r="DA547" s="416"/>
      <c r="DB547" s="416"/>
      <c r="DC547" s="304"/>
      <c r="DD547" s="304"/>
      <c r="DE547" s="304"/>
      <c r="DF547" s="304"/>
      <c r="DG547" s="304"/>
    </row>
    <row r="548" spans="77:111">
      <c r="BY548" s="304"/>
      <c r="BZ548" s="417"/>
      <c r="CA548" s="417"/>
      <c r="CB548" s="417"/>
      <c r="CC548" s="302"/>
      <c r="CD548" s="415"/>
      <c r="CE548" s="415"/>
      <c r="CF548" s="415"/>
      <c r="CG548" s="415"/>
      <c r="CH548" s="415"/>
      <c r="CI548" s="415"/>
      <c r="CJ548" s="415"/>
      <c r="CK548" s="415"/>
      <c r="CL548" s="415"/>
      <c r="CM548" s="415"/>
      <c r="CN548" s="415"/>
      <c r="CO548" s="415"/>
      <c r="CP548" s="415"/>
      <c r="CQ548" s="415"/>
      <c r="CR548" s="415"/>
      <c r="CS548" s="415"/>
      <c r="CT548" s="415"/>
      <c r="CU548" s="415"/>
      <c r="CV548" s="415"/>
      <c r="CW548" s="416"/>
      <c r="CX548" s="416"/>
      <c r="CY548" s="416"/>
      <c r="CZ548" s="416"/>
      <c r="DA548" s="416"/>
      <c r="DB548" s="416"/>
      <c r="DC548" s="304"/>
      <c r="DD548" s="304"/>
      <c r="DE548" s="304"/>
      <c r="DF548" s="304"/>
      <c r="DG548" s="304"/>
    </row>
    <row r="549" spans="77:111">
      <c r="BY549" s="304"/>
      <c r="BZ549" s="415"/>
      <c r="CA549" s="415"/>
      <c r="CB549" s="415"/>
      <c r="CC549" s="415"/>
      <c r="CD549" s="415"/>
      <c r="CE549" s="415"/>
      <c r="CF549" s="415"/>
      <c r="CG549" s="415"/>
      <c r="CH549" s="415"/>
      <c r="CI549" s="415"/>
      <c r="CJ549" s="415"/>
      <c r="CK549" s="415"/>
      <c r="CL549" s="415"/>
      <c r="CM549" s="415"/>
      <c r="CN549" s="415"/>
      <c r="CO549" s="415"/>
      <c r="CP549" s="415"/>
      <c r="CQ549" s="415"/>
      <c r="CR549" s="415"/>
      <c r="CS549" s="415"/>
      <c r="CT549" s="415"/>
      <c r="CU549" s="415"/>
      <c r="CV549" s="416"/>
      <c r="CW549" s="416"/>
      <c r="CX549" s="416"/>
      <c r="CY549" s="416"/>
      <c r="CZ549" s="416"/>
      <c r="DA549" s="416"/>
      <c r="DB549" s="416"/>
      <c r="DC549" s="304"/>
      <c r="DD549" s="304"/>
      <c r="DE549" s="304"/>
      <c r="DF549" s="304"/>
      <c r="DG549" s="304"/>
    </row>
    <row r="550" spans="77:111">
      <c r="BY550" s="304"/>
      <c r="BZ550" s="415"/>
      <c r="CA550" s="415"/>
      <c r="CB550" s="415"/>
      <c r="CC550" s="302"/>
      <c r="CD550" s="415"/>
      <c r="CE550" s="415"/>
      <c r="CF550" s="415"/>
      <c r="CG550" s="415"/>
      <c r="CH550" s="415"/>
      <c r="CI550" s="415"/>
      <c r="CJ550" s="415"/>
      <c r="CK550" s="415"/>
      <c r="CL550" s="415"/>
      <c r="CM550" s="415"/>
      <c r="CN550" s="415"/>
      <c r="CO550" s="415"/>
      <c r="CP550" s="415"/>
      <c r="CQ550" s="415"/>
      <c r="CR550" s="415"/>
      <c r="CS550" s="415"/>
      <c r="CT550" s="415"/>
      <c r="CU550" s="415"/>
      <c r="CV550" s="416"/>
      <c r="CW550" s="416"/>
      <c r="CX550" s="416"/>
      <c r="CY550" s="416"/>
      <c r="CZ550" s="416"/>
      <c r="DA550" s="416"/>
      <c r="DB550" s="416"/>
      <c r="DC550" s="304"/>
      <c r="DD550" s="304"/>
      <c r="DE550" s="304"/>
      <c r="DF550" s="304"/>
      <c r="DG550" s="304"/>
    </row>
    <row r="551" spans="77:111">
      <c r="BY551" s="304"/>
      <c r="BZ551" s="415"/>
      <c r="CA551" s="415"/>
      <c r="CB551" s="415"/>
      <c r="CC551" s="302"/>
      <c r="CD551" s="415"/>
      <c r="CE551" s="415"/>
      <c r="CF551" s="415"/>
      <c r="CG551" s="415"/>
      <c r="CH551" s="415"/>
      <c r="CI551" s="415"/>
      <c r="CJ551" s="415"/>
      <c r="CK551" s="415"/>
      <c r="CL551" s="415"/>
      <c r="CM551" s="415"/>
      <c r="CN551" s="415"/>
      <c r="CO551" s="415"/>
      <c r="CP551" s="415"/>
      <c r="CQ551" s="415"/>
      <c r="CR551" s="415"/>
      <c r="CS551" s="415"/>
      <c r="CT551" s="415"/>
      <c r="CU551" s="415"/>
      <c r="CV551" s="416"/>
      <c r="CW551" s="416"/>
      <c r="CX551" s="416"/>
      <c r="CY551" s="416"/>
      <c r="CZ551" s="416"/>
      <c r="DA551" s="416"/>
      <c r="DB551" s="416"/>
      <c r="DC551" s="304"/>
      <c r="DD551" s="304"/>
      <c r="DE551" s="304"/>
      <c r="DF551" s="304"/>
      <c r="DG551" s="304"/>
    </row>
    <row r="552" spans="77:111">
      <c r="BY552" s="304"/>
      <c r="BZ552" s="415"/>
      <c r="CA552" s="415"/>
      <c r="CB552" s="415"/>
      <c r="CC552" s="302"/>
      <c r="CD552" s="415"/>
      <c r="CE552" s="415"/>
      <c r="CF552" s="415"/>
      <c r="CG552" s="415"/>
      <c r="CH552" s="415"/>
      <c r="CI552" s="415"/>
      <c r="CJ552" s="415"/>
      <c r="CK552" s="415"/>
      <c r="CL552" s="415"/>
      <c r="CM552" s="415"/>
      <c r="CN552" s="415"/>
      <c r="CO552" s="415"/>
      <c r="CP552" s="415"/>
      <c r="CQ552" s="415"/>
      <c r="CR552" s="415"/>
      <c r="CS552" s="415"/>
      <c r="CT552" s="415"/>
      <c r="CU552" s="415"/>
      <c r="CV552" s="416"/>
      <c r="CW552" s="416"/>
      <c r="CX552" s="416"/>
      <c r="CY552" s="416"/>
      <c r="CZ552" s="416"/>
      <c r="DA552" s="416"/>
      <c r="DB552" s="416"/>
      <c r="DC552" s="304"/>
      <c r="DD552" s="304"/>
      <c r="DE552" s="304"/>
      <c r="DF552" s="304"/>
      <c r="DG552" s="304"/>
    </row>
    <row r="553" spans="77:111">
      <c r="BY553" s="304"/>
      <c r="BZ553" s="415"/>
      <c r="CA553" s="415"/>
      <c r="CB553" s="415"/>
      <c r="CC553" s="302"/>
      <c r="CD553" s="415"/>
      <c r="CE553" s="415"/>
      <c r="CF553" s="415"/>
      <c r="CG553" s="415"/>
      <c r="CH553" s="415"/>
      <c r="CI553" s="415"/>
      <c r="CJ553" s="415"/>
      <c r="CK553" s="415"/>
      <c r="CL553" s="415"/>
      <c r="CM553" s="415"/>
      <c r="CN553" s="415"/>
      <c r="CO553" s="415"/>
      <c r="CP553" s="415"/>
      <c r="CQ553" s="415"/>
      <c r="CR553" s="415"/>
      <c r="CS553" s="415"/>
      <c r="CT553" s="415"/>
      <c r="CU553" s="415"/>
      <c r="CV553" s="416"/>
      <c r="CW553" s="416"/>
      <c r="CX553" s="416"/>
      <c r="CY553" s="416"/>
      <c r="CZ553" s="416"/>
      <c r="DA553" s="416"/>
      <c r="DB553" s="416"/>
      <c r="DC553" s="304"/>
      <c r="DD553" s="304"/>
      <c r="DE553" s="304"/>
      <c r="DF553" s="304"/>
      <c r="DG553" s="304"/>
    </row>
    <row r="554" spans="77:111">
      <c r="BY554" s="304"/>
      <c r="BZ554" s="415"/>
      <c r="CA554" s="415"/>
      <c r="CB554" s="415"/>
      <c r="CC554" s="302"/>
      <c r="CD554" s="415"/>
      <c r="CE554" s="415"/>
      <c r="CF554" s="415"/>
      <c r="CG554" s="415"/>
      <c r="CH554" s="415"/>
      <c r="CI554" s="415"/>
      <c r="CJ554" s="415"/>
      <c r="CK554" s="415"/>
      <c r="CL554" s="415"/>
      <c r="CM554" s="415"/>
      <c r="CN554" s="415"/>
      <c r="CO554" s="415"/>
      <c r="CP554" s="415"/>
      <c r="CQ554" s="415"/>
      <c r="CR554" s="415"/>
      <c r="CS554" s="415"/>
      <c r="CT554" s="415"/>
      <c r="CU554" s="415"/>
      <c r="CV554" s="416"/>
      <c r="CW554" s="416"/>
      <c r="CX554" s="416"/>
      <c r="CY554" s="416"/>
      <c r="CZ554" s="416"/>
      <c r="DA554" s="416"/>
      <c r="DB554" s="416"/>
      <c r="DC554" s="304"/>
      <c r="DD554" s="304"/>
      <c r="DE554" s="304"/>
      <c r="DF554" s="304"/>
      <c r="DG554" s="304"/>
    </row>
    <row r="555" spans="77:111">
      <c r="BY555" s="304"/>
      <c r="BZ555" s="415"/>
      <c r="CA555" s="415"/>
      <c r="CB555" s="415"/>
      <c r="CC555" s="302"/>
      <c r="CD555" s="415"/>
      <c r="CE555" s="415"/>
      <c r="CF555" s="415"/>
      <c r="CG555" s="415"/>
      <c r="CH555" s="415"/>
      <c r="CI555" s="415"/>
      <c r="CJ555" s="415"/>
      <c r="CK555" s="415"/>
      <c r="CL555" s="415"/>
      <c r="CM555" s="415"/>
      <c r="CN555" s="415"/>
      <c r="CO555" s="415"/>
      <c r="CP555" s="415"/>
      <c r="CQ555" s="415"/>
      <c r="CR555" s="415"/>
      <c r="CS555" s="415"/>
      <c r="CT555" s="415"/>
      <c r="CU555" s="415"/>
      <c r="CV555" s="416"/>
      <c r="CW555" s="416"/>
      <c r="CX555" s="416"/>
      <c r="CY555" s="416"/>
      <c r="CZ555" s="416"/>
      <c r="DA555" s="416"/>
      <c r="DB555" s="416"/>
      <c r="DC555" s="304"/>
      <c r="DD555" s="304"/>
      <c r="DE555" s="304"/>
      <c r="DF555" s="304"/>
      <c r="DG555" s="304"/>
    </row>
    <row r="556" spans="77:111">
      <c r="BY556" s="304"/>
      <c r="BZ556" s="415"/>
      <c r="CA556" s="415"/>
      <c r="CB556" s="415"/>
      <c r="CC556" s="302"/>
      <c r="CD556" s="415"/>
      <c r="CE556" s="415"/>
      <c r="CF556" s="415"/>
      <c r="CG556" s="415"/>
      <c r="CH556" s="415"/>
      <c r="CI556" s="415"/>
      <c r="CJ556" s="415"/>
      <c r="CK556" s="415"/>
      <c r="CL556" s="415"/>
      <c r="CM556" s="415"/>
      <c r="CN556" s="415"/>
      <c r="CO556" s="415"/>
      <c r="CP556" s="415"/>
      <c r="CQ556" s="415"/>
      <c r="CR556" s="415"/>
      <c r="CS556" s="415"/>
      <c r="CT556" s="415"/>
      <c r="CU556" s="415"/>
      <c r="CV556" s="416"/>
      <c r="CW556" s="416"/>
      <c r="CX556" s="416"/>
      <c r="CY556" s="416"/>
      <c r="CZ556" s="416"/>
      <c r="DA556" s="416"/>
      <c r="DB556" s="416"/>
      <c r="DC556" s="304"/>
      <c r="DD556" s="304"/>
      <c r="DE556" s="304"/>
      <c r="DF556" s="304"/>
      <c r="DG556" s="304"/>
    </row>
    <row r="557" spans="77:111">
      <c r="BY557" s="304"/>
      <c r="BZ557" s="415"/>
      <c r="CA557" s="415"/>
      <c r="CB557" s="415"/>
      <c r="CC557" s="302"/>
      <c r="CD557" s="415"/>
      <c r="CE557" s="415"/>
      <c r="CF557" s="415"/>
      <c r="CG557" s="415"/>
      <c r="CH557" s="415"/>
      <c r="CI557" s="415"/>
      <c r="CJ557" s="415"/>
      <c r="CK557" s="415"/>
      <c r="CL557" s="415"/>
      <c r="CM557" s="415"/>
      <c r="CN557" s="415"/>
      <c r="CO557" s="415"/>
      <c r="CP557" s="415"/>
      <c r="CQ557" s="415"/>
      <c r="CR557" s="415"/>
      <c r="CS557" s="415"/>
      <c r="CT557" s="415"/>
      <c r="CU557" s="415"/>
      <c r="CV557" s="416"/>
      <c r="CW557" s="416"/>
      <c r="CX557" s="416"/>
      <c r="CY557" s="416"/>
      <c r="CZ557" s="416"/>
      <c r="DA557" s="416"/>
      <c r="DB557" s="416"/>
      <c r="DC557" s="304"/>
      <c r="DD557" s="304"/>
      <c r="DE557" s="304"/>
      <c r="DF557" s="304"/>
      <c r="DG557" s="304"/>
    </row>
  </sheetData>
  <mergeCells count="596">
    <mergeCell ref="B294:F294"/>
    <mergeCell ref="H294:L294"/>
    <mergeCell ref="N294:R294"/>
    <mergeCell ref="T294:X294"/>
    <mergeCell ref="Z294:AD294"/>
    <mergeCell ref="AF294:AJ294"/>
    <mergeCell ref="BV294:BZ294"/>
    <mergeCell ref="BV306:BZ306"/>
    <mergeCell ref="BP306:BT306"/>
    <mergeCell ref="BJ306:BN306"/>
    <mergeCell ref="BD306:BH306"/>
    <mergeCell ref="AX305:BB305"/>
    <mergeCell ref="AL294:AP294"/>
    <mergeCell ref="AR294:AV294"/>
    <mergeCell ref="AX294:BB294"/>
    <mergeCell ref="BD294:BH294"/>
    <mergeCell ref="BJ294:BN294"/>
    <mergeCell ref="BP294:BT294"/>
    <mergeCell ref="H306:L306"/>
    <mergeCell ref="B306:F306"/>
    <mergeCell ref="N306:R306"/>
    <mergeCell ref="BY437:BZ437"/>
    <mergeCell ref="CB438:CD438"/>
    <mergeCell ref="CF438:CN438"/>
    <mergeCell ref="CO438:CQ438"/>
    <mergeCell ref="AR306:AV306"/>
    <mergeCell ref="AL306:AP306"/>
    <mergeCell ref="AF306:AJ306"/>
    <mergeCell ref="Z306:AD306"/>
    <mergeCell ref="T306:X306"/>
    <mergeCell ref="BZ441:CA441"/>
    <mergeCell ref="CO441:CQ441"/>
    <mergeCell ref="CR441:DB441"/>
    <mergeCell ref="BZ442:CA442"/>
    <mergeCell ref="CO442:CQ442"/>
    <mergeCell ref="CR442:DB442"/>
    <mergeCell ref="CR438:DB438"/>
    <mergeCell ref="BZ439:CQ439"/>
    <mergeCell ref="CR439:DB439"/>
    <mergeCell ref="BZ440:CA440"/>
    <mergeCell ref="CO440:CQ440"/>
    <mergeCell ref="CR440:DB440"/>
    <mergeCell ref="BZ445:CA445"/>
    <mergeCell ref="CO445:CQ445"/>
    <mergeCell ref="CR445:DB445"/>
    <mergeCell ref="CO446:CQ446"/>
    <mergeCell ref="CR446:DB446"/>
    <mergeCell ref="BZ443:CA443"/>
    <mergeCell ref="CO443:CQ443"/>
    <mergeCell ref="CR443:DB443"/>
    <mergeCell ref="BZ444:CA444"/>
    <mergeCell ref="CO444:CQ444"/>
    <mergeCell ref="CR444:DB444"/>
    <mergeCell ref="BZ449:CZ449"/>
    <mergeCell ref="DA449:DB449"/>
    <mergeCell ref="CB450:CG450"/>
    <mergeCell ref="CH450:CJ450"/>
    <mergeCell ref="CK450:CP450"/>
    <mergeCell ref="CQ450:CZ450"/>
    <mergeCell ref="DA450:DB450"/>
    <mergeCell ref="BZ447:CA447"/>
    <mergeCell ref="CO447:CQ447"/>
    <mergeCell ref="CR447:DB447"/>
    <mergeCell ref="BZ448:CA448"/>
    <mergeCell ref="CO448:CQ448"/>
    <mergeCell ref="CR448:DB448"/>
    <mergeCell ref="BZ452:CA452"/>
    <mergeCell ref="CB452:CG452"/>
    <mergeCell ref="CH452:CJ452"/>
    <mergeCell ref="CK452:CP452"/>
    <mergeCell ref="CQ452:CZ452"/>
    <mergeCell ref="DA452:DB452"/>
    <mergeCell ref="BZ451:CA451"/>
    <mergeCell ref="CB451:CG451"/>
    <mergeCell ref="CH451:CJ451"/>
    <mergeCell ref="CK451:CP451"/>
    <mergeCell ref="CQ451:CZ451"/>
    <mergeCell ref="DA451:DB451"/>
    <mergeCell ref="BZ454:CA454"/>
    <mergeCell ref="CB454:CG454"/>
    <mergeCell ref="CH454:CJ454"/>
    <mergeCell ref="CK454:CP454"/>
    <mergeCell ref="CQ454:CZ454"/>
    <mergeCell ref="DA454:DB454"/>
    <mergeCell ref="BZ453:CA453"/>
    <mergeCell ref="CB453:CG453"/>
    <mergeCell ref="CH453:CJ453"/>
    <mergeCell ref="CK453:CP453"/>
    <mergeCell ref="CQ453:CZ453"/>
    <mergeCell ref="DA453:DB453"/>
    <mergeCell ref="BZ456:CA456"/>
    <mergeCell ref="CB456:CG456"/>
    <mergeCell ref="CH456:CJ456"/>
    <mergeCell ref="CK456:CP456"/>
    <mergeCell ref="CQ456:CZ456"/>
    <mergeCell ref="DA456:DB456"/>
    <mergeCell ref="BZ455:CA455"/>
    <mergeCell ref="CB455:CG455"/>
    <mergeCell ref="CH455:CJ455"/>
    <mergeCell ref="CK455:CP455"/>
    <mergeCell ref="CQ455:CZ455"/>
    <mergeCell ref="DA455:DB455"/>
    <mergeCell ref="BZ458:CA458"/>
    <mergeCell ref="CB458:CG458"/>
    <mergeCell ref="CH458:CJ458"/>
    <mergeCell ref="CK458:CP458"/>
    <mergeCell ref="CQ458:CZ458"/>
    <mergeCell ref="DA458:DB458"/>
    <mergeCell ref="BZ457:CA457"/>
    <mergeCell ref="CB457:CG457"/>
    <mergeCell ref="CH457:CJ457"/>
    <mergeCell ref="CK457:CP457"/>
    <mergeCell ref="CQ457:CZ457"/>
    <mergeCell ref="DA457:DB457"/>
    <mergeCell ref="BZ461:CA461"/>
    <mergeCell ref="CB461:CG461"/>
    <mergeCell ref="CH461:CJ461"/>
    <mergeCell ref="CK461:CP461"/>
    <mergeCell ref="CQ461:CZ461"/>
    <mergeCell ref="DA461:DB461"/>
    <mergeCell ref="BZ459:CZ459"/>
    <mergeCell ref="DA459:DB459"/>
    <mergeCell ref="BZ460:CA460"/>
    <mergeCell ref="CB460:CG460"/>
    <mergeCell ref="CH460:CJ460"/>
    <mergeCell ref="CK460:CP460"/>
    <mergeCell ref="CQ460:CZ460"/>
    <mergeCell ref="DA460:DB460"/>
    <mergeCell ref="BZ463:CA463"/>
    <mergeCell ref="CB463:CG463"/>
    <mergeCell ref="CH463:CJ463"/>
    <mergeCell ref="CK463:CP463"/>
    <mergeCell ref="CQ463:CZ463"/>
    <mergeCell ref="DA463:DB463"/>
    <mergeCell ref="BZ462:CA462"/>
    <mergeCell ref="CB462:CG462"/>
    <mergeCell ref="CH462:CJ462"/>
    <mergeCell ref="CK462:CP462"/>
    <mergeCell ref="CQ462:CZ462"/>
    <mergeCell ref="DA462:DB462"/>
    <mergeCell ref="BZ465:CA465"/>
    <mergeCell ref="CB465:CG465"/>
    <mergeCell ref="CH465:CJ465"/>
    <mergeCell ref="CK465:CP465"/>
    <mergeCell ref="CQ465:CZ465"/>
    <mergeCell ref="DA465:DB465"/>
    <mergeCell ref="BZ464:CA464"/>
    <mergeCell ref="CB464:CG464"/>
    <mergeCell ref="CH464:CJ464"/>
    <mergeCell ref="CK464:CP464"/>
    <mergeCell ref="CQ464:CZ464"/>
    <mergeCell ref="DA464:DB464"/>
    <mergeCell ref="BZ467:CA467"/>
    <mergeCell ref="CB467:CG467"/>
    <mergeCell ref="CH467:CJ467"/>
    <mergeCell ref="CK467:CP467"/>
    <mergeCell ref="CQ467:CZ467"/>
    <mergeCell ref="DA467:DB467"/>
    <mergeCell ref="BZ466:CA466"/>
    <mergeCell ref="CB466:CG466"/>
    <mergeCell ref="CH466:CJ466"/>
    <mergeCell ref="CK466:CP466"/>
    <mergeCell ref="CQ466:CZ466"/>
    <mergeCell ref="DA466:DB466"/>
    <mergeCell ref="BZ469:DB469"/>
    <mergeCell ref="BZ470:CA470"/>
    <mergeCell ref="CB470:CH470"/>
    <mergeCell ref="CI470:CL470"/>
    <mergeCell ref="CM470:CR470"/>
    <mergeCell ref="CS470:DB470"/>
    <mergeCell ref="BZ468:CA468"/>
    <mergeCell ref="CB468:CG468"/>
    <mergeCell ref="CH468:CJ468"/>
    <mergeCell ref="CK468:CP468"/>
    <mergeCell ref="CQ468:CZ468"/>
    <mergeCell ref="DA468:DB468"/>
    <mergeCell ref="BZ471:CA471"/>
    <mergeCell ref="CB471:CH471"/>
    <mergeCell ref="CI471:CL471"/>
    <mergeCell ref="CM471:CR471"/>
    <mergeCell ref="CS471:DB471"/>
    <mergeCell ref="BZ472:CA472"/>
    <mergeCell ref="CB472:CH472"/>
    <mergeCell ref="CI472:CL472"/>
    <mergeCell ref="CM472:CR472"/>
    <mergeCell ref="CS472:DB472"/>
    <mergeCell ref="BZ473:CA473"/>
    <mergeCell ref="CB473:CH473"/>
    <mergeCell ref="CI473:CL473"/>
    <mergeCell ref="CM473:CR473"/>
    <mergeCell ref="CS473:DB473"/>
    <mergeCell ref="BZ474:CA474"/>
    <mergeCell ref="CB474:CH474"/>
    <mergeCell ref="CI474:CL474"/>
    <mergeCell ref="CM474:CR474"/>
    <mergeCell ref="CS474:DB474"/>
    <mergeCell ref="BZ475:CA475"/>
    <mergeCell ref="CB475:CH475"/>
    <mergeCell ref="CI475:CL475"/>
    <mergeCell ref="CM475:CR475"/>
    <mergeCell ref="CS475:DB475"/>
    <mergeCell ref="BZ476:CA476"/>
    <mergeCell ref="CB476:CH476"/>
    <mergeCell ref="CI476:CL476"/>
    <mergeCell ref="CM476:CR476"/>
    <mergeCell ref="CS476:DB476"/>
    <mergeCell ref="BZ479:CZ479"/>
    <mergeCell ref="DA479:DB479"/>
    <mergeCell ref="BZ480:CA480"/>
    <mergeCell ref="CB480:CC480"/>
    <mergeCell ref="CD480:CM480"/>
    <mergeCell ref="CN480:CT480"/>
    <mergeCell ref="CU480:DA480"/>
    <mergeCell ref="BZ477:CA477"/>
    <mergeCell ref="CB477:CH477"/>
    <mergeCell ref="CI477:CL477"/>
    <mergeCell ref="CM477:CR477"/>
    <mergeCell ref="CS477:DB477"/>
    <mergeCell ref="BZ478:CA478"/>
    <mergeCell ref="CB478:CH478"/>
    <mergeCell ref="CI478:CL478"/>
    <mergeCell ref="CM478:CR478"/>
    <mergeCell ref="CS478:DB478"/>
    <mergeCell ref="BZ481:CA481"/>
    <mergeCell ref="CB481:CC481"/>
    <mergeCell ref="CD481:CM481"/>
    <mergeCell ref="CN481:CT481"/>
    <mergeCell ref="CU481:DA481"/>
    <mergeCell ref="BZ482:CA482"/>
    <mergeCell ref="CB482:CC482"/>
    <mergeCell ref="CD482:CM482"/>
    <mergeCell ref="CN482:CT482"/>
    <mergeCell ref="CU482:DA482"/>
    <mergeCell ref="BZ483:CA483"/>
    <mergeCell ref="CB483:CC483"/>
    <mergeCell ref="CD483:CM483"/>
    <mergeCell ref="CN483:CT483"/>
    <mergeCell ref="CU483:DA483"/>
    <mergeCell ref="BZ484:CA484"/>
    <mergeCell ref="CB484:CC484"/>
    <mergeCell ref="CD484:CM484"/>
    <mergeCell ref="CN484:CT484"/>
    <mergeCell ref="CU484:DA484"/>
    <mergeCell ref="BZ485:CA485"/>
    <mergeCell ref="CB485:CC485"/>
    <mergeCell ref="CD485:CM485"/>
    <mergeCell ref="CN485:CT485"/>
    <mergeCell ref="CU485:DA485"/>
    <mergeCell ref="BZ486:CA486"/>
    <mergeCell ref="CB486:CC486"/>
    <mergeCell ref="CD486:CM486"/>
    <mergeCell ref="CN486:CT486"/>
    <mergeCell ref="CU486:DA486"/>
    <mergeCell ref="BZ487:CA487"/>
    <mergeCell ref="CB487:CC487"/>
    <mergeCell ref="CD487:CM487"/>
    <mergeCell ref="CN487:CT487"/>
    <mergeCell ref="CU487:DA487"/>
    <mergeCell ref="BZ488:CA488"/>
    <mergeCell ref="CB488:CC488"/>
    <mergeCell ref="CD488:CM488"/>
    <mergeCell ref="CN488:CT488"/>
    <mergeCell ref="CU488:DA488"/>
    <mergeCell ref="BZ491:CA491"/>
    <mergeCell ref="CB491:CF491"/>
    <mergeCell ref="CG491:CI491"/>
    <mergeCell ref="CJ491:CO491"/>
    <mergeCell ref="CP491:CX491"/>
    <mergeCell ref="CY491:DB491"/>
    <mergeCell ref="BZ489:CS489"/>
    <mergeCell ref="CT489:DB489"/>
    <mergeCell ref="BZ490:CA490"/>
    <mergeCell ref="CB490:CF490"/>
    <mergeCell ref="CG490:CI490"/>
    <mergeCell ref="CJ490:CO490"/>
    <mergeCell ref="CP490:CX490"/>
    <mergeCell ref="CY490:DB490"/>
    <mergeCell ref="BZ493:CA493"/>
    <mergeCell ref="CB493:CF493"/>
    <mergeCell ref="CG493:CI493"/>
    <mergeCell ref="CJ493:CO493"/>
    <mergeCell ref="CP493:CX493"/>
    <mergeCell ref="CY493:DB493"/>
    <mergeCell ref="BZ492:CA492"/>
    <mergeCell ref="CB492:CF492"/>
    <mergeCell ref="CG492:CI492"/>
    <mergeCell ref="CJ492:CO492"/>
    <mergeCell ref="CP492:CX492"/>
    <mergeCell ref="CY492:DB492"/>
    <mergeCell ref="BZ495:CA495"/>
    <mergeCell ref="CB495:CF495"/>
    <mergeCell ref="CG495:CI495"/>
    <mergeCell ref="CJ495:CO495"/>
    <mergeCell ref="CP495:CX495"/>
    <mergeCell ref="CY495:DB495"/>
    <mergeCell ref="BZ494:CA494"/>
    <mergeCell ref="CB494:CF494"/>
    <mergeCell ref="CG494:CI494"/>
    <mergeCell ref="CJ494:CO494"/>
    <mergeCell ref="CP494:CX494"/>
    <mergeCell ref="CY494:DB494"/>
    <mergeCell ref="BZ497:CA497"/>
    <mergeCell ref="CB497:CF497"/>
    <mergeCell ref="CG497:CI497"/>
    <mergeCell ref="CJ497:CO497"/>
    <mergeCell ref="CP497:CX497"/>
    <mergeCell ref="CY497:DB497"/>
    <mergeCell ref="BZ496:CA496"/>
    <mergeCell ref="CB496:CF496"/>
    <mergeCell ref="CG496:CI496"/>
    <mergeCell ref="CJ496:CO496"/>
    <mergeCell ref="CP496:CX496"/>
    <mergeCell ref="CY496:DB496"/>
    <mergeCell ref="BZ499:CZ499"/>
    <mergeCell ref="DA499:DB499"/>
    <mergeCell ref="BZ500:CB500"/>
    <mergeCell ref="CD500:CK500"/>
    <mergeCell ref="CL500:CQ500"/>
    <mergeCell ref="CR500:CZ500"/>
    <mergeCell ref="DA500:DB500"/>
    <mergeCell ref="BZ498:CA498"/>
    <mergeCell ref="CB498:CF498"/>
    <mergeCell ref="CG498:CI498"/>
    <mergeCell ref="CJ498:CO498"/>
    <mergeCell ref="CP498:CX498"/>
    <mergeCell ref="CY498:DB498"/>
    <mergeCell ref="BZ501:CB501"/>
    <mergeCell ref="CD501:CK501"/>
    <mergeCell ref="CL501:CQ501"/>
    <mergeCell ref="CR501:CZ501"/>
    <mergeCell ref="DA501:DB501"/>
    <mergeCell ref="BZ502:CB502"/>
    <mergeCell ref="CD502:CK502"/>
    <mergeCell ref="CL502:CQ502"/>
    <mergeCell ref="CR502:CZ502"/>
    <mergeCell ref="DA502:DB502"/>
    <mergeCell ref="BZ503:CB503"/>
    <mergeCell ref="CD503:CK503"/>
    <mergeCell ref="CL503:CQ503"/>
    <mergeCell ref="CR503:CZ503"/>
    <mergeCell ref="DA503:DB503"/>
    <mergeCell ref="BZ504:CB504"/>
    <mergeCell ref="CD504:CK504"/>
    <mergeCell ref="CL504:CQ504"/>
    <mergeCell ref="CR504:CZ504"/>
    <mergeCell ref="DA504:DB504"/>
    <mergeCell ref="BZ505:CB505"/>
    <mergeCell ref="CD505:CK505"/>
    <mergeCell ref="CL505:CQ505"/>
    <mergeCell ref="CR505:CZ505"/>
    <mergeCell ref="DA505:DB505"/>
    <mergeCell ref="BZ506:CB506"/>
    <mergeCell ref="CD506:CK506"/>
    <mergeCell ref="CL506:CQ506"/>
    <mergeCell ref="CR506:CZ506"/>
    <mergeCell ref="DA506:DB506"/>
    <mergeCell ref="BZ509:CY509"/>
    <mergeCell ref="CZ509:DB509"/>
    <mergeCell ref="BZ510:CB510"/>
    <mergeCell ref="CD510:CK510"/>
    <mergeCell ref="CL510:CQ510"/>
    <mergeCell ref="CR510:CY510"/>
    <mergeCell ref="CZ510:DB510"/>
    <mergeCell ref="BZ507:CB507"/>
    <mergeCell ref="CD507:CK507"/>
    <mergeCell ref="CL507:CQ507"/>
    <mergeCell ref="CR507:CZ507"/>
    <mergeCell ref="DA507:DB507"/>
    <mergeCell ref="BZ508:CB508"/>
    <mergeCell ref="CD508:CK508"/>
    <mergeCell ref="CL508:CQ508"/>
    <mergeCell ref="CR508:CZ508"/>
    <mergeCell ref="DA508:DB508"/>
    <mergeCell ref="BZ511:CB511"/>
    <mergeCell ref="CD511:CK511"/>
    <mergeCell ref="CL511:CQ511"/>
    <mergeCell ref="CR511:CY511"/>
    <mergeCell ref="CZ511:DB511"/>
    <mergeCell ref="BZ512:CB512"/>
    <mergeCell ref="CD512:CK512"/>
    <mergeCell ref="CL512:CQ512"/>
    <mergeCell ref="CR512:CY512"/>
    <mergeCell ref="CZ512:DB512"/>
    <mergeCell ref="BZ513:CB513"/>
    <mergeCell ref="CD513:CK513"/>
    <mergeCell ref="CL513:CQ513"/>
    <mergeCell ref="CR513:CY513"/>
    <mergeCell ref="CZ513:DB513"/>
    <mergeCell ref="BZ514:CB514"/>
    <mergeCell ref="CD514:CK514"/>
    <mergeCell ref="CL514:CQ514"/>
    <mergeCell ref="CR514:CY514"/>
    <mergeCell ref="CZ514:DB514"/>
    <mergeCell ref="BZ515:CB515"/>
    <mergeCell ref="CD515:CK515"/>
    <mergeCell ref="CL515:CQ515"/>
    <mergeCell ref="CR515:CY515"/>
    <mergeCell ref="CZ515:DB515"/>
    <mergeCell ref="BZ516:CB516"/>
    <mergeCell ref="CD516:CK516"/>
    <mergeCell ref="CL516:CQ516"/>
    <mergeCell ref="CR516:CY516"/>
    <mergeCell ref="CZ516:DB516"/>
    <mergeCell ref="BZ519:CX519"/>
    <mergeCell ref="CY519:DB519"/>
    <mergeCell ref="BZ520:CB520"/>
    <mergeCell ref="CD520:CK520"/>
    <mergeCell ref="CL520:CQ520"/>
    <mergeCell ref="CR520:CX520"/>
    <mergeCell ref="CY520:DB520"/>
    <mergeCell ref="BZ517:CB517"/>
    <mergeCell ref="CD517:CK517"/>
    <mergeCell ref="CL517:CQ517"/>
    <mergeCell ref="CR517:CY517"/>
    <mergeCell ref="CZ517:DB517"/>
    <mergeCell ref="BZ518:CB518"/>
    <mergeCell ref="CD518:CK518"/>
    <mergeCell ref="CL518:CQ518"/>
    <mergeCell ref="CR518:CY518"/>
    <mergeCell ref="CZ518:DB518"/>
    <mergeCell ref="BZ521:CB521"/>
    <mergeCell ref="CD521:CK521"/>
    <mergeCell ref="CL521:CQ521"/>
    <mergeCell ref="CR521:CX521"/>
    <mergeCell ref="CY521:DB521"/>
    <mergeCell ref="BZ522:CB522"/>
    <mergeCell ref="CD522:CK522"/>
    <mergeCell ref="CL522:CQ522"/>
    <mergeCell ref="CR522:CX522"/>
    <mergeCell ref="CY522:DB522"/>
    <mergeCell ref="BZ523:CB523"/>
    <mergeCell ref="CD523:CK523"/>
    <mergeCell ref="CL523:CQ523"/>
    <mergeCell ref="CR523:CX523"/>
    <mergeCell ref="CY523:DB523"/>
    <mergeCell ref="BZ524:CB524"/>
    <mergeCell ref="CD524:CK524"/>
    <mergeCell ref="CL524:CQ524"/>
    <mergeCell ref="CR524:CX524"/>
    <mergeCell ref="CY524:DB524"/>
    <mergeCell ref="BZ525:CB525"/>
    <mergeCell ref="CD525:CK525"/>
    <mergeCell ref="CL525:CQ525"/>
    <mergeCell ref="CR525:CX525"/>
    <mergeCell ref="CY525:DB525"/>
    <mergeCell ref="BZ526:CB526"/>
    <mergeCell ref="CD526:CK526"/>
    <mergeCell ref="CL526:CQ526"/>
    <mergeCell ref="CR526:CX526"/>
    <mergeCell ref="CY526:DB526"/>
    <mergeCell ref="BZ529:CW529"/>
    <mergeCell ref="CX529:DB529"/>
    <mergeCell ref="BZ530:CB530"/>
    <mergeCell ref="CD530:CK530"/>
    <mergeCell ref="CL530:CQ530"/>
    <mergeCell ref="CR530:CW530"/>
    <mergeCell ref="CX530:DB530"/>
    <mergeCell ref="BZ527:CB527"/>
    <mergeCell ref="CD527:CK527"/>
    <mergeCell ref="CL527:CQ527"/>
    <mergeCell ref="CR527:CX527"/>
    <mergeCell ref="CY527:DB527"/>
    <mergeCell ref="BZ528:CB528"/>
    <mergeCell ref="CD528:CK528"/>
    <mergeCell ref="CL528:CQ528"/>
    <mergeCell ref="CR528:CX528"/>
    <mergeCell ref="CY528:DB528"/>
    <mergeCell ref="BZ531:CB531"/>
    <mergeCell ref="CD531:CK531"/>
    <mergeCell ref="CL531:CQ531"/>
    <mergeCell ref="CR531:CW531"/>
    <mergeCell ref="CX531:DB531"/>
    <mergeCell ref="BZ532:CB532"/>
    <mergeCell ref="CD532:CK532"/>
    <mergeCell ref="CL532:CQ532"/>
    <mergeCell ref="CR532:CW532"/>
    <mergeCell ref="CX532:DB532"/>
    <mergeCell ref="BZ533:CB533"/>
    <mergeCell ref="CD533:CK533"/>
    <mergeCell ref="CL533:CQ533"/>
    <mergeCell ref="CR533:CW533"/>
    <mergeCell ref="CX533:DB533"/>
    <mergeCell ref="BZ534:CB534"/>
    <mergeCell ref="CD534:CK534"/>
    <mergeCell ref="CL534:CQ534"/>
    <mergeCell ref="CR534:CW534"/>
    <mergeCell ref="CX534:DB534"/>
    <mergeCell ref="BZ535:CB535"/>
    <mergeCell ref="CD535:CK535"/>
    <mergeCell ref="CL535:CQ535"/>
    <mergeCell ref="CR535:CW535"/>
    <mergeCell ref="CX535:DB535"/>
    <mergeCell ref="BZ536:CB536"/>
    <mergeCell ref="CD536:CK536"/>
    <mergeCell ref="CL536:CQ536"/>
    <mergeCell ref="CR536:CW536"/>
    <mergeCell ref="CX536:DB536"/>
    <mergeCell ref="BZ539:CV539"/>
    <mergeCell ref="CW539:DB539"/>
    <mergeCell ref="BZ540:CB540"/>
    <mergeCell ref="CD540:CK540"/>
    <mergeCell ref="CL540:CQ540"/>
    <mergeCell ref="CR540:CV540"/>
    <mergeCell ref="CW540:DB540"/>
    <mergeCell ref="BZ537:CB537"/>
    <mergeCell ref="CD537:CK537"/>
    <mergeCell ref="CL537:CQ537"/>
    <mergeCell ref="CR537:CW537"/>
    <mergeCell ref="CX537:DB537"/>
    <mergeCell ref="BZ538:CB538"/>
    <mergeCell ref="CD538:CK538"/>
    <mergeCell ref="CL538:CQ538"/>
    <mergeCell ref="CR538:CW538"/>
    <mergeCell ref="CX538:DB538"/>
    <mergeCell ref="BZ541:CB541"/>
    <mergeCell ref="CD541:CK541"/>
    <mergeCell ref="CL541:CQ541"/>
    <mergeCell ref="CR541:CV541"/>
    <mergeCell ref="CW541:DB541"/>
    <mergeCell ref="BZ542:CB542"/>
    <mergeCell ref="CD542:CK542"/>
    <mergeCell ref="CL542:CQ542"/>
    <mergeCell ref="CR542:CV542"/>
    <mergeCell ref="CW542:DB542"/>
    <mergeCell ref="BZ543:CB543"/>
    <mergeCell ref="CD543:CK543"/>
    <mergeCell ref="CL543:CQ543"/>
    <mergeCell ref="CR543:CV543"/>
    <mergeCell ref="CW543:DB543"/>
    <mergeCell ref="BZ544:CB544"/>
    <mergeCell ref="CD544:CK544"/>
    <mergeCell ref="CL544:CQ544"/>
    <mergeCell ref="CR544:CV544"/>
    <mergeCell ref="CW544:DB544"/>
    <mergeCell ref="BZ545:CB545"/>
    <mergeCell ref="CD545:CK545"/>
    <mergeCell ref="CL545:CQ545"/>
    <mergeCell ref="CR545:CV545"/>
    <mergeCell ref="CW545:DB545"/>
    <mergeCell ref="BZ546:CB546"/>
    <mergeCell ref="CD546:CK546"/>
    <mergeCell ref="CL546:CQ546"/>
    <mergeCell ref="CR546:CV546"/>
    <mergeCell ref="CW546:DB546"/>
    <mergeCell ref="BZ549:CU549"/>
    <mergeCell ref="CV549:DB549"/>
    <mergeCell ref="BZ550:CB550"/>
    <mergeCell ref="CD550:CK550"/>
    <mergeCell ref="CL550:CQ550"/>
    <mergeCell ref="CR550:CU550"/>
    <mergeCell ref="CV550:DB550"/>
    <mergeCell ref="BZ547:CB547"/>
    <mergeCell ref="CD547:CK547"/>
    <mergeCell ref="CL547:CQ547"/>
    <mergeCell ref="CR547:CV547"/>
    <mergeCell ref="CW547:DB547"/>
    <mergeCell ref="BZ548:CB548"/>
    <mergeCell ref="CD548:CK548"/>
    <mergeCell ref="CL548:CQ548"/>
    <mergeCell ref="CR548:CV548"/>
    <mergeCell ref="CW548:DB548"/>
    <mergeCell ref="BZ551:CB551"/>
    <mergeCell ref="CD551:CK551"/>
    <mergeCell ref="CL551:CQ551"/>
    <mergeCell ref="CR551:CU551"/>
    <mergeCell ref="CV551:DB551"/>
    <mergeCell ref="BZ552:CB552"/>
    <mergeCell ref="CD552:CK552"/>
    <mergeCell ref="CL552:CQ552"/>
    <mergeCell ref="CR552:CU552"/>
    <mergeCell ref="CV552:DB552"/>
    <mergeCell ref="BZ553:CB553"/>
    <mergeCell ref="CD553:CK553"/>
    <mergeCell ref="CL553:CQ553"/>
    <mergeCell ref="CR553:CU553"/>
    <mergeCell ref="CV553:DB553"/>
    <mergeCell ref="BZ554:CB554"/>
    <mergeCell ref="CD554:CK554"/>
    <mergeCell ref="CL554:CQ554"/>
    <mergeCell ref="CR554:CU554"/>
    <mergeCell ref="CV554:DB554"/>
    <mergeCell ref="BZ557:CB557"/>
    <mergeCell ref="CD557:CK557"/>
    <mergeCell ref="CL557:CQ557"/>
    <mergeCell ref="CR557:CU557"/>
    <mergeCell ref="CV557:DB557"/>
    <mergeCell ref="BZ555:CB555"/>
    <mergeCell ref="CD555:CK555"/>
    <mergeCell ref="CL555:CQ555"/>
    <mergeCell ref="CR555:CU555"/>
    <mergeCell ref="CV555:DB555"/>
    <mergeCell ref="BZ556:CB556"/>
    <mergeCell ref="CD556:CK556"/>
    <mergeCell ref="CL556:CQ556"/>
    <mergeCell ref="CR556:CU556"/>
    <mergeCell ref="CV556:DB556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DC4-54AD-9046-8168-16ADAC15E523}">
  <dimension ref="A1:BC199"/>
  <sheetViews>
    <sheetView topLeftCell="A104" zoomScale="82" workbookViewId="0">
      <selection activeCell="P111" sqref="P111:R113"/>
    </sheetView>
  </sheetViews>
  <sheetFormatPr baseColWidth="10" defaultColWidth="11" defaultRowHeight="16"/>
  <cols>
    <col min="26" max="28" width="11.6640625" bestFit="1" customWidth="1"/>
  </cols>
  <sheetData>
    <row r="1" spans="1:55" ht="119">
      <c r="A1" s="1" t="s">
        <v>372</v>
      </c>
      <c r="B1" s="1" t="s">
        <v>16</v>
      </c>
      <c r="C1" s="1" t="s">
        <v>23</v>
      </c>
      <c r="D1" s="1" t="s">
        <v>24</v>
      </c>
      <c r="E1" s="1" t="s">
        <v>289</v>
      </c>
      <c r="F1" s="1" t="s">
        <v>198</v>
      </c>
      <c r="G1" s="1" t="s">
        <v>250</v>
      </c>
      <c r="H1" s="178" t="s">
        <v>290</v>
      </c>
      <c r="I1" s="178" t="s">
        <v>199</v>
      </c>
      <c r="J1" s="178" t="s">
        <v>251</v>
      </c>
      <c r="K1" s="1" t="s">
        <v>291</v>
      </c>
      <c r="L1" s="1" t="s">
        <v>200</v>
      </c>
      <c r="M1" s="1" t="s">
        <v>252</v>
      </c>
      <c r="N1" s="178" t="s">
        <v>292</v>
      </c>
      <c r="O1" s="178" t="s">
        <v>201</v>
      </c>
      <c r="P1" s="178" t="s">
        <v>253</v>
      </c>
      <c r="Q1" s="178" t="s">
        <v>293</v>
      </c>
      <c r="R1" s="178" t="s">
        <v>202</v>
      </c>
      <c r="S1" s="178" t="s">
        <v>254</v>
      </c>
      <c r="T1" s="178" t="s">
        <v>294</v>
      </c>
      <c r="U1" s="178" t="s">
        <v>203</v>
      </c>
      <c r="V1" s="178" t="s">
        <v>255</v>
      </c>
      <c r="W1" s="178" t="s">
        <v>295</v>
      </c>
      <c r="X1" s="178" t="s">
        <v>204</v>
      </c>
      <c r="Y1" s="178" t="s">
        <v>256</v>
      </c>
      <c r="Z1" s="178" t="s">
        <v>296</v>
      </c>
      <c r="AA1" s="178" t="s">
        <v>205</v>
      </c>
      <c r="AB1" s="178" t="s">
        <v>257</v>
      </c>
      <c r="AC1" s="1" t="s">
        <v>297</v>
      </c>
      <c r="AD1" s="1" t="s">
        <v>206</v>
      </c>
      <c r="AE1" s="1" t="s">
        <v>258</v>
      </c>
      <c r="AF1" s="1" t="s">
        <v>298</v>
      </c>
      <c r="AG1" s="1" t="s">
        <v>207</v>
      </c>
      <c r="AH1" s="1" t="s">
        <v>259</v>
      </c>
      <c r="AI1" s="139" t="s">
        <v>279</v>
      </c>
      <c r="AJ1" s="140" t="s">
        <v>208</v>
      </c>
      <c r="AK1" s="141" t="s">
        <v>260</v>
      </c>
      <c r="AL1" s="1" t="s">
        <v>287</v>
      </c>
      <c r="AM1" s="1" t="s">
        <v>217</v>
      </c>
      <c r="AN1" s="1" t="s">
        <v>269</v>
      </c>
      <c r="AO1" s="1" t="s">
        <v>288</v>
      </c>
      <c r="AP1" s="1" t="s">
        <v>218</v>
      </c>
      <c r="AQ1" s="1" t="s">
        <v>270</v>
      </c>
      <c r="AR1" s="1" t="s">
        <v>275</v>
      </c>
      <c r="AS1" s="1" t="s">
        <v>219</v>
      </c>
      <c r="AT1" s="1" t="s">
        <v>271</v>
      </c>
      <c r="AU1" s="178" t="s">
        <v>276</v>
      </c>
      <c r="AV1" s="1" t="s">
        <v>435</v>
      </c>
      <c r="AW1" s="1" t="s">
        <v>436</v>
      </c>
      <c r="AX1" s="1" t="s">
        <v>277</v>
      </c>
      <c r="AY1" s="1" t="s">
        <v>221</v>
      </c>
      <c r="AZ1" s="1" t="s">
        <v>273</v>
      </c>
      <c r="BA1" s="1" t="s">
        <v>278</v>
      </c>
      <c r="BB1" s="1" t="s">
        <v>222</v>
      </c>
      <c r="BC1" s="1" t="s">
        <v>274</v>
      </c>
    </row>
    <row r="2" spans="1:55">
      <c r="A2" s="135" t="s">
        <v>102</v>
      </c>
      <c r="B2" s="135">
        <v>117</v>
      </c>
      <c r="C2" s="135" t="s">
        <v>31</v>
      </c>
      <c r="D2" s="135" t="s">
        <v>35</v>
      </c>
      <c r="E2" s="135">
        <v>111</v>
      </c>
      <c r="F2" s="135">
        <v>111</v>
      </c>
      <c r="G2" s="135">
        <v>158</v>
      </c>
      <c r="H2" s="205">
        <v>0</v>
      </c>
      <c r="I2" s="205">
        <v>0</v>
      </c>
      <c r="J2" s="205">
        <v>0</v>
      </c>
      <c r="K2" s="135">
        <v>0</v>
      </c>
      <c r="L2" s="135">
        <v>0</v>
      </c>
      <c r="M2" s="135">
        <v>0</v>
      </c>
      <c r="N2" s="205">
        <v>63</v>
      </c>
      <c r="O2" s="205">
        <v>63</v>
      </c>
      <c r="P2" s="205">
        <v>73</v>
      </c>
      <c r="Q2" s="205">
        <v>0</v>
      </c>
      <c r="R2" s="205">
        <v>0</v>
      </c>
      <c r="S2" s="205">
        <v>0</v>
      </c>
      <c r="T2" s="205">
        <v>60</v>
      </c>
      <c r="U2" s="205">
        <v>60</v>
      </c>
      <c r="V2" s="205">
        <v>70</v>
      </c>
      <c r="W2" s="205">
        <v>3</v>
      </c>
      <c r="X2" s="205">
        <v>3</v>
      </c>
      <c r="Y2" s="205">
        <v>3</v>
      </c>
      <c r="Z2" s="205">
        <v>49</v>
      </c>
      <c r="AA2" s="205">
        <v>49</v>
      </c>
      <c r="AB2" s="205">
        <v>85</v>
      </c>
      <c r="AC2" s="135">
        <v>0</v>
      </c>
      <c r="AD2" s="135">
        <v>0</v>
      </c>
      <c r="AE2" s="135">
        <v>0</v>
      </c>
      <c r="AF2" s="135">
        <v>0</v>
      </c>
      <c r="AG2" s="135">
        <v>0</v>
      </c>
      <c r="AH2" s="135">
        <v>0</v>
      </c>
      <c r="AI2" s="210">
        <v>0</v>
      </c>
      <c r="AJ2" s="205">
        <v>0</v>
      </c>
      <c r="AK2" s="211">
        <v>0</v>
      </c>
      <c r="AL2" s="135">
        <v>0</v>
      </c>
      <c r="AM2" s="135">
        <v>0</v>
      </c>
      <c r="AN2" s="135">
        <v>0</v>
      </c>
      <c r="AO2" s="135">
        <v>0</v>
      </c>
      <c r="AP2" s="135">
        <v>0</v>
      </c>
      <c r="AQ2" s="135">
        <v>0</v>
      </c>
      <c r="AR2" s="135">
        <v>111</v>
      </c>
      <c r="AS2" s="135">
        <v>111</v>
      </c>
      <c r="AT2" s="135">
        <v>158</v>
      </c>
      <c r="AU2" s="205">
        <v>111</v>
      </c>
      <c r="AV2" s="135">
        <v>111</v>
      </c>
      <c r="AW2" s="135">
        <v>158</v>
      </c>
      <c r="AX2" s="135">
        <v>0</v>
      </c>
      <c r="AY2" s="135">
        <v>0</v>
      </c>
      <c r="AZ2" s="135">
        <v>0</v>
      </c>
      <c r="BA2" s="135">
        <v>0</v>
      </c>
      <c r="BB2" s="135">
        <v>0</v>
      </c>
      <c r="BC2" s="135">
        <v>0</v>
      </c>
    </row>
    <row r="3" spans="1:55">
      <c r="A3" s="69" t="s">
        <v>134</v>
      </c>
      <c r="B3" s="69">
        <v>300</v>
      </c>
      <c r="C3" s="69" t="s">
        <v>31</v>
      </c>
      <c r="D3" s="69" t="s">
        <v>35</v>
      </c>
      <c r="E3" s="69">
        <v>2879</v>
      </c>
      <c r="F3" s="69">
        <v>3696</v>
      </c>
      <c r="G3" s="69">
        <v>4188</v>
      </c>
      <c r="H3" s="110">
        <v>0</v>
      </c>
      <c r="I3" s="110">
        <v>0</v>
      </c>
      <c r="J3" s="110">
        <v>0</v>
      </c>
      <c r="K3" s="69">
        <v>0</v>
      </c>
      <c r="L3" s="69">
        <v>0</v>
      </c>
      <c r="M3" s="69">
        <v>0</v>
      </c>
      <c r="N3" s="110">
        <v>2879</v>
      </c>
      <c r="O3" s="110">
        <v>2355</v>
      </c>
      <c r="P3" s="110">
        <v>2637</v>
      </c>
      <c r="Q3" s="110">
        <v>0</v>
      </c>
      <c r="R3" s="110">
        <v>0</v>
      </c>
      <c r="S3" s="110">
        <v>0</v>
      </c>
      <c r="T3" s="110">
        <v>1352</v>
      </c>
      <c r="U3" s="110">
        <v>1064</v>
      </c>
      <c r="V3" s="110">
        <v>724</v>
      </c>
      <c r="W3" s="110">
        <v>1527</v>
      </c>
      <c r="X3" s="110">
        <v>1291</v>
      </c>
      <c r="Y3" s="110">
        <v>1913</v>
      </c>
      <c r="Z3" s="110">
        <v>0</v>
      </c>
      <c r="AA3" s="110">
        <v>1341</v>
      </c>
      <c r="AB3" s="110">
        <v>1551</v>
      </c>
      <c r="AC3" s="69">
        <v>582</v>
      </c>
      <c r="AD3" s="69">
        <v>1183</v>
      </c>
      <c r="AE3" s="69">
        <v>1686</v>
      </c>
      <c r="AF3" s="69">
        <v>582</v>
      </c>
      <c r="AG3" s="69">
        <v>1183</v>
      </c>
      <c r="AH3" s="69">
        <v>1686</v>
      </c>
      <c r="AI3" s="142">
        <v>5</v>
      </c>
      <c r="AJ3" s="110">
        <v>10</v>
      </c>
      <c r="AK3" s="143">
        <v>0</v>
      </c>
      <c r="AL3" s="69">
        <v>5</v>
      </c>
      <c r="AM3" s="69">
        <v>10</v>
      </c>
      <c r="AN3" s="69">
        <v>0</v>
      </c>
      <c r="AO3" s="69">
        <v>5</v>
      </c>
      <c r="AP3" s="69">
        <v>10</v>
      </c>
      <c r="AQ3" s="69">
        <v>0</v>
      </c>
      <c r="AR3" s="69">
        <v>2297</v>
      </c>
      <c r="AS3" s="69">
        <v>2513</v>
      </c>
      <c r="AT3" s="69">
        <v>2502</v>
      </c>
      <c r="AU3" s="110">
        <v>2884</v>
      </c>
      <c r="AV3" s="69">
        <v>3706</v>
      </c>
      <c r="AW3" s="69">
        <v>4188</v>
      </c>
      <c r="AX3" s="69">
        <v>587</v>
      </c>
      <c r="AY3" s="69">
        <v>1193</v>
      </c>
      <c r="AZ3" s="69">
        <v>1686</v>
      </c>
      <c r="BA3" s="69">
        <v>587</v>
      </c>
      <c r="BB3" s="69">
        <v>1193</v>
      </c>
      <c r="BC3" s="69">
        <v>1686</v>
      </c>
    </row>
    <row r="4" spans="1:55">
      <c r="A4" s="30" t="s">
        <v>54</v>
      </c>
      <c r="B4" s="30">
        <v>11</v>
      </c>
      <c r="C4" s="30" t="s">
        <v>36</v>
      </c>
      <c r="D4" s="30" t="s">
        <v>35</v>
      </c>
      <c r="E4" s="30">
        <v>14</v>
      </c>
      <c r="F4" s="30">
        <v>18</v>
      </c>
      <c r="G4" s="30">
        <v>14</v>
      </c>
      <c r="H4" s="30">
        <v>0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1</v>
      </c>
      <c r="O4" s="30">
        <v>5</v>
      </c>
      <c r="P4" s="30">
        <v>4</v>
      </c>
      <c r="Q4" s="100">
        <v>0</v>
      </c>
      <c r="R4" s="100">
        <v>0</v>
      </c>
      <c r="S4" s="100">
        <v>0</v>
      </c>
      <c r="T4" s="100">
        <v>0</v>
      </c>
      <c r="U4" s="100">
        <v>0</v>
      </c>
      <c r="V4" s="100">
        <v>0</v>
      </c>
      <c r="W4" s="100">
        <v>0</v>
      </c>
      <c r="X4" s="100">
        <v>0</v>
      </c>
      <c r="Y4" s="100">
        <v>0</v>
      </c>
      <c r="Z4" s="30">
        <v>13</v>
      </c>
      <c r="AA4" s="30">
        <v>13</v>
      </c>
      <c r="AB4" s="30">
        <v>10</v>
      </c>
      <c r="AC4" s="30">
        <v>-2</v>
      </c>
      <c r="AD4" s="30">
        <v>-6</v>
      </c>
      <c r="AE4" s="30">
        <v>2</v>
      </c>
      <c r="AF4" s="30">
        <v>-2</v>
      </c>
      <c r="AG4" s="30">
        <v>-6</v>
      </c>
      <c r="AH4" s="30">
        <v>2</v>
      </c>
      <c r="AI4" s="147">
        <v>0</v>
      </c>
      <c r="AJ4" s="100">
        <v>0</v>
      </c>
      <c r="AK4" s="148">
        <v>0</v>
      </c>
      <c r="AL4" s="30">
        <v>0</v>
      </c>
      <c r="AM4" s="30">
        <v>0</v>
      </c>
      <c r="AN4" s="30">
        <v>0</v>
      </c>
      <c r="AO4" s="30">
        <v>0</v>
      </c>
      <c r="AP4" s="30">
        <v>0</v>
      </c>
      <c r="AQ4" s="30">
        <v>0</v>
      </c>
      <c r="AR4" s="30">
        <v>15</v>
      </c>
      <c r="AS4" s="30">
        <v>24</v>
      </c>
      <c r="AT4" s="30">
        <v>12</v>
      </c>
      <c r="AU4" s="30">
        <v>14</v>
      </c>
      <c r="AV4" s="30">
        <v>18</v>
      </c>
      <c r="AW4" s="30">
        <v>14</v>
      </c>
      <c r="AX4" s="30">
        <v>-1</v>
      </c>
      <c r="AY4" s="30">
        <v>-6</v>
      </c>
      <c r="AZ4" s="30">
        <v>2</v>
      </c>
      <c r="BA4" s="30">
        <v>-2</v>
      </c>
      <c r="BB4" s="30">
        <v>-6</v>
      </c>
      <c r="BC4" s="30">
        <v>2</v>
      </c>
    </row>
    <row r="5" spans="1:55">
      <c r="A5" s="28" t="s">
        <v>105</v>
      </c>
      <c r="B5" s="28">
        <v>21</v>
      </c>
      <c r="C5" s="28" t="s">
        <v>46</v>
      </c>
      <c r="D5" s="28" t="s">
        <v>35</v>
      </c>
      <c r="E5" s="28">
        <v>115</v>
      </c>
      <c r="F5" s="28">
        <v>57</v>
      </c>
      <c r="G5" s="28">
        <v>148</v>
      </c>
      <c r="H5" s="28">
        <v>33</v>
      </c>
      <c r="I5" s="28">
        <v>6</v>
      </c>
      <c r="J5" s="28">
        <v>58</v>
      </c>
      <c r="K5" s="28">
        <v>0</v>
      </c>
      <c r="L5" s="28">
        <v>0</v>
      </c>
      <c r="M5" s="28">
        <v>0</v>
      </c>
      <c r="N5" s="28">
        <v>82</v>
      </c>
      <c r="O5" s="28">
        <v>51</v>
      </c>
      <c r="P5" s="28">
        <v>90</v>
      </c>
      <c r="Q5" s="150">
        <v>0</v>
      </c>
      <c r="R5" s="150">
        <v>0</v>
      </c>
      <c r="S5" s="150">
        <v>0</v>
      </c>
      <c r="T5" s="150">
        <v>82</v>
      </c>
      <c r="U5" s="150">
        <v>24</v>
      </c>
      <c r="V5" s="150">
        <v>65</v>
      </c>
      <c r="W5" s="150">
        <v>0</v>
      </c>
      <c r="X5" s="150">
        <v>27</v>
      </c>
      <c r="Y5" s="150">
        <v>25</v>
      </c>
      <c r="Z5" s="28">
        <v>0</v>
      </c>
      <c r="AA5" s="28">
        <v>0</v>
      </c>
      <c r="AB5" s="28">
        <v>0</v>
      </c>
      <c r="AC5" s="28">
        <v>44</v>
      </c>
      <c r="AD5" s="28">
        <v>-63</v>
      </c>
      <c r="AE5" s="28">
        <v>53</v>
      </c>
      <c r="AF5" s="28">
        <v>44</v>
      </c>
      <c r="AG5" s="28">
        <v>-63</v>
      </c>
      <c r="AH5" s="28">
        <v>53</v>
      </c>
      <c r="AI5" s="149">
        <v>0</v>
      </c>
      <c r="AJ5" s="150">
        <v>0</v>
      </c>
      <c r="AK5" s="151">
        <v>0</v>
      </c>
      <c r="AL5" s="28">
        <v>0</v>
      </c>
      <c r="AM5" s="28">
        <v>0</v>
      </c>
      <c r="AN5" s="28">
        <v>0</v>
      </c>
      <c r="AO5" s="28">
        <v>0</v>
      </c>
      <c r="AP5" s="28">
        <v>0</v>
      </c>
      <c r="AQ5" s="28">
        <v>0</v>
      </c>
      <c r="AR5" s="28">
        <v>71</v>
      </c>
      <c r="AS5" s="28">
        <v>120</v>
      </c>
      <c r="AT5" s="28">
        <v>95</v>
      </c>
      <c r="AU5" s="28">
        <v>115</v>
      </c>
      <c r="AV5" s="28">
        <v>57</v>
      </c>
      <c r="AW5" s="28">
        <v>148</v>
      </c>
      <c r="AX5" s="28">
        <v>44</v>
      </c>
      <c r="AY5" s="28">
        <v>-63</v>
      </c>
      <c r="AZ5" s="28">
        <v>53</v>
      </c>
      <c r="BA5" s="28">
        <v>44</v>
      </c>
      <c r="BB5" s="28">
        <v>-63</v>
      </c>
      <c r="BC5" s="28">
        <v>53</v>
      </c>
    </row>
    <row r="6" spans="1:55">
      <c r="A6" s="132" t="s">
        <v>106</v>
      </c>
      <c r="B6" s="132">
        <v>19</v>
      </c>
      <c r="C6" s="132" t="s">
        <v>37</v>
      </c>
      <c r="D6" s="132" t="s">
        <v>35</v>
      </c>
      <c r="E6" s="132">
        <v>34.561349693251529</v>
      </c>
      <c r="F6" s="132">
        <v>50.239263803680977</v>
      </c>
      <c r="G6" s="132">
        <v>54.20245398773006</v>
      </c>
      <c r="H6" s="132">
        <v>0.46625766871165647</v>
      </c>
      <c r="I6" s="132">
        <v>0.64110429447852757</v>
      </c>
      <c r="J6" s="132">
        <v>1.165644171779141</v>
      </c>
      <c r="K6" s="132">
        <v>4.3128834355828216</v>
      </c>
      <c r="L6" s="132">
        <v>16.435582822085891</v>
      </c>
      <c r="M6" s="132">
        <v>13.754601226993866</v>
      </c>
      <c r="N6" s="132">
        <v>17.134969325153374</v>
      </c>
      <c r="O6" s="132">
        <v>16.435582822085891</v>
      </c>
      <c r="P6" s="132">
        <v>15.677914110429448</v>
      </c>
      <c r="Q6" s="153">
        <v>1.9233128834355828</v>
      </c>
      <c r="R6" s="153">
        <v>0</v>
      </c>
      <c r="S6" s="153">
        <v>0</v>
      </c>
      <c r="T6" s="153">
        <v>2.2730061349693251</v>
      </c>
      <c r="U6" s="153">
        <v>2.3312883435582821</v>
      </c>
      <c r="V6" s="153">
        <v>3.2638036809815953</v>
      </c>
      <c r="W6" s="153">
        <v>12.938650306748466</v>
      </c>
      <c r="X6" s="153">
        <v>12.938650306748466</v>
      </c>
      <c r="Y6" s="153">
        <v>12.414110429447852</v>
      </c>
      <c r="Z6" s="132">
        <v>12.064417177914111</v>
      </c>
      <c r="AA6" s="132">
        <v>16.726993865030675</v>
      </c>
      <c r="AB6" s="132">
        <v>23.604294478527606</v>
      </c>
      <c r="AC6" s="132">
        <v>-0.58282208588957052</v>
      </c>
      <c r="AD6" s="132">
        <v>-5.4202453987730062</v>
      </c>
      <c r="AE6" s="132">
        <v>-11.365030674846626</v>
      </c>
      <c r="AF6" s="132">
        <v>-0.58282208588957052</v>
      </c>
      <c r="AG6" s="132">
        <v>-5.4202453987730062</v>
      </c>
      <c r="AH6" s="132">
        <v>-11.365030674846626</v>
      </c>
      <c r="AI6" s="152">
        <v>2.4478527607361964</v>
      </c>
      <c r="AJ6" s="153">
        <v>3.7883435582822083</v>
      </c>
      <c r="AK6" s="154">
        <v>6.1779141104294482</v>
      </c>
      <c r="AL6" s="132">
        <v>2.4478527607361964</v>
      </c>
      <c r="AM6" s="132">
        <v>3.7883435582822083</v>
      </c>
      <c r="AN6" s="132">
        <v>6.0030674846625764</v>
      </c>
      <c r="AO6" s="132">
        <v>2.4478527607361964</v>
      </c>
      <c r="AP6" s="132">
        <v>3.7883435582822083</v>
      </c>
      <c r="AQ6" s="132">
        <v>6.0030674846625764</v>
      </c>
      <c r="AR6" s="132">
        <v>35.144171779141104</v>
      </c>
      <c r="AS6" s="132">
        <v>55.659509202453989</v>
      </c>
      <c r="AT6" s="132">
        <v>65.742331288343564</v>
      </c>
      <c r="AU6" s="132">
        <v>37.009202453987733</v>
      </c>
      <c r="AV6" s="132">
        <v>54.027607361963184</v>
      </c>
      <c r="AW6" s="132">
        <v>60.380368098159508</v>
      </c>
      <c r="AX6" s="132">
        <v>1.8650306748466259</v>
      </c>
      <c r="AY6" s="132">
        <v>-1.6319018404907977</v>
      </c>
      <c r="AZ6" s="132">
        <v>-5.3619631901840483</v>
      </c>
      <c r="BA6" s="132">
        <v>1.8650306748466259</v>
      </c>
      <c r="BB6" s="132">
        <v>-1.6319018404907977</v>
      </c>
      <c r="BC6" s="132">
        <v>-5.3619631901840483</v>
      </c>
    </row>
    <row r="7" spans="1:55">
      <c r="A7" s="132" t="s">
        <v>108</v>
      </c>
      <c r="B7" s="132">
        <v>160</v>
      </c>
      <c r="C7" s="132" t="s">
        <v>37</v>
      </c>
      <c r="D7" s="132" t="s">
        <v>35</v>
      </c>
      <c r="E7" s="132">
        <v>424</v>
      </c>
      <c r="F7" s="132">
        <v>415</v>
      </c>
      <c r="G7" s="132">
        <v>485</v>
      </c>
      <c r="H7" s="132">
        <v>69</v>
      </c>
      <c r="I7" s="132">
        <v>9</v>
      </c>
      <c r="J7" s="132">
        <v>56</v>
      </c>
      <c r="K7" s="132">
        <v>62</v>
      </c>
      <c r="L7" s="132">
        <v>40</v>
      </c>
      <c r="M7" s="132">
        <v>13</v>
      </c>
      <c r="N7" s="132">
        <v>140</v>
      </c>
      <c r="O7" s="132">
        <v>190</v>
      </c>
      <c r="P7" s="132">
        <v>159</v>
      </c>
      <c r="Q7" s="153">
        <v>0</v>
      </c>
      <c r="R7" s="153">
        <v>0</v>
      </c>
      <c r="S7" s="153">
        <v>0</v>
      </c>
      <c r="T7" s="153">
        <v>0</v>
      </c>
      <c r="U7" s="153">
        <v>0</v>
      </c>
      <c r="V7" s="153">
        <v>0</v>
      </c>
      <c r="W7" s="153">
        <v>140</v>
      </c>
      <c r="X7" s="153">
        <v>190</v>
      </c>
      <c r="Y7" s="153">
        <v>159</v>
      </c>
      <c r="Z7" s="132">
        <v>153</v>
      </c>
      <c r="AA7" s="132">
        <v>176</v>
      </c>
      <c r="AB7" s="132">
        <v>257</v>
      </c>
      <c r="AC7" s="132">
        <v>78</v>
      </c>
      <c r="AD7" s="132">
        <v>10</v>
      </c>
      <c r="AE7" s="132">
        <v>0</v>
      </c>
      <c r="AF7" s="132">
        <v>78</v>
      </c>
      <c r="AG7" s="132">
        <v>10</v>
      </c>
      <c r="AH7" s="132">
        <v>0</v>
      </c>
      <c r="AI7" s="152">
        <v>0</v>
      </c>
      <c r="AJ7" s="153">
        <v>0</v>
      </c>
      <c r="AK7" s="154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  <c r="AQ7" s="132">
        <v>0</v>
      </c>
      <c r="AR7" s="132">
        <v>346</v>
      </c>
      <c r="AS7" s="132">
        <v>405</v>
      </c>
      <c r="AT7" s="132">
        <v>485</v>
      </c>
      <c r="AU7" s="132">
        <v>424</v>
      </c>
      <c r="AV7" s="132">
        <v>415</v>
      </c>
      <c r="AW7" s="132">
        <v>485</v>
      </c>
      <c r="AX7" s="132">
        <v>78</v>
      </c>
      <c r="AY7" s="132">
        <v>10</v>
      </c>
      <c r="AZ7" s="132">
        <v>0</v>
      </c>
      <c r="BA7" s="132">
        <v>78</v>
      </c>
      <c r="BB7" s="132">
        <v>10</v>
      </c>
      <c r="BC7" s="132">
        <v>0</v>
      </c>
    </row>
    <row r="8" spans="1:55">
      <c r="A8" s="63" t="s">
        <v>59</v>
      </c>
      <c r="B8" s="63">
        <v>121</v>
      </c>
      <c r="C8" s="63" t="s">
        <v>38</v>
      </c>
      <c r="D8" s="63" t="s">
        <v>35</v>
      </c>
      <c r="E8" s="63">
        <v>231</v>
      </c>
      <c r="F8" s="63">
        <v>242</v>
      </c>
      <c r="G8" s="63">
        <v>199</v>
      </c>
      <c r="H8" s="63">
        <v>0</v>
      </c>
      <c r="I8" s="63">
        <v>0</v>
      </c>
      <c r="J8" s="63">
        <v>0</v>
      </c>
      <c r="K8" s="63">
        <v>7</v>
      </c>
      <c r="L8" s="63">
        <v>0</v>
      </c>
      <c r="M8" s="63">
        <v>0</v>
      </c>
      <c r="N8" s="63">
        <v>23</v>
      </c>
      <c r="O8" s="63">
        <v>7</v>
      </c>
      <c r="P8" s="63">
        <v>23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23</v>
      </c>
      <c r="X8" s="156">
        <v>7</v>
      </c>
      <c r="Y8" s="156">
        <v>23</v>
      </c>
      <c r="Z8" s="63">
        <v>201</v>
      </c>
      <c r="AA8" s="63">
        <v>235</v>
      </c>
      <c r="AB8" s="63">
        <v>176</v>
      </c>
      <c r="AC8" s="63">
        <v>-86</v>
      </c>
      <c r="AD8" s="63">
        <v>-157</v>
      </c>
      <c r="AE8" s="63">
        <v>-150</v>
      </c>
      <c r="AF8" s="63">
        <v>-86</v>
      </c>
      <c r="AG8" s="63">
        <v>-157</v>
      </c>
      <c r="AH8" s="63">
        <v>-150</v>
      </c>
      <c r="AI8" s="155">
        <v>32</v>
      </c>
      <c r="AJ8" s="156">
        <v>90</v>
      </c>
      <c r="AK8" s="157">
        <v>74</v>
      </c>
      <c r="AL8" s="63">
        <v>32</v>
      </c>
      <c r="AM8" s="63">
        <v>90</v>
      </c>
      <c r="AN8" s="63">
        <v>74</v>
      </c>
      <c r="AO8" s="63">
        <v>32</v>
      </c>
      <c r="AP8" s="63">
        <v>90</v>
      </c>
      <c r="AQ8" s="63">
        <v>74</v>
      </c>
      <c r="AR8" s="63">
        <v>317</v>
      </c>
      <c r="AS8" s="63">
        <v>399</v>
      </c>
      <c r="AT8" s="63">
        <v>349</v>
      </c>
      <c r="AU8" s="63">
        <v>263</v>
      </c>
      <c r="AV8" s="63">
        <v>332</v>
      </c>
      <c r="AW8" s="63">
        <v>273</v>
      </c>
      <c r="AX8" s="63">
        <v>-54</v>
      </c>
      <c r="AY8" s="63">
        <v>-67</v>
      </c>
      <c r="AZ8" s="63">
        <v>-76</v>
      </c>
      <c r="BA8" s="63">
        <v>-54</v>
      </c>
      <c r="BB8" s="63">
        <v>-67</v>
      </c>
      <c r="BC8" s="63">
        <v>-76</v>
      </c>
    </row>
    <row r="9" spans="1:55">
      <c r="A9" s="63" t="s">
        <v>66</v>
      </c>
      <c r="B9" s="63">
        <v>47</v>
      </c>
      <c r="C9" s="63" t="s">
        <v>38</v>
      </c>
      <c r="D9" s="63" t="s">
        <v>35</v>
      </c>
      <c r="E9" s="63">
        <v>147</v>
      </c>
      <c r="F9" s="63">
        <v>179</v>
      </c>
      <c r="G9" s="63">
        <v>149</v>
      </c>
      <c r="H9" s="63">
        <v>0</v>
      </c>
      <c r="I9" s="63">
        <v>17</v>
      </c>
      <c r="J9" s="63">
        <v>0</v>
      </c>
      <c r="K9" s="63">
        <v>14</v>
      </c>
      <c r="L9" s="63">
        <v>0</v>
      </c>
      <c r="M9" s="63">
        <v>2</v>
      </c>
      <c r="N9" s="63">
        <v>133</v>
      </c>
      <c r="O9" s="63">
        <v>16</v>
      </c>
      <c r="P9" s="63">
        <v>0</v>
      </c>
      <c r="Q9" s="156">
        <v>0</v>
      </c>
      <c r="R9" s="156">
        <v>0</v>
      </c>
      <c r="S9" s="156">
        <v>0</v>
      </c>
      <c r="T9" s="156">
        <v>114</v>
      </c>
      <c r="U9" s="156">
        <v>0</v>
      </c>
      <c r="V9" s="156">
        <v>0</v>
      </c>
      <c r="W9" s="156">
        <v>19</v>
      </c>
      <c r="X9" s="156">
        <v>16</v>
      </c>
      <c r="Y9" s="156">
        <v>29</v>
      </c>
      <c r="Z9" s="63">
        <v>0</v>
      </c>
      <c r="AA9" s="63">
        <v>146</v>
      </c>
      <c r="AB9" s="63">
        <v>118</v>
      </c>
      <c r="AC9" s="63">
        <v>-30</v>
      </c>
      <c r="AD9" s="63">
        <v>-17</v>
      </c>
      <c r="AE9" s="63">
        <v>4</v>
      </c>
      <c r="AF9" s="63">
        <v>-30</v>
      </c>
      <c r="AG9" s="63">
        <v>-17</v>
      </c>
      <c r="AH9" s="63">
        <v>4</v>
      </c>
      <c r="AI9" s="155">
        <v>81</v>
      </c>
      <c r="AJ9" s="156">
        <v>35</v>
      </c>
      <c r="AK9" s="157">
        <v>6</v>
      </c>
      <c r="AL9" s="63">
        <v>49</v>
      </c>
      <c r="AM9" s="63">
        <v>18</v>
      </c>
      <c r="AN9" s="63">
        <v>0</v>
      </c>
      <c r="AO9" s="63">
        <v>49</v>
      </c>
      <c r="AP9" s="63">
        <v>18</v>
      </c>
      <c r="AQ9" s="63">
        <v>0</v>
      </c>
      <c r="AR9" s="63">
        <v>209</v>
      </c>
      <c r="AS9" s="63">
        <v>213</v>
      </c>
      <c r="AT9" s="63">
        <v>151</v>
      </c>
      <c r="AU9" s="63">
        <v>228</v>
      </c>
      <c r="AV9" s="63">
        <v>214</v>
      </c>
      <c r="AW9" s="63">
        <v>155</v>
      </c>
      <c r="AX9" s="63">
        <v>19</v>
      </c>
      <c r="AY9" s="63">
        <v>1</v>
      </c>
      <c r="AZ9" s="63">
        <v>4</v>
      </c>
      <c r="BA9" s="63">
        <v>19</v>
      </c>
      <c r="BB9" s="63">
        <v>1</v>
      </c>
      <c r="BC9" s="63">
        <v>4</v>
      </c>
    </row>
    <row r="10" spans="1:55">
      <c r="A10" s="63" t="s">
        <v>67</v>
      </c>
      <c r="B10" s="63">
        <v>351</v>
      </c>
      <c r="C10" s="63" t="s">
        <v>38</v>
      </c>
      <c r="D10" s="63" t="s">
        <v>35</v>
      </c>
      <c r="E10" s="63">
        <v>1516</v>
      </c>
      <c r="F10" s="63">
        <v>1368</v>
      </c>
      <c r="G10" s="63">
        <v>1833</v>
      </c>
      <c r="H10" s="63">
        <v>170</v>
      </c>
      <c r="I10" s="63">
        <v>122</v>
      </c>
      <c r="J10" s="63">
        <v>168</v>
      </c>
      <c r="K10" s="63">
        <v>0</v>
      </c>
      <c r="L10" s="63">
        <v>0</v>
      </c>
      <c r="M10" s="63">
        <v>0</v>
      </c>
      <c r="N10" s="63">
        <v>567</v>
      </c>
      <c r="O10" s="63">
        <v>372</v>
      </c>
      <c r="P10" s="63">
        <v>651</v>
      </c>
      <c r="Q10" s="156">
        <v>0</v>
      </c>
      <c r="R10" s="156">
        <v>0</v>
      </c>
      <c r="S10" s="156">
        <v>0</v>
      </c>
      <c r="T10" s="156">
        <v>455</v>
      </c>
      <c r="U10" s="156">
        <v>292</v>
      </c>
      <c r="V10" s="156">
        <v>504</v>
      </c>
      <c r="W10" s="156">
        <v>112</v>
      </c>
      <c r="X10" s="156">
        <v>79</v>
      </c>
      <c r="Y10" s="156">
        <v>148</v>
      </c>
      <c r="Z10" s="63">
        <v>779</v>
      </c>
      <c r="AA10" s="63">
        <v>874</v>
      </c>
      <c r="AB10" s="63">
        <v>1014</v>
      </c>
      <c r="AC10" s="63">
        <v>-218</v>
      </c>
      <c r="AD10" s="63">
        <v>-250</v>
      </c>
      <c r="AE10" s="63">
        <v>-225</v>
      </c>
      <c r="AF10" s="63">
        <v>-218</v>
      </c>
      <c r="AG10" s="63">
        <v>-250</v>
      </c>
      <c r="AH10" s="63">
        <v>-225</v>
      </c>
      <c r="AI10" s="155">
        <v>423</v>
      </c>
      <c r="AJ10" s="156">
        <v>1097</v>
      </c>
      <c r="AK10" s="157">
        <v>1103</v>
      </c>
      <c r="AL10" s="63">
        <v>82</v>
      </c>
      <c r="AM10" s="63">
        <v>210</v>
      </c>
      <c r="AN10" s="63">
        <v>30</v>
      </c>
      <c r="AO10" s="63">
        <v>82</v>
      </c>
      <c r="AP10" s="63">
        <v>210</v>
      </c>
      <c r="AQ10" s="63">
        <v>30</v>
      </c>
      <c r="AR10" s="63">
        <v>2314</v>
      </c>
      <c r="AS10" s="63">
        <v>2505</v>
      </c>
      <c r="AT10" s="63">
        <v>3131</v>
      </c>
      <c r="AU10" s="63">
        <v>1939</v>
      </c>
      <c r="AV10" s="63">
        <v>2465</v>
      </c>
      <c r="AW10" s="63">
        <v>2936</v>
      </c>
      <c r="AX10" s="63">
        <v>-375</v>
      </c>
      <c r="AY10" s="63">
        <v>-40</v>
      </c>
      <c r="AZ10" s="63">
        <v>-195</v>
      </c>
      <c r="BA10" s="63">
        <v>-136</v>
      </c>
      <c r="BB10" s="63">
        <v>-40</v>
      </c>
      <c r="BC10" s="63">
        <v>-195</v>
      </c>
    </row>
    <row r="11" spans="1:55">
      <c r="A11" s="63" t="s">
        <v>69</v>
      </c>
      <c r="B11" s="63">
        <v>190</v>
      </c>
      <c r="C11" s="63" t="s">
        <v>38</v>
      </c>
      <c r="D11" s="63" t="s">
        <v>35</v>
      </c>
      <c r="E11" s="63">
        <v>869</v>
      </c>
      <c r="F11" s="63">
        <v>305</v>
      </c>
      <c r="G11" s="63">
        <v>376</v>
      </c>
      <c r="H11" s="63">
        <v>168</v>
      </c>
      <c r="I11" s="63">
        <v>73</v>
      </c>
      <c r="J11" s="63">
        <v>82</v>
      </c>
      <c r="K11" s="63">
        <v>0</v>
      </c>
      <c r="L11" s="63">
        <v>0</v>
      </c>
      <c r="M11" s="63">
        <v>0</v>
      </c>
      <c r="N11" s="63">
        <v>234</v>
      </c>
      <c r="O11" s="63">
        <v>136</v>
      </c>
      <c r="P11" s="63">
        <v>113</v>
      </c>
      <c r="Q11" s="156">
        <v>0</v>
      </c>
      <c r="R11" s="156">
        <v>0</v>
      </c>
      <c r="S11" s="156">
        <v>0</v>
      </c>
      <c r="T11" s="156">
        <v>176</v>
      </c>
      <c r="U11" s="156">
        <v>78</v>
      </c>
      <c r="V11" s="156">
        <v>65</v>
      </c>
      <c r="W11" s="156">
        <v>48</v>
      </c>
      <c r="X11" s="156">
        <v>58</v>
      </c>
      <c r="Y11" s="156">
        <v>48</v>
      </c>
      <c r="Z11" s="63">
        <v>476</v>
      </c>
      <c r="AA11" s="63">
        <v>96</v>
      </c>
      <c r="AB11" s="63">
        <v>180</v>
      </c>
      <c r="AC11" s="63">
        <v>-1080</v>
      </c>
      <c r="AD11" s="63">
        <v>-457</v>
      </c>
      <c r="AE11" s="63">
        <v>-183</v>
      </c>
      <c r="AF11" s="63">
        <v>-1080</v>
      </c>
      <c r="AG11" s="63">
        <v>-457</v>
      </c>
      <c r="AH11" s="63">
        <v>-183</v>
      </c>
      <c r="AI11" s="155">
        <v>639</v>
      </c>
      <c r="AJ11" s="156">
        <v>809</v>
      </c>
      <c r="AK11" s="157">
        <v>859</v>
      </c>
      <c r="AL11" s="63">
        <v>296</v>
      </c>
      <c r="AM11" s="63">
        <v>142</v>
      </c>
      <c r="AN11" s="63">
        <v>238</v>
      </c>
      <c r="AO11" s="63">
        <v>296</v>
      </c>
      <c r="AP11" s="63">
        <v>142</v>
      </c>
      <c r="AQ11" s="63">
        <v>238</v>
      </c>
      <c r="AR11" s="63">
        <v>2292</v>
      </c>
      <c r="AS11" s="63">
        <v>1429</v>
      </c>
      <c r="AT11" s="63">
        <v>1180</v>
      </c>
      <c r="AU11" s="63">
        <v>1508</v>
      </c>
      <c r="AV11" s="63">
        <v>1114</v>
      </c>
      <c r="AW11" s="63">
        <v>1235</v>
      </c>
      <c r="AX11" s="63">
        <v>-784</v>
      </c>
      <c r="AY11" s="63">
        <v>-315</v>
      </c>
      <c r="AZ11" s="63">
        <v>55</v>
      </c>
      <c r="BA11" s="63">
        <v>-784</v>
      </c>
      <c r="BB11" s="63">
        <v>-315</v>
      </c>
      <c r="BC11" s="63">
        <v>55</v>
      </c>
    </row>
    <row r="12" spans="1:55">
      <c r="A12" s="63" t="s">
        <v>74</v>
      </c>
      <c r="B12" s="63">
        <v>100</v>
      </c>
      <c r="C12" s="63" t="s">
        <v>38</v>
      </c>
      <c r="D12" s="63" t="s">
        <v>35</v>
      </c>
      <c r="E12" s="63">
        <v>128</v>
      </c>
      <c r="F12" s="63">
        <v>131</v>
      </c>
      <c r="G12" s="63">
        <v>110</v>
      </c>
      <c r="H12" s="63">
        <v>9</v>
      </c>
      <c r="I12" s="63">
        <v>8</v>
      </c>
      <c r="J12" s="63">
        <v>11</v>
      </c>
      <c r="K12" s="63">
        <v>0</v>
      </c>
      <c r="L12" s="63">
        <v>0</v>
      </c>
      <c r="M12" s="63">
        <v>0</v>
      </c>
      <c r="N12" s="63">
        <v>59</v>
      </c>
      <c r="O12" s="63">
        <v>123</v>
      </c>
      <c r="P12" s="63">
        <v>99</v>
      </c>
      <c r="Q12" s="156">
        <v>0</v>
      </c>
      <c r="R12" s="156">
        <v>0</v>
      </c>
      <c r="S12" s="156">
        <v>0</v>
      </c>
      <c r="T12" s="156">
        <v>57</v>
      </c>
      <c r="U12" s="156">
        <v>121</v>
      </c>
      <c r="V12" s="156">
        <v>89</v>
      </c>
      <c r="W12" s="156">
        <v>2</v>
      </c>
      <c r="X12" s="156">
        <v>2</v>
      </c>
      <c r="Y12" s="156">
        <v>10</v>
      </c>
      <c r="Z12" s="63">
        <v>60</v>
      </c>
      <c r="AA12" s="63">
        <v>0</v>
      </c>
      <c r="AB12" s="63">
        <v>0</v>
      </c>
      <c r="AC12" s="63">
        <v>26</v>
      </c>
      <c r="AD12" s="63">
        <v>-14</v>
      </c>
      <c r="AE12" s="63">
        <v>-20</v>
      </c>
      <c r="AF12" s="63">
        <v>26</v>
      </c>
      <c r="AG12" s="63">
        <v>-14</v>
      </c>
      <c r="AH12" s="63">
        <v>-20</v>
      </c>
      <c r="AI12" s="155">
        <v>45</v>
      </c>
      <c r="AJ12" s="156">
        <v>51</v>
      </c>
      <c r="AK12" s="157">
        <v>42</v>
      </c>
      <c r="AL12" s="63">
        <v>7</v>
      </c>
      <c r="AM12" s="63">
        <v>16</v>
      </c>
      <c r="AN12" s="63">
        <v>12</v>
      </c>
      <c r="AO12" s="63">
        <v>7</v>
      </c>
      <c r="AP12" s="63">
        <v>16</v>
      </c>
      <c r="AQ12" s="63">
        <v>12</v>
      </c>
      <c r="AR12" s="63">
        <v>140</v>
      </c>
      <c r="AS12" s="63">
        <v>180</v>
      </c>
      <c r="AT12" s="63">
        <v>160</v>
      </c>
      <c r="AU12" s="63">
        <v>173</v>
      </c>
      <c r="AV12" s="63">
        <v>182</v>
      </c>
      <c r="AW12" s="63">
        <v>152</v>
      </c>
      <c r="AX12" s="63">
        <v>33</v>
      </c>
      <c r="AY12" s="63">
        <v>2</v>
      </c>
      <c r="AZ12" s="63">
        <v>-8</v>
      </c>
      <c r="BA12" s="63">
        <v>33</v>
      </c>
      <c r="BB12" s="63">
        <v>2</v>
      </c>
      <c r="BC12" s="63">
        <v>-8</v>
      </c>
    </row>
    <row r="13" spans="1:55">
      <c r="A13" s="63" t="s">
        <v>85</v>
      </c>
      <c r="B13" s="63">
        <v>80</v>
      </c>
      <c r="C13" s="63" t="s">
        <v>38</v>
      </c>
      <c r="D13" s="63" t="s">
        <v>35</v>
      </c>
      <c r="E13" s="63">
        <v>386</v>
      </c>
      <c r="F13" s="63">
        <v>448</v>
      </c>
      <c r="G13" s="63">
        <v>540</v>
      </c>
      <c r="H13" s="63">
        <v>87</v>
      </c>
      <c r="I13" s="63">
        <v>129</v>
      </c>
      <c r="J13" s="63">
        <v>108</v>
      </c>
      <c r="K13" s="63">
        <v>0</v>
      </c>
      <c r="L13" s="63">
        <v>0</v>
      </c>
      <c r="M13" s="63">
        <v>4</v>
      </c>
      <c r="N13" s="63">
        <v>152</v>
      </c>
      <c r="O13" s="63">
        <v>103</v>
      </c>
      <c r="P13" s="63">
        <v>131</v>
      </c>
      <c r="Q13" s="156">
        <v>21</v>
      </c>
      <c r="R13" s="156">
        <v>1</v>
      </c>
      <c r="S13" s="156">
        <v>0</v>
      </c>
      <c r="T13" s="156">
        <v>102</v>
      </c>
      <c r="U13" s="156">
        <v>78</v>
      </c>
      <c r="V13" s="156">
        <v>106</v>
      </c>
      <c r="W13" s="156">
        <v>29</v>
      </c>
      <c r="X13" s="156">
        <v>24</v>
      </c>
      <c r="Y13" s="156">
        <v>25</v>
      </c>
      <c r="Z13" s="63">
        <v>145</v>
      </c>
      <c r="AA13" s="63">
        <v>216</v>
      </c>
      <c r="AB13" s="63">
        <v>296</v>
      </c>
      <c r="AC13" s="63">
        <v>-23</v>
      </c>
      <c r="AD13" s="63">
        <v>-1</v>
      </c>
      <c r="AE13" s="63">
        <v>-18</v>
      </c>
      <c r="AF13" s="63">
        <v>-23</v>
      </c>
      <c r="AG13" s="63">
        <v>-1</v>
      </c>
      <c r="AH13" s="63">
        <v>-18</v>
      </c>
      <c r="AI13" s="155">
        <v>0</v>
      </c>
      <c r="AJ13" s="156">
        <v>0</v>
      </c>
      <c r="AK13" s="157">
        <v>0</v>
      </c>
      <c r="AL13" s="63">
        <v>0</v>
      </c>
      <c r="AM13" s="63">
        <v>0</v>
      </c>
      <c r="AN13" s="63">
        <v>0</v>
      </c>
      <c r="AO13" s="63">
        <v>0</v>
      </c>
      <c r="AP13" s="63">
        <v>0</v>
      </c>
      <c r="AQ13" s="63">
        <v>0</v>
      </c>
      <c r="AR13" s="63">
        <v>408</v>
      </c>
      <c r="AS13" s="63">
        <v>449</v>
      </c>
      <c r="AT13" s="63">
        <v>557</v>
      </c>
      <c r="AU13" s="63">
        <v>386</v>
      </c>
      <c r="AV13" s="63">
        <v>448</v>
      </c>
      <c r="AW13" s="63">
        <v>540</v>
      </c>
      <c r="AX13" s="63">
        <v>-22</v>
      </c>
      <c r="AY13" s="63">
        <v>-1</v>
      </c>
      <c r="AZ13" s="63">
        <v>-17</v>
      </c>
      <c r="BA13" s="63">
        <v>-23</v>
      </c>
      <c r="BB13" s="63">
        <v>-1</v>
      </c>
      <c r="BC13" s="63">
        <v>-18</v>
      </c>
    </row>
    <row r="14" spans="1:55">
      <c r="A14" s="63" t="s">
        <v>91</v>
      </c>
      <c r="B14" s="63">
        <v>70</v>
      </c>
      <c r="C14" s="63" t="s">
        <v>38</v>
      </c>
      <c r="D14" s="63" t="s">
        <v>35</v>
      </c>
      <c r="E14" s="63">
        <v>310</v>
      </c>
      <c r="F14" s="63">
        <v>160</v>
      </c>
      <c r="G14" s="63">
        <v>427</v>
      </c>
      <c r="H14" s="63">
        <v>0</v>
      </c>
      <c r="I14" s="63">
        <v>0</v>
      </c>
      <c r="J14" s="63">
        <v>0</v>
      </c>
      <c r="K14" s="63">
        <v>23</v>
      </c>
      <c r="L14" s="63">
        <v>33</v>
      </c>
      <c r="M14" s="63">
        <v>243</v>
      </c>
      <c r="N14" s="63">
        <v>87</v>
      </c>
      <c r="O14" s="63">
        <v>50</v>
      </c>
      <c r="P14" s="63">
        <v>43</v>
      </c>
      <c r="Q14" s="156">
        <v>21</v>
      </c>
      <c r="R14" s="156">
        <v>0</v>
      </c>
      <c r="S14" s="156">
        <v>0</v>
      </c>
      <c r="T14" s="156">
        <v>52</v>
      </c>
      <c r="U14" s="156">
        <v>29</v>
      </c>
      <c r="V14" s="156">
        <v>33</v>
      </c>
      <c r="W14" s="156">
        <v>14</v>
      </c>
      <c r="X14" s="156">
        <v>21</v>
      </c>
      <c r="Y14" s="156">
        <v>10</v>
      </c>
      <c r="Z14" s="63">
        <v>200</v>
      </c>
      <c r="AA14" s="63">
        <v>77</v>
      </c>
      <c r="AB14" s="63">
        <v>141</v>
      </c>
      <c r="AC14" s="63">
        <v>109</v>
      </c>
      <c r="AD14" s="63">
        <v>-97</v>
      </c>
      <c r="AE14" s="63">
        <v>216</v>
      </c>
      <c r="AF14" s="63">
        <v>109</v>
      </c>
      <c r="AG14" s="63">
        <v>-97</v>
      </c>
      <c r="AH14" s="63">
        <v>216</v>
      </c>
      <c r="AI14" s="155">
        <v>0</v>
      </c>
      <c r="AJ14" s="156">
        <v>0</v>
      </c>
      <c r="AK14" s="157">
        <v>0</v>
      </c>
      <c r="AL14" s="63">
        <v>0</v>
      </c>
      <c r="AM14" s="63">
        <v>0</v>
      </c>
      <c r="AN14" s="63">
        <v>0</v>
      </c>
      <c r="AO14" s="63">
        <v>0</v>
      </c>
      <c r="AP14" s="63">
        <v>0</v>
      </c>
      <c r="AQ14" s="63">
        <v>0</v>
      </c>
      <c r="AR14" s="63">
        <v>201</v>
      </c>
      <c r="AS14" s="63">
        <v>257</v>
      </c>
      <c r="AT14" s="63">
        <v>211</v>
      </c>
      <c r="AU14" s="63">
        <v>310</v>
      </c>
      <c r="AV14" s="63">
        <v>160</v>
      </c>
      <c r="AW14" s="63">
        <v>427</v>
      </c>
      <c r="AX14" s="63">
        <v>109</v>
      </c>
      <c r="AY14" s="63">
        <v>-97</v>
      </c>
      <c r="AZ14" s="63">
        <v>216</v>
      </c>
      <c r="BA14" s="63">
        <v>109</v>
      </c>
      <c r="BB14" s="63">
        <v>-97</v>
      </c>
      <c r="BC14" s="63">
        <v>216</v>
      </c>
    </row>
    <row r="15" spans="1:55">
      <c r="A15" s="63" t="s">
        <v>95</v>
      </c>
      <c r="B15" s="63">
        <v>255</v>
      </c>
      <c r="C15" s="63" t="s">
        <v>38</v>
      </c>
      <c r="D15" s="63" t="s">
        <v>35</v>
      </c>
      <c r="E15" s="63">
        <v>1462</v>
      </c>
      <c r="F15" s="63">
        <v>2658</v>
      </c>
      <c r="G15" s="63">
        <v>2980</v>
      </c>
      <c r="H15" s="63">
        <v>942</v>
      </c>
      <c r="I15" s="63">
        <v>9</v>
      </c>
      <c r="J15" s="63">
        <v>17</v>
      </c>
      <c r="K15" s="63">
        <v>0</v>
      </c>
      <c r="L15" s="63">
        <v>348</v>
      </c>
      <c r="M15" s="63">
        <v>494</v>
      </c>
      <c r="N15" s="63">
        <v>104</v>
      </c>
      <c r="O15" s="63">
        <v>1828</v>
      </c>
      <c r="P15" s="63">
        <v>1522</v>
      </c>
      <c r="Q15" s="156">
        <v>0</v>
      </c>
      <c r="R15" s="156">
        <v>637</v>
      </c>
      <c r="S15" s="156">
        <v>428</v>
      </c>
      <c r="T15" s="156">
        <v>104</v>
      </c>
      <c r="U15" s="156">
        <v>247</v>
      </c>
      <c r="V15" s="156">
        <v>77</v>
      </c>
      <c r="W15" s="156">
        <v>0</v>
      </c>
      <c r="X15" s="156">
        <v>944</v>
      </c>
      <c r="Y15" s="156">
        <v>1017</v>
      </c>
      <c r="Z15" s="63">
        <v>416</v>
      </c>
      <c r="AA15" s="63">
        <v>473</v>
      </c>
      <c r="AB15" s="63">
        <v>947</v>
      </c>
      <c r="AC15" s="63">
        <v>-756</v>
      </c>
      <c r="AD15" s="63">
        <v>-237</v>
      </c>
      <c r="AE15" s="63">
        <v>-511</v>
      </c>
      <c r="AF15" s="63">
        <v>-756</v>
      </c>
      <c r="AG15" s="63">
        <v>-237</v>
      </c>
      <c r="AH15" s="63">
        <v>-511</v>
      </c>
      <c r="AI15" s="155">
        <v>2218</v>
      </c>
      <c r="AJ15" s="156">
        <v>2012</v>
      </c>
      <c r="AK15" s="157">
        <v>2044</v>
      </c>
      <c r="AL15" s="63">
        <v>1328</v>
      </c>
      <c r="AM15" s="63">
        <v>1097</v>
      </c>
      <c r="AN15" s="63">
        <v>915</v>
      </c>
      <c r="AO15" s="63">
        <v>1151</v>
      </c>
      <c r="AP15" s="63">
        <v>951</v>
      </c>
      <c r="AQ15" s="63">
        <v>798</v>
      </c>
      <c r="AR15" s="63">
        <v>3108</v>
      </c>
      <c r="AS15" s="63">
        <v>3956</v>
      </c>
      <c r="AT15" s="63">
        <v>4737</v>
      </c>
      <c r="AU15" s="63">
        <v>3680</v>
      </c>
      <c r="AV15" s="63">
        <v>4670</v>
      </c>
      <c r="AW15" s="63">
        <v>5024</v>
      </c>
      <c r="AX15" s="63">
        <v>572</v>
      </c>
      <c r="AY15" s="63">
        <v>714</v>
      </c>
      <c r="AZ15" s="63">
        <v>287</v>
      </c>
      <c r="BA15" s="63">
        <v>395</v>
      </c>
      <c r="BB15" s="63">
        <v>714</v>
      </c>
      <c r="BC15" s="63">
        <v>287</v>
      </c>
    </row>
    <row r="16" spans="1:55">
      <c r="A16" s="63" t="s">
        <v>111</v>
      </c>
      <c r="B16" s="63">
        <v>420</v>
      </c>
      <c r="C16" s="63" t="s">
        <v>38</v>
      </c>
      <c r="D16" s="63" t="s">
        <v>35</v>
      </c>
      <c r="E16" s="63">
        <v>72</v>
      </c>
      <c r="F16" s="63">
        <v>120</v>
      </c>
      <c r="G16" s="63">
        <v>106</v>
      </c>
      <c r="H16" s="63">
        <v>30</v>
      </c>
      <c r="I16" s="63">
        <v>14</v>
      </c>
      <c r="J16" s="63">
        <v>14</v>
      </c>
      <c r="K16" s="63">
        <v>0</v>
      </c>
      <c r="L16" s="63">
        <v>0</v>
      </c>
      <c r="M16" s="63">
        <v>0</v>
      </c>
      <c r="N16" s="63">
        <v>42</v>
      </c>
      <c r="O16" s="63">
        <v>106</v>
      </c>
      <c r="P16" s="63">
        <v>36</v>
      </c>
      <c r="Q16" s="156">
        <v>0</v>
      </c>
      <c r="R16" s="156">
        <v>0</v>
      </c>
      <c r="S16" s="156">
        <v>0</v>
      </c>
      <c r="T16" s="156">
        <v>17</v>
      </c>
      <c r="U16" s="156">
        <v>83</v>
      </c>
      <c r="V16" s="156">
        <v>13</v>
      </c>
      <c r="W16" s="156">
        <v>25</v>
      </c>
      <c r="X16" s="156">
        <v>21</v>
      </c>
      <c r="Y16" s="156">
        <v>23</v>
      </c>
      <c r="Z16" s="63">
        <v>0</v>
      </c>
      <c r="AA16" s="63">
        <v>0</v>
      </c>
      <c r="AB16" s="63">
        <v>56</v>
      </c>
      <c r="AC16" s="63">
        <v>14</v>
      </c>
      <c r="AD16" s="63">
        <v>9</v>
      </c>
      <c r="AE16" s="63">
        <v>9</v>
      </c>
      <c r="AF16" s="63">
        <v>14</v>
      </c>
      <c r="AG16" s="63">
        <v>9</v>
      </c>
      <c r="AH16" s="63">
        <v>9</v>
      </c>
      <c r="AI16" s="155">
        <v>18</v>
      </c>
      <c r="AJ16" s="156">
        <v>39</v>
      </c>
      <c r="AK16" s="157">
        <v>39</v>
      </c>
      <c r="AL16" s="63">
        <v>18</v>
      </c>
      <c r="AM16" s="63">
        <v>39</v>
      </c>
      <c r="AN16" s="63">
        <v>39</v>
      </c>
      <c r="AO16" s="63">
        <v>18</v>
      </c>
      <c r="AP16" s="63">
        <v>39</v>
      </c>
      <c r="AQ16" s="63">
        <v>39</v>
      </c>
      <c r="AR16" s="63">
        <v>58</v>
      </c>
      <c r="AS16" s="63">
        <v>111</v>
      </c>
      <c r="AT16" s="63">
        <v>97</v>
      </c>
      <c r="AU16" s="63">
        <v>90</v>
      </c>
      <c r="AV16" s="63">
        <v>159</v>
      </c>
      <c r="AW16" s="63">
        <v>145</v>
      </c>
      <c r="AX16" s="63">
        <v>32</v>
      </c>
      <c r="AY16" s="63">
        <v>48</v>
      </c>
      <c r="AZ16" s="63">
        <v>48</v>
      </c>
      <c r="BA16" s="63">
        <v>32</v>
      </c>
      <c r="BB16" s="63">
        <v>48</v>
      </c>
      <c r="BC16" s="63">
        <v>48</v>
      </c>
    </row>
    <row r="17" spans="1:55">
      <c r="A17" s="63" t="s">
        <v>112</v>
      </c>
      <c r="B17" s="63">
        <v>125</v>
      </c>
      <c r="C17" s="63" t="s">
        <v>38</v>
      </c>
      <c r="D17" s="63" t="s">
        <v>35</v>
      </c>
      <c r="E17" s="63">
        <v>1456.6666666666667</v>
      </c>
      <c r="F17" s="63">
        <v>1489</v>
      </c>
      <c r="G17" s="63">
        <v>276.22222222222223</v>
      </c>
      <c r="H17" s="63">
        <v>336.55555555555554</v>
      </c>
      <c r="I17" s="63">
        <v>342</v>
      </c>
      <c r="J17" s="63">
        <v>5.1111111111111116</v>
      </c>
      <c r="K17" s="63">
        <v>97.1111111111111</v>
      </c>
      <c r="L17" s="63">
        <v>61.111111111111107</v>
      </c>
      <c r="M17" s="63">
        <v>5.2222222222222214</v>
      </c>
      <c r="N17" s="63">
        <v>1022.9999999999999</v>
      </c>
      <c r="O17" s="63">
        <v>793.44444444444434</v>
      </c>
      <c r="P17" s="63">
        <v>223.55555555555557</v>
      </c>
      <c r="Q17" s="156">
        <v>0</v>
      </c>
      <c r="R17" s="156">
        <v>0</v>
      </c>
      <c r="S17" s="156">
        <v>0</v>
      </c>
      <c r="T17" s="156">
        <v>683.66666666666663</v>
      </c>
      <c r="U17" s="156">
        <v>423.5555555555556</v>
      </c>
      <c r="V17" s="156">
        <v>88.444444444444457</v>
      </c>
      <c r="W17" s="156">
        <v>339.33333333333331</v>
      </c>
      <c r="X17" s="156">
        <v>369.88888888888886</v>
      </c>
      <c r="Y17" s="156">
        <v>135.11111111111109</v>
      </c>
      <c r="Z17" s="63">
        <v>0</v>
      </c>
      <c r="AA17" s="63">
        <v>279.11111111111109</v>
      </c>
      <c r="AB17" s="63">
        <v>42.333333333333336</v>
      </c>
      <c r="AC17" s="63">
        <v>-55.888888888888893</v>
      </c>
      <c r="AD17" s="63">
        <v>63.222222222222221</v>
      </c>
      <c r="AE17" s="63">
        <v>-32.444444444444443</v>
      </c>
      <c r="AF17" s="63">
        <v>-55.888888888888893</v>
      </c>
      <c r="AG17" s="63">
        <v>63.222222222222221</v>
      </c>
      <c r="AH17" s="63">
        <v>-32.444444444444443</v>
      </c>
      <c r="AI17" s="155">
        <v>640.8888888888888</v>
      </c>
      <c r="AJ17" s="156">
        <v>649.22222222222229</v>
      </c>
      <c r="AK17" s="157">
        <v>47.666666666666671</v>
      </c>
      <c r="AL17" s="63">
        <v>200.11111111111111</v>
      </c>
      <c r="AM17" s="63">
        <v>167.33333333333334</v>
      </c>
      <c r="AN17" s="63">
        <v>8.8888888888888893</v>
      </c>
      <c r="AO17" s="63">
        <v>173.55555555555554</v>
      </c>
      <c r="AP17" s="63">
        <v>145.11111111111111</v>
      </c>
      <c r="AQ17" s="63">
        <v>8.8888888888888893</v>
      </c>
      <c r="AR17" s="63">
        <v>1953.3333333333333</v>
      </c>
      <c r="AS17" s="63">
        <v>1930.2222222222222</v>
      </c>
      <c r="AT17" s="63">
        <v>347.44444444444446</v>
      </c>
      <c r="AU17" s="63">
        <v>2097.5555555555557</v>
      </c>
      <c r="AV17" s="63">
        <v>2138.2222222222222</v>
      </c>
      <c r="AW17" s="63">
        <v>323.88888888888891</v>
      </c>
      <c r="AX17" s="63">
        <v>144.22222222222223</v>
      </c>
      <c r="AY17" s="63">
        <v>208</v>
      </c>
      <c r="AZ17" s="63">
        <v>-23.555555555555554</v>
      </c>
      <c r="BA17" s="63">
        <v>117.66666666666667</v>
      </c>
      <c r="BB17" s="63">
        <v>208.33333333333334</v>
      </c>
      <c r="BC17" s="63">
        <v>-23.555555555555554</v>
      </c>
    </row>
    <row r="18" spans="1:55">
      <c r="A18" s="63" t="s">
        <v>113</v>
      </c>
      <c r="B18" s="63">
        <v>100</v>
      </c>
      <c r="C18" s="63" t="s">
        <v>38</v>
      </c>
      <c r="D18" s="63" t="s">
        <v>35</v>
      </c>
      <c r="E18" s="63">
        <v>335</v>
      </c>
      <c r="F18" s="63">
        <v>221</v>
      </c>
      <c r="G18" s="63">
        <v>283</v>
      </c>
      <c r="H18" s="63">
        <v>116</v>
      </c>
      <c r="I18" s="63">
        <v>108</v>
      </c>
      <c r="J18" s="63">
        <v>91</v>
      </c>
      <c r="K18" s="63">
        <v>29</v>
      </c>
      <c r="L18" s="63">
        <v>11</v>
      </c>
      <c r="M18" s="63">
        <v>9</v>
      </c>
      <c r="N18" s="63">
        <v>118</v>
      </c>
      <c r="O18" s="63">
        <v>52</v>
      </c>
      <c r="P18" s="63">
        <v>59</v>
      </c>
      <c r="Q18" s="156">
        <v>0</v>
      </c>
      <c r="R18" s="156">
        <v>0</v>
      </c>
      <c r="S18" s="156">
        <v>0</v>
      </c>
      <c r="T18" s="156">
        <v>13</v>
      </c>
      <c r="U18" s="156">
        <v>12</v>
      </c>
      <c r="V18" s="156">
        <v>6</v>
      </c>
      <c r="W18" s="156">
        <v>105</v>
      </c>
      <c r="X18" s="156">
        <v>40</v>
      </c>
      <c r="Y18" s="156">
        <v>53</v>
      </c>
      <c r="Z18" s="63">
        <v>72</v>
      </c>
      <c r="AA18" s="63">
        <v>50</v>
      </c>
      <c r="AB18" s="63">
        <v>124</v>
      </c>
      <c r="AC18" s="63">
        <v>49</v>
      </c>
      <c r="AD18" s="63">
        <v>-80</v>
      </c>
      <c r="AE18" s="63">
        <v>6</v>
      </c>
      <c r="AF18" s="63">
        <v>49</v>
      </c>
      <c r="AG18" s="63">
        <v>-80</v>
      </c>
      <c r="AH18" s="63">
        <v>6</v>
      </c>
      <c r="AI18" s="155">
        <v>148</v>
      </c>
      <c r="AJ18" s="156">
        <v>77</v>
      </c>
      <c r="AK18" s="157">
        <v>90</v>
      </c>
      <c r="AL18" s="63">
        <v>51</v>
      </c>
      <c r="AM18" s="63">
        <v>65</v>
      </c>
      <c r="AN18" s="63">
        <v>70</v>
      </c>
      <c r="AO18" s="63">
        <v>51</v>
      </c>
      <c r="AP18" s="63">
        <v>65</v>
      </c>
      <c r="AQ18" s="63">
        <v>70</v>
      </c>
      <c r="AR18" s="63">
        <v>383</v>
      </c>
      <c r="AS18" s="63">
        <v>313</v>
      </c>
      <c r="AT18" s="63">
        <v>297</v>
      </c>
      <c r="AU18" s="63">
        <v>483</v>
      </c>
      <c r="AV18" s="63">
        <v>298</v>
      </c>
      <c r="AW18" s="63">
        <v>373</v>
      </c>
      <c r="AX18" s="63">
        <v>100</v>
      </c>
      <c r="AY18" s="63">
        <v>-15</v>
      </c>
      <c r="AZ18" s="63">
        <v>76</v>
      </c>
      <c r="BA18" s="63">
        <v>100</v>
      </c>
      <c r="BB18" s="63">
        <v>-15</v>
      </c>
      <c r="BC18" s="63">
        <v>76</v>
      </c>
    </row>
    <row r="19" spans="1:55">
      <c r="A19" s="63" t="s">
        <v>115</v>
      </c>
      <c r="B19" s="63">
        <v>112</v>
      </c>
      <c r="C19" s="63" t="s">
        <v>38</v>
      </c>
      <c r="D19" s="63" t="s">
        <v>35</v>
      </c>
      <c r="E19" s="63">
        <v>77</v>
      </c>
      <c r="F19" s="63">
        <v>73</v>
      </c>
      <c r="G19" s="63">
        <v>69</v>
      </c>
      <c r="H19" s="63">
        <v>0</v>
      </c>
      <c r="I19" s="63">
        <v>0</v>
      </c>
      <c r="J19" s="63">
        <v>0</v>
      </c>
      <c r="K19" s="63">
        <v>0</v>
      </c>
      <c r="L19" s="63">
        <v>5</v>
      </c>
      <c r="M19" s="63">
        <v>2</v>
      </c>
      <c r="N19" s="63">
        <v>77</v>
      </c>
      <c r="O19" s="63">
        <v>68</v>
      </c>
      <c r="P19" s="63">
        <v>67</v>
      </c>
      <c r="Q19" s="156">
        <v>0</v>
      </c>
      <c r="R19" s="156">
        <v>0</v>
      </c>
      <c r="S19" s="156">
        <v>0</v>
      </c>
      <c r="T19" s="156">
        <v>55</v>
      </c>
      <c r="U19" s="156">
        <v>33</v>
      </c>
      <c r="V19" s="156">
        <v>50</v>
      </c>
      <c r="W19" s="156">
        <v>22</v>
      </c>
      <c r="X19" s="156">
        <v>35</v>
      </c>
      <c r="Y19" s="156">
        <v>17</v>
      </c>
      <c r="Z19" s="63">
        <v>0</v>
      </c>
      <c r="AA19" s="63">
        <v>0</v>
      </c>
      <c r="AB19" s="63">
        <v>0</v>
      </c>
      <c r="AC19" s="63">
        <v>3</v>
      </c>
      <c r="AD19" s="63">
        <v>-3</v>
      </c>
      <c r="AE19" s="63">
        <v>0</v>
      </c>
      <c r="AF19" s="63">
        <v>3</v>
      </c>
      <c r="AG19" s="63">
        <v>-3</v>
      </c>
      <c r="AH19" s="63">
        <v>0</v>
      </c>
      <c r="AI19" s="155">
        <v>3</v>
      </c>
      <c r="AJ19" s="156">
        <v>3</v>
      </c>
      <c r="AK19" s="157">
        <v>0</v>
      </c>
      <c r="AL19" s="63">
        <v>3</v>
      </c>
      <c r="AM19" s="63">
        <v>3</v>
      </c>
      <c r="AN19" s="63">
        <v>0</v>
      </c>
      <c r="AO19" s="63">
        <v>3</v>
      </c>
      <c r="AP19" s="63">
        <v>3</v>
      </c>
      <c r="AQ19" s="63">
        <v>0</v>
      </c>
      <c r="AR19" s="63">
        <v>74</v>
      </c>
      <c r="AS19" s="63">
        <v>76</v>
      </c>
      <c r="AT19" s="63">
        <v>69</v>
      </c>
      <c r="AU19" s="63">
        <v>80</v>
      </c>
      <c r="AV19" s="63">
        <v>76</v>
      </c>
      <c r="AW19" s="63">
        <v>69</v>
      </c>
      <c r="AX19" s="63">
        <v>6</v>
      </c>
      <c r="AY19" s="63">
        <v>0</v>
      </c>
      <c r="AZ19" s="63">
        <v>0</v>
      </c>
      <c r="BA19" s="63">
        <v>6</v>
      </c>
      <c r="BB19" s="63">
        <v>0</v>
      </c>
      <c r="BC19" s="63">
        <v>0</v>
      </c>
    </row>
    <row r="20" spans="1:55">
      <c r="A20" s="63" t="s">
        <v>118</v>
      </c>
      <c r="B20" s="63">
        <v>55</v>
      </c>
      <c r="C20" s="63" t="s">
        <v>38</v>
      </c>
      <c r="D20" s="63" t="s">
        <v>35</v>
      </c>
      <c r="E20" s="63">
        <v>229</v>
      </c>
      <c r="F20" s="63">
        <v>240</v>
      </c>
      <c r="G20" s="63">
        <v>352</v>
      </c>
      <c r="H20" s="63">
        <v>229</v>
      </c>
      <c r="I20" s="63">
        <v>0</v>
      </c>
      <c r="J20" s="63">
        <v>121</v>
      </c>
      <c r="K20" s="63">
        <v>0</v>
      </c>
      <c r="L20" s="63">
        <v>0</v>
      </c>
      <c r="M20" s="63">
        <v>0</v>
      </c>
      <c r="N20" s="63">
        <v>0</v>
      </c>
      <c r="O20" s="63">
        <v>51</v>
      </c>
      <c r="P20" s="63">
        <v>0</v>
      </c>
      <c r="Q20" s="156">
        <v>0</v>
      </c>
      <c r="R20" s="156">
        <v>0</v>
      </c>
      <c r="S20" s="156">
        <v>0</v>
      </c>
      <c r="T20" s="156">
        <v>0</v>
      </c>
      <c r="U20" s="156">
        <v>37</v>
      </c>
      <c r="V20" s="156">
        <v>0</v>
      </c>
      <c r="W20" s="156">
        <v>0</v>
      </c>
      <c r="X20" s="156">
        <v>14</v>
      </c>
      <c r="Y20" s="156">
        <v>0</v>
      </c>
      <c r="Z20" s="63">
        <v>0</v>
      </c>
      <c r="AA20" s="63">
        <v>189</v>
      </c>
      <c r="AB20" s="63">
        <v>231</v>
      </c>
      <c r="AC20" s="63">
        <v>0</v>
      </c>
      <c r="AD20" s="63">
        <v>0</v>
      </c>
      <c r="AE20" s="63">
        <v>18</v>
      </c>
      <c r="AF20" s="63">
        <v>0</v>
      </c>
      <c r="AG20" s="63">
        <v>0</v>
      </c>
      <c r="AH20" s="63">
        <v>18</v>
      </c>
      <c r="AI20" s="155">
        <v>0</v>
      </c>
      <c r="AJ20" s="156">
        <v>0</v>
      </c>
      <c r="AK20" s="157">
        <v>0</v>
      </c>
      <c r="AL20" s="63">
        <v>0</v>
      </c>
      <c r="AM20" s="63">
        <v>0</v>
      </c>
      <c r="AN20" s="63">
        <v>0</v>
      </c>
      <c r="AO20" s="63">
        <v>0</v>
      </c>
      <c r="AP20" s="63">
        <v>0</v>
      </c>
      <c r="AQ20" s="63">
        <v>0</v>
      </c>
      <c r="AR20" s="63">
        <v>229</v>
      </c>
      <c r="AS20" s="63">
        <v>240</v>
      </c>
      <c r="AT20" s="63">
        <v>334</v>
      </c>
      <c r="AU20" s="63">
        <v>229</v>
      </c>
      <c r="AV20" s="63">
        <v>240</v>
      </c>
      <c r="AW20" s="63">
        <v>352</v>
      </c>
      <c r="AX20" s="63">
        <v>0</v>
      </c>
      <c r="AY20" s="63">
        <v>0</v>
      </c>
      <c r="AZ20" s="63">
        <v>18</v>
      </c>
      <c r="BA20" s="63">
        <v>0</v>
      </c>
      <c r="BB20" s="63">
        <v>0</v>
      </c>
      <c r="BC20" s="63">
        <v>18</v>
      </c>
    </row>
    <row r="21" spans="1:55">
      <c r="A21" s="63" t="s">
        <v>121</v>
      </c>
      <c r="B21" s="63">
        <v>127</v>
      </c>
      <c r="C21" s="63" t="s">
        <v>38</v>
      </c>
      <c r="D21" s="63" t="s">
        <v>35</v>
      </c>
      <c r="E21" s="63">
        <v>188</v>
      </c>
      <c r="F21" s="63">
        <v>222</v>
      </c>
      <c r="G21" s="63">
        <v>254</v>
      </c>
      <c r="H21" s="63">
        <v>33</v>
      </c>
      <c r="I21" s="63">
        <v>45</v>
      </c>
      <c r="J21" s="63">
        <v>45</v>
      </c>
      <c r="K21" s="63">
        <v>17</v>
      </c>
      <c r="L21" s="63">
        <v>10</v>
      </c>
      <c r="M21" s="63">
        <v>56</v>
      </c>
      <c r="N21" s="63">
        <v>68</v>
      </c>
      <c r="O21" s="63">
        <v>52</v>
      </c>
      <c r="P21" s="63">
        <v>63</v>
      </c>
      <c r="Q21" s="156">
        <v>0</v>
      </c>
      <c r="R21" s="156">
        <v>0</v>
      </c>
      <c r="S21" s="156">
        <v>0</v>
      </c>
      <c r="T21" s="156">
        <v>47</v>
      </c>
      <c r="U21" s="156">
        <v>30</v>
      </c>
      <c r="V21" s="156">
        <v>63</v>
      </c>
      <c r="W21" s="156">
        <v>21</v>
      </c>
      <c r="X21" s="156">
        <v>22</v>
      </c>
      <c r="Y21" s="156">
        <v>0</v>
      </c>
      <c r="Z21" s="63">
        <v>70</v>
      </c>
      <c r="AA21" s="63">
        <v>115</v>
      </c>
      <c r="AB21" s="63">
        <v>90</v>
      </c>
      <c r="AC21" s="63">
        <v>-149</v>
      </c>
      <c r="AD21" s="63">
        <v>-57</v>
      </c>
      <c r="AE21" s="63">
        <v>-75</v>
      </c>
      <c r="AF21" s="63">
        <v>-149</v>
      </c>
      <c r="AG21" s="63">
        <v>-57</v>
      </c>
      <c r="AH21" s="63">
        <v>-75</v>
      </c>
      <c r="AI21" s="155">
        <v>293</v>
      </c>
      <c r="AJ21" s="156">
        <v>388</v>
      </c>
      <c r="AK21" s="157">
        <v>507</v>
      </c>
      <c r="AL21" s="63">
        <v>144</v>
      </c>
      <c r="AM21" s="63">
        <v>148</v>
      </c>
      <c r="AN21" s="63">
        <v>238</v>
      </c>
      <c r="AO21" s="63">
        <v>144</v>
      </c>
      <c r="AP21" s="63">
        <v>148</v>
      </c>
      <c r="AQ21" s="63">
        <v>238</v>
      </c>
      <c r="AR21" s="63">
        <v>486</v>
      </c>
      <c r="AS21" s="63">
        <v>519</v>
      </c>
      <c r="AT21" s="63">
        <v>598</v>
      </c>
      <c r="AU21" s="63">
        <v>481</v>
      </c>
      <c r="AV21" s="63">
        <v>610</v>
      </c>
      <c r="AW21" s="63">
        <v>761</v>
      </c>
      <c r="AX21" s="63">
        <v>-5</v>
      </c>
      <c r="AY21" s="63">
        <v>91</v>
      </c>
      <c r="AZ21" s="63">
        <v>163</v>
      </c>
      <c r="BA21" s="63">
        <v>-5</v>
      </c>
      <c r="BB21" s="63">
        <v>91</v>
      </c>
      <c r="BC21" s="63">
        <v>163</v>
      </c>
    </row>
    <row r="22" spans="1:55">
      <c r="A22" s="63" t="s">
        <v>122</v>
      </c>
      <c r="B22" s="63">
        <v>147</v>
      </c>
      <c r="C22" s="63" t="s">
        <v>38</v>
      </c>
      <c r="D22" s="63" t="s">
        <v>35</v>
      </c>
      <c r="E22" s="63">
        <v>121</v>
      </c>
      <c r="F22" s="63">
        <v>240</v>
      </c>
      <c r="G22" s="63">
        <v>346</v>
      </c>
      <c r="H22" s="63">
        <v>10</v>
      </c>
      <c r="I22" s="63">
        <v>9</v>
      </c>
      <c r="J22" s="63">
        <v>19</v>
      </c>
      <c r="K22" s="63">
        <v>0</v>
      </c>
      <c r="L22" s="63">
        <v>0</v>
      </c>
      <c r="M22" s="63">
        <v>0</v>
      </c>
      <c r="N22" s="63">
        <v>58</v>
      </c>
      <c r="O22" s="63">
        <v>46</v>
      </c>
      <c r="P22" s="63">
        <v>96</v>
      </c>
      <c r="Q22" s="156">
        <v>0</v>
      </c>
      <c r="R22" s="156">
        <v>0</v>
      </c>
      <c r="S22" s="156">
        <v>0</v>
      </c>
      <c r="T22" s="156">
        <v>43</v>
      </c>
      <c r="U22" s="156">
        <v>26</v>
      </c>
      <c r="V22" s="156">
        <v>42</v>
      </c>
      <c r="W22" s="156">
        <v>15</v>
      </c>
      <c r="X22" s="156">
        <v>20</v>
      </c>
      <c r="Y22" s="156">
        <v>54</v>
      </c>
      <c r="Z22" s="63">
        <v>53</v>
      </c>
      <c r="AA22" s="63">
        <v>185</v>
      </c>
      <c r="AB22" s="63">
        <v>231</v>
      </c>
      <c r="AC22" s="63">
        <v>-39</v>
      </c>
      <c r="AD22" s="63">
        <v>-54</v>
      </c>
      <c r="AE22" s="63">
        <v>15</v>
      </c>
      <c r="AF22" s="63">
        <v>-39</v>
      </c>
      <c r="AG22" s="63">
        <v>-54</v>
      </c>
      <c r="AH22" s="63">
        <v>15</v>
      </c>
      <c r="AI22" s="155">
        <v>319</v>
      </c>
      <c r="AJ22" s="156">
        <v>395</v>
      </c>
      <c r="AK22" s="157">
        <v>282</v>
      </c>
      <c r="AL22" s="63">
        <v>98</v>
      </c>
      <c r="AM22" s="63">
        <v>201</v>
      </c>
      <c r="AN22" s="63">
        <v>72</v>
      </c>
      <c r="AO22" s="63">
        <v>98</v>
      </c>
      <c r="AP22" s="63">
        <v>201</v>
      </c>
      <c r="AQ22" s="63">
        <v>72</v>
      </c>
      <c r="AR22" s="63">
        <v>381</v>
      </c>
      <c r="AS22" s="63">
        <v>488</v>
      </c>
      <c r="AT22" s="63">
        <v>541</v>
      </c>
      <c r="AU22" s="63">
        <v>440</v>
      </c>
      <c r="AV22" s="63">
        <v>635</v>
      </c>
      <c r="AW22" s="63">
        <v>628</v>
      </c>
      <c r="AX22" s="63">
        <v>59</v>
      </c>
      <c r="AY22" s="63">
        <v>147</v>
      </c>
      <c r="AZ22" s="63">
        <v>87</v>
      </c>
      <c r="BA22" s="63">
        <v>59</v>
      </c>
      <c r="BB22" s="63">
        <v>147</v>
      </c>
      <c r="BC22" s="63">
        <v>87</v>
      </c>
    </row>
    <row r="23" spans="1:55">
      <c r="A23" s="63" t="s">
        <v>123</v>
      </c>
      <c r="B23" s="63">
        <v>45</v>
      </c>
      <c r="C23" s="63" t="s">
        <v>38</v>
      </c>
      <c r="D23" s="63" t="s">
        <v>35</v>
      </c>
      <c r="E23" s="63">
        <v>95</v>
      </c>
      <c r="F23" s="63">
        <v>253</v>
      </c>
      <c r="G23" s="63">
        <v>249</v>
      </c>
      <c r="H23" s="63">
        <v>3</v>
      </c>
      <c r="I23" s="63">
        <v>0</v>
      </c>
      <c r="J23" s="63">
        <v>0</v>
      </c>
      <c r="K23" s="63">
        <v>33</v>
      </c>
      <c r="L23" s="63">
        <v>133</v>
      </c>
      <c r="M23" s="63">
        <v>18</v>
      </c>
      <c r="N23" s="63">
        <v>35</v>
      </c>
      <c r="O23" s="63">
        <v>63</v>
      </c>
      <c r="P23" s="63">
        <v>89</v>
      </c>
      <c r="Q23" s="156">
        <v>0</v>
      </c>
      <c r="R23" s="156">
        <v>0</v>
      </c>
      <c r="S23" s="156">
        <v>16</v>
      </c>
      <c r="T23" s="156">
        <v>14</v>
      </c>
      <c r="U23" s="156">
        <v>14</v>
      </c>
      <c r="V23" s="156">
        <v>23</v>
      </c>
      <c r="W23" s="156">
        <v>21</v>
      </c>
      <c r="X23" s="156">
        <v>49</v>
      </c>
      <c r="Y23" s="156">
        <v>50</v>
      </c>
      <c r="Z23" s="63">
        <v>24</v>
      </c>
      <c r="AA23" s="63">
        <v>146</v>
      </c>
      <c r="AB23" s="63">
        <v>142</v>
      </c>
      <c r="AC23" s="63">
        <v>-20</v>
      </c>
      <c r="AD23" s="63">
        <v>-56</v>
      </c>
      <c r="AE23" s="63">
        <v>-25</v>
      </c>
      <c r="AF23" s="63">
        <v>-20</v>
      </c>
      <c r="AG23" s="63">
        <v>-56</v>
      </c>
      <c r="AH23" s="63">
        <v>-25</v>
      </c>
      <c r="AI23" s="155">
        <v>0</v>
      </c>
      <c r="AJ23" s="156">
        <v>177</v>
      </c>
      <c r="AK23" s="157">
        <v>10</v>
      </c>
      <c r="AL23" s="63">
        <v>0</v>
      </c>
      <c r="AM23" s="63">
        <v>177</v>
      </c>
      <c r="AN23" s="63">
        <v>10</v>
      </c>
      <c r="AO23" s="63">
        <v>0</v>
      </c>
      <c r="AP23" s="63">
        <v>177</v>
      </c>
      <c r="AQ23" s="63">
        <v>10</v>
      </c>
      <c r="AR23" s="63">
        <v>115</v>
      </c>
      <c r="AS23" s="63">
        <v>309</v>
      </c>
      <c r="AT23" s="63">
        <v>274</v>
      </c>
      <c r="AU23" s="63">
        <v>95</v>
      </c>
      <c r="AV23" s="63">
        <v>430</v>
      </c>
      <c r="AW23" s="63">
        <v>259</v>
      </c>
      <c r="AX23" s="63">
        <v>-20</v>
      </c>
      <c r="AY23" s="63">
        <v>121</v>
      </c>
      <c r="AZ23" s="63">
        <v>-15</v>
      </c>
      <c r="BA23" s="63">
        <v>-20</v>
      </c>
      <c r="BB23" s="63">
        <v>121</v>
      </c>
      <c r="BC23" s="63">
        <v>-15</v>
      </c>
    </row>
    <row r="24" spans="1:55">
      <c r="A24" s="63" t="s">
        <v>124</v>
      </c>
      <c r="B24" s="63">
        <v>120</v>
      </c>
      <c r="C24" s="63" t="s">
        <v>38</v>
      </c>
      <c r="D24" s="63" t="s">
        <v>35</v>
      </c>
      <c r="E24" s="63">
        <v>933</v>
      </c>
      <c r="F24" s="63">
        <v>537</v>
      </c>
      <c r="G24" s="63">
        <v>365</v>
      </c>
      <c r="H24" s="63">
        <v>933</v>
      </c>
      <c r="I24" s="63">
        <v>10</v>
      </c>
      <c r="J24" s="63">
        <v>18</v>
      </c>
      <c r="K24" s="63">
        <v>0</v>
      </c>
      <c r="L24" s="63">
        <v>20</v>
      </c>
      <c r="M24" s="63">
        <v>0</v>
      </c>
      <c r="N24" s="63">
        <v>0</v>
      </c>
      <c r="O24" s="63">
        <v>97</v>
      </c>
      <c r="P24" s="63">
        <v>47</v>
      </c>
      <c r="Q24" s="156">
        <v>0</v>
      </c>
      <c r="R24" s="156">
        <v>61</v>
      </c>
      <c r="S24" s="156">
        <v>0</v>
      </c>
      <c r="T24" s="156">
        <v>0</v>
      </c>
      <c r="U24" s="156">
        <v>36</v>
      </c>
      <c r="V24" s="156">
        <v>11</v>
      </c>
      <c r="W24" s="156">
        <v>0</v>
      </c>
      <c r="X24" s="156">
        <v>0</v>
      </c>
      <c r="Y24" s="156">
        <v>36</v>
      </c>
      <c r="Z24" s="63">
        <v>0</v>
      </c>
      <c r="AA24" s="63">
        <v>410</v>
      </c>
      <c r="AB24" s="63">
        <v>300</v>
      </c>
      <c r="AC24" s="63">
        <v>-270</v>
      </c>
      <c r="AD24" s="63">
        <v>80</v>
      </c>
      <c r="AE24" s="63">
        <v>3</v>
      </c>
      <c r="AF24" s="63">
        <v>-270</v>
      </c>
      <c r="AG24" s="63">
        <v>80</v>
      </c>
      <c r="AH24" s="63">
        <v>3</v>
      </c>
      <c r="AI24" s="155">
        <v>0</v>
      </c>
      <c r="AJ24" s="156">
        <v>0</v>
      </c>
      <c r="AK24" s="157">
        <v>0</v>
      </c>
      <c r="AL24" s="63">
        <v>0</v>
      </c>
      <c r="AM24" s="63">
        <v>0</v>
      </c>
      <c r="AN24" s="63">
        <v>0</v>
      </c>
      <c r="AO24" s="63">
        <v>0</v>
      </c>
      <c r="AP24" s="63">
        <v>0</v>
      </c>
      <c r="AQ24" s="63">
        <v>0</v>
      </c>
      <c r="AR24" s="63">
        <v>1203</v>
      </c>
      <c r="AS24" s="63">
        <v>457</v>
      </c>
      <c r="AT24" s="63">
        <v>362</v>
      </c>
      <c r="AU24" s="63">
        <v>933</v>
      </c>
      <c r="AV24" s="63">
        <v>537</v>
      </c>
      <c r="AW24" s="63">
        <v>365</v>
      </c>
      <c r="AX24" s="63">
        <v>-270</v>
      </c>
      <c r="AY24" s="63">
        <v>80</v>
      </c>
      <c r="AZ24" s="63">
        <v>3</v>
      </c>
      <c r="BA24" s="63">
        <v>-270</v>
      </c>
      <c r="BB24" s="63">
        <v>80</v>
      </c>
      <c r="BC24" s="63">
        <v>3</v>
      </c>
    </row>
    <row r="25" spans="1:55">
      <c r="A25" s="63" t="s">
        <v>125</v>
      </c>
      <c r="B25" s="63">
        <v>110</v>
      </c>
      <c r="C25" s="63" t="s">
        <v>38</v>
      </c>
      <c r="D25" s="63" t="s">
        <v>35</v>
      </c>
      <c r="E25" s="63">
        <v>144</v>
      </c>
      <c r="F25" s="63">
        <v>136</v>
      </c>
      <c r="G25" s="63">
        <v>221</v>
      </c>
      <c r="H25" s="63">
        <v>0</v>
      </c>
      <c r="I25" s="63">
        <v>0</v>
      </c>
      <c r="J25" s="63">
        <v>0</v>
      </c>
      <c r="K25" s="63">
        <v>49</v>
      </c>
      <c r="L25" s="63">
        <v>49</v>
      </c>
      <c r="M25" s="63">
        <v>54</v>
      </c>
      <c r="N25" s="63">
        <v>22</v>
      </c>
      <c r="O25" s="63">
        <v>23</v>
      </c>
      <c r="P25" s="63">
        <v>25</v>
      </c>
      <c r="Q25" s="156">
        <v>0</v>
      </c>
      <c r="R25" s="156">
        <v>0</v>
      </c>
      <c r="S25" s="156">
        <v>0</v>
      </c>
      <c r="T25" s="156">
        <v>8</v>
      </c>
      <c r="U25" s="156">
        <v>9</v>
      </c>
      <c r="V25" s="156">
        <v>7</v>
      </c>
      <c r="W25" s="156">
        <v>14</v>
      </c>
      <c r="X25" s="156">
        <v>14</v>
      </c>
      <c r="Y25" s="156">
        <v>25</v>
      </c>
      <c r="Z25" s="63">
        <v>73</v>
      </c>
      <c r="AA25" s="63">
        <v>64</v>
      </c>
      <c r="AB25" s="63">
        <v>142</v>
      </c>
      <c r="AC25" s="63">
        <v>-96</v>
      </c>
      <c r="AD25" s="63">
        <v>-118</v>
      </c>
      <c r="AE25" s="63">
        <v>-64</v>
      </c>
      <c r="AF25" s="63">
        <v>-96</v>
      </c>
      <c r="AG25" s="63">
        <v>-118</v>
      </c>
      <c r="AH25" s="63">
        <v>-64</v>
      </c>
      <c r="AI25" s="155">
        <v>168</v>
      </c>
      <c r="AJ25" s="156">
        <v>188</v>
      </c>
      <c r="AK25" s="157">
        <v>187</v>
      </c>
      <c r="AL25" s="63">
        <v>126</v>
      </c>
      <c r="AM25" s="63">
        <v>136</v>
      </c>
      <c r="AN25" s="63">
        <v>147</v>
      </c>
      <c r="AO25" s="63">
        <v>126</v>
      </c>
      <c r="AP25" s="63">
        <v>136</v>
      </c>
      <c r="AQ25" s="63">
        <v>147</v>
      </c>
      <c r="AR25" s="63">
        <v>282</v>
      </c>
      <c r="AS25" s="63">
        <v>406</v>
      </c>
      <c r="AT25" s="63">
        <v>325</v>
      </c>
      <c r="AU25" s="63">
        <v>312</v>
      </c>
      <c r="AV25" s="63">
        <v>324</v>
      </c>
      <c r="AW25" s="63">
        <v>408</v>
      </c>
      <c r="AX25" s="63">
        <v>30</v>
      </c>
      <c r="AY25" s="63">
        <v>-82</v>
      </c>
      <c r="AZ25" s="63">
        <v>83</v>
      </c>
      <c r="BA25" s="63">
        <v>30</v>
      </c>
      <c r="BB25" s="63">
        <v>18</v>
      </c>
      <c r="BC25" s="63">
        <v>83</v>
      </c>
    </row>
    <row r="26" spans="1:55">
      <c r="A26" s="63" t="s">
        <v>127</v>
      </c>
      <c r="B26" s="63">
        <v>111</v>
      </c>
      <c r="C26" s="63" t="s">
        <v>38</v>
      </c>
      <c r="D26" s="63" t="s">
        <v>35</v>
      </c>
      <c r="E26" s="63">
        <v>208</v>
      </c>
      <c r="F26" s="63">
        <v>277</v>
      </c>
      <c r="G26" s="63">
        <v>316</v>
      </c>
      <c r="H26" s="63">
        <v>33</v>
      </c>
      <c r="I26" s="63">
        <v>60</v>
      </c>
      <c r="J26" s="63">
        <v>53</v>
      </c>
      <c r="K26" s="63">
        <v>19</v>
      </c>
      <c r="L26" s="63">
        <v>39</v>
      </c>
      <c r="M26" s="63">
        <v>56</v>
      </c>
      <c r="N26" s="63">
        <v>96</v>
      </c>
      <c r="O26" s="63">
        <v>78</v>
      </c>
      <c r="P26" s="63">
        <v>54</v>
      </c>
      <c r="Q26" s="156">
        <v>0</v>
      </c>
      <c r="R26" s="156">
        <v>0</v>
      </c>
      <c r="S26" s="156">
        <v>0</v>
      </c>
      <c r="T26" s="156">
        <v>71</v>
      </c>
      <c r="U26" s="156">
        <v>17</v>
      </c>
      <c r="V26" s="156">
        <v>10</v>
      </c>
      <c r="W26" s="156">
        <v>25</v>
      </c>
      <c r="X26" s="156">
        <v>61</v>
      </c>
      <c r="Y26" s="156">
        <v>44</v>
      </c>
      <c r="Z26" s="63">
        <v>60</v>
      </c>
      <c r="AA26" s="63">
        <v>100</v>
      </c>
      <c r="AB26" s="63">
        <v>153</v>
      </c>
      <c r="AC26" s="63">
        <v>-19</v>
      </c>
      <c r="AD26" s="63">
        <v>62</v>
      </c>
      <c r="AE26" s="63">
        <v>11</v>
      </c>
      <c r="AF26" s="63">
        <v>-19</v>
      </c>
      <c r="AG26" s="63">
        <v>62</v>
      </c>
      <c r="AH26" s="63">
        <v>11</v>
      </c>
      <c r="AI26" s="155">
        <v>0</v>
      </c>
      <c r="AJ26" s="156">
        <v>0</v>
      </c>
      <c r="AK26" s="157">
        <v>0</v>
      </c>
      <c r="AL26" s="63">
        <v>0</v>
      </c>
      <c r="AM26" s="63">
        <v>0</v>
      </c>
      <c r="AN26" s="63">
        <v>0</v>
      </c>
      <c r="AO26" s="63">
        <v>0</v>
      </c>
      <c r="AP26" s="63">
        <v>0</v>
      </c>
      <c r="AQ26" s="63">
        <v>0</v>
      </c>
      <c r="AR26" s="63">
        <v>227</v>
      </c>
      <c r="AS26" s="63">
        <v>215</v>
      </c>
      <c r="AT26" s="63">
        <v>305</v>
      </c>
      <c r="AU26" s="63">
        <v>208</v>
      </c>
      <c r="AV26" s="63">
        <v>277</v>
      </c>
      <c r="AW26" s="63">
        <v>316</v>
      </c>
      <c r="AX26" s="63">
        <v>-19</v>
      </c>
      <c r="AY26" s="63">
        <v>62</v>
      </c>
      <c r="AZ26" s="63">
        <v>11</v>
      </c>
      <c r="BA26" s="63">
        <v>-19</v>
      </c>
      <c r="BB26" s="63">
        <v>62</v>
      </c>
      <c r="BC26" s="63">
        <v>11</v>
      </c>
    </row>
    <row r="27" spans="1:55">
      <c r="A27" s="63" t="s">
        <v>128</v>
      </c>
      <c r="B27" s="63">
        <v>105</v>
      </c>
      <c r="C27" s="63" t="s">
        <v>38</v>
      </c>
      <c r="D27" s="63" t="s">
        <v>35</v>
      </c>
      <c r="E27" s="63">
        <v>106</v>
      </c>
      <c r="F27" s="63">
        <v>473</v>
      </c>
      <c r="G27" s="63">
        <v>415</v>
      </c>
      <c r="H27" s="63">
        <v>0</v>
      </c>
      <c r="I27" s="63">
        <v>0</v>
      </c>
      <c r="J27" s="63">
        <v>0</v>
      </c>
      <c r="K27" s="63">
        <v>0</v>
      </c>
      <c r="L27" s="63">
        <v>139</v>
      </c>
      <c r="M27" s="63">
        <v>106</v>
      </c>
      <c r="N27" s="63">
        <v>70</v>
      </c>
      <c r="O27" s="63">
        <v>39</v>
      </c>
      <c r="P27" s="63">
        <v>43</v>
      </c>
      <c r="Q27" s="156">
        <v>0</v>
      </c>
      <c r="R27" s="156">
        <v>0</v>
      </c>
      <c r="S27" s="156">
        <v>0</v>
      </c>
      <c r="T27" s="156">
        <v>57</v>
      </c>
      <c r="U27" s="156">
        <v>14</v>
      </c>
      <c r="V27" s="156">
        <v>20</v>
      </c>
      <c r="W27" s="156">
        <v>13</v>
      </c>
      <c r="X27" s="156">
        <v>25</v>
      </c>
      <c r="Y27" s="156">
        <v>23</v>
      </c>
      <c r="Z27" s="63">
        <v>36</v>
      </c>
      <c r="AA27" s="63">
        <v>295</v>
      </c>
      <c r="AB27" s="63">
        <v>266</v>
      </c>
      <c r="AC27" s="63">
        <v>-66</v>
      </c>
      <c r="AD27" s="63">
        <v>28</v>
      </c>
      <c r="AE27" s="63">
        <v>6</v>
      </c>
      <c r="AF27" s="63">
        <v>-66</v>
      </c>
      <c r="AG27" s="63">
        <v>28</v>
      </c>
      <c r="AH27" s="63">
        <v>6</v>
      </c>
      <c r="AI27" s="155">
        <v>0</v>
      </c>
      <c r="AJ27" s="156">
        <v>0</v>
      </c>
      <c r="AK27" s="157">
        <v>0</v>
      </c>
      <c r="AL27" s="63">
        <v>0</v>
      </c>
      <c r="AM27" s="63">
        <v>0</v>
      </c>
      <c r="AN27" s="63">
        <v>0</v>
      </c>
      <c r="AO27" s="63">
        <v>0</v>
      </c>
      <c r="AP27" s="63">
        <v>0</v>
      </c>
      <c r="AQ27" s="63">
        <v>0</v>
      </c>
      <c r="AR27" s="63">
        <v>172</v>
      </c>
      <c r="AS27" s="63">
        <v>445</v>
      </c>
      <c r="AT27" s="63">
        <v>409</v>
      </c>
      <c r="AU27" s="63">
        <v>106</v>
      </c>
      <c r="AV27" s="63">
        <v>473</v>
      </c>
      <c r="AW27" s="63">
        <v>415</v>
      </c>
      <c r="AX27" s="63">
        <v>-66</v>
      </c>
      <c r="AY27" s="63">
        <v>28</v>
      </c>
      <c r="AZ27" s="63">
        <v>6</v>
      </c>
      <c r="BA27" s="63">
        <v>-66</v>
      </c>
      <c r="BB27" s="63">
        <v>28</v>
      </c>
      <c r="BC27" s="63">
        <v>6</v>
      </c>
    </row>
    <row r="28" spans="1:55">
      <c r="A28" s="63" t="s">
        <v>131</v>
      </c>
      <c r="B28" s="63">
        <v>105</v>
      </c>
      <c r="C28" s="63" t="s">
        <v>38</v>
      </c>
      <c r="D28" s="63" t="s">
        <v>35</v>
      </c>
      <c r="E28" s="63">
        <v>3340</v>
      </c>
      <c r="F28" s="63">
        <v>2658</v>
      </c>
      <c r="G28" s="63">
        <v>632</v>
      </c>
      <c r="H28" s="63">
        <v>58</v>
      </c>
      <c r="I28" s="63">
        <v>66</v>
      </c>
      <c r="J28" s="63">
        <v>104</v>
      </c>
      <c r="K28" s="63">
        <v>2873</v>
      </c>
      <c r="L28" s="63">
        <v>2090</v>
      </c>
      <c r="M28" s="63">
        <v>22</v>
      </c>
      <c r="N28" s="63">
        <v>289</v>
      </c>
      <c r="O28" s="63">
        <v>298</v>
      </c>
      <c r="P28" s="63">
        <v>380</v>
      </c>
      <c r="Q28" s="156">
        <v>0</v>
      </c>
      <c r="R28" s="156">
        <v>8</v>
      </c>
      <c r="S28" s="156">
        <v>26</v>
      </c>
      <c r="T28" s="156">
        <v>209</v>
      </c>
      <c r="U28" s="156">
        <v>183</v>
      </c>
      <c r="V28" s="156">
        <v>265</v>
      </c>
      <c r="W28" s="156">
        <v>80</v>
      </c>
      <c r="X28" s="156">
        <v>107</v>
      </c>
      <c r="Y28" s="156">
        <v>89</v>
      </c>
      <c r="Z28" s="63">
        <v>120</v>
      </c>
      <c r="AA28" s="63">
        <v>204</v>
      </c>
      <c r="AB28" s="63">
        <v>126</v>
      </c>
      <c r="AC28" s="63">
        <v>1789</v>
      </c>
      <c r="AD28" s="63">
        <v>1434</v>
      </c>
      <c r="AE28" s="63">
        <v>-107</v>
      </c>
      <c r="AF28" s="63">
        <v>1789</v>
      </c>
      <c r="AG28" s="63">
        <v>1434</v>
      </c>
      <c r="AH28" s="63">
        <v>-107</v>
      </c>
      <c r="AI28" s="155">
        <v>80</v>
      </c>
      <c r="AJ28" s="156">
        <v>440</v>
      </c>
      <c r="AK28" s="157">
        <v>939</v>
      </c>
      <c r="AL28" s="63">
        <v>80</v>
      </c>
      <c r="AM28" s="63">
        <v>92</v>
      </c>
      <c r="AN28" s="63">
        <v>209</v>
      </c>
      <c r="AO28" s="63">
        <v>80</v>
      </c>
      <c r="AP28" s="63">
        <v>92</v>
      </c>
      <c r="AQ28" s="63">
        <v>209</v>
      </c>
      <c r="AR28" s="63">
        <v>1551</v>
      </c>
      <c r="AS28" s="63">
        <v>1572</v>
      </c>
      <c r="AT28" s="63">
        <v>1469</v>
      </c>
      <c r="AU28" s="63">
        <v>3420</v>
      </c>
      <c r="AV28" s="63">
        <v>3098</v>
      </c>
      <c r="AW28" s="63">
        <v>1571</v>
      </c>
      <c r="AX28" s="63">
        <v>1869</v>
      </c>
      <c r="AY28" s="63">
        <v>1526</v>
      </c>
      <c r="AZ28" s="63">
        <v>102</v>
      </c>
      <c r="BA28" s="63">
        <v>1869</v>
      </c>
      <c r="BB28" s="63">
        <v>1526</v>
      </c>
      <c r="BC28" s="63">
        <v>102</v>
      </c>
    </row>
    <row r="29" spans="1:55">
      <c r="A29" s="133" t="s">
        <v>75</v>
      </c>
      <c r="B29" s="133">
        <v>50</v>
      </c>
      <c r="C29" s="133" t="s">
        <v>40</v>
      </c>
      <c r="D29" s="133" t="s">
        <v>35</v>
      </c>
      <c r="E29" s="133">
        <v>230</v>
      </c>
      <c r="F29" s="133">
        <v>163</v>
      </c>
      <c r="G29" s="133">
        <v>172</v>
      </c>
      <c r="H29" s="133">
        <v>0</v>
      </c>
      <c r="I29" s="133">
        <v>15</v>
      </c>
      <c r="J29" s="133">
        <v>85</v>
      </c>
      <c r="K29" s="133">
        <v>0</v>
      </c>
      <c r="L29" s="133">
        <v>0</v>
      </c>
      <c r="M29" s="133">
        <v>0</v>
      </c>
      <c r="N29" s="133">
        <v>230</v>
      </c>
      <c r="O29" s="133">
        <v>148</v>
      </c>
      <c r="P29" s="133">
        <v>87</v>
      </c>
      <c r="Q29" s="161">
        <v>0</v>
      </c>
      <c r="R29" s="161">
        <v>0</v>
      </c>
      <c r="S29" s="161">
        <v>0</v>
      </c>
      <c r="T29" s="161">
        <v>205</v>
      </c>
      <c r="U29" s="161">
        <v>123</v>
      </c>
      <c r="V29" s="161">
        <v>62</v>
      </c>
      <c r="W29" s="161">
        <v>25</v>
      </c>
      <c r="X29" s="161">
        <v>25</v>
      </c>
      <c r="Y29" s="161">
        <v>25</v>
      </c>
      <c r="Z29" s="133">
        <v>0</v>
      </c>
      <c r="AA29" s="133">
        <v>0</v>
      </c>
      <c r="AB29" s="133">
        <v>0</v>
      </c>
      <c r="AC29" s="133">
        <v>11</v>
      </c>
      <c r="AD29" s="133">
        <v>27</v>
      </c>
      <c r="AE29" s="133">
        <v>11</v>
      </c>
      <c r="AF29" s="133">
        <v>11</v>
      </c>
      <c r="AG29" s="133">
        <v>27</v>
      </c>
      <c r="AH29" s="133">
        <v>11</v>
      </c>
      <c r="AI29" s="160">
        <v>0</v>
      </c>
      <c r="AJ29" s="161">
        <v>0</v>
      </c>
      <c r="AK29" s="162">
        <v>0</v>
      </c>
      <c r="AL29" s="133">
        <v>0</v>
      </c>
      <c r="AM29" s="133">
        <v>0</v>
      </c>
      <c r="AN29" s="133">
        <v>0</v>
      </c>
      <c r="AO29" s="133">
        <v>0</v>
      </c>
      <c r="AP29" s="133">
        <v>0</v>
      </c>
      <c r="AQ29" s="133">
        <v>0</v>
      </c>
      <c r="AR29" s="133">
        <v>219</v>
      </c>
      <c r="AS29" s="133">
        <v>136</v>
      </c>
      <c r="AT29" s="133">
        <v>161</v>
      </c>
      <c r="AU29" s="133">
        <v>230</v>
      </c>
      <c r="AV29" s="133">
        <v>163</v>
      </c>
      <c r="AW29" s="133">
        <v>172</v>
      </c>
      <c r="AX29" s="133">
        <v>11</v>
      </c>
      <c r="AY29" s="133">
        <v>27</v>
      </c>
      <c r="AZ29" s="133">
        <v>11</v>
      </c>
      <c r="BA29" s="133">
        <v>11</v>
      </c>
      <c r="BB29" s="133">
        <v>27</v>
      </c>
      <c r="BC29" s="133">
        <v>11</v>
      </c>
    </row>
    <row r="30" spans="1:55">
      <c r="A30" s="66" t="s">
        <v>87</v>
      </c>
      <c r="B30" s="66">
        <v>120</v>
      </c>
      <c r="C30" s="66" t="s">
        <v>41</v>
      </c>
      <c r="D30" s="66" t="s">
        <v>35</v>
      </c>
      <c r="E30" s="66">
        <v>207</v>
      </c>
      <c r="F30" s="66">
        <v>228</v>
      </c>
      <c r="G30" s="66">
        <v>231</v>
      </c>
      <c r="H30" s="66">
        <v>12</v>
      </c>
      <c r="I30" s="66">
        <v>0</v>
      </c>
      <c r="J30" s="66">
        <v>22</v>
      </c>
      <c r="K30" s="66">
        <v>0</v>
      </c>
      <c r="L30" s="66">
        <v>0</v>
      </c>
      <c r="M30" s="66">
        <v>0</v>
      </c>
      <c r="N30" s="66">
        <v>97</v>
      </c>
      <c r="O30" s="66">
        <v>65</v>
      </c>
      <c r="P30" s="66">
        <v>50</v>
      </c>
      <c r="Q30" s="107">
        <v>0</v>
      </c>
      <c r="R30" s="107">
        <v>0</v>
      </c>
      <c r="S30" s="107">
        <v>0</v>
      </c>
      <c r="T30" s="107">
        <v>60</v>
      </c>
      <c r="U30" s="107">
        <v>0</v>
      </c>
      <c r="V30" s="107">
        <v>0</v>
      </c>
      <c r="W30" s="107">
        <v>37</v>
      </c>
      <c r="X30" s="107">
        <v>65</v>
      </c>
      <c r="Y30" s="107">
        <v>50</v>
      </c>
      <c r="Z30" s="66">
        <v>98</v>
      </c>
      <c r="AA30" s="66">
        <v>163</v>
      </c>
      <c r="AB30" s="66">
        <v>159</v>
      </c>
      <c r="AC30" s="66">
        <v>56</v>
      </c>
      <c r="AD30" s="66">
        <v>-24</v>
      </c>
      <c r="AE30" s="66">
        <v>50</v>
      </c>
      <c r="AF30" s="66">
        <v>56</v>
      </c>
      <c r="AG30" s="66">
        <v>-24</v>
      </c>
      <c r="AH30" s="66">
        <v>50</v>
      </c>
      <c r="AI30" s="163">
        <v>3</v>
      </c>
      <c r="AJ30" s="107">
        <v>30</v>
      </c>
      <c r="AK30" s="164">
        <v>0</v>
      </c>
      <c r="AL30" s="66">
        <v>3</v>
      </c>
      <c r="AM30" s="66">
        <v>4</v>
      </c>
      <c r="AN30" s="66">
        <v>0</v>
      </c>
      <c r="AO30" s="66">
        <v>3</v>
      </c>
      <c r="AP30" s="66">
        <v>4</v>
      </c>
      <c r="AQ30" s="66">
        <v>0</v>
      </c>
      <c r="AR30" s="66">
        <v>151</v>
      </c>
      <c r="AS30" s="66">
        <v>278</v>
      </c>
      <c r="AT30" s="66">
        <v>181</v>
      </c>
      <c r="AU30" s="66">
        <v>210</v>
      </c>
      <c r="AV30" s="66">
        <v>258</v>
      </c>
      <c r="AW30" s="66">
        <v>231</v>
      </c>
      <c r="AX30" s="66">
        <v>59</v>
      </c>
      <c r="AY30" s="66">
        <v>-20</v>
      </c>
      <c r="AZ30" s="66">
        <v>50</v>
      </c>
      <c r="BA30" s="66">
        <v>59</v>
      </c>
      <c r="BB30" s="66">
        <v>-20</v>
      </c>
      <c r="BC30" s="66">
        <v>50</v>
      </c>
    </row>
    <row r="31" spans="1:55" ht="17" thickBot="1">
      <c r="A31" s="64" t="s">
        <v>78</v>
      </c>
      <c r="B31" s="64">
        <v>203</v>
      </c>
      <c r="C31" s="64" t="s">
        <v>44</v>
      </c>
      <c r="D31" s="64" t="s">
        <v>35</v>
      </c>
      <c r="E31" s="64">
        <v>2065</v>
      </c>
      <c r="F31" s="64">
        <v>2480</v>
      </c>
      <c r="G31" s="64">
        <v>2190</v>
      </c>
      <c r="H31" s="64">
        <v>197</v>
      </c>
      <c r="I31" s="64">
        <v>356</v>
      </c>
      <c r="J31" s="64">
        <v>198</v>
      </c>
      <c r="K31" s="64">
        <v>0</v>
      </c>
      <c r="L31" s="64">
        <v>0</v>
      </c>
      <c r="M31" s="64">
        <v>55</v>
      </c>
      <c r="N31" s="64">
        <v>1868</v>
      </c>
      <c r="O31" s="64">
        <v>2124</v>
      </c>
      <c r="P31" s="64">
        <v>1651</v>
      </c>
      <c r="Q31" s="104">
        <v>1271</v>
      </c>
      <c r="R31" s="104">
        <v>1518</v>
      </c>
      <c r="S31" s="104">
        <v>1308</v>
      </c>
      <c r="T31" s="104">
        <v>391</v>
      </c>
      <c r="U31" s="104">
        <v>400</v>
      </c>
      <c r="V31" s="104">
        <v>95</v>
      </c>
      <c r="W31" s="104">
        <v>206</v>
      </c>
      <c r="X31" s="104">
        <v>206</v>
      </c>
      <c r="Y31" s="104">
        <v>248</v>
      </c>
      <c r="Z31" s="64">
        <v>0</v>
      </c>
      <c r="AA31" s="64">
        <v>0</v>
      </c>
      <c r="AB31" s="64">
        <v>286</v>
      </c>
      <c r="AC31" s="64">
        <v>475</v>
      </c>
      <c r="AD31" s="64">
        <v>462</v>
      </c>
      <c r="AE31" s="64">
        <v>237</v>
      </c>
      <c r="AF31" s="64">
        <v>475</v>
      </c>
      <c r="AG31" s="64">
        <v>462</v>
      </c>
      <c r="AH31" s="64">
        <v>237</v>
      </c>
      <c r="AI31" s="172">
        <v>0</v>
      </c>
      <c r="AJ31" s="104">
        <v>0</v>
      </c>
      <c r="AK31" s="173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1590</v>
      </c>
      <c r="AS31" s="64">
        <v>2018</v>
      </c>
      <c r="AT31" s="64">
        <v>1953</v>
      </c>
      <c r="AU31" s="64">
        <v>2065</v>
      </c>
      <c r="AV31" s="64">
        <v>2480</v>
      </c>
      <c r="AW31" s="64">
        <v>2190</v>
      </c>
      <c r="AX31" s="64">
        <v>475</v>
      </c>
      <c r="AY31" s="64">
        <v>462</v>
      </c>
      <c r="AZ31" s="64">
        <v>237</v>
      </c>
      <c r="BA31" s="64">
        <v>475</v>
      </c>
      <c r="BB31" s="64">
        <v>462</v>
      </c>
      <c r="BC31" s="64">
        <v>237</v>
      </c>
    </row>
    <row r="32" spans="1:55" s="226" customFormat="1" ht="17" thickBot="1">
      <c r="A32" s="221" t="s">
        <v>80</v>
      </c>
      <c r="B32" s="222">
        <v>180</v>
      </c>
      <c r="C32" s="222" t="s">
        <v>44</v>
      </c>
      <c r="D32" s="222" t="s">
        <v>35</v>
      </c>
      <c r="E32" s="222">
        <v>400</v>
      </c>
      <c r="F32" s="222">
        <v>480</v>
      </c>
      <c r="G32" s="222">
        <v>377</v>
      </c>
      <c r="H32" s="222">
        <v>0</v>
      </c>
      <c r="I32" s="222">
        <v>0</v>
      </c>
      <c r="J32" s="222">
        <v>0</v>
      </c>
      <c r="K32" s="222">
        <v>14</v>
      </c>
      <c r="L32" s="222">
        <v>30</v>
      </c>
      <c r="M32" s="222">
        <v>0</v>
      </c>
      <c r="N32" s="222">
        <v>220</v>
      </c>
      <c r="O32" s="222">
        <v>196</v>
      </c>
      <c r="P32" s="222">
        <v>166</v>
      </c>
      <c r="Q32" s="222">
        <v>0</v>
      </c>
      <c r="R32" s="222">
        <v>0</v>
      </c>
      <c r="S32" s="222">
        <v>0</v>
      </c>
      <c r="T32" s="222">
        <v>0</v>
      </c>
      <c r="U32" s="222">
        <v>0</v>
      </c>
      <c r="V32" s="222">
        <v>0</v>
      </c>
      <c r="W32" s="222">
        <v>220</v>
      </c>
      <c r="X32" s="222">
        <v>196</v>
      </c>
      <c r="Y32" s="222">
        <v>166</v>
      </c>
      <c r="Z32" s="222">
        <v>166</v>
      </c>
      <c r="AA32" s="222">
        <v>254</v>
      </c>
      <c r="AB32" s="222">
        <v>211</v>
      </c>
      <c r="AC32" s="222">
        <v>-469</v>
      </c>
      <c r="AD32" s="222">
        <v>-542</v>
      </c>
      <c r="AE32" s="222">
        <v>-354</v>
      </c>
      <c r="AF32" s="222">
        <v>-469</v>
      </c>
      <c r="AG32" s="222">
        <v>-542</v>
      </c>
      <c r="AH32" s="222">
        <v>-354</v>
      </c>
      <c r="AI32" s="221">
        <v>575</v>
      </c>
      <c r="AJ32" s="222">
        <v>337</v>
      </c>
      <c r="AK32" s="223">
        <v>409</v>
      </c>
      <c r="AL32" s="222">
        <v>237</v>
      </c>
      <c r="AM32" s="222">
        <v>70</v>
      </c>
      <c r="AN32" s="222">
        <v>51</v>
      </c>
      <c r="AO32" s="222">
        <v>237</v>
      </c>
      <c r="AP32" s="222">
        <v>70</v>
      </c>
      <c r="AQ32" s="222">
        <v>51</v>
      </c>
      <c r="AR32" s="222">
        <v>1207</v>
      </c>
      <c r="AS32" s="222">
        <v>1289</v>
      </c>
      <c r="AT32" s="222">
        <v>1089</v>
      </c>
      <c r="AU32" s="222">
        <v>975</v>
      </c>
      <c r="AV32" s="222">
        <v>817</v>
      </c>
      <c r="AW32" s="222">
        <v>786</v>
      </c>
      <c r="AX32" s="222">
        <v>-232</v>
      </c>
      <c r="AY32" s="222">
        <v>-472</v>
      </c>
      <c r="AZ32" s="222">
        <v>-303</v>
      </c>
      <c r="BA32" s="222">
        <v>-232</v>
      </c>
      <c r="BB32" s="222">
        <v>-472</v>
      </c>
      <c r="BC32" s="222">
        <v>-303</v>
      </c>
    </row>
    <row r="33" spans="1:55">
      <c r="A33" s="69" t="s">
        <v>48</v>
      </c>
      <c r="B33" s="69">
        <v>50</v>
      </c>
      <c r="C33" s="69" t="s">
        <v>31</v>
      </c>
      <c r="D33" s="69" t="s">
        <v>32</v>
      </c>
      <c r="E33" s="69">
        <v>226</v>
      </c>
      <c r="F33" s="69">
        <v>273</v>
      </c>
      <c r="G33" s="69">
        <v>265</v>
      </c>
      <c r="H33" s="110">
        <v>0</v>
      </c>
      <c r="I33" s="110">
        <v>4</v>
      </c>
      <c r="J33" s="110">
        <v>47</v>
      </c>
      <c r="K33" s="69">
        <v>40</v>
      </c>
      <c r="L33" s="69">
        <v>22</v>
      </c>
      <c r="M33" s="69">
        <v>0</v>
      </c>
      <c r="N33" s="110">
        <v>49</v>
      </c>
      <c r="O33" s="110">
        <v>57</v>
      </c>
      <c r="P33" s="110">
        <v>39</v>
      </c>
      <c r="Q33" s="110">
        <v>0</v>
      </c>
      <c r="R33" s="110">
        <v>0</v>
      </c>
      <c r="S33" s="110">
        <v>0</v>
      </c>
      <c r="T33" s="110">
        <v>6</v>
      </c>
      <c r="U33" s="110">
        <v>14</v>
      </c>
      <c r="V33" s="110">
        <v>0</v>
      </c>
      <c r="W33" s="110">
        <v>43</v>
      </c>
      <c r="X33" s="110">
        <v>43</v>
      </c>
      <c r="Y33" s="110">
        <v>39</v>
      </c>
      <c r="Z33" s="110">
        <v>137</v>
      </c>
      <c r="AA33" s="110">
        <v>190</v>
      </c>
      <c r="AB33" s="110">
        <v>170</v>
      </c>
      <c r="AC33" s="69">
        <v>-22</v>
      </c>
      <c r="AD33" s="69">
        <v>-50</v>
      </c>
      <c r="AE33" s="69">
        <v>24</v>
      </c>
      <c r="AF33" s="69">
        <v>-22</v>
      </c>
      <c r="AG33" s="69">
        <v>-50</v>
      </c>
      <c r="AH33" s="69">
        <v>24</v>
      </c>
      <c r="AI33" s="142">
        <v>48</v>
      </c>
      <c r="AJ33" s="110">
        <v>34</v>
      </c>
      <c r="AK33" s="143">
        <v>2</v>
      </c>
      <c r="AL33" s="69">
        <v>48</v>
      </c>
      <c r="AM33" s="69">
        <v>34</v>
      </c>
      <c r="AN33" s="69">
        <v>2</v>
      </c>
      <c r="AO33" s="69">
        <v>48</v>
      </c>
      <c r="AP33" s="69">
        <v>34</v>
      </c>
      <c r="AQ33" s="69">
        <v>2</v>
      </c>
      <c r="AR33" s="69">
        <v>248</v>
      </c>
      <c r="AS33" s="69">
        <v>323</v>
      </c>
      <c r="AT33" s="69">
        <v>232</v>
      </c>
      <c r="AU33" s="110">
        <v>274</v>
      </c>
      <c r="AV33" s="69">
        <v>307</v>
      </c>
      <c r="AW33" s="69">
        <v>258</v>
      </c>
      <c r="AX33" s="69">
        <v>26</v>
      </c>
      <c r="AY33" s="69">
        <v>-16</v>
      </c>
      <c r="AZ33" s="69">
        <v>26</v>
      </c>
      <c r="BA33" s="69">
        <v>26</v>
      </c>
      <c r="BB33" s="69">
        <v>-16</v>
      </c>
      <c r="BC33" s="69">
        <v>26</v>
      </c>
    </row>
    <row r="34" spans="1:55">
      <c r="A34" s="69" t="s">
        <v>49</v>
      </c>
      <c r="B34" s="69">
        <v>208</v>
      </c>
      <c r="C34" s="69" t="s">
        <v>31</v>
      </c>
      <c r="D34" s="69" t="s">
        <v>32</v>
      </c>
      <c r="E34" s="69">
        <v>668</v>
      </c>
      <c r="F34" s="69">
        <v>672</v>
      </c>
      <c r="G34" s="69">
        <v>1100</v>
      </c>
      <c r="H34" s="110">
        <v>84</v>
      </c>
      <c r="I34" s="110">
        <v>0</v>
      </c>
      <c r="J34" s="110">
        <v>0</v>
      </c>
      <c r="K34" s="69">
        <v>0</v>
      </c>
      <c r="L34" s="69">
        <v>0</v>
      </c>
      <c r="M34" s="69">
        <v>0</v>
      </c>
      <c r="N34" s="110">
        <v>387</v>
      </c>
      <c r="O34" s="110">
        <v>370</v>
      </c>
      <c r="P34" s="110">
        <v>428</v>
      </c>
      <c r="Q34" s="110">
        <v>0</v>
      </c>
      <c r="R34" s="110">
        <v>0</v>
      </c>
      <c r="S34" s="110">
        <v>0</v>
      </c>
      <c r="T34" s="110">
        <v>5</v>
      </c>
      <c r="U34" s="110">
        <v>10</v>
      </c>
      <c r="V34" s="110">
        <v>40</v>
      </c>
      <c r="W34" s="110">
        <v>382</v>
      </c>
      <c r="X34" s="110">
        <v>360</v>
      </c>
      <c r="Y34" s="110">
        <v>388</v>
      </c>
      <c r="Z34" s="110">
        <v>197</v>
      </c>
      <c r="AA34" s="110">
        <v>302</v>
      </c>
      <c r="AB34" s="110">
        <v>672</v>
      </c>
      <c r="AC34" s="69">
        <v>-54</v>
      </c>
      <c r="AD34" s="69">
        <v>-70</v>
      </c>
      <c r="AE34" s="69">
        <v>254</v>
      </c>
      <c r="AF34" s="69">
        <v>-54</v>
      </c>
      <c r="AG34" s="69">
        <v>-70</v>
      </c>
      <c r="AH34" s="69">
        <v>254</v>
      </c>
      <c r="AI34" s="142">
        <v>36</v>
      </c>
      <c r="AJ34" s="110">
        <v>55</v>
      </c>
      <c r="AK34" s="143">
        <v>59</v>
      </c>
      <c r="AL34" s="69">
        <v>14</v>
      </c>
      <c r="AM34" s="69">
        <v>36</v>
      </c>
      <c r="AN34" s="69">
        <v>33</v>
      </c>
      <c r="AO34" s="69">
        <v>14</v>
      </c>
      <c r="AP34" s="69">
        <v>36</v>
      </c>
      <c r="AQ34" s="69">
        <v>33</v>
      </c>
      <c r="AR34" s="69">
        <v>744</v>
      </c>
      <c r="AS34" s="69">
        <v>761</v>
      </c>
      <c r="AT34" s="69">
        <v>871</v>
      </c>
      <c r="AU34" s="110">
        <v>704</v>
      </c>
      <c r="AV34" s="69">
        <v>727</v>
      </c>
      <c r="AW34" s="69">
        <v>1159</v>
      </c>
      <c r="AX34" s="69">
        <v>-40</v>
      </c>
      <c r="AY34" s="69">
        <v>-34</v>
      </c>
      <c r="AZ34" s="69">
        <v>287</v>
      </c>
      <c r="BA34" s="69">
        <v>-40</v>
      </c>
      <c r="BB34" s="69">
        <v>-34</v>
      </c>
      <c r="BC34" s="69">
        <v>287</v>
      </c>
    </row>
    <row r="35" spans="1:55">
      <c r="A35" s="69" t="s">
        <v>93</v>
      </c>
      <c r="B35" s="69">
        <v>260</v>
      </c>
      <c r="C35" s="69" t="s">
        <v>31</v>
      </c>
      <c r="D35" s="69" t="s">
        <v>32</v>
      </c>
      <c r="E35" s="69">
        <v>3395</v>
      </c>
      <c r="F35" s="69">
        <v>4086</v>
      </c>
      <c r="G35" s="69">
        <v>5120</v>
      </c>
      <c r="H35" s="110">
        <v>203</v>
      </c>
      <c r="I35" s="110">
        <v>126</v>
      </c>
      <c r="J35" s="110">
        <v>576</v>
      </c>
      <c r="K35" s="69">
        <v>91</v>
      </c>
      <c r="L35" s="69">
        <v>54</v>
      </c>
      <c r="M35" s="69">
        <v>33</v>
      </c>
      <c r="N35" s="110">
        <v>1799</v>
      </c>
      <c r="O35" s="110">
        <v>1922</v>
      </c>
      <c r="P35" s="110">
        <v>2073</v>
      </c>
      <c r="Q35" s="110">
        <v>570</v>
      </c>
      <c r="R35" s="110">
        <v>15</v>
      </c>
      <c r="S35" s="110">
        <v>48</v>
      </c>
      <c r="T35" s="110">
        <v>255</v>
      </c>
      <c r="U35" s="110">
        <v>683</v>
      </c>
      <c r="V35" s="110">
        <v>567</v>
      </c>
      <c r="W35" s="110">
        <v>974</v>
      </c>
      <c r="X35" s="110">
        <v>1224</v>
      </c>
      <c r="Y35" s="110">
        <v>1458</v>
      </c>
      <c r="Z35" s="110">
        <v>1302</v>
      </c>
      <c r="AA35" s="110">
        <v>1964</v>
      </c>
      <c r="AB35" s="110">
        <v>2438</v>
      </c>
      <c r="AC35" s="69">
        <v>-167</v>
      </c>
      <c r="AD35" s="69">
        <v>-22</v>
      </c>
      <c r="AE35" s="69">
        <v>-360</v>
      </c>
      <c r="AF35" s="69">
        <v>-167</v>
      </c>
      <c r="AG35" s="69">
        <v>-22</v>
      </c>
      <c r="AH35" s="69">
        <v>-360</v>
      </c>
      <c r="AI35" s="142">
        <v>920</v>
      </c>
      <c r="AJ35" s="110">
        <v>796</v>
      </c>
      <c r="AK35" s="143">
        <v>788</v>
      </c>
      <c r="AL35" s="69">
        <v>523</v>
      </c>
      <c r="AM35" s="69">
        <v>312</v>
      </c>
      <c r="AN35" s="69">
        <v>414</v>
      </c>
      <c r="AO35" s="69">
        <v>479</v>
      </c>
      <c r="AP35" s="69">
        <v>297</v>
      </c>
      <c r="AQ35" s="69">
        <v>392</v>
      </c>
      <c r="AR35" s="69">
        <v>3959</v>
      </c>
      <c r="AS35" s="69">
        <v>4607</v>
      </c>
      <c r="AT35" s="69">
        <v>5876</v>
      </c>
      <c r="AU35" s="110">
        <v>4315</v>
      </c>
      <c r="AV35" s="69">
        <v>4882</v>
      </c>
      <c r="AW35" s="69">
        <v>5908</v>
      </c>
      <c r="AX35" s="69">
        <v>356</v>
      </c>
      <c r="AY35" s="69">
        <v>275</v>
      </c>
      <c r="AZ35" s="69">
        <v>32</v>
      </c>
      <c r="BA35" s="69">
        <v>312</v>
      </c>
      <c r="BB35" s="69">
        <v>275</v>
      </c>
      <c r="BC35" s="69">
        <v>32</v>
      </c>
    </row>
    <row r="36" spans="1:55">
      <c r="A36" s="69" t="s">
        <v>101</v>
      </c>
      <c r="B36" s="69">
        <v>176</v>
      </c>
      <c r="C36" s="69" t="s">
        <v>31</v>
      </c>
      <c r="D36" s="69" t="s">
        <v>32</v>
      </c>
      <c r="E36" s="69">
        <v>1540</v>
      </c>
      <c r="F36" s="69">
        <v>1810</v>
      </c>
      <c r="G36" s="69">
        <v>1725</v>
      </c>
      <c r="H36" s="110">
        <v>115</v>
      </c>
      <c r="I36" s="110">
        <v>233</v>
      </c>
      <c r="J36" s="110">
        <v>115</v>
      </c>
      <c r="K36" s="69">
        <v>5487</v>
      </c>
      <c r="L36" s="69">
        <v>599</v>
      </c>
      <c r="M36" s="69">
        <v>537</v>
      </c>
      <c r="N36" s="110">
        <v>404</v>
      </c>
      <c r="O36" s="110">
        <v>473</v>
      </c>
      <c r="P36" s="110">
        <v>538</v>
      </c>
      <c r="Q36" s="110">
        <v>0</v>
      </c>
      <c r="R36" s="110">
        <v>0</v>
      </c>
      <c r="S36" s="110">
        <v>193</v>
      </c>
      <c r="T36" s="110">
        <v>220</v>
      </c>
      <c r="U36" s="110">
        <v>234</v>
      </c>
      <c r="V36" s="110">
        <v>52</v>
      </c>
      <c r="W36" s="110">
        <v>184</v>
      </c>
      <c r="X36" s="110">
        <v>239</v>
      </c>
      <c r="Y36" s="110">
        <v>293</v>
      </c>
      <c r="Z36" s="110">
        <v>474</v>
      </c>
      <c r="AA36" s="110">
        <v>505</v>
      </c>
      <c r="AB36" s="110">
        <v>535</v>
      </c>
      <c r="AC36" s="69">
        <v>-155</v>
      </c>
      <c r="AD36" s="69">
        <v>-293</v>
      </c>
      <c r="AE36" s="69">
        <v>-125</v>
      </c>
      <c r="AF36" s="69">
        <v>-155</v>
      </c>
      <c r="AG36" s="69">
        <v>-293</v>
      </c>
      <c r="AH36" s="69">
        <v>-125</v>
      </c>
      <c r="AI36" s="142">
        <v>418</v>
      </c>
      <c r="AJ36" s="110">
        <v>410</v>
      </c>
      <c r="AK36" s="143">
        <v>413</v>
      </c>
      <c r="AL36" s="69">
        <v>200</v>
      </c>
      <c r="AM36" s="69">
        <v>49</v>
      </c>
      <c r="AN36" s="69">
        <v>171</v>
      </c>
      <c r="AO36" s="69">
        <v>200</v>
      </c>
      <c r="AP36" s="69">
        <v>49</v>
      </c>
      <c r="AQ36" s="69">
        <v>171</v>
      </c>
      <c r="AR36" s="69">
        <v>1913</v>
      </c>
      <c r="AS36" s="69">
        <v>2464</v>
      </c>
      <c r="AT36" s="69">
        <v>2092</v>
      </c>
      <c r="AU36" s="110">
        <v>1958</v>
      </c>
      <c r="AV36" s="69">
        <v>2220</v>
      </c>
      <c r="AW36" s="69">
        <v>2138</v>
      </c>
      <c r="AX36" s="69">
        <v>45</v>
      </c>
      <c r="AY36" s="69">
        <v>-244</v>
      </c>
      <c r="AZ36" s="69">
        <v>46</v>
      </c>
      <c r="BA36" s="69">
        <v>45</v>
      </c>
      <c r="BB36" s="69">
        <v>-244</v>
      </c>
      <c r="BC36" s="69">
        <v>46</v>
      </c>
    </row>
    <row r="37" spans="1:55">
      <c r="A37" s="69" t="s">
        <v>103</v>
      </c>
      <c r="B37" s="69">
        <v>720</v>
      </c>
      <c r="C37" s="69" t="s">
        <v>31</v>
      </c>
      <c r="D37" s="69" t="s">
        <v>32</v>
      </c>
      <c r="E37" s="69">
        <v>2879</v>
      </c>
      <c r="F37" s="69">
        <v>3696</v>
      </c>
      <c r="G37" s="69">
        <v>4188</v>
      </c>
      <c r="H37" s="110">
        <v>0</v>
      </c>
      <c r="I37" s="110">
        <v>0</v>
      </c>
      <c r="J37" s="110">
        <v>0</v>
      </c>
      <c r="K37" s="69">
        <v>0</v>
      </c>
      <c r="L37" s="69">
        <v>0</v>
      </c>
      <c r="M37" s="69">
        <v>0</v>
      </c>
      <c r="N37" s="110">
        <v>2879</v>
      </c>
      <c r="O37" s="110">
        <v>2355</v>
      </c>
      <c r="P37" s="110">
        <v>2637</v>
      </c>
      <c r="Q37" s="110">
        <v>0</v>
      </c>
      <c r="R37" s="110">
        <v>0</v>
      </c>
      <c r="S37" s="110">
        <v>0</v>
      </c>
      <c r="T37" s="110">
        <v>1352</v>
      </c>
      <c r="U37" s="110">
        <v>1064</v>
      </c>
      <c r="V37" s="110">
        <v>724</v>
      </c>
      <c r="W37" s="110">
        <v>1527</v>
      </c>
      <c r="X37" s="110">
        <v>1291</v>
      </c>
      <c r="Y37" s="110">
        <v>1913</v>
      </c>
      <c r="Z37" s="110">
        <v>0</v>
      </c>
      <c r="AA37" s="110">
        <v>1341</v>
      </c>
      <c r="AB37" s="110">
        <v>1551</v>
      </c>
      <c r="AC37" s="69">
        <v>582</v>
      </c>
      <c r="AD37" s="69">
        <v>1183</v>
      </c>
      <c r="AE37" s="69">
        <v>1686</v>
      </c>
      <c r="AF37" s="69">
        <v>582</v>
      </c>
      <c r="AG37" s="69">
        <v>1183</v>
      </c>
      <c r="AH37" s="69">
        <v>1686</v>
      </c>
      <c r="AI37" s="142">
        <v>5</v>
      </c>
      <c r="AJ37" s="110">
        <v>10</v>
      </c>
      <c r="AK37" s="143">
        <v>0</v>
      </c>
      <c r="AL37" s="69">
        <v>5</v>
      </c>
      <c r="AM37" s="69">
        <v>10</v>
      </c>
      <c r="AN37" s="69">
        <v>0</v>
      </c>
      <c r="AO37" s="69">
        <v>5</v>
      </c>
      <c r="AP37" s="69">
        <v>10</v>
      </c>
      <c r="AQ37" s="69">
        <v>0</v>
      </c>
      <c r="AR37" s="69">
        <v>2297</v>
      </c>
      <c r="AS37" s="69">
        <v>2513</v>
      </c>
      <c r="AT37" s="69">
        <v>2502</v>
      </c>
      <c r="AU37" s="110">
        <v>2884</v>
      </c>
      <c r="AV37" s="69">
        <v>3706</v>
      </c>
      <c r="AW37" s="69">
        <v>4188</v>
      </c>
      <c r="AX37" s="69">
        <v>587</v>
      </c>
      <c r="AY37" s="69">
        <v>1193</v>
      </c>
      <c r="AZ37" s="69">
        <v>1686</v>
      </c>
      <c r="BA37" s="69">
        <v>587</v>
      </c>
      <c r="BB37" s="69">
        <v>1193</v>
      </c>
      <c r="BC37" s="69">
        <v>1686</v>
      </c>
    </row>
    <row r="38" spans="1:55">
      <c r="A38" s="30" t="s">
        <v>94</v>
      </c>
      <c r="B38" s="30">
        <v>50</v>
      </c>
      <c r="C38" s="30" t="s">
        <v>36</v>
      </c>
      <c r="D38" s="30" t="s">
        <v>32</v>
      </c>
      <c r="E38" s="30">
        <v>255</v>
      </c>
      <c r="F38" s="30">
        <v>1409</v>
      </c>
      <c r="G38" s="30">
        <v>1828</v>
      </c>
      <c r="H38" s="30">
        <v>3</v>
      </c>
      <c r="I38" s="30">
        <v>0</v>
      </c>
      <c r="J38" s="30">
        <v>20</v>
      </c>
      <c r="K38" s="30">
        <v>55</v>
      </c>
      <c r="L38" s="30">
        <v>146</v>
      </c>
      <c r="M38" s="30">
        <v>38</v>
      </c>
      <c r="N38" s="30">
        <v>197</v>
      </c>
      <c r="O38" s="30">
        <v>378</v>
      </c>
      <c r="P38" s="30">
        <v>690</v>
      </c>
      <c r="Q38" s="100">
        <v>0</v>
      </c>
      <c r="R38" s="100">
        <v>206</v>
      </c>
      <c r="S38" s="100">
        <v>445</v>
      </c>
      <c r="T38" s="100">
        <v>177</v>
      </c>
      <c r="U38" s="100">
        <v>102</v>
      </c>
      <c r="V38" s="100">
        <v>198</v>
      </c>
      <c r="W38" s="100">
        <v>20</v>
      </c>
      <c r="X38" s="100">
        <v>70</v>
      </c>
      <c r="Y38" s="100">
        <v>48</v>
      </c>
      <c r="Z38" s="30">
        <v>0</v>
      </c>
      <c r="AA38" s="30">
        <v>885</v>
      </c>
      <c r="AB38" s="30">
        <v>1080</v>
      </c>
      <c r="AC38" s="30">
        <v>-714</v>
      </c>
      <c r="AD38" s="30">
        <v>-227</v>
      </c>
      <c r="AE38" s="30">
        <v>-181</v>
      </c>
      <c r="AF38" s="30">
        <v>-714</v>
      </c>
      <c r="AG38" s="30">
        <v>-227</v>
      </c>
      <c r="AH38" s="30">
        <v>-181</v>
      </c>
      <c r="AI38" s="147">
        <v>0</v>
      </c>
      <c r="AJ38" s="100">
        <v>0</v>
      </c>
      <c r="AK38" s="148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969</v>
      </c>
      <c r="AS38" s="30">
        <v>1637</v>
      </c>
      <c r="AT38" s="30">
        <v>2009</v>
      </c>
      <c r="AU38" s="30">
        <v>255</v>
      </c>
      <c r="AV38" s="30">
        <v>1409</v>
      </c>
      <c r="AW38" s="30">
        <v>1828</v>
      </c>
      <c r="AX38" s="30">
        <v>-714</v>
      </c>
      <c r="AY38" s="30">
        <v>-228</v>
      </c>
      <c r="AZ38" s="30">
        <v>-181</v>
      </c>
      <c r="BA38" s="30">
        <v>-714</v>
      </c>
      <c r="BB38" s="30">
        <v>-227</v>
      </c>
      <c r="BC38" s="30">
        <v>-181</v>
      </c>
    </row>
    <row r="39" spans="1:55">
      <c r="A39" s="132" t="s">
        <v>56</v>
      </c>
      <c r="B39" s="132">
        <v>80</v>
      </c>
      <c r="C39" s="132" t="s">
        <v>37</v>
      </c>
      <c r="D39" s="132" t="s">
        <v>32</v>
      </c>
      <c r="E39" s="132">
        <v>449.34579439252337</v>
      </c>
      <c r="F39" s="132">
        <v>533.08411214953276</v>
      </c>
      <c r="G39" s="132">
        <v>591.70093457943926</v>
      </c>
      <c r="H39" s="132">
        <v>96</v>
      </c>
      <c r="I39" s="132">
        <v>120.82242990654206</v>
      </c>
      <c r="J39" s="132">
        <v>120.67289719626169</v>
      </c>
      <c r="K39" s="132">
        <v>0.14953271028037385</v>
      </c>
      <c r="L39" s="132">
        <v>0</v>
      </c>
      <c r="M39" s="132">
        <v>0</v>
      </c>
      <c r="N39" s="132">
        <v>148.93457943925233</v>
      </c>
      <c r="O39" s="132">
        <v>145.94392523364485</v>
      </c>
      <c r="P39" s="132">
        <v>170.46728971962614</v>
      </c>
      <c r="Q39" s="153">
        <v>0</v>
      </c>
      <c r="R39" s="153">
        <v>0</v>
      </c>
      <c r="S39" s="153">
        <v>0</v>
      </c>
      <c r="T39" s="153">
        <v>61.607476635514018</v>
      </c>
      <c r="U39" s="153">
        <v>46.056074766355138</v>
      </c>
      <c r="V39" s="153">
        <v>52.485981308411212</v>
      </c>
      <c r="W39" s="153">
        <v>87.327102803738313</v>
      </c>
      <c r="X39" s="153">
        <v>99.887850467289724</v>
      </c>
      <c r="Y39" s="153">
        <v>117.98130841121494</v>
      </c>
      <c r="Z39" s="132">
        <v>204.26168224299064</v>
      </c>
      <c r="AA39" s="132">
        <v>266.31775700934577</v>
      </c>
      <c r="AB39" s="132">
        <v>300.56074766355141</v>
      </c>
      <c r="AC39" s="132">
        <v>-29.906542056074766</v>
      </c>
      <c r="AD39" s="132">
        <v>-7.3271028037383177</v>
      </c>
      <c r="AE39" s="132">
        <v>-26.317757009345794</v>
      </c>
      <c r="AF39" s="132">
        <v>-29.906542056074766</v>
      </c>
      <c r="AG39" s="132">
        <v>-7.3271028037383177</v>
      </c>
      <c r="AH39" s="132">
        <v>-26.317757009345794</v>
      </c>
      <c r="AI39" s="152">
        <v>44.261682242990652</v>
      </c>
      <c r="AJ39" s="153">
        <v>46.953271028037385</v>
      </c>
      <c r="AK39" s="154">
        <v>45.158878504672899</v>
      </c>
      <c r="AL39" s="132">
        <v>0</v>
      </c>
      <c r="AM39" s="132">
        <v>44.710280373831779</v>
      </c>
      <c r="AN39" s="132">
        <v>44.859813084112147</v>
      </c>
      <c r="AO39" s="132">
        <v>0</v>
      </c>
      <c r="AP39" s="132">
        <v>44.710280373831779</v>
      </c>
      <c r="AQ39" s="132">
        <v>44.859813084112147</v>
      </c>
      <c r="AR39" s="132">
        <v>479.25233644859816</v>
      </c>
      <c r="AS39" s="132">
        <v>542.65420560747668</v>
      </c>
      <c r="AT39" s="132">
        <v>618.31775700934577</v>
      </c>
      <c r="AU39" s="132">
        <v>493.60747663551399</v>
      </c>
      <c r="AV39" s="132">
        <v>580.03738317757006</v>
      </c>
      <c r="AW39" s="132">
        <v>636.85981308411215</v>
      </c>
      <c r="AX39" s="132">
        <v>14.355140186915886</v>
      </c>
      <c r="AY39" s="132">
        <v>37.383177570093459</v>
      </c>
      <c r="AZ39" s="132">
        <v>18.542056074766357</v>
      </c>
      <c r="BA39" s="132">
        <v>-29.906542056074766</v>
      </c>
      <c r="BB39" s="132">
        <v>37.383177570093459</v>
      </c>
      <c r="BC39" s="132">
        <v>18.542056074766357</v>
      </c>
    </row>
    <row r="40" spans="1:55">
      <c r="A40" s="132" t="s">
        <v>57</v>
      </c>
      <c r="B40" s="132">
        <v>366</v>
      </c>
      <c r="C40" s="132" t="s">
        <v>37</v>
      </c>
      <c r="D40" s="132" t="s">
        <v>32</v>
      </c>
      <c r="E40" s="132">
        <v>1617</v>
      </c>
      <c r="F40" s="132">
        <v>2080</v>
      </c>
      <c r="G40" s="132">
        <v>1952</v>
      </c>
      <c r="H40" s="132">
        <v>326</v>
      </c>
      <c r="I40" s="132">
        <v>121</v>
      </c>
      <c r="J40" s="132">
        <v>29</v>
      </c>
      <c r="K40" s="132">
        <v>0</v>
      </c>
      <c r="L40" s="132">
        <v>60</v>
      </c>
      <c r="M40" s="132">
        <v>30</v>
      </c>
      <c r="N40" s="132">
        <v>918</v>
      </c>
      <c r="O40" s="132">
        <v>1303</v>
      </c>
      <c r="P40" s="132">
        <v>1270</v>
      </c>
      <c r="Q40" s="153">
        <v>0</v>
      </c>
      <c r="R40" s="153">
        <v>0</v>
      </c>
      <c r="S40" s="153">
        <v>0</v>
      </c>
      <c r="T40" s="153">
        <v>168</v>
      </c>
      <c r="U40" s="153">
        <v>259</v>
      </c>
      <c r="V40" s="153">
        <v>126</v>
      </c>
      <c r="W40" s="153">
        <v>750</v>
      </c>
      <c r="X40" s="153">
        <v>1044</v>
      </c>
      <c r="Y40" s="153">
        <v>1144</v>
      </c>
      <c r="Z40" s="132">
        <v>373</v>
      </c>
      <c r="AA40" s="132">
        <v>596</v>
      </c>
      <c r="AB40" s="132">
        <v>623</v>
      </c>
      <c r="AC40" s="132">
        <v>-655</v>
      </c>
      <c r="AD40" s="132">
        <v>-218</v>
      </c>
      <c r="AE40" s="132">
        <v>-24</v>
      </c>
      <c r="AF40" s="132">
        <v>-655</v>
      </c>
      <c r="AG40" s="132">
        <v>-218</v>
      </c>
      <c r="AH40" s="132">
        <v>-24</v>
      </c>
      <c r="AI40" s="152">
        <v>379</v>
      </c>
      <c r="AJ40" s="153">
        <v>540</v>
      </c>
      <c r="AK40" s="154">
        <v>471</v>
      </c>
      <c r="AL40" s="132">
        <v>297</v>
      </c>
      <c r="AM40" s="132">
        <v>432</v>
      </c>
      <c r="AN40" s="132">
        <v>284</v>
      </c>
      <c r="AO40" s="132">
        <v>297</v>
      </c>
      <c r="AP40" s="132">
        <v>407</v>
      </c>
      <c r="AQ40" s="132">
        <v>284</v>
      </c>
      <c r="AR40" s="132">
        <v>2354</v>
      </c>
      <c r="AS40" s="132">
        <v>2431</v>
      </c>
      <c r="AT40" s="132">
        <v>2163</v>
      </c>
      <c r="AU40" s="132">
        <v>1996</v>
      </c>
      <c r="AV40" s="132">
        <v>2620</v>
      </c>
      <c r="AW40" s="132">
        <v>2423</v>
      </c>
      <c r="AX40" s="132">
        <v>-358</v>
      </c>
      <c r="AY40" s="132">
        <v>189</v>
      </c>
      <c r="AZ40" s="132">
        <v>260</v>
      </c>
      <c r="BA40" s="132">
        <v>-358</v>
      </c>
      <c r="BB40" s="132">
        <v>189</v>
      </c>
      <c r="BC40" s="132">
        <v>260</v>
      </c>
    </row>
    <row r="41" spans="1:55">
      <c r="A41" s="132" t="s">
        <v>58</v>
      </c>
      <c r="B41" s="132">
        <v>200</v>
      </c>
      <c r="C41" s="132" t="s">
        <v>37</v>
      </c>
      <c r="D41" s="132" t="s">
        <v>32</v>
      </c>
      <c r="E41" s="132">
        <v>872</v>
      </c>
      <c r="F41" s="132">
        <v>1139</v>
      </c>
      <c r="G41" s="132">
        <v>1504</v>
      </c>
      <c r="H41" s="132">
        <v>0</v>
      </c>
      <c r="I41" s="132">
        <v>11</v>
      </c>
      <c r="J41" s="132">
        <v>49</v>
      </c>
      <c r="K41" s="132">
        <v>5</v>
      </c>
      <c r="L41" s="132">
        <v>53</v>
      </c>
      <c r="M41" s="132">
        <v>0</v>
      </c>
      <c r="N41" s="132">
        <v>557</v>
      </c>
      <c r="O41" s="132">
        <v>845</v>
      </c>
      <c r="P41" s="132">
        <v>862</v>
      </c>
      <c r="Q41" s="153">
        <v>0</v>
      </c>
      <c r="R41" s="153">
        <v>29</v>
      </c>
      <c r="S41" s="153">
        <v>32</v>
      </c>
      <c r="T41" s="153">
        <v>47</v>
      </c>
      <c r="U41" s="153">
        <v>45</v>
      </c>
      <c r="V41" s="153">
        <v>68</v>
      </c>
      <c r="W41" s="153">
        <v>510</v>
      </c>
      <c r="X41" s="153">
        <v>771</v>
      </c>
      <c r="Y41" s="153">
        <v>763</v>
      </c>
      <c r="Z41" s="132">
        <v>310</v>
      </c>
      <c r="AA41" s="132">
        <v>230</v>
      </c>
      <c r="AB41" s="132">
        <v>592</v>
      </c>
      <c r="AC41" s="132">
        <v>-25</v>
      </c>
      <c r="AD41" s="132">
        <v>14</v>
      </c>
      <c r="AE41" s="132">
        <v>89</v>
      </c>
      <c r="AF41" s="132">
        <v>-25</v>
      </c>
      <c r="AG41" s="132">
        <v>14</v>
      </c>
      <c r="AH41" s="132">
        <v>89</v>
      </c>
      <c r="AI41" s="152">
        <v>0</v>
      </c>
      <c r="AJ41" s="153">
        <v>0</v>
      </c>
      <c r="AK41" s="154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  <c r="AQ41" s="132">
        <v>0</v>
      </c>
      <c r="AR41" s="132">
        <v>897</v>
      </c>
      <c r="AS41" s="132">
        <v>1125</v>
      </c>
      <c r="AT41" s="132">
        <v>1414</v>
      </c>
      <c r="AU41" s="132">
        <v>872</v>
      </c>
      <c r="AV41" s="132">
        <v>1139</v>
      </c>
      <c r="AW41" s="132">
        <v>1504</v>
      </c>
      <c r="AX41" s="132">
        <v>-25</v>
      </c>
      <c r="AY41" s="132">
        <v>14</v>
      </c>
      <c r="AZ41" s="132">
        <v>90</v>
      </c>
      <c r="BA41" s="132">
        <v>-25</v>
      </c>
      <c r="BB41" s="132">
        <v>14</v>
      </c>
      <c r="BC41" s="132">
        <v>89</v>
      </c>
    </row>
    <row r="42" spans="1:55">
      <c r="A42" s="132" t="s">
        <v>82</v>
      </c>
      <c r="B42" s="132">
        <v>30</v>
      </c>
      <c r="C42" s="132" t="s">
        <v>37</v>
      </c>
      <c r="D42" s="132" t="s">
        <v>32</v>
      </c>
      <c r="E42" s="132">
        <v>65</v>
      </c>
      <c r="F42" s="132">
        <v>163</v>
      </c>
      <c r="G42" s="132">
        <v>350</v>
      </c>
      <c r="H42" s="132">
        <v>0</v>
      </c>
      <c r="I42" s="132">
        <v>0</v>
      </c>
      <c r="J42" s="132">
        <v>4</v>
      </c>
      <c r="K42" s="132">
        <v>0</v>
      </c>
      <c r="L42" s="132">
        <v>0</v>
      </c>
      <c r="M42" s="132">
        <v>0</v>
      </c>
      <c r="N42" s="132">
        <v>35</v>
      </c>
      <c r="O42" s="132">
        <v>123</v>
      </c>
      <c r="P42" s="132">
        <v>202</v>
      </c>
      <c r="Q42" s="153">
        <v>0</v>
      </c>
      <c r="R42" s="153">
        <v>0</v>
      </c>
      <c r="S42" s="153">
        <v>5</v>
      </c>
      <c r="T42" s="153">
        <v>0</v>
      </c>
      <c r="U42" s="153">
        <v>10</v>
      </c>
      <c r="V42" s="153">
        <v>8</v>
      </c>
      <c r="W42" s="153">
        <v>35</v>
      </c>
      <c r="X42" s="153">
        <v>113</v>
      </c>
      <c r="Y42" s="153">
        <v>189</v>
      </c>
      <c r="Z42" s="132">
        <v>30</v>
      </c>
      <c r="AA42" s="132">
        <v>40</v>
      </c>
      <c r="AB42" s="132">
        <v>144</v>
      </c>
      <c r="AC42" s="132">
        <v>35</v>
      </c>
      <c r="AD42" s="132">
        <v>55</v>
      </c>
      <c r="AE42" s="132">
        <v>90</v>
      </c>
      <c r="AF42" s="132">
        <v>35</v>
      </c>
      <c r="AG42" s="132">
        <v>55</v>
      </c>
      <c r="AH42" s="132">
        <v>90</v>
      </c>
      <c r="AI42" s="152">
        <v>0</v>
      </c>
      <c r="AJ42" s="153">
        <v>0</v>
      </c>
      <c r="AK42" s="154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  <c r="AQ42" s="132">
        <v>0</v>
      </c>
      <c r="AR42" s="132">
        <v>30</v>
      </c>
      <c r="AS42" s="132">
        <v>108</v>
      </c>
      <c r="AT42" s="132">
        <v>260</v>
      </c>
      <c r="AU42" s="132">
        <v>65</v>
      </c>
      <c r="AV42" s="132">
        <v>163</v>
      </c>
      <c r="AW42" s="132">
        <v>350</v>
      </c>
      <c r="AX42" s="132">
        <v>35</v>
      </c>
      <c r="AY42" s="132">
        <v>55</v>
      </c>
      <c r="AZ42" s="132">
        <v>90</v>
      </c>
      <c r="BA42" s="132">
        <v>35</v>
      </c>
      <c r="BB42" s="132">
        <v>55</v>
      </c>
      <c r="BC42" s="132">
        <v>90</v>
      </c>
    </row>
    <row r="43" spans="1:55">
      <c r="A43" s="132" t="s">
        <v>109</v>
      </c>
      <c r="B43" s="132">
        <v>150</v>
      </c>
      <c r="C43" s="132" t="s">
        <v>37</v>
      </c>
      <c r="D43" s="132" t="s">
        <v>32</v>
      </c>
      <c r="E43" s="132">
        <v>554</v>
      </c>
      <c r="F43" s="132">
        <v>880</v>
      </c>
      <c r="G43" s="132">
        <v>1113</v>
      </c>
      <c r="H43" s="132">
        <v>0</v>
      </c>
      <c r="I43" s="132">
        <v>0</v>
      </c>
      <c r="J43" s="132">
        <v>0</v>
      </c>
      <c r="K43" s="132">
        <v>79</v>
      </c>
      <c r="L43" s="132">
        <v>7</v>
      </c>
      <c r="M43" s="132">
        <v>0</v>
      </c>
      <c r="N43" s="132">
        <v>265</v>
      </c>
      <c r="O43" s="132">
        <v>873</v>
      </c>
      <c r="P43" s="132">
        <v>1113</v>
      </c>
      <c r="Q43" s="153">
        <v>10</v>
      </c>
      <c r="R43" s="153">
        <v>19</v>
      </c>
      <c r="S43" s="153">
        <v>0</v>
      </c>
      <c r="T43" s="153">
        <v>80</v>
      </c>
      <c r="U43" s="153">
        <v>595</v>
      </c>
      <c r="V43" s="153">
        <v>699</v>
      </c>
      <c r="W43" s="153">
        <v>175</v>
      </c>
      <c r="X43" s="153">
        <v>259</v>
      </c>
      <c r="Y43" s="153">
        <v>414</v>
      </c>
      <c r="Z43" s="132">
        <v>210</v>
      </c>
      <c r="AA43" s="132">
        <v>0</v>
      </c>
      <c r="AB43" s="132">
        <v>0</v>
      </c>
      <c r="AC43" s="132">
        <v>105</v>
      </c>
      <c r="AD43" s="132">
        <v>16</v>
      </c>
      <c r="AE43" s="132">
        <v>165</v>
      </c>
      <c r="AF43" s="132">
        <v>105</v>
      </c>
      <c r="AG43" s="132">
        <v>16</v>
      </c>
      <c r="AH43" s="132">
        <v>165</v>
      </c>
      <c r="AI43" s="152">
        <v>0</v>
      </c>
      <c r="AJ43" s="153">
        <v>0</v>
      </c>
      <c r="AK43" s="154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  <c r="AQ43" s="132">
        <v>0</v>
      </c>
      <c r="AR43" s="132">
        <v>449</v>
      </c>
      <c r="AS43" s="132">
        <v>864</v>
      </c>
      <c r="AT43" s="132">
        <v>948</v>
      </c>
      <c r="AU43" s="132">
        <v>554</v>
      </c>
      <c r="AV43" s="132">
        <v>880</v>
      </c>
      <c r="AW43" s="132">
        <v>1113</v>
      </c>
      <c r="AX43" s="132">
        <v>105</v>
      </c>
      <c r="AY43" s="132">
        <v>16</v>
      </c>
      <c r="AZ43" s="132">
        <v>165</v>
      </c>
      <c r="BA43" s="132">
        <v>105</v>
      </c>
      <c r="BB43" s="132">
        <v>16</v>
      </c>
      <c r="BC43" s="132">
        <v>165</v>
      </c>
    </row>
    <row r="44" spans="1:55">
      <c r="A44" s="132" t="s">
        <v>136</v>
      </c>
      <c r="B44" s="132">
        <v>230</v>
      </c>
      <c r="C44" s="132" t="s">
        <v>37</v>
      </c>
      <c r="D44" s="132" t="s">
        <v>32</v>
      </c>
      <c r="E44" s="132">
        <v>1389</v>
      </c>
      <c r="F44" s="132">
        <v>1736</v>
      </c>
      <c r="G44" s="132">
        <v>1853</v>
      </c>
      <c r="H44" s="132">
        <v>8</v>
      </c>
      <c r="I44" s="132">
        <v>6</v>
      </c>
      <c r="J44" s="132">
        <v>59</v>
      </c>
      <c r="K44" s="132">
        <v>0</v>
      </c>
      <c r="L44" s="132">
        <v>0</v>
      </c>
      <c r="M44" s="132">
        <v>0</v>
      </c>
      <c r="N44" s="132">
        <v>762</v>
      </c>
      <c r="O44" s="132">
        <v>794</v>
      </c>
      <c r="P44" s="132">
        <v>748</v>
      </c>
      <c r="Q44" s="153">
        <v>0</v>
      </c>
      <c r="R44" s="153">
        <v>0</v>
      </c>
      <c r="S44" s="153">
        <v>0</v>
      </c>
      <c r="T44" s="153">
        <v>152</v>
      </c>
      <c r="U44" s="153">
        <v>159</v>
      </c>
      <c r="V44" s="153">
        <v>150</v>
      </c>
      <c r="W44" s="153">
        <v>610</v>
      </c>
      <c r="X44" s="153">
        <v>635</v>
      </c>
      <c r="Y44" s="153">
        <v>598</v>
      </c>
      <c r="Z44" s="132">
        <v>619</v>
      </c>
      <c r="AA44" s="132">
        <v>936</v>
      </c>
      <c r="AB44" s="132">
        <v>1046</v>
      </c>
      <c r="AC44" s="132">
        <v>-318</v>
      </c>
      <c r="AD44" s="132">
        <v>-87</v>
      </c>
      <c r="AE44" s="132">
        <v>12</v>
      </c>
      <c r="AF44" s="132">
        <v>-318</v>
      </c>
      <c r="AG44" s="132">
        <v>-87</v>
      </c>
      <c r="AH44" s="132">
        <v>12</v>
      </c>
      <c r="AI44" s="152">
        <v>93</v>
      </c>
      <c r="AJ44" s="153">
        <v>33</v>
      </c>
      <c r="AK44" s="154">
        <v>190</v>
      </c>
      <c r="AL44" s="132">
        <v>62</v>
      </c>
      <c r="AM44" s="132">
        <v>2</v>
      </c>
      <c r="AN44" s="132">
        <v>190</v>
      </c>
      <c r="AO44" s="132">
        <v>62</v>
      </c>
      <c r="AP44" s="132">
        <v>2</v>
      </c>
      <c r="AQ44" s="132">
        <v>190</v>
      </c>
      <c r="AR44" s="132">
        <v>1738</v>
      </c>
      <c r="AS44" s="132">
        <v>1854</v>
      </c>
      <c r="AT44" s="132">
        <v>1841</v>
      </c>
      <c r="AU44" s="132">
        <v>1482</v>
      </c>
      <c r="AV44" s="132">
        <v>1769</v>
      </c>
      <c r="AW44" s="132">
        <v>2043</v>
      </c>
      <c r="AX44" s="132">
        <v>-256</v>
      </c>
      <c r="AY44" s="132">
        <v>-85</v>
      </c>
      <c r="AZ44" s="132">
        <v>202</v>
      </c>
      <c r="BA44" s="132">
        <v>-256</v>
      </c>
      <c r="BB44" s="132">
        <v>-85</v>
      </c>
      <c r="BC44" s="132">
        <v>202</v>
      </c>
    </row>
    <row r="45" spans="1:55">
      <c r="A45" s="63" t="s">
        <v>60</v>
      </c>
      <c r="B45" s="63">
        <v>105</v>
      </c>
      <c r="C45" s="63" t="s">
        <v>38</v>
      </c>
      <c r="D45" s="63" t="s">
        <v>32</v>
      </c>
      <c r="E45" s="63">
        <v>338</v>
      </c>
      <c r="F45" s="63">
        <v>644</v>
      </c>
      <c r="G45" s="63">
        <v>931</v>
      </c>
      <c r="H45" s="63">
        <v>0</v>
      </c>
      <c r="I45" s="63">
        <v>0</v>
      </c>
      <c r="J45" s="63">
        <v>0</v>
      </c>
      <c r="K45" s="63">
        <v>63</v>
      </c>
      <c r="L45" s="63">
        <v>232</v>
      </c>
      <c r="M45" s="63">
        <v>179</v>
      </c>
      <c r="N45" s="63">
        <v>236</v>
      </c>
      <c r="O45" s="63">
        <v>264</v>
      </c>
      <c r="P45" s="63">
        <v>444</v>
      </c>
      <c r="Q45" s="156">
        <v>31</v>
      </c>
      <c r="R45" s="156">
        <v>0</v>
      </c>
      <c r="S45" s="156">
        <v>0</v>
      </c>
      <c r="T45" s="156">
        <v>166</v>
      </c>
      <c r="U45" s="156">
        <v>161</v>
      </c>
      <c r="V45" s="156">
        <v>259</v>
      </c>
      <c r="W45" s="156">
        <v>70</v>
      </c>
      <c r="X45" s="156">
        <v>103</v>
      </c>
      <c r="Y45" s="156">
        <v>185</v>
      </c>
      <c r="Z45" s="63">
        <v>39</v>
      </c>
      <c r="AA45" s="63">
        <v>148</v>
      </c>
      <c r="AB45" s="63">
        <v>308</v>
      </c>
      <c r="AC45" s="63">
        <v>-84</v>
      </c>
      <c r="AD45" s="63">
        <v>-261</v>
      </c>
      <c r="AE45" s="63">
        <v>-156</v>
      </c>
      <c r="AF45" s="63">
        <v>-84</v>
      </c>
      <c r="AG45" s="63">
        <v>-261</v>
      </c>
      <c r="AH45" s="63">
        <v>-156</v>
      </c>
      <c r="AI45" s="155">
        <v>176</v>
      </c>
      <c r="AJ45" s="156">
        <v>186</v>
      </c>
      <c r="AK45" s="157">
        <v>181</v>
      </c>
      <c r="AL45" s="63">
        <v>176</v>
      </c>
      <c r="AM45" s="63">
        <v>186</v>
      </c>
      <c r="AN45" s="63">
        <v>181</v>
      </c>
      <c r="AO45" s="63">
        <v>176</v>
      </c>
      <c r="AP45" s="63">
        <v>186</v>
      </c>
      <c r="AQ45" s="63">
        <v>181</v>
      </c>
      <c r="AR45" s="63">
        <v>422</v>
      </c>
      <c r="AS45" s="63">
        <v>905</v>
      </c>
      <c r="AT45" s="63">
        <v>1087</v>
      </c>
      <c r="AU45" s="63">
        <v>514</v>
      </c>
      <c r="AV45" s="63">
        <v>830</v>
      </c>
      <c r="AW45" s="63">
        <v>1112</v>
      </c>
      <c r="AX45" s="63">
        <v>92</v>
      </c>
      <c r="AY45" s="63">
        <v>-75</v>
      </c>
      <c r="AZ45" s="63">
        <v>25</v>
      </c>
      <c r="BA45" s="63">
        <v>92</v>
      </c>
      <c r="BB45" s="63">
        <v>-75</v>
      </c>
      <c r="BC45" s="63">
        <v>25</v>
      </c>
    </row>
    <row r="46" spans="1:55">
      <c r="A46" s="63" t="s">
        <v>62</v>
      </c>
      <c r="B46" s="63">
        <v>296</v>
      </c>
      <c r="C46" s="63" t="s">
        <v>38</v>
      </c>
      <c r="D46" s="63" t="s">
        <v>32</v>
      </c>
      <c r="E46" s="63">
        <v>652</v>
      </c>
      <c r="F46" s="63">
        <v>824</v>
      </c>
      <c r="G46" s="63">
        <v>1223</v>
      </c>
      <c r="H46" s="63">
        <v>113</v>
      </c>
      <c r="I46" s="63">
        <v>152</v>
      </c>
      <c r="J46" s="63">
        <v>100</v>
      </c>
      <c r="K46" s="63">
        <v>0</v>
      </c>
      <c r="L46" s="63">
        <v>0</v>
      </c>
      <c r="M46" s="63">
        <v>5</v>
      </c>
      <c r="N46" s="63">
        <v>209</v>
      </c>
      <c r="O46" s="63">
        <v>241</v>
      </c>
      <c r="P46" s="63">
        <v>315</v>
      </c>
      <c r="Q46" s="156">
        <v>44</v>
      </c>
      <c r="R46" s="156">
        <v>0</v>
      </c>
      <c r="S46" s="156">
        <v>0</v>
      </c>
      <c r="T46" s="156">
        <v>80</v>
      </c>
      <c r="U46" s="156">
        <v>93</v>
      </c>
      <c r="V46" s="156">
        <v>75</v>
      </c>
      <c r="W46" s="156">
        <v>85</v>
      </c>
      <c r="X46" s="156">
        <v>148</v>
      </c>
      <c r="Y46" s="156">
        <v>240</v>
      </c>
      <c r="Z46" s="63">
        <v>329</v>
      </c>
      <c r="AA46" s="63">
        <v>431</v>
      </c>
      <c r="AB46" s="63">
        <v>803</v>
      </c>
      <c r="AC46" s="63">
        <v>-4</v>
      </c>
      <c r="AD46" s="63">
        <v>11</v>
      </c>
      <c r="AE46" s="63">
        <v>69</v>
      </c>
      <c r="AF46" s="63">
        <v>-4</v>
      </c>
      <c r="AG46" s="63">
        <v>11</v>
      </c>
      <c r="AH46" s="63">
        <v>69</v>
      </c>
      <c r="AI46" s="155">
        <v>15</v>
      </c>
      <c r="AJ46" s="156">
        <v>21</v>
      </c>
      <c r="AK46" s="157">
        <v>0</v>
      </c>
      <c r="AL46" s="63">
        <v>15</v>
      </c>
      <c r="AM46" s="63">
        <v>21</v>
      </c>
      <c r="AN46" s="63">
        <v>0</v>
      </c>
      <c r="AO46" s="63">
        <v>15</v>
      </c>
      <c r="AP46" s="63">
        <v>21</v>
      </c>
      <c r="AQ46" s="63">
        <v>0</v>
      </c>
      <c r="AR46" s="63">
        <v>656</v>
      </c>
      <c r="AS46" s="63">
        <v>813</v>
      </c>
      <c r="AT46" s="63">
        <v>1154</v>
      </c>
      <c r="AU46" s="63">
        <v>667</v>
      </c>
      <c r="AV46" s="63">
        <v>845</v>
      </c>
      <c r="AW46" s="63">
        <v>1223</v>
      </c>
      <c r="AX46" s="63">
        <v>11</v>
      </c>
      <c r="AY46" s="63">
        <v>32</v>
      </c>
      <c r="AZ46" s="63">
        <v>69</v>
      </c>
      <c r="BA46" s="63">
        <v>11</v>
      </c>
      <c r="BB46" s="63">
        <v>32</v>
      </c>
      <c r="BC46" s="63">
        <v>69</v>
      </c>
    </row>
    <row r="47" spans="1:55">
      <c r="A47" s="63" t="s">
        <v>63</v>
      </c>
      <c r="B47" s="63">
        <v>79</v>
      </c>
      <c r="C47" s="63" t="s">
        <v>38</v>
      </c>
      <c r="D47" s="63" t="s">
        <v>32</v>
      </c>
      <c r="E47" s="63">
        <v>265</v>
      </c>
      <c r="F47" s="63">
        <v>422</v>
      </c>
      <c r="G47" s="63">
        <v>322</v>
      </c>
      <c r="H47" s="63">
        <v>13</v>
      </c>
      <c r="I47" s="63">
        <v>22</v>
      </c>
      <c r="J47" s="63">
        <v>0</v>
      </c>
      <c r="K47" s="63">
        <v>5</v>
      </c>
      <c r="L47" s="63">
        <v>65</v>
      </c>
      <c r="M47" s="63">
        <v>0</v>
      </c>
      <c r="N47" s="63">
        <v>33</v>
      </c>
      <c r="O47" s="63">
        <v>35</v>
      </c>
      <c r="P47" s="63">
        <v>42</v>
      </c>
      <c r="Q47" s="156">
        <v>33</v>
      </c>
      <c r="R47" s="156">
        <v>35</v>
      </c>
      <c r="S47" s="156">
        <v>0</v>
      </c>
      <c r="T47" s="156">
        <v>0</v>
      </c>
      <c r="U47" s="156">
        <v>0</v>
      </c>
      <c r="V47" s="156">
        <v>20</v>
      </c>
      <c r="W47" s="156">
        <v>0</v>
      </c>
      <c r="X47" s="156">
        <v>0</v>
      </c>
      <c r="Y47" s="156">
        <v>22</v>
      </c>
      <c r="Z47" s="63">
        <v>214</v>
      </c>
      <c r="AA47" s="63">
        <v>300</v>
      </c>
      <c r="AB47" s="63">
        <v>280</v>
      </c>
      <c r="AC47" s="63">
        <v>-39</v>
      </c>
      <c r="AD47" s="63">
        <v>95</v>
      </c>
      <c r="AE47" s="63">
        <v>30</v>
      </c>
      <c r="AF47" s="63">
        <v>-39</v>
      </c>
      <c r="AG47" s="63">
        <v>95</v>
      </c>
      <c r="AH47" s="63">
        <v>30</v>
      </c>
      <c r="AI47" s="155">
        <v>228</v>
      </c>
      <c r="AJ47" s="156">
        <v>16</v>
      </c>
      <c r="AK47" s="157">
        <v>53</v>
      </c>
      <c r="AL47" s="63">
        <v>134</v>
      </c>
      <c r="AM47" s="63">
        <v>15</v>
      </c>
      <c r="AN47" s="63">
        <v>32</v>
      </c>
      <c r="AO47" s="63">
        <v>134</v>
      </c>
      <c r="AP47" s="63">
        <v>15</v>
      </c>
      <c r="AQ47" s="63">
        <v>32</v>
      </c>
      <c r="AR47" s="63">
        <v>398</v>
      </c>
      <c r="AS47" s="63">
        <v>365</v>
      </c>
      <c r="AT47" s="63">
        <v>313</v>
      </c>
      <c r="AU47" s="63">
        <v>493</v>
      </c>
      <c r="AV47" s="63">
        <v>438</v>
      </c>
      <c r="AW47" s="63">
        <v>375</v>
      </c>
      <c r="AX47" s="63">
        <v>95</v>
      </c>
      <c r="AY47" s="63">
        <v>73</v>
      </c>
      <c r="AZ47" s="63">
        <v>62</v>
      </c>
      <c r="BA47" s="63">
        <v>95</v>
      </c>
      <c r="BB47" s="63">
        <v>110</v>
      </c>
      <c r="BC47" s="63">
        <v>62</v>
      </c>
    </row>
    <row r="48" spans="1:55">
      <c r="A48" s="63" t="s">
        <v>64</v>
      </c>
      <c r="B48" s="63">
        <v>250</v>
      </c>
      <c r="C48" s="63" t="s">
        <v>38</v>
      </c>
      <c r="D48" s="63" t="s">
        <v>32</v>
      </c>
      <c r="E48" s="63">
        <v>1520</v>
      </c>
      <c r="F48" s="63">
        <v>2994</v>
      </c>
      <c r="G48" s="63">
        <v>4705</v>
      </c>
      <c r="H48" s="63">
        <v>402</v>
      </c>
      <c r="I48" s="63">
        <v>426</v>
      </c>
      <c r="J48" s="63">
        <v>951</v>
      </c>
      <c r="K48" s="63">
        <v>135</v>
      </c>
      <c r="L48" s="63">
        <v>241</v>
      </c>
      <c r="M48" s="63">
        <v>98</v>
      </c>
      <c r="N48" s="63">
        <v>301</v>
      </c>
      <c r="O48" s="63">
        <v>401</v>
      </c>
      <c r="P48" s="63">
        <v>470</v>
      </c>
      <c r="Q48" s="156">
        <v>0</v>
      </c>
      <c r="R48" s="156">
        <v>0</v>
      </c>
      <c r="S48" s="156">
        <v>0</v>
      </c>
      <c r="T48" s="156">
        <v>74</v>
      </c>
      <c r="U48" s="156">
        <v>160</v>
      </c>
      <c r="V48" s="156">
        <v>186</v>
      </c>
      <c r="W48" s="156">
        <v>227</v>
      </c>
      <c r="X48" s="156">
        <v>240</v>
      </c>
      <c r="Y48" s="156">
        <v>283</v>
      </c>
      <c r="Z48" s="63">
        <v>682</v>
      </c>
      <c r="AA48" s="63">
        <v>1926</v>
      </c>
      <c r="AB48" s="63">
        <v>2335</v>
      </c>
      <c r="AC48" s="63">
        <v>-175</v>
      </c>
      <c r="AD48" s="63">
        <v>-240</v>
      </c>
      <c r="AE48" s="63">
        <v>65</v>
      </c>
      <c r="AF48" s="63">
        <v>-175</v>
      </c>
      <c r="AG48" s="63">
        <v>-240</v>
      </c>
      <c r="AH48" s="63">
        <v>65</v>
      </c>
      <c r="AI48" s="155">
        <v>689</v>
      </c>
      <c r="AJ48" s="156">
        <v>789</v>
      </c>
      <c r="AK48" s="157">
        <v>0</v>
      </c>
      <c r="AL48" s="63">
        <v>147</v>
      </c>
      <c r="AM48" s="63">
        <v>-51</v>
      </c>
      <c r="AN48" s="63">
        <v>0</v>
      </c>
      <c r="AO48" s="63">
        <v>147</v>
      </c>
      <c r="AP48" s="63">
        <v>-51</v>
      </c>
      <c r="AQ48" s="63">
        <v>0</v>
      </c>
      <c r="AR48" s="63">
        <v>2384</v>
      </c>
      <c r="AS48" s="63">
        <v>4074</v>
      </c>
      <c r="AT48" s="63">
        <v>4640</v>
      </c>
      <c r="AU48" s="63">
        <v>2209</v>
      </c>
      <c r="AV48" s="63">
        <v>3783</v>
      </c>
      <c r="AW48" s="63">
        <v>4705</v>
      </c>
      <c r="AX48" s="63">
        <v>-175</v>
      </c>
      <c r="AY48" s="63">
        <v>-291</v>
      </c>
      <c r="AZ48" s="63">
        <v>65</v>
      </c>
      <c r="BA48" s="63">
        <v>-28</v>
      </c>
      <c r="BB48" s="63">
        <v>-291</v>
      </c>
      <c r="BC48" s="63">
        <v>65</v>
      </c>
    </row>
    <row r="49" spans="1:55">
      <c r="A49" s="63" t="s">
        <v>68</v>
      </c>
      <c r="B49" s="63">
        <v>175</v>
      </c>
      <c r="C49" s="63" t="s">
        <v>38</v>
      </c>
      <c r="D49" s="63" t="s">
        <v>32</v>
      </c>
      <c r="E49" s="63">
        <v>627</v>
      </c>
      <c r="F49" s="63">
        <v>691</v>
      </c>
      <c r="G49" s="63">
        <v>1026</v>
      </c>
      <c r="H49" s="63">
        <v>114</v>
      </c>
      <c r="I49" s="63">
        <v>107</v>
      </c>
      <c r="J49" s="63">
        <v>198</v>
      </c>
      <c r="K49" s="63">
        <v>31</v>
      </c>
      <c r="L49" s="63">
        <v>0</v>
      </c>
      <c r="M49" s="63">
        <v>0</v>
      </c>
      <c r="N49" s="63">
        <v>482</v>
      </c>
      <c r="O49" s="63">
        <v>498</v>
      </c>
      <c r="P49" s="63">
        <v>478</v>
      </c>
      <c r="Q49" s="156">
        <v>23</v>
      </c>
      <c r="R49" s="156">
        <v>0</v>
      </c>
      <c r="S49" s="156">
        <v>1</v>
      </c>
      <c r="T49" s="156">
        <v>429</v>
      </c>
      <c r="U49" s="156">
        <v>448</v>
      </c>
      <c r="V49" s="156">
        <v>431</v>
      </c>
      <c r="W49" s="156">
        <v>30</v>
      </c>
      <c r="X49" s="156">
        <v>50</v>
      </c>
      <c r="Y49" s="156">
        <v>46</v>
      </c>
      <c r="Z49" s="63">
        <v>0</v>
      </c>
      <c r="AA49" s="63">
        <v>85</v>
      </c>
      <c r="AB49" s="63">
        <v>350</v>
      </c>
      <c r="AC49" s="63">
        <v>95</v>
      </c>
      <c r="AD49" s="63">
        <v>39</v>
      </c>
      <c r="AE49" s="63">
        <v>204</v>
      </c>
      <c r="AF49" s="63">
        <v>95</v>
      </c>
      <c r="AG49" s="63">
        <v>39</v>
      </c>
      <c r="AH49" s="63">
        <v>204</v>
      </c>
      <c r="AI49" s="155">
        <v>0</v>
      </c>
      <c r="AJ49" s="156">
        <v>0</v>
      </c>
      <c r="AK49" s="157">
        <v>0</v>
      </c>
      <c r="AL49" s="63">
        <v>0</v>
      </c>
      <c r="AM49" s="63">
        <v>0</v>
      </c>
      <c r="AN49" s="63">
        <v>0</v>
      </c>
      <c r="AO49" s="63">
        <v>0</v>
      </c>
      <c r="AP49" s="63">
        <v>0</v>
      </c>
      <c r="AQ49" s="63">
        <v>0</v>
      </c>
      <c r="AR49" s="63">
        <v>532</v>
      </c>
      <c r="AS49" s="63">
        <v>651</v>
      </c>
      <c r="AT49" s="63">
        <v>822</v>
      </c>
      <c r="AU49" s="63">
        <v>627</v>
      </c>
      <c r="AV49" s="63">
        <v>691</v>
      </c>
      <c r="AW49" s="63">
        <v>1026</v>
      </c>
      <c r="AX49" s="63">
        <v>95</v>
      </c>
      <c r="AY49" s="63">
        <v>40</v>
      </c>
      <c r="AZ49" s="63">
        <v>204</v>
      </c>
      <c r="BA49" s="63">
        <v>95</v>
      </c>
      <c r="BB49" s="63">
        <v>39</v>
      </c>
      <c r="BC49" s="63">
        <v>204</v>
      </c>
    </row>
    <row r="50" spans="1:55">
      <c r="A50" s="63" t="s">
        <v>70</v>
      </c>
      <c r="B50" s="63">
        <v>169</v>
      </c>
      <c r="C50" s="63" t="s">
        <v>38</v>
      </c>
      <c r="D50" s="63" t="s">
        <v>32</v>
      </c>
      <c r="E50" s="63">
        <v>227</v>
      </c>
      <c r="F50" s="63">
        <v>245</v>
      </c>
      <c r="G50" s="63">
        <v>189</v>
      </c>
      <c r="H50" s="63">
        <v>17</v>
      </c>
      <c r="I50" s="63">
        <v>46</v>
      </c>
      <c r="J50" s="63">
        <v>18</v>
      </c>
      <c r="K50" s="63">
        <v>0</v>
      </c>
      <c r="L50" s="63">
        <v>2</v>
      </c>
      <c r="M50" s="63">
        <v>0</v>
      </c>
      <c r="N50" s="63">
        <v>100</v>
      </c>
      <c r="O50" s="63">
        <v>97</v>
      </c>
      <c r="P50" s="63">
        <v>71</v>
      </c>
      <c r="Q50" s="156">
        <v>0</v>
      </c>
      <c r="R50" s="156">
        <v>0</v>
      </c>
      <c r="S50" s="156">
        <v>0</v>
      </c>
      <c r="T50" s="156">
        <v>78</v>
      </c>
      <c r="U50" s="156">
        <v>60</v>
      </c>
      <c r="V50" s="156">
        <v>48</v>
      </c>
      <c r="W50" s="156">
        <v>22</v>
      </c>
      <c r="X50" s="156">
        <v>37</v>
      </c>
      <c r="Y50" s="156">
        <v>23</v>
      </c>
      <c r="Z50" s="63">
        <v>110</v>
      </c>
      <c r="AA50" s="63">
        <v>100</v>
      </c>
      <c r="AB50" s="63">
        <v>100</v>
      </c>
      <c r="AC50" s="63">
        <v>-38</v>
      </c>
      <c r="AD50" s="63">
        <v>-1</v>
      </c>
      <c r="AE50" s="63">
        <v>-18</v>
      </c>
      <c r="AF50" s="63">
        <v>-38</v>
      </c>
      <c r="AG50" s="63">
        <v>-1</v>
      </c>
      <c r="AH50" s="63">
        <v>-18</v>
      </c>
      <c r="AI50" s="155">
        <v>20</v>
      </c>
      <c r="AJ50" s="156">
        <v>51</v>
      </c>
      <c r="AK50" s="157">
        <v>28</v>
      </c>
      <c r="AL50" s="63">
        <v>12</v>
      </c>
      <c r="AM50" s="63">
        <v>43</v>
      </c>
      <c r="AN50" s="63">
        <v>22</v>
      </c>
      <c r="AO50" s="63">
        <v>12</v>
      </c>
      <c r="AP50" s="63">
        <v>43</v>
      </c>
      <c r="AQ50" s="63">
        <v>22</v>
      </c>
      <c r="AR50" s="63">
        <v>273</v>
      </c>
      <c r="AS50" s="63">
        <v>254</v>
      </c>
      <c r="AT50" s="63">
        <v>213</v>
      </c>
      <c r="AU50" s="63">
        <v>247</v>
      </c>
      <c r="AV50" s="63">
        <v>296</v>
      </c>
      <c r="AW50" s="63">
        <v>217</v>
      </c>
      <c r="AX50" s="63">
        <v>-26</v>
      </c>
      <c r="AY50" s="63">
        <v>42</v>
      </c>
      <c r="AZ50" s="63">
        <v>4</v>
      </c>
      <c r="BA50" s="63">
        <v>-26</v>
      </c>
      <c r="BB50" s="63">
        <v>42</v>
      </c>
      <c r="BC50" s="63">
        <v>4</v>
      </c>
    </row>
    <row r="51" spans="1:55">
      <c r="A51" s="63" t="s">
        <v>71</v>
      </c>
      <c r="B51" s="63">
        <v>180</v>
      </c>
      <c r="C51" s="63" t="s">
        <v>38</v>
      </c>
      <c r="D51" s="63" t="s">
        <v>32</v>
      </c>
      <c r="E51" s="63">
        <v>1258</v>
      </c>
      <c r="F51" s="63">
        <v>1121</v>
      </c>
      <c r="G51" s="63">
        <v>952</v>
      </c>
      <c r="H51" s="63">
        <v>720</v>
      </c>
      <c r="I51" s="63">
        <v>207</v>
      </c>
      <c r="J51" s="63">
        <v>211</v>
      </c>
      <c r="K51" s="63">
        <v>-42</v>
      </c>
      <c r="L51" s="63">
        <v>0</v>
      </c>
      <c r="M51" s="63">
        <v>0</v>
      </c>
      <c r="N51" s="63">
        <v>580</v>
      </c>
      <c r="O51" s="63">
        <v>914</v>
      </c>
      <c r="P51" s="63">
        <v>741</v>
      </c>
      <c r="Q51" s="156">
        <v>0</v>
      </c>
      <c r="R51" s="156">
        <v>0</v>
      </c>
      <c r="S51" s="156">
        <v>184</v>
      </c>
      <c r="T51" s="156">
        <v>580</v>
      </c>
      <c r="U51" s="156">
        <v>792</v>
      </c>
      <c r="V51" s="156">
        <v>442</v>
      </c>
      <c r="W51" s="156">
        <v>0</v>
      </c>
      <c r="X51" s="156">
        <v>122</v>
      </c>
      <c r="Y51" s="156">
        <v>115</v>
      </c>
      <c r="Z51" s="63">
        <v>0</v>
      </c>
      <c r="AA51" s="63">
        <v>0</v>
      </c>
      <c r="AB51" s="63">
        <v>0</v>
      </c>
      <c r="AC51" s="63">
        <v>-600</v>
      </c>
      <c r="AD51" s="63">
        <v>-352</v>
      </c>
      <c r="AE51" s="63">
        <v>-269</v>
      </c>
      <c r="AF51" s="63">
        <v>-600</v>
      </c>
      <c r="AG51" s="63">
        <v>-352</v>
      </c>
      <c r="AH51" s="63">
        <v>-269</v>
      </c>
      <c r="AI51" s="155">
        <v>361</v>
      </c>
      <c r="AJ51" s="156">
        <v>367</v>
      </c>
      <c r="AK51" s="157">
        <v>359</v>
      </c>
      <c r="AL51" s="63">
        <v>298</v>
      </c>
      <c r="AM51" s="63">
        <v>309</v>
      </c>
      <c r="AN51" s="63">
        <v>291</v>
      </c>
      <c r="AO51" s="63">
        <v>298</v>
      </c>
      <c r="AP51" s="63">
        <v>309</v>
      </c>
      <c r="AQ51" s="63">
        <v>291</v>
      </c>
      <c r="AR51" s="63">
        <v>1921</v>
      </c>
      <c r="AS51" s="63">
        <v>1533</v>
      </c>
      <c r="AT51" s="63">
        <v>1289</v>
      </c>
      <c r="AU51" s="63">
        <v>1619</v>
      </c>
      <c r="AV51" s="63">
        <v>1488</v>
      </c>
      <c r="AW51" s="63">
        <v>1311</v>
      </c>
      <c r="AX51" s="63">
        <v>-302</v>
      </c>
      <c r="AY51" s="63">
        <v>-45</v>
      </c>
      <c r="AZ51" s="63">
        <v>22</v>
      </c>
      <c r="BA51" s="63">
        <v>-302</v>
      </c>
      <c r="BB51" s="63">
        <v>-43</v>
      </c>
      <c r="BC51" s="63">
        <v>22</v>
      </c>
    </row>
    <row r="52" spans="1:55">
      <c r="A52" s="63" t="s">
        <v>72</v>
      </c>
      <c r="B52" s="63">
        <v>225</v>
      </c>
      <c r="C52" s="63" t="s">
        <v>38</v>
      </c>
      <c r="D52" s="63" t="s">
        <v>32</v>
      </c>
      <c r="E52" s="63">
        <v>504</v>
      </c>
      <c r="F52" s="63">
        <v>601</v>
      </c>
      <c r="G52" s="63">
        <v>659</v>
      </c>
      <c r="H52" s="63">
        <v>0</v>
      </c>
      <c r="I52" s="63">
        <v>129</v>
      </c>
      <c r="J52" s="63">
        <v>61</v>
      </c>
      <c r="K52" s="63">
        <v>134</v>
      </c>
      <c r="L52" s="63">
        <v>0</v>
      </c>
      <c r="M52" s="63">
        <v>0</v>
      </c>
      <c r="N52" s="63">
        <v>230</v>
      </c>
      <c r="O52" s="63">
        <v>162</v>
      </c>
      <c r="P52" s="63">
        <v>254</v>
      </c>
      <c r="Q52" s="156">
        <v>40</v>
      </c>
      <c r="R52" s="156">
        <v>22</v>
      </c>
      <c r="S52" s="156">
        <v>0</v>
      </c>
      <c r="T52" s="156">
        <v>50</v>
      </c>
      <c r="U52" s="156">
        <v>0</v>
      </c>
      <c r="V52" s="156">
        <v>0</v>
      </c>
      <c r="W52" s="156">
        <v>140</v>
      </c>
      <c r="X52" s="156">
        <v>140</v>
      </c>
      <c r="Y52" s="156">
        <v>254</v>
      </c>
      <c r="Z52" s="63">
        <v>140</v>
      </c>
      <c r="AA52" s="63">
        <v>310</v>
      </c>
      <c r="AB52" s="63">
        <v>344</v>
      </c>
      <c r="AC52" s="63">
        <v>44</v>
      </c>
      <c r="AD52" s="63">
        <v>-41</v>
      </c>
      <c r="AE52" s="63">
        <v>-44</v>
      </c>
      <c r="AF52" s="63">
        <v>44</v>
      </c>
      <c r="AG52" s="63">
        <v>-41</v>
      </c>
      <c r="AH52" s="63">
        <v>-44</v>
      </c>
      <c r="AI52" s="155">
        <v>0</v>
      </c>
      <c r="AJ52" s="156">
        <v>28</v>
      </c>
      <c r="AK52" s="157">
        <v>15</v>
      </c>
      <c r="AL52" s="63">
        <v>0</v>
      </c>
      <c r="AM52" s="63">
        <v>6</v>
      </c>
      <c r="AN52" s="63">
        <v>8</v>
      </c>
      <c r="AO52" s="63">
        <v>0</v>
      </c>
      <c r="AP52" s="63">
        <v>6</v>
      </c>
      <c r="AQ52" s="63">
        <v>8</v>
      </c>
      <c r="AR52" s="63">
        <v>460</v>
      </c>
      <c r="AS52" s="63">
        <v>664</v>
      </c>
      <c r="AT52" s="63">
        <v>710</v>
      </c>
      <c r="AU52" s="63">
        <v>504</v>
      </c>
      <c r="AV52" s="63">
        <v>629</v>
      </c>
      <c r="AW52" s="63">
        <v>674</v>
      </c>
      <c r="AX52" s="63">
        <v>44</v>
      </c>
      <c r="AY52" s="63">
        <v>-35</v>
      </c>
      <c r="AZ52" s="63">
        <v>-36</v>
      </c>
      <c r="BA52" s="63">
        <v>44</v>
      </c>
      <c r="BB52" s="63">
        <v>-35</v>
      </c>
      <c r="BC52" s="63">
        <v>-36</v>
      </c>
    </row>
    <row r="53" spans="1:55">
      <c r="A53" s="63" t="s">
        <v>73</v>
      </c>
      <c r="B53" s="63">
        <v>285</v>
      </c>
      <c r="C53" s="63" t="s">
        <v>38</v>
      </c>
      <c r="D53" s="63" t="s">
        <v>32</v>
      </c>
      <c r="E53" s="63">
        <v>2071</v>
      </c>
      <c r="F53" s="63">
        <v>2469.62</v>
      </c>
      <c r="G53" s="63">
        <v>2415.09</v>
      </c>
      <c r="H53" s="63">
        <v>217.36</v>
      </c>
      <c r="I53" s="63">
        <v>404.13</v>
      </c>
      <c r="J53" s="63">
        <v>328.32</v>
      </c>
      <c r="K53" s="63">
        <v>221.54</v>
      </c>
      <c r="L53" s="63">
        <v>213.75</v>
      </c>
      <c r="M53" s="63">
        <v>-4.75</v>
      </c>
      <c r="N53" s="63">
        <v>544.91999999999996</v>
      </c>
      <c r="O53" s="63">
        <v>535.23</v>
      </c>
      <c r="P53" s="63">
        <v>616.16999999999996</v>
      </c>
      <c r="Q53" s="156">
        <v>70.489999999999995</v>
      </c>
      <c r="R53" s="156">
        <v>60.61</v>
      </c>
      <c r="S53" s="156">
        <v>87.97</v>
      </c>
      <c r="T53" s="156">
        <v>238.26</v>
      </c>
      <c r="U53" s="156">
        <v>182.4</v>
      </c>
      <c r="V53" s="156">
        <v>148.77000000000001</v>
      </c>
      <c r="W53" s="156">
        <v>236.17</v>
      </c>
      <c r="X53" s="156">
        <v>292.22000000000003</v>
      </c>
      <c r="Y53" s="156">
        <v>379.42999999999995</v>
      </c>
      <c r="Z53" s="63">
        <v>1087.18</v>
      </c>
      <c r="AA53" s="63">
        <v>1316.51</v>
      </c>
      <c r="AB53" s="63">
        <v>1475.3500000000001</v>
      </c>
      <c r="AC53" s="63">
        <v>-169.48</v>
      </c>
      <c r="AD53" s="63">
        <v>239.78</v>
      </c>
      <c r="AE53" s="63">
        <v>-178.60000000000002</v>
      </c>
      <c r="AF53" s="63">
        <v>-206.53</v>
      </c>
      <c r="AG53" s="63">
        <v>212.8</v>
      </c>
      <c r="AH53" s="63">
        <v>-213.75</v>
      </c>
      <c r="AI53" s="155">
        <v>171</v>
      </c>
      <c r="AJ53" s="156">
        <v>90.82</v>
      </c>
      <c r="AK53" s="157">
        <v>153.9</v>
      </c>
      <c r="AL53" s="63">
        <v>151.05000000000001</v>
      </c>
      <c r="AM53" s="63">
        <v>85.5</v>
      </c>
      <c r="AN53" s="63">
        <v>146.87</v>
      </c>
      <c r="AO53" s="63">
        <v>151.05000000000001</v>
      </c>
      <c r="AP53" s="63">
        <v>85.5</v>
      </c>
      <c r="AQ53" s="63">
        <v>146.87</v>
      </c>
      <c r="AR53" s="63">
        <v>2260.4299999999998</v>
      </c>
      <c r="AS53" s="63">
        <v>2262.14</v>
      </c>
      <c r="AT53" s="63">
        <v>2635.87</v>
      </c>
      <c r="AU53" s="63">
        <v>2242</v>
      </c>
      <c r="AV53" s="63">
        <v>2560.44</v>
      </c>
      <c r="AW53" s="63">
        <v>2568.9899999999998</v>
      </c>
      <c r="AX53" s="63">
        <v>-18.43</v>
      </c>
      <c r="AY53" s="63">
        <v>298.3</v>
      </c>
      <c r="AZ53" s="63">
        <v>-66.88</v>
      </c>
      <c r="BA53" s="63">
        <v>-55.48</v>
      </c>
      <c r="BB53" s="63">
        <v>298.3</v>
      </c>
      <c r="BC53" s="63">
        <v>-66.88</v>
      </c>
    </row>
    <row r="54" spans="1:55">
      <c r="A54" s="63" t="s">
        <v>83</v>
      </c>
      <c r="B54" s="63">
        <v>180</v>
      </c>
      <c r="C54" s="63" t="s">
        <v>38</v>
      </c>
      <c r="D54" s="63" t="s">
        <v>32</v>
      </c>
      <c r="E54" s="63">
        <v>910</v>
      </c>
      <c r="F54" s="63">
        <v>1000</v>
      </c>
      <c r="G54" s="63">
        <v>782</v>
      </c>
      <c r="H54" s="63">
        <v>28</v>
      </c>
      <c r="I54" s="63">
        <v>0</v>
      </c>
      <c r="J54" s="63">
        <v>0</v>
      </c>
      <c r="K54" s="63">
        <v>12</v>
      </c>
      <c r="L54" s="63">
        <v>4</v>
      </c>
      <c r="M54" s="63">
        <v>0</v>
      </c>
      <c r="N54" s="63">
        <v>151</v>
      </c>
      <c r="O54" s="63">
        <v>168</v>
      </c>
      <c r="P54" s="63">
        <v>120</v>
      </c>
      <c r="Q54" s="156">
        <v>0</v>
      </c>
      <c r="R54" s="156">
        <v>0</v>
      </c>
      <c r="S54" s="156">
        <v>0</v>
      </c>
      <c r="T54" s="156">
        <v>20</v>
      </c>
      <c r="U54" s="156">
        <v>21</v>
      </c>
      <c r="V54" s="156">
        <v>0</v>
      </c>
      <c r="W54" s="156">
        <v>131</v>
      </c>
      <c r="X54" s="156">
        <v>147</v>
      </c>
      <c r="Y54" s="156">
        <v>120</v>
      </c>
      <c r="Z54" s="63">
        <v>719</v>
      </c>
      <c r="AA54" s="63">
        <v>828</v>
      </c>
      <c r="AB54" s="63">
        <v>662</v>
      </c>
      <c r="AC54" s="63">
        <v>-473</v>
      </c>
      <c r="AD54" s="63">
        <v>-37</v>
      </c>
      <c r="AE54" s="63">
        <v>-423</v>
      </c>
      <c r="AF54" s="63">
        <v>-481</v>
      </c>
      <c r="AG54" s="63">
        <v>-41</v>
      </c>
      <c r="AH54" s="63">
        <v>-437</v>
      </c>
      <c r="AI54" s="155">
        <v>341</v>
      </c>
      <c r="AJ54" s="156">
        <v>323</v>
      </c>
      <c r="AK54" s="157">
        <v>375</v>
      </c>
      <c r="AL54" s="63">
        <v>341</v>
      </c>
      <c r="AM54" s="63">
        <v>323</v>
      </c>
      <c r="AN54" s="63">
        <v>375</v>
      </c>
      <c r="AO54" s="63">
        <v>341</v>
      </c>
      <c r="AP54" s="63">
        <v>323</v>
      </c>
      <c r="AQ54" s="63">
        <v>375</v>
      </c>
      <c r="AR54" s="63">
        <v>1384</v>
      </c>
      <c r="AS54" s="63">
        <v>1041</v>
      </c>
      <c r="AT54" s="63">
        <v>1219</v>
      </c>
      <c r="AU54" s="63">
        <v>1251</v>
      </c>
      <c r="AV54" s="63">
        <v>1323</v>
      </c>
      <c r="AW54" s="63">
        <v>1157</v>
      </c>
      <c r="AX54" s="63">
        <v>-133</v>
      </c>
      <c r="AY54" s="63">
        <v>282</v>
      </c>
      <c r="AZ54" s="63">
        <v>-62</v>
      </c>
      <c r="BA54" s="63">
        <v>-140</v>
      </c>
      <c r="BB54" s="63">
        <v>282</v>
      </c>
      <c r="BC54" s="63">
        <v>-62</v>
      </c>
    </row>
    <row r="55" spans="1:55">
      <c r="A55" s="63" t="s">
        <v>110</v>
      </c>
      <c r="B55" s="63">
        <v>230</v>
      </c>
      <c r="C55" s="63" t="s">
        <v>38</v>
      </c>
      <c r="D55" s="63" t="s">
        <v>32</v>
      </c>
      <c r="E55" s="63">
        <v>426</v>
      </c>
      <c r="F55" s="63">
        <v>588</v>
      </c>
      <c r="G55" s="63">
        <v>765</v>
      </c>
      <c r="H55" s="63">
        <v>67</v>
      </c>
      <c r="I55" s="63">
        <v>293</v>
      </c>
      <c r="J55" s="63">
        <v>293</v>
      </c>
      <c r="K55" s="63">
        <v>0</v>
      </c>
      <c r="L55" s="63">
        <v>24</v>
      </c>
      <c r="M55" s="63">
        <v>44</v>
      </c>
      <c r="N55" s="63">
        <v>190</v>
      </c>
      <c r="O55" s="63">
        <v>81</v>
      </c>
      <c r="P55" s="63">
        <v>93</v>
      </c>
      <c r="Q55" s="156">
        <v>0</v>
      </c>
      <c r="R55" s="156">
        <v>0</v>
      </c>
      <c r="S55" s="156">
        <v>0</v>
      </c>
      <c r="T55" s="156">
        <v>158</v>
      </c>
      <c r="U55" s="156">
        <v>41</v>
      </c>
      <c r="V55" s="156">
        <v>48</v>
      </c>
      <c r="W55" s="156">
        <v>32</v>
      </c>
      <c r="X55" s="156">
        <v>40</v>
      </c>
      <c r="Y55" s="156">
        <v>45</v>
      </c>
      <c r="Z55" s="63">
        <v>169</v>
      </c>
      <c r="AA55" s="63">
        <v>190</v>
      </c>
      <c r="AB55" s="63">
        <v>335</v>
      </c>
      <c r="AC55" s="63">
        <v>0</v>
      </c>
      <c r="AD55" s="63">
        <v>0</v>
      </c>
      <c r="AE55" s="63">
        <v>-253</v>
      </c>
      <c r="AF55" s="63">
        <v>0</v>
      </c>
      <c r="AG55" s="63">
        <v>0</v>
      </c>
      <c r="AH55" s="63">
        <v>-253</v>
      </c>
      <c r="AI55" s="155">
        <v>0</v>
      </c>
      <c r="AJ55" s="156">
        <v>0</v>
      </c>
      <c r="AK55" s="157">
        <v>0</v>
      </c>
      <c r="AL55" s="63">
        <v>0</v>
      </c>
      <c r="AM55" s="63">
        <v>0</v>
      </c>
      <c r="AN55" s="63">
        <v>0</v>
      </c>
      <c r="AO55" s="63">
        <v>0</v>
      </c>
      <c r="AP55" s="63">
        <v>0</v>
      </c>
      <c r="AQ55" s="63">
        <v>0</v>
      </c>
      <c r="AR55" s="63">
        <v>426</v>
      </c>
      <c r="AS55" s="63">
        <v>588</v>
      </c>
      <c r="AT55" s="63">
        <v>1018</v>
      </c>
      <c r="AU55" s="63">
        <v>426</v>
      </c>
      <c r="AV55" s="63">
        <v>588</v>
      </c>
      <c r="AW55" s="63">
        <v>765</v>
      </c>
      <c r="AX55" s="63">
        <v>0</v>
      </c>
      <c r="AY55" s="63">
        <v>0</v>
      </c>
      <c r="AZ55" s="63">
        <v>-253</v>
      </c>
      <c r="BA55" s="63">
        <v>0</v>
      </c>
      <c r="BB55" s="63">
        <v>0</v>
      </c>
      <c r="BC55" s="63">
        <v>-253</v>
      </c>
    </row>
    <row r="56" spans="1:55">
      <c r="A56" s="63" t="s">
        <v>117</v>
      </c>
      <c r="B56" s="63">
        <v>187</v>
      </c>
      <c r="C56" s="63" t="s">
        <v>38</v>
      </c>
      <c r="D56" s="63" t="s">
        <v>32</v>
      </c>
      <c r="E56" s="63">
        <v>388</v>
      </c>
      <c r="F56" s="63">
        <v>552</v>
      </c>
      <c r="G56" s="63">
        <v>568</v>
      </c>
      <c r="H56" s="63">
        <v>35</v>
      </c>
      <c r="I56" s="63">
        <v>56</v>
      </c>
      <c r="J56" s="63">
        <v>59</v>
      </c>
      <c r="K56" s="63">
        <v>8</v>
      </c>
      <c r="L56" s="63">
        <v>2</v>
      </c>
      <c r="M56" s="63">
        <v>1</v>
      </c>
      <c r="N56" s="63">
        <v>145</v>
      </c>
      <c r="O56" s="63">
        <v>193</v>
      </c>
      <c r="P56" s="63">
        <v>83</v>
      </c>
      <c r="Q56" s="156">
        <v>0</v>
      </c>
      <c r="R56" s="156">
        <v>0</v>
      </c>
      <c r="S56" s="156">
        <v>0</v>
      </c>
      <c r="T56" s="156">
        <v>112</v>
      </c>
      <c r="U56" s="156">
        <v>140</v>
      </c>
      <c r="V56" s="156">
        <v>41</v>
      </c>
      <c r="W56" s="156">
        <v>33</v>
      </c>
      <c r="X56" s="156">
        <v>53</v>
      </c>
      <c r="Y56" s="156">
        <v>42</v>
      </c>
      <c r="Z56" s="63">
        <v>200</v>
      </c>
      <c r="AA56" s="63">
        <v>301</v>
      </c>
      <c r="AB56" s="63">
        <v>425</v>
      </c>
      <c r="AC56" s="63">
        <v>-112</v>
      </c>
      <c r="AD56" s="63">
        <v>-38</v>
      </c>
      <c r="AE56" s="63">
        <v>-61</v>
      </c>
      <c r="AF56" s="63">
        <v>-112</v>
      </c>
      <c r="AG56" s="63">
        <v>-38</v>
      </c>
      <c r="AH56" s="63">
        <v>-61</v>
      </c>
      <c r="AI56" s="155">
        <v>188</v>
      </c>
      <c r="AJ56" s="156">
        <v>125</v>
      </c>
      <c r="AK56" s="157">
        <v>136</v>
      </c>
      <c r="AL56" s="63">
        <v>176</v>
      </c>
      <c r="AM56" s="63">
        <v>92</v>
      </c>
      <c r="AN56" s="63">
        <v>121</v>
      </c>
      <c r="AO56" s="63">
        <v>176</v>
      </c>
      <c r="AP56" s="63">
        <v>92</v>
      </c>
      <c r="AQ56" s="63">
        <v>121</v>
      </c>
      <c r="AR56" s="63">
        <v>512</v>
      </c>
      <c r="AS56" s="63">
        <v>623</v>
      </c>
      <c r="AT56" s="63">
        <v>644</v>
      </c>
      <c r="AU56" s="63">
        <v>576</v>
      </c>
      <c r="AV56" s="63">
        <v>677</v>
      </c>
      <c r="AW56" s="63">
        <v>704</v>
      </c>
      <c r="AX56" s="63">
        <v>64</v>
      </c>
      <c r="AY56" s="63">
        <v>54</v>
      </c>
      <c r="AZ56" s="63">
        <v>60</v>
      </c>
      <c r="BA56" s="63">
        <v>64</v>
      </c>
      <c r="BB56" s="63">
        <v>54</v>
      </c>
      <c r="BC56" s="63">
        <v>60</v>
      </c>
    </row>
    <row r="57" spans="1:55">
      <c r="A57" s="63" t="s">
        <v>119</v>
      </c>
      <c r="B57" s="63">
        <v>336</v>
      </c>
      <c r="C57" s="63" t="s">
        <v>38</v>
      </c>
      <c r="D57" s="63" t="s">
        <v>32</v>
      </c>
      <c r="E57" s="63">
        <v>2730</v>
      </c>
      <c r="F57" s="63">
        <v>3258</v>
      </c>
      <c r="G57" s="63">
        <v>3083</v>
      </c>
      <c r="H57" s="63">
        <v>128</v>
      </c>
      <c r="I57" s="63">
        <v>208</v>
      </c>
      <c r="J57" s="63">
        <v>245</v>
      </c>
      <c r="K57" s="63">
        <v>20</v>
      </c>
      <c r="L57" s="63">
        <v>146</v>
      </c>
      <c r="M57" s="63">
        <v>70</v>
      </c>
      <c r="N57" s="63">
        <v>650</v>
      </c>
      <c r="O57" s="63">
        <v>728</v>
      </c>
      <c r="P57" s="63">
        <v>350</v>
      </c>
      <c r="Q57" s="156">
        <v>77</v>
      </c>
      <c r="R57" s="156">
        <v>0</v>
      </c>
      <c r="S57" s="156">
        <v>0</v>
      </c>
      <c r="T57" s="156">
        <v>110</v>
      </c>
      <c r="U57" s="156">
        <v>131</v>
      </c>
      <c r="V57" s="156">
        <v>25</v>
      </c>
      <c r="W57" s="156">
        <v>463</v>
      </c>
      <c r="X57" s="156">
        <v>597</v>
      </c>
      <c r="Y57" s="156">
        <v>325</v>
      </c>
      <c r="Z57" s="63">
        <v>1932</v>
      </c>
      <c r="AA57" s="63">
        <v>2176</v>
      </c>
      <c r="AB57" s="63">
        <v>2418</v>
      </c>
      <c r="AC57" s="63">
        <v>-6</v>
      </c>
      <c r="AD57" s="63">
        <v>1</v>
      </c>
      <c r="AE57" s="63">
        <v>2</v>
      </c>
      <c r="AF57" s="63">
        <v>-6</v>
      </c>
      <c r="AG57" s="63">
        <v>1</v>
      </c>
      <c r="AH57" s="63">
        <v>2</v>
      </c>
      <c r="AI57" s="155">
        <v>205</v>
      </c>
      <c r="AJ57" s="156">
        <v>125</v>
      </c>
      <c r="AK57" s="157">
        <v>71</v>
      </c>
      <c r="AL57" s="63">
        <v>29</v>
      </c>
      <c r="AM57" s="63">
        <v>4</v>
      </c>
      <c r="AN57" s="63">
        <v>2</v>
      </c>
      <c r="AO57" s="63">
        <v>29</v>
      </c>
      <c r="AP57" s="63">
        <v>4</v>
      </c>
      <c r="AQ57" s="63">
        <v>2</v>
      </c>
      <c r="AR57" s="63">
        <v>2912</v>
      </c>
      <c r="AS57" s="63">
        <v>3378</v>
      </c>
      <c r="AT57" s="63">
        <v>3150</v>
      </c>
      <c r="AU57" s="63">
        <v>2935</v>
      </c>
      <c r="AV57" s="63">
        <v>3383</v>
      </c>
      <c r="AW57" s="63">
        <v>3154</v>
      </c>
      <c r="AX57" s="63">
        <v>23</v>
      </c>
      <c r="AY57" s="63">
        <v>5</v>
      </c>
      <c r="AZ57" s="63">
        <v>4</v>
      </c>
      <c r="BA57" s="63">
        <v>23</v>
      </c>
      <c r="BB57" s="63">
        <v>5</v>
      </c>
      <c r="BC57" s="63">
        <v>4</v>
      </c>
    </row>
    <row r="58" spans="1:55">
      <c r="A58" s="63" t="s">
        <v>120</v>
      </c>
      <c r="B58" s="63">
        <v>104</v>
      </c>
      <c r="C58" s="63" t="s">
        <v>38</v>
      </c>
      <c r="D58" s="63" t="s">
        <v>32</v>
      </c>
      <c r="E58" s="63">
        <v>268</v>
      </c>
      <c r="F58" s="63">
        <v>400</v>
      </c>
      <c r="G58" s="63">
        <v>650</v>
      </c>
      <c r="H58" s="63">
        <v>10</v>
      </c>
      <c r="I58" s="63">
        <v>12</v>
      </c>
      <c r="J58" s="63">
        <v>14</v>
      </c>
      <c r="K58" s="63">
        <v>0</v>
      </c>
      <c r="L58" s="63">
        <v>0</v>
      </c>
      <c r="M58" s="63">
        <v>1</v>
      </c>
      <c r="N58" s="63">
        <v>122</v>
      </c>
      <c r="O58" s="63">
        <v>388</v>
      </c>
      <c r="P58" s="63">
        <v>211</v>
      </c>
      <c r="Q58" s="156">
        <v>0</v>
      </c>
      <c r="R58" s="156">
        <v>0</v>
      </c>
      <c r="S58" s="156">
        <v>0</v>
      </c>
      <c r="T58" s="156">
        <v>95</v>
      </c>
      <c r="U58" s="156">
        <v>330</v>
      </c>
      <c r="V58" s="156">
        <v>112</v>
      </c>
      <c r="W58" s="156">
        <v>24</v>
      </c>
      <c r="X58" s="156">
        <v>58</v>
      </c>
      <c r="Y58" s="156">
        <v>99</v>
      </c>
      <c r="Z58" s="63">
        <v>136</v>
      </c>
      <c r="AA58" s="63">
        <v>0</v>
      </c>
      <c r="AB58" s="63">
        <v>424</v>
      </c>
      <c r="AC58" s="63">
        <v>-63</v>
      </c>
      <c r="AD58" s="63">
        <v>-100</v>
      </c>
      <c r="AE58" s="63">
        <v>49</v>
      </c>
      <c r="AF58" s="63">
        <v>-63</v>
      </c>
      <c r="AG58" s="63">
        <v>-100</v>
      </c>
      <c r="AH58" s="63">
        <v>49</v>
      </c>
      <c r="AI58" s="155">
        <v>211</v>
      </c>
      <c r="AJ58" s="156">
        <v>364</v>
      </c>
      <c r="AK58" s="157">
        <v>284</v>
      </c>
      <c r="AL58" s="63">
        <v>116</v>
      </c>
      <c r="AM58" s="63">
        <v>218</v>
      </c>
      <c r="AN58" s="63">
        <v>128</v>
      </c>
      <c r="AO58" s="63">
        <v>116</v>
      </c>
      <c r="AP58" s="63">
        <v>218</v>
      </c>
      <c r="AQ58" s="63">
        <v>128</v>
      </c>
      <c r="AR58" s="63">
        <v>426</v>
      </c>
      <c r="AS58" s="63">
        <v>646</v>
      </c>
      <c r="AT58" s="63">
        <v>757</v>
      </c>
      <c r="AU58" s="63">
        <v>479</v>
      </c>
      <c r="AV58" s="63">
        <v>764</v>
      </c>
      <c r="AW58" s="63">
        <v>934</v>
      </c>
      <c r="AX58" s="63">
        <v>53</v>
      </c>
      <c r="AY58" s="63">
        <v>118</v>
      </c>
      <c r="AZ58" s="63">
        <v>177</v>
      </c>
      <c r="BA58" s="63">
        <v>53</v>
      </c>
      <c r="BB58" s="63">
        <v>118</v>
      </c>
      <c r="BC58" s="63">
        <v>177</v>
      </c>
    </row>
    <row r="59" spans="1:55">
      <c r="A59" s="63" t="s">
        <v>130</v>
      </c>
      <c r="B59" s="63">
        <v>138</v>
      </c>
      <c r="C59" s="63" t="s">
        <v>38</v>
      </c>
      <c r="D59" s="63" t="s">
        <v>32</v>
      </c>
      <c r="E59" s="63">
        <v>706</v>
      </c>
      <c r="F59" s="63">
        <v>864</v>
      </c>
      <c r="G59" s="63">
        <v>1493</v>
      </c>
      <c r="H59" s="63">
        <v>58</v>
      </c>
      <c r="I59" s="63">
        <v>80</v>
      </c>
      <c r="J59" s="63">
        <v>93</v>
      </c>
      <c r="K59" s="63">
        <v>0</v>
      </c>
      <c r="L59" s="63">
        <v>0</v>
      </c>
      <c r="M59" s="63">
        <v>0</v>
      </c>
      <c r="N59" s="63">
        <v>232</v>
      </c>
      <c r="O59" s="63">
        <v>237</v>
      </c>
      <c r="P59" s="63">
        <v>142</v>
      </c>
      <c r="Q59" s="156">
        <v>28</v>
      </c>
      <c r="R59" s="156">
        <v>13</v>
      </c>
      <c r="S59" s="156">
        <v>0</v>
      </c>
      <c r="T59" s="156">
        <v>21</v>
      </c>
      <c r="U59" s="156">
        <v>92</v>
      </c>
      <c r="V59" s="156">
        <v>22</v>
      </c>
      <c r="W59" s="156">
        <v>183</v>
      </c>
      <c r="X59" s="156">
        <v>132</v>
      </c>
      <c r="Y59" s="156">
        <v>120</v>
      </c>
      <c r="Z59" s="63">
        <v>416</v>
      </c>
      <c r="AA59" s="63">
        <v>547</v>
      </c>
      <c r="AB59" s="63">
        <v>1258</v>
      </c>
      <c r="AC59" s="63">
        <v>51</v>
      </c>
      <c r="AD59" s="63">
        <v>-10</v>
      </c>
      <c r="AE59" s="63">
        <v>605</v>
      </c>
      <c r="AF59" s="63">
        <v>51</v>
      </c>
      <c r="AG59" s="63">
        <v>-10</v>
      </c>
      <c r="AH59" s="63">
        <v>605</v>
      </c>
      <c r="AI59" s="155">
        <v>256</v>
      </c>
      <c r="AJ59" s="156">
        <v>192</v>
      </c>
      <c r="AK59" s="157">
        <v>157</v>
      </c>
      <c r="AL59" s="63">
        <v>66</v>
      </c>
      <c r="AM59" s="63">
        <v>26</v>
      </c>
      <c r="AN59" s="63">
        <v>24</v>
      </c>
      <c r="AO59" s="63">
        <v>66</v>
      </c>
      <c r="AP59" s="63">
        <v>26</v>
      </c>
      <c r="AQ59" s="63">
        <v>24</v>
      </c>
      <c r="AR59" s="63">
        <v>845</v>
      </c>
      <c r="AS59" s="63">
        <v>1040</v>
      </c>
      <c r="AT59" s="63">
        <v>1021</v>
      </c>
      <c r="AU59" s="63">
        <v>962</v>
      </c>
      <c r="AV59" s="63">
        <v>1056</v>
      </c>
      <c r="AW59" s="63">
        <v>1650</v>
      </c>
      <c r="AX59" s="63">
        <v>117</v>
      </c>
      <c r="AY59" s="63">
        <v>16</v>
      </c>
      <c r="AZ59" s="63">
        <v>629</v>
      </c>
      <c r="BA59" s="63">
        <v>117</v>
      </c>
      <c r="BB59" s="63">
        <v>16</v>
      </c>
      <c r="BC59" s="63">
        <v>629</v>
      </c>
    </row>
    <row r="60" spans="1:55">
      <c r="A60" s="63" t="s">
        <v>137</v>
      </c>
      <c r="B60" s="63">
        <v>138</v>
      </c>
      <c r="C60" s="63" t="s">
        <v>38</v>
      </c>
      <c r="D60" s="63" t="s">
        <v>32</v>
      </c>
      <c r="E60" s="63">
        <v>702</v>
      </c>
      <c r="F60" s="63">
        <v>786</v>
      </c>
      <c r="G60" s="63">
        <v>519</v>
      </c>
      <c r="H60" s="63">
        <v>174</v>
      </c>
      <c r="I60" s="63">
        <v>174</v>
      </c>
      <c r="J60" s="63">
        <v>40</v>
      </c>
      <c r="K60" s="63">
        <v>0</v>
      </c>
      <c r="L60" s="63">
        <v>0</v>
      </c>
      <c r="M60" s="63">
        <v>0</v>
      </c>
      <c r="N60" s="63">
        <v>79</v>
      </c>
      <c r="O60" s="63">
        <v>54</v>
      </c>
      <c r="P60" s="63">
        <v>32</v>
      </c>
      <c r="Q60" s="156">
        <v>0</v>
      </c>
      <c r="R60" s="156">
        <v>0</v>
      </c>
      <c r="S60" s="156">
        <v>0</v>
      </c>
      <c r="T60" s="156">
        <v>48</v>
      </c>
      <c r="U60" s="156">
        <v>23</v>
      </c>
      <c r="V60" s="156">
        <v>13</v>
      </c>
      <c r="W60" s="156">
        <v>31</v>
      </c>
      <c r="X60" s="156">
        <v>31</v>
      </c>
      <c r="Y60" s="156">
        <v>19</v>
      </c>
      <c r="Z60" s="63">
        <v>449</v>
      </c>
      <c r="AA60" s="63">
        <v>558</v>
      </c>
      <c r="AB60" s="63">
        <v>447</v>
      </c>
      <c r="AC60" s="63">
        <v>6</v>
      </c>
      <c r="AD60" s="63">
        <v>43</v>
      </c>
      <c r="AE60" s="63">
        <v>-9</v>
      </c>
      <c r="AF60" s="63">
        <v>6</v>
      </c>
      <c r="AG60" s="63">
        <v>43</v>
      </c>
      <c r="AH60" s="63">
        <v>-9</v>
      </c>
      <c r="AI60" s="155">
        <v>0</v>
      </c>
      <c r="AJ60" s="156">
        <v>0</v>
      </c>
      <c r="AK60" s="157">
        <v>126</v>
      </c>
      <c r="AL60" s="63">
        <v>0</v>
      </c>
      <c r="AM60" s="63">
        <v>0</v>
      </c>
      <c r="AN60" s="63">
        <v>22</v>
      </c>
      <c r="AO60" s="63">
        <v>0</v>
      </c>
      <c r="AP60" s="63">
        <v>0</v>
      </c>
      <c r="AQ60" s="63">
        <v>22</v>
      </c>
      <c r="AR60" s="63">
        <v>696</v>
      </c>
      <c r="AS60" s="63">
        <v>743</v>
      </c>
      <c r="AT60" s="63">
        <v>632</v>
      </c>
      <c r="AU60" s="63">
        <v>702</v>
      </c>
      <c r="AV60" s="63">
        <v>786</v>
      </c>
      <c r="AW60" s="63">
        <v>645</v>
      </c>
      <c r="AX60" s="63">
        <v>6</v>
      </c>
      <c r="AY60" s="63">
        <v>43</v>
      </c>
      <c r="AZ60" s="63">
        <v>13</v>
      </c>
      <c r="BA60" s="63">
        <v>6</v>
      </c>
      <c r="BB60" s="63">
        <v>43</v>
      </c>
      <c r="BC60" s="63">
        <v>13</v>
      </c>
    </row>
    <row r="61" spans="1:55">
      <c r="A61" s="63" t="s">
        <v>138</v>
      </c>
      <c r="B61" s="63">
        <v>85</v>
      </c>
      <c r="C61" s="63" t="s">
        <v>38</v>
      </c>
      <c r="D61" s="63" t="s">
        <v>32</v>
      </c>
      <c r="E61" s="63">
        <v>428</v>
      </c>
      <c r="F61" s="63">
        <v>431</v>
      </c>
      <c r="G61" s="63">
        <v>457</v>
      </c>
      <c r="H61" s="63">
        <v>117</v>
      </c>
      <c r="I61" s="63">
        <v>88</v>
      </c>
      <c r="J61" s="63">
        <v>86</v>
      </c>
      <c r="K61" s="63">
        <v>4</v>
      </c>
      <c r="L61" s="63">
        <v>19</v>
      </c>
      <c r="M61" s="63">
        <v>3</v>
      </c>
      <c r="N61" s="63">
        <v>111</v>
      </c>
      <c r="O61" s="63">
        <v>147</v>
      </c>
      <c r="P61" s="63">
        <v>129</v>
      </c>
      <c r="Q61" s="156">
        <v>0</v>
      </c>
      <c r="R61" s="156">
        <v>0</v>
      </c>
      <c r="S61" s="156">
        <v>0</v>
      </c>
      <c r="T61" s="156">
        <v>40</v>
      </c>
      <c r="U61" s="156">
        <v>37</v>
      </c>
      <c r="V61" s="156">
        <v>43</v>
      </c>
      <c r="W61" s="156">
        <v>71</v>
      </c>
      <c r="X61" s="156">
        <v>110</v>
      </c>
      <c r="Y61" s="156">
        <v>86</v>
      </c>
      <c r="Z61" s="63">
        <v>196</v>
      </c>
      <c r="AA61" s="63">
        <v>177</v>
      </c>
      <c r="AB61" s="63">
        <v>239</v>
      </c>
      <c r="AC61" s="63">
        <v>62</v>
      </c>
      <c r="AD61" s="63">
        <v>-44</v>
      </c>
      <c r="AE61" s="63">
        <v>-12</v>
      </c>
      <c r="AF61" s="63">
        <v>62</v>
      </c>
      <c r="AG61" s="63">
        <v>-44</v>
      </c>
      <c r="AH61" s="63">
        <v>-12</v>
      </c>
      <c r="AI61" s="155">
        <v>155</v>
      </c>
      <c r="AJ61" s="156">
        <v>173</v>
      </c>
      <c r="AK61" s="157">
        <v>269</v>
      </c>
      <c r="AL61" s="63">
        <v>0</v>
      </c>
      <c r="AM61" s="63">
        <v>45</v>
      </c>
      <c r="AN61" s="63">
        <v>67</v>
      </c>
      <c r="AO61" s="63">
        <v>0</v>
      </c>
      <c r="AP61" s="63">
        <v>45</v>
      </c>
      <c r="AQ61" s="63">
        <v>67</v>
      </c>
      <c r="AR61" s="63">
        <v>489</v>
      </c>
      <c r="AS61" s="63">
        <v>603</v>
      </c>
      <c r="AT61" s="63">
        <v>671</v>
      </c>
      <c r="AU61" s="63">
        <v>583</v>
      </c>
      <c r="AV61" s="63">
        <v>604</v>
      </c>
      <c r="AW61" s="63">
        <v>726</v>
      </c>
      <c r="AX61" s="63">
        <v>94</v>
      </c>
      <c r="AY61" s="63">
        <v>1</v>
      </c>
      <c r="AZ61" s="63">
        <v>55</v>
      </c>
      <c r="BA61" s="63">
        <v>62</v>
      </c>
      <c r="BB61" s="63">
        <v>1</v>
      </c>
      <c r="BC61" s="63">
        <v>55</v>
      </c>
    </row>
    <row r="62" spans="1:55">
      <c r="A62" s="32" t="s">
        <v>133</v>
      </c>
      <c r="B62" s="32">
        <v>95</v>
      </c>
      <c r="C62" s="32" t="s">
        <v>39</v>
      </c>
      <c r="D62" s="32" t="s">
        <v>32</v>
      </c>
      <c r="E62" s="32">
        <v>461</v>
      </c>
      <c r="F62" s="32">
        <v>569</v>
      </c>
      <c r="G62" s="32">
        <v>524</v>
      </c>
      <c r="H62" s="32">
        <v>0</v>
      </c>
      <c r="I62" s="32">
        <v>0</v>
      </c>
      <c r="J62" s="32">
        <v>0</v>
      </c>
      <c r="K62" s="32">
        <v>378</v>
      </c>
      <c r="L62" s="32">
        <v>336</v>
      </c>
      <c r="M62" s="32">
        <v>301</v>
      </c>
      <c r="N62" s="32">
        <v>0</v>
      </c>
      <c r="O62" s="32">
        <v>0</v>
      </c>
      <c r="P62" s="32">
        <v>0</v>
      </c>
      <c r="Q62" s="101">
        <v>0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101">
        <v>0</v>
      </c>
      <c r="X62" s="101">
        <v>0</v>
      </c>
      <c r="Y62" s="101">
        <v>0</v>
      </c>
      <c r="Z62" s="32">
        <v>83</v>
      </c>
      <c r="AA62" s="32">
        <v>232</v>
      </c>
      <c r="AB62" s="32">
        <v>223</v>
      </c>
      <c r="AC62" s="32">
        <v>119</v>
      </c>
      <c r="AD62" s="32">
        <v>65</v>
      </c>
      <c r="AE62" s="32">
        <v>126</v>
      </c>
      <c r="AF62" s="32">
        <v>119</v>
      </c>
      <c r="AG62" s="32">
        <v>65</v>
      </c>
      <c r="AH62" s="32">
        <v>126</v>
      </c>
      <c r="AI62" s="158">
        <v>0</v>
      </c>
      <c r="AJ62" s="101">
        <v>0</v>
      </c>
      <c r="AK62" s="159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342</v>
      </c>
      <c r="AS62" s="32">
        <v>503</v>
      </c>
      <c r="AT62" s="32">
        <v>398</v>
      </c>
      <c r="AU62" s="32">
        <v>461</v>
      </c>
      <c r="AV62" s="32">
        <v>569</v>
      </c>
      <c r="AW62" s="32">
        <v>524</v>
      </c>
      <c r="AX62" s="32">
        <v>119</v>
      </c>
      <c r="AY62" s="32">
        <v>66</v>
      </c>
      <c r="AZ62" s="32">
        <v>126</v>
      </c>
      <c r="BA62" s="32">
        <v>119</v>
      </c>
      <c r="BB62" s="32">
        <v>65</v>
      </c>
      <c r="BC62" s="32">
        <v>126</v>
      </c>
    </row>
    <row r="63" spans="1:55">
      <c r="A63" s="66" t="s">
        <v>98</v>
      </c>
      <c r="B63" s="66">
        <v>31</v>
      </c>
      <c r="C63" s="66" t="s">
        <v>41</v>
      </c>
      <c r="D63" s="66" t="s">
        <v>32</v>
      </c>
      <c r="E63" s="66">
        <v>136</v>
      </c>
      <c r="F63" s="66">
        <v>153</v>
      </c>
      <c r="G63" s="66">
        <v>264</v>
      </c>
      <c r="H63" s="66">
        <v>0</v>
      </c>
      <c r="I63" s="66">
        <v>0</v>
      </c>
      <c r="J63" s="66">
        <v>0</v>
      </c>
      <c r="K63" s="66">
        <v>10</v>
      </c>
      <c r="L63" s="66">
        <v>21</v>
      </c>
      <c r="M63" s="66">
        <v>17</v>
      </c>
      <c r="N63" s="66">
        <v>67</v>
      </c>
      <c r="O63" s="66">
        <v>74</v>
      </c>
      <c r="P63" s="66">
        <v>125</v>
      </c>
      <c r="Q63" s="107">
        <v>29</v>
      </c>
      <c r="R63" s="107">
        <v>32</v>
      </c>
      <c r="S63" s="107">
        <v>74</v>
      </c>
      <c r="T63" s="107">
        <v>16</v>
      </c>
      <c r="U63" s="107">
        <v>17</v>
      </c>
      <c r="V63" s="107">
        <v>9</v>
      </c>
      <c r="W63" s="107">
        <v>22</v>
      </c>
      <c r="X63" s="107">
        <v>25</v>
      </c>
      <c r="Y63" s="107">
        <v>42</v>
      </c>
      <c r="Z63" s="66">
        <v>59</v>
      </c>
      <c r="AA63" s="66">
        <v>58</v>
      </c>
      <c r="AB63" s="66">
        <v>48</v>
      </c>
      <c r="AC63" s="66">
        <v>0</v>
      </c>
      <c r="AD63" s="66">
        <v>15</v>
      </c>
      <c r="AE63" s="66">
        <v>35</v>
      </c>
      <c r="AF63" s="66">
        <v>0</v>
      </c>
      <c r="AG63" s="66">
        <v>15</v>
      </c>
      <c r="AH63" s="66">
        <v>35</v>
      </c>
      <c r="AI63" s="163">
        <v>0</v>
      </c>
      <c r="AJ63" s="107">
        <v>0</v>
      </c>
      <c r="AK63" s="164">
        <v>0</v>
      </c>
      <c r="AL63" s="66">
        <v>0</v>
      </c>
      <c r="AM63" s="66">
        <v>0</v>
      </c>
      <c r="AN63" s="66">
        <v>0</v>
      </c>
      <c r="AO63" s="66">
        <v>0</v>
      </c>
      <c r="AP63" s="66">
        <v>0</v>
      </c>
      <c r="AQ63" s="66">
        <v>0</v>
      </c>
      <c r="AR63" s="66">
        <v>136</v>
      </c>
      <c r="AS63" s="66">
        <v>138</v>
      </c>
      <c r="AT63" s="66">
        <v>229</v>
      </c>
      <c r="AU63" s="66">
        <v>136</v>
      </c>
      <c r="AV63" s="66">
        <v>153</v>
      </c>
      <c r="AW63" s="66">
        <v>264</v>
      </c>
      <c r="AX63" s="66">
        <v>0</v>
      </c>
      <c r="AY63" s="66">
        <v>15</v>
      </c>
      <c r="AZ63" s="66">
        <v>35</v>
      </c>
      <c r="BA63" s="66">
        <v>0</v>
      </c>
      <c r="BB63" s="66">
        <v>15</v>
      </c>
      <c r="BC63" s="66">
        <v>35</v>
      </c>
    </row>
    <row r="64" spans="1:55">
      <c r="A64" s="45" t="s">
        <v>53</v>
      </c>
      <c r="B64" s="45">
        <v>140</v>
      </c>
      <c r="C64" s="45" t="s">
        <v>34</v>
      </c>
      <c r="D64" s="45" t="s">
        <v>32</v>
      </c>
      <c r="E64" s="45">
        <v>1252.6199999999999</v>
      </c>
      <c r="F64" s="45">
        <v>1362.33</v>
      </c>
      <c r="G64" s="45">
        <v>1639.62</v>
      </c>
      <c r="H64" s="45">
        <v>350.82</v>
      </c>
      <c r="I64" s="45">
        <v>303.21000000000004</v>
      </c>
      <c r="J64" s="45">
        <v>398.7</v>
      </c>
      <c r="K64" s="45">
        <v>0.72</v>
      </c>
      <c r="L64" s="45">
        <v>0.80999999999999994</v>
      </c>
      <c r="M64" s="45">
        <v>4.5</v>
      </c>
      <c r="N64" s="45">
        <v>702.44999999999993</v>
      </c>
      <c r="O64" s="45">
        <v>576.09</v>
      </c>
      <c r="P64" s="45">
        <v>579.78</v>
      </c>
      <c r="Q64" s="102">
        <v>139.68</v>
      </c>
      <c r="R64" s="102">
        <v>0</v>
      </c>
      <c r="S64" s="102">
        <v>0</v>
      </c>
      <c r="T64" s="102">
        <v>160.10999999999999</v>
      </c>
      <c r="U64" s="102">
        <v>97.38000000000001</v>
      </c>
      <c r="V64" s="102">
        <v>48.06</v>
      </c>
      <c r="W64" s="102">
        <v>402.66</v>
      </c>
      <c r="X64" s="102">
        <v>478.71</v>
      </c>
      <c r="Y64" s="102">
        <v>531.72</v>
      </c>
      <c r="Z64" s="45">
        <v>196.82999999999998</v>
      </c>
      <c r="AA64" s="45">
        <v>482.21999999999997</v>
      </c>
      <c r="AB64" s="45">
        <v>656.37</v>
      </c>
      <c r="AC64" s="45">
        <v>115.10999999999999</v>
      </c>
      <c r="AD64" s="45">
        <v>11.34</v>
      </c>
      <c r="AE64" s="45">
        <v>-21.15</v>
      </c>
      <c r="AF64" s="45">
        <v>-115.28999999999999</v>
      </c>
      <c r="AG64" s="45">
        <v>11.34</v>
      </c>
      <c r="AH64" s="45">
        <v>-21.15</v>
      </c>
      <c r="AI64" s="165">
        <v>76.59</v>
      </c>
      <c r="AJ64" s="102">
        <v>70.83</v>
      </c>
      <c r="AK64" s="166">
        <v>33.119999999999997</v>
      </c>
      <c r="AL64" s="45">
        <v>9.81</v>
      </c>
      <c r="AM64" s="45">
        <v>-18.809999999999999</v>
      </c>
      <c r="AN64" s="45">
        <v>6.03</v>
      </c>
      <c r="AO64" s="45">
        <v>9.81</v>
      </c>
      <c r="AP64" s="45">
        <v>-18.809999999999999</v>
      </c>
      <c r="AQ64" s="45">
        <v>6.03</v>
      </c>
      <c r="AR64" s="45">
        <v>1434.51</v>
      </c>
      <c r="AS64" s="45">
        <v>1440.63</v>
      </c>
      <c r="AT64" s="45">
        <v>1687.8600000000001</v>
      </c>
      <c r="AU64" s="45">
        <v>1329.21</v>
      </c>
      <c r="AV64" s="45">
        <v>1433.1599999999999</v>
      </c>
      <c r="AW64" s="45">
        <v>1672.7399999999998</v>
      </c>
      <c r="AX64" s="45">
        <v>-105.3</v>
      </c>
      <c r="AY64" s="45">
        <v>-7.4700000000000006</v>
      </c>
      <c r="AZ64" s="45">
        <v>-15.120000000000001</v>
      </c>
      <c r="BA64" s="45">
        <v>-105.47999999999999</v>
      </c>
      <c r="BB64" s="45">
        <v>-7.4700000000000006</v>
      </c>
      <c r="BC64" s="45">
        <v>-15.120000000000001</v>
      </c>
    </row>
    <row r="65" spans="1:55">
      <c r="A65" s="68" t="s">
        <v>96</v>
      </c>
      <c r="B65" s="68">
        <v>92</v>
      </c>
      <c r="C65" s="68" t="s">
        <v>42</v>
      </c>
      <c r="D65" s="68" t="s">
        <v>32</v>
      </c>
      <c r="E65" s="68">
        <v>547</v>
      </c>
      <c r="F65" s="68">
        <v>580</v>
      </c>
      <c r="G65" s="68">
        <v>742</v>
      </c>
      <c r="H65" s="68">
        <v>62</v>
      </c>
      <c r="I65" s="68">
        <v>19</v>
      </c>
      <c r="J65" s="68">
        <v>27</v>
      </c>
      <c r="K65" s="68">
        <v>25</v>
      </c>
      <c r="L65" s="68">
        <v>37</v>
      </c>
      <c r="M65" s="68">
        <v>22</v>
      </c>
      <c r="N65" s="68">
        <v>324</v>
      </c>
      <c r="O65" s="68">
        <v>256</v>
      </c>
      <c r="P65" s="68">
        <v>287</v>
      </c>
      <c r="Q65" s="109">
        <v>0</v>
      </c>
      <c r="R65" s="109">
        <v>0</v>
      </c>
      <c r="S65" s="109">
        <v>0</v>
      </c>
      <c r="T65" s="109">
        <v>94</v>
      </c>
      <c r="U65" s="109">
        <v>9</v>
      </c>
      <c r="V65" s="109">
        <v>14</v>
      </c>
      <c r="W65" s="109">
        <v>230</v>
      </c>
      <c r="X65" s="109">
        <v>247</v>
      </c>
      <c r="Y65" s="109">
        <v>273</v>
      </c>
      <c r="Z65" s="68">
        <v>136</v>
      </c>
      <c r="AA65" s="68">
        <v>268</v>
      </c>
      <c r="AB65" s="68">
        <v>406</v>
      </c>
      <c r="AC65" s="68">
        <v>23</v>
      </c>
      <c r="AD65" s="68">
        <v>-39</v>
      </c>
      <c r="AE65" s="68">
        <v>94</v>
      </c>
      <c r="AF65" s="68">
        <v>23</v>
      </c>
      <c r="AG65" s="68">
        <v>-39</v>
      </c>
      <c r="AH65" s="68">
        <v>94</v>
      </c>
      <c r="AI65" s="167">
        <v>0</v>
      </c>
      <c r="AJ65" s="109">
        <v>0</v>
      </c>
      <c r="AK65" s="168">
        <v>0</v>
      </c>
      <c r="AL65" s="68">
        <v>0</v>
      </c>
      <c r="AM65" s="68">
        <v>0</v>
      </c>
      <c r="AN65" s="68">
        <v>0</v>
      </c>
      <c r="AO65" s="68">
        <v>0</v>
      </c>
      <c r="AP65" s="68">
        <v>0</v>
      </c>
      <c r="AQ65" s="68">
        <v>0</v>
      </c>
      <c r="AR65" s="68">
        <v>524</v>
      </c>
      <c r="AS65" s="68">
        <v>619</v>
      </c>
      <c r="AT65" s="68">
        <v>648</v>
      </c>
      <c r="AU65" s="68">
        <v>547</v>
      </c>
      <c r="AV65" s="68">
        <v>580</v>
      </c>
      <c r="AW65" s="68">
        <v>742</v>
      </c>
      <c r="AX65" s="68">
        <v>23</v>
      </c>
      <c r="AY65" s="68">
        <v>-39</v>
      </c>
      <c r="AZ65" s="68">
        <v>94</v>
      </c>
      <c r="BA65" s="68">
        <v>23</v>
      </c>
      <c r="BB65" s="68">
        <v>-39</v>
      </c>
      <c r="BC65" s="68">
        <v>94</v>
      </c>
    </row>
    <row r="66" spans="1:55">
      <c r="A66" s="64" t="s">
        <v>89</v>
      </c>
      <c r="B66" s="64">
        <v>195</v>
      </c>
      <c r="C66" s="64" t="s">
        <v>44</v>
      </c>
      <c r="D66" s="64" t="s">
        <v>32</v>
      </c>
      <c r="E66" s="64">
        <v>5098</v>
      </c>
      <c r="F66" s="64">
        <v>6400</v>
      </c>
      <c r="G66" s="64">
        <v>7131</v>
      </c>
      <c r="H66" s="64">
        <v>4</v>
      </c>
      <c r="I66" s="64">
        <v>3</v>
      </c>
      <c r="J66" s="64">
        <v>2</v>
      </c>
      <c r="K66" s="64">
        <v>615</v>
      </c>
      <c r="L66" s="64">
        <v>196</v>
      </c>
      <c r="M66" s="64">
        <v>248</v>
      </c>
      <c r="N66" s="64">
        <v>325</v>
      </c>
      <c r="O66" s="64">
        <v>369</v>
      </c>
      <c r="P66" s="64">
        <v>539</v>
      </c>
      <c r="Q66" s="104">
        <v>0</v>
      </c>
      <c r="R66" s="104">
        <v>0</v>
      </c>
      <c r="S66" s="104">
        <v>0</v>
      </c>
      <c r="T66" s="104">
        <v>124</v>
      </c>
      <c r="U66" s="104">
        <v>165</v>
      </c>
      <c r="V66" s="104">
        <v>324</v>
      </c>
      <c r="W66" s="104">
        <v>201</v>
      </c>
      <c r="X66" s="104">
        <v>204</v>
      </c>
      <c r="Y66" s="104">
        <v>215</v>
      </c>
      <c r="Z66" s="64">
        <v>4154</v>
      </c>
      <c r="AA66" s="64">
        <v>5832</v>
      </c>
      <c r="AB66" s="64">
        <v>6342</v>
      </c>
      <c r="AC66" s="64">
        <v>-168</v>
      </c>
      <c r="AD66" s="64">
        <v>-48</v>
      </c>
      <c r="AE66" s="64">
        <v>-99</v>
      </c>
      <c r="AF66" s="64">
        <v>-168</v>
      </c>
      <c r="AG66" s="64">
        <v>-48</v>
      </c>
      <c r="AH66" s="64">
        <v>-99</v>
      </c>
      <c r="AI66" s="172">
        <v>500</v>
      </c>
      <c r="AJ66" s="104">
        <v>550</v>
      </c>
      <c r="AK66" s="173">
        <v>481</v>
      </c>
      <c r="AL66" s="64">
        <v>347</v>
      </c>
      <c r="AM66" s="64">
        <v>446</v>
      </c>
      <c r="AN66" s="64">
        <v>395</v>
      </c>
      <c r="AO66" s="64">
        <v>338</v>
      </c>
      <c r="AP66" s="64">
        <v>418</v>
      </c>
      <c r="AQ66" s="64">
        <v>377</v>
      </c>
      <c r="AR66" s="64">
        <v>5572</v>
      </c>
      <c r="AS66" s="64">
        <v>6712</v>
      </c>
      <c r="AT66" s="64">
        <v>7334</v>
      </c>
      <c r="AU66" s="64">
        <v>5598</v>
      </c>
      <c r="AV66" s="64">
        <v>6950</v>
      </c>
      <c r="AW66" s="64">
        <v>7612</v>
      </c>
      <c r="AX66" s="64">
        <v>26</v>
      </c>
      <c r="AY66" s="64">
        <v>238</v>
      </c>
      <c r="AZ66" s="64">
        <v>278</v>
      </c>
      <c r="BA66" s="64">
        <v>170</v>
      </c>
      <c r="BB66" s="64">
        <v>370</v>
      </c>
      <c r="BC66" s="64">
        <v>278</v>
      </c>
    </row>
    <row r="67" spans="1:55">
      <c r="A67" s="64" t="s">
        <v>99</v>
      </c>
      <c r="B67" s="64">
        <v>217</v>
      </c>
      <c r="C67" s="64" t="s">
        <v>44</v>
      </c>
      <c r="D67" s="64" t="s">
        <v>32</v>
      </c>
      <c r="E67" s="64">
        <v>93</v>
      </c>
      <c r="F67" s="64">
        <v>186</v>
      </c>
      <c r="G67" s="64">
        <v>100</v>
      </c>
      <c r="H67" s="64">
        <v>0</v>
      </c>
      <c r="I67" s="64">
        <v>0</v>
      </c>
      <c r="J67" s="64">
        <v>0</v>
      </c>
      <c r="K67" s="64">
        <v>13</v>
      </c>
      <c r="L67" s="64">
        <v>0</v>
      </c>
      <c r="M67" s="64">
        <v>0</v>
      </c>
      <c r="N67" s="64">
        <v>80</v>
      </c>
      <c r="O67" s="64">
        <v>48</v>
      </c>
      <c r="P67" s="64">
        <v>100</v>
      </c>
      <c r="Q67" s="104">
        <v>0</v>
      </c>
      <c r="R67" s="104">
        <v>0</v>
      </c>
      <c r="S67" s="104">
        <v>0</v>
      </c>
      <c r="T67" s="104">
        <v>54</v>
      </c>
      <c r="U67" s="104">
        <v>15</v>
      </c>
      <c r="V67" s="104">
        <v>67</v>
      </c>
      <c r="W67" s="104">
        <v>26</v>
      </c>
      <c r="X67" s="104">
        <v>33</v>
      </c>
      <c r="Y67" s="104">
        <v>33</v>
      </c>
      <c r="Z67" s="64">
        <v>0</v>
      </c>
      <c r="AA67" s="64">
        <v>138</v>
      </c>
      <c r="AB67" s="64">
        <v>0</v>
      </c>
      <c r="AC67" s="64">
        <v>9</v>
      </c>
      <c r="AD67" s="64">
        <v>40</v>
      </c>
      <c r="AE67" s="64">
        <v>-27</v>
      </c>
      <c r="AF67" s="64">
        <v>9</v>
      </c>
      <c r="AG67" s="64">
        <v>40</v>
      </c>
      <c r="AH67" s="64">
        <v>-27</v>
      </c>
      <c r="AI67" s="172">
        <v>0</v>
      </c>
      <c r="AJ67" s="104">
        <v>0</v>
      </c>
      <c r="AK67" s="173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84</v>
      </c>
      <c r="AS67" s="64">
        <v>146</v>
      </c>
      <c r="AT67" s="64">
        <v>127</v>
      </c>
      <c r="AU67" s="64">
        <v>93</v>
      </c>
      <c r="AV67" s="64">
        <v>186</v>
      </c>
      <c r="AW67" s="64">
        <v>100</v>
      </c>
      <c r="AX67" s="64">
        <v>9</v>
      </c>
      <c r="AY67" s="64">
        <v>40</v>
      </c>
      <c r="AZ67" s="64">
        <v>-27</v>
      </c>
      <c r="BA67" s="64">
        <v>9</v>
      </c>
      <c r="BB67" s="64">
        <v>40</v>
      </c>
      <c r="BC67" s="64">
        <v>-27</v>
      </c>
    </row>
    <row r="68" spans="1:55" ht="17" thickBot="1">
      <c r="A68" s="64" t="s">
        <v>135</v>
      </c>
      <c r="B68" s="64">
        <v>269</v>
      </c>
      <c r="C68" s="64" t="s">
        <v>44</v>
      </c>
      <c r="D68" s="64" t="s">
        <v>32</v>
      </c>
      <c r="E68" s="64">
        <v>988</v>
      </c>
      <c r="F68" s="64">
        <v>1109</v>
      </c>
      <c r="G68" s="64">
        <v>1109</v>
      </c>
      <c r="H68" s="64">
        <v>29</v>
      </c>
      <c r="I68" s="64">
        <v>35</v>
      </c>
      <c r="J68" s="64">
        <v>54</v>
      </c>
      <c r="K68" s="64">
        <v>0</v>
      </c>
      <c r="L68" s="64">
        <v>0</v>
      </c>
      <c r="M68" s="64">
        <v>13</v>
      </c>
      <c r="N68" s="64">
        <v>335</v>
      </c>
      <c r="O68" s="64">
        <v>363</v>
      </c>
      <c r="P68" s="64">
        <v>525</v>
      </c>
      <c r="Q68" s="104">
        <v>87</v>
      </c>
      <c r="R68" s="104">
        <v>32</v>
      </c>
      <c r="S68" s="104">
        <v>283</v>
      </c>
      <c r="T68" s="104">
        <v>30</v>
      </c>
      <c r="U68" s="104">
        <v>55</v>
      </c>
      <c r="V68" s="104">
        <v>25</v>
      </c>
      <c r="W68" s="104">
        <v>218</v>
      </c>
      <c r="X68" s="104">
        <v>276</v>
      </c>
      <c r="Y68" s="104">
        <v>217</v>
      </c>
      <c r="Z68" s="64">
        <v>624</v>
      </c>
      <c r="AA68" s="64">
        <v>711</v>
      </c>
      <c r="AB68" s="64">
        <v>517</v>
      </c>
      <c r="AC68" s="64">
        <v>-61</v>
      </c>
      <c r="AD68" s="64">
        <v>91</v>
      </c>
      <c r="AE68" s="64">
        <v>-260</v>
      </c>
      <c r="AF68" s="64">
        <v>-61</v>
      </c>
      <c r="AG68" s="64">
        <v>91</v>
      </c>
      <c r="AH68" s="64">
        <v>-260</v>
      </c>
      <c r="AI68" s="172">
        <v>518</v>
      </c>
      <c r="AJ68" s="104">
        <v>413</v>
      </c>
      <c r="AK68" s="173">
        <v>676</v>
      </c>
      <c r="AL68" s="64">
        <v>12</v>
      </c>
      <c r="AM68" s="64">
        <v>55</v>
      </c>
      <c r="AN68" s="64">
        <v>318</v>
      </c>
      <c r="AO68" s="64">
        <v>73</v>
      </c>
      <c r="AP68" s="64">
        <v>55</v>
      </c>
      <c r="AQ68" s="64">
        <v>318</v>
      </c>
      <c r="AR68" s="64">
        <v>1494</v>
      </c>
      <c r="AS68" s="64">
        <v>1376</v>
      </c>
      <c r="AT68" s="64">
        <v>1727</v>
      </c>
      <c r="AU68" s="64">
        <v>1506</v>
      </c>
      <c r="AV68" s="64">
        <v>1522</v>
      </c>
      <c r="AW68" s="64">
        <v>1785</v>
      </c>
      <c r="AX68" s="64">
        <v>12</v>
      </c>
      <c r="AY68" s="64">
        <v>146</v>
      </c>
      <c r="AZ68" s="64">
        <v>58</v>
      </c>
      <c r="BA68" s="64">
        <v>12</v>
      </c>
      <c r="BB68" s="64">
        <v>146</v>
      </c>
      <c r="BC68" s="64">
        <v>58</v>
      </c>
    </row>
    <row r="69" spans="1:55" s="226" customFormat="1" ht="17" thickBot="1">
      <c r="A69" s="356" t="s">
        <v>50</v>
      </c>
      <c r="B69" s="357">
        <v>350</v>
      </c>
      <c r="C69" s="357" t="s">
        <v>31</v>
      </c>
      <c r="D69" s="357" t="s">
        <v>33</v>
      </c>
      <c r="E69" s="357">
        <v>5125</v>
      </c>
      <c r="F69" s="357">
        <v>6566</v>
      </c>
      <c r="G69" s="357">
        <v>8734</v>
      </c>
      <c r="H69" s="357">
        <v>1331</v>
      </c>
      <c r="I69" s="357">
        <v>0</v>
      </c>
      <c r="J69" s="357">
        <v>2411</v>
      </c>
      <c r="K69" s="357">
        <v>0</v>
      </c>
      <c r="L69" s="357">
        <v>0</v>
      </c>
      <c r="M69" s="357">
        <v>1</v>
      </c>
      <c r="N69" s="357">
        <v>3788</v>
      </c>
      <c r="O69" s="357">
        <v>0</v>
      </c>
      <c r="P69" s="357">
        <v>5460</v>
      </c>
      <c r="Q69" s="357">
        <v>0</v>
      </c>
      <c r="R69" s="357">
        <v>0</v>
      </c>
      <c r="S69" s="357">
        <v>0</v>
      </c>
      <c r="T69" s="357">
        <v>1978</v>
      </c>
      <c r="U69" s="357">
        <v>0</v>
      </c>
      <c r="V69" s="357">
        <v>5142</v>
      </c>
      <c r="W69" s="357">
        <v>1810</v>
      </c>
      <c r="X69" s="357">
        <v>1810</v>
      </c>
      <c r="Y69" s="357">
        <v>318</v>
      </c>
      <c r="Z69" s="357">
        <v>0</v>
      </c>
      <c r="AA69" s="357">
        <v>0</v>
      </c>
      <c r="AB69" s="357">
        <v>862</v>
      </c>
      <c r="AC69" s="357">
        <v>0</v>
      </c>
      <c r="AD69" s="357">
        <v>224</v>
      </c>
      <c r="AE69" s="357">
        <v>845</v>
      </c>
      <c r="AF69" s="357">
        <v>-20</v>
      </c>
      <c r="AG69" s="357">
        <v>224</v>
      </c>
      <c r="AH69" s="357">
        <v>845</v>
      </c>
      <c r="AI69" s="356">
        <v>0</v>
      </c>
      <c r="AJ69" s="357">
        <v>0</v>
      </c>
      <c r="AK69" s="358">
        <v>0</v>
      </c>
      <c r="AL69" s="357">
        <v>0</v>
      </c>
      <c r="AM69" s="357">
        <v>0</v>
      </c>
      <c r="AN69" s="357">
        <v>0</v>
      </c>
      <c r="AO69" s="357">
        <v>0</v>
      </c>
      <c r="AP69" s="357">
        <v>0</v>
      </c>
      <c r="AQ69" s="357">
        <v>0</v>
      </c>
      <c r="AR69" s="357">
        <v>5145</v>
      </c>
      <c r="AS69" s="357">
        <v>6342</v>
      </c>
      <c r="AT69" s="357">
        <v>7889</v>
      </c>
      <c r="AU69" s="357">
        <v>5125</v>
      </c>
      <c r="AV69" s="357">
        <v>6566</v>
      </c>
      <c r="AW69" s="357">
        <v>8734</v>
      </c>
      <c r="AX69" s="357">
        <v>-20</v>
      </c>
      <c r="AY69" s="357">
        <v>224</v>
      </c>
      <c r="AZ69" s="357">
        <v>845</v>
      </c>
      <c r="BA69" s="357">
        <v>-20</v>
      </c>
      <c r="BB69" s="357">
        <v>224</v>
      </c>
      <c r="BC69" s="357">
        <v>845</v>
      </c>
    </row>
    <row r="70" spans="1:55">
      <c r="A70" s="69" t="s">
        <v>51</v>
      </c>
      <c r="B70" s="69">
        <v>570</v>
      </c>
      <c r="C70" s="69" t="s">
        <v>31</v>
      </c>
      <c r="D70" s="69" t="s">
        <v>33</v>
      </c>
      <c r="E70" s="69">
        <v>4040</v>
      </c>
      <c r="F70" s="69">
        <v>4083</v>
      </c>
      <c r="G70" s="69">
        <v>5621</v>
      </c>
      <c r="H70" s="110">
        <v>231</v>
      </c>
      <c r="I70" s="110">
        <v>295</v>
      </c>
      <c r="J70" s="110">
        <v>917</v>
      </c>
      <c r="K70" s="69">
        <v>26</v>
      </c>
      <c r="L70" s="69">
        <v>1</v>
      </c>
      <c r="M70" s="69">
        <v>0</v>
      </c>
      <c r="N70" s="110">
        <v>3783</v>
      </c>
      <c r="O70" s="110">
        <v>680</v>
      </c>
      <c r="P70" s="110">
        <v>1416</v>
      </c>
      <c r="Q70" s="110">
        <v>3094</v>
      </c>
      <c r="R70" s="110">
        <v>0</v>
      </c>
      <c r="S70" s="110">
        <v>0</v>
      </c>
      <c r="T70" s="110">
        <v>0</v>
      </c>
      <c r="U70" s="110">
        <v>47</v>
      </c>
      <c r="V70" s="110">
        <v>751</v>
      </c>
      <c r="W70" s="110">
        <v>689</v>
      </c>
      <c r="X70" s="110">
        <v>633</v>
      </c>
      <c r="Y70" s="110">
        <v>665</v>
      </c>
      <c r="Z70" s="110">
        <v>0</v>
      </c>
      <c r="AA70" s="110">
        <v>3107</v>
      </c>
      <c r="AB70" s="110">
        <v>3288</v>
      </c>
      <c r="AC70" s="69">
        <v>267</v>
      </c>
      <c r="AD70" s="69">
        <v>-254</v>
      </c>
      <c r="AE70" s="69">
        <v>-87</v>
      </c>
      <c r="AF70" s="69">
        <v>267</v>
      </c>
      <c r="AG70" s="69">
        <v>-254</v>
      </c>
      <c r="AH70" s="69">
        <v>-87</v>
      </c>
      <c r="AI70" s="142">
        <v>0</v>
      </c>
      <c r="AJ70" s="110">
        <v>248</v>
      </c>
      <c r="AK70" s="143">
        <v>337</v>
      </c>
      <c r="AL70" s="69">
        <v>0</v>
      </c>
      <c r="AM70" s="69">
        <v>248</v>
      </c>
      <c r="AN70" s="69">
        <v>254</v>
      </c>
      <c r="AO70" s="69">
        <v>0</v>
      </c>
      <c r="AP70" s="69">
        <v>248</v>
      </c>
      <c r="AQ70" s="69">
        <v>254</v>
      </c>
      <c r="AR70" s="69">
        <v>3773</v>
      </c>
      <c r="AS70" s="69">
        <v>4337</v>
      </c>
      <c r="AT70" s="69">
        <v>5791</v>
      </c>
      <c r="AU70" s="110">
        <v>4040</v>
      </c>
      <c r="AV70" s="69">
        <v>4331</v>
      </c>
      <c r="AW70" s="69">
        <v>5958</v>
      </c>
      <c r="AX70" s="69">
        <v>267</v>
      </c>
      <c r="AY70" s="69">
        <v>-6</v>
      </c>
      <c r="AZ70" s="69">
        <v>167</v>
      </c>
      <c r="BA70" s="69">
        <v>267</v>
      </c>
      <c r="BB70" s="69">
        <v>-6</v>
      </c>
      <c r="BC70" s="69">
        <v>167</v>
      </c>
    </row>
    <row r="71" spans="1:55">
      <c r="A71" s="69" t="s">
        <v>52</v>
      </c>
      <c r="B71" s="69">
        <v>450</v>
      </c>
      <c r="C71" s="69" t="s">
        <v>31</v>
      </c>
      <c r="D71" s="69" t="s">
        <v>33</v>
      </c>
      <c r="E71" s="69">
        <v>5634</v>
      </c>
      <c r="F71" s="69">
        <v>6584</v>
      </c>
      <c r="G71" s="69">
        <v>7481</v>
      </c>
      <c r="H71" s="110">
        <v>0</v>
      </c>
      <c r="I71" s="110">
        <v>0</v>
      </c>
      <c r="J71" s="110">
        <v>0</v>
      </c>
      <c r="K71" s="69">
        <v>2440</v>
      </c>
      <c r="L71" s="69">
        <v>2904</v>
      </c>
      <c r="M71" s="69">
        <v>2836</v>
      </c>
      <c r="N71" s="110">
        <v>1800</v>
      </c>
      <c r="O71" s="110">
        <v>2111</v>
      </c>
      <c r="P71" s="110">
        <v>2530</v>
      </c>
      <c r="Q71" s="110">
        <v>313</v>
      </c>
      <c r="R71" s="110">
        <v>338</v>
      </c>
      <c r="S71" s="110">
        <v>107</v>
      </c>
      <c r="T71" s="110">
        <v>545</v>
      </c>
      <c r="U71" s="110">
        <v>592</v>
      </c>
      <c r="V71" s="110">
        <v>946</v>
      </c>
      <c r="W71" s="110">
        <v>940</v>
      </c>
      <c r="X71" s="110">
        <v>1180</v>
      </c>
      <c r="Y71" s="110">
        <v>1477</v>
      </c>
      <c r="Z71" s="110">
        <v>1397</v>
      </c>
      <c r="AA71" s="110">
        <v>1566</v>
      </c>
      <c r="AB71" s="110">
        <v>2115</v>
      </c>
      <c r="AC71" s="69">
        <v>-200</v>
      </c>
      <c r="AD71" s="69">
        <v>-585</v>
      </c>
      <c r="AE71" s="69">
        <v>283</v>
      </c>
      <c r="AF71" s="69">
        <v>-200</v>
      </c>
      <c r="AG71" s="69">
        <v>-585</v>
      </c>
      <c r="AH71" s="69">
        <v>283</v>
      </c>
      <c r="AI71" s="142">
        <v>865</v>
      </c>
      <c r="AJ71" s="110">
        <v>881</v>
      </c>
      <c r="AK71" s="143">
        <v>748</v>
      </c>
      <c r="AL71" s="69">
        <v>294</v>
      </c>
      <c r="AM71" s="69">
        <v>273</v>
      </c>
      <c r="AN71" s="69">
        <v>297</v>
      </c>
      <c r="AO71" s="69">
        <v>294</v>
      </c>
      <c r="AP71" s="69">
        <v>273</v>
      </c>
      <c r="AQ71" s="69">
        <v>297</v>
      </c>
      <c r="AR71" s="69">
        <v>6407</v>
      </c>
      <c r="AS71" s="69">
        <v>7777</v>
      </c>
      <c r="AT71" s="69">
        <v>7649</v>
      </c>
      <c r="AU71" s="110">
        <v>6499</v>
      </c>
      <c r="AV71" s="69">
        <v>7465</v>
      </c>
      <c r="AW71" s="69">
        <v>8229</v>
      </c>
      <c r="AX71" s="69">
        <v>92</v>
      </c>
      <c r="AY71" s="69">
        <v>-312</v>
      </c>
      <c r="AZ71" s="69">
        <v>580</v>
      </c>
      <c r="BA71" s="69">
        <v>94</v>
      </c>
      <c r="BB71" s="69">
        <v>-312</v>
      </c>
      <c r="BC71" s="69">
        <v>580</v>
      </c>
    </row>
    <row r="72" spans="1:55">
      <c r="A72" s="69" t="s">
        <v>92</v>
      </c>
      <c r="B72" s="69">
        <v>385</v>
      </c>
      <c r="C72" s="69" t="s">
        <v>31</v>
      </c>
      <c r="D72" s="69" t="s">
        <v>33</v>
      </c>
      <c r="E72" s="69">
        <v>1351</v>
      </c>
      <c r="F72" s="69">
        <v>1820</v>
      </c>
      <c r="G72" s="69">
        <v>2494</v>
      </c>
      <c r="H72" s="110">
        <v>0</v>
      </c>
      <c r="I72" s="110">
        <v>30</v>
      </c>
      <c r="J72" s="110">
        <v>0</v>
      </c>
      <c r="K72" s="69">
        <v>361</v>
      </c>
      <c r="L72" s="69">
        <v>361</v>
      </c>
      <c r="M72" s="69">
        <v>553</v>
      </c>
      <c r="N72" s="110">
        <v>180</v>
      </c>
      <c r="O72" s="110">
        <v>311</v>
      </c>
      <c r="P72" s="110">
        <v>223</v>
      </c>
      <c r="Q72" s="110">
        <v>0</v>
      </c>
      <c r="R72" s="110">
        <v>0</v>
      </c>
      <c r="S72" s="110">
        <v>0</v>
      </c>
      <c r="T72" s="110">
        <v>29</v>
      </c>
      <c r="U72" s="110">
        <v>126</v>
      </c>
      <c r="V72" s="110">
        <v>6</v>
      </c>
      <c r="W72" s="110">
        <v>151</v>
      </c>
      <c r="X72" s="110">
        <v>185</v>
      </c>
      <c r="Y72" s="110">
        <v>217</v>
      </c>
      <c r="Z72" s="110">
        <v>810</v>
      </c>
      <c r="AA72" s="110">
        <v>1118</v>
      </c>
      <c r="AB72" s="110">
        <v>1718</v>
      </c>
      <c r="AC72" s="69">
        <v>-71</v>
      </c>
      <c r="AD72" s="69">
        <v>12</v>
      </c>
      <c r="AE72" s="69">
        <v>14</v>
      </c>
      <c r="AF72" s="69">
        <v>-71</v>
      </c>
      <c r="AG72" s="69">
        <v>12</v>
      </c>
      <c r="AH72" s="69">
        <v>14</v>
      </c>
      <c r="AI72" s="142">
        <v>0</v>
      </c>
      <c r="AJ72" s="110">
        <v>0</v>
      </c>
      <c r="AK72" s="143">
        <v>0</v>
      </c>
      <c r="AL72" s="69">
        <v>0</v>
      </c>
      <c r="AM72" s="69">
        <v>0</v>
      </c>
      <c r="AN72" s="69">
        <v>0</v>
      </c>
      <c r="AO72" s="69">
        <v>0</v>
      </c>
      <c r="AP72" s="69">
        <v>0</v>
      </c>
      <c r="AQ72" s="69">
        <v>0</v>
      </c>
      <c r="AR72" s="69">
        <v>1422</v>
      </c>
      <c r="AS72" s="69">
        <v>1832</v>
      </c>
      <c r="AT72" s="69">
        <v>2480</v>
      </c>
      <c r="AU72" s="110">
        <v>1351</v>
      </c>
      <c r="AV72" s="69">
        <v>1820</v>
      </c>
      <c r="AW72" s="69">
        <v>2494</v>
      </c>
      <c r="AX72" s="69">
        <v>-71</v>
      </c>
      <c r="AY72" s="69">
        <v>-12</v>
      </c>
      <c r="AZ72" s="69">
        <v>14</v>
      </c>
      <c r="BA72" s="69">
        <v>-71</v>
      </c>
      <c r="BB72" s="69">
        <v>12</v>
      </c>
      <c r="BC72" s="69">
        <v>14</v>
      </c>
    </row>
    <row r="73" spans="1:55">
      <c r="A73" s="69" t="s">
        <v>100</v>
      </c>
      <c r="B73" s="69">
        <v>10</v>
      </c>
      <c r="C73" s="69" t="s">
        <v>31</v>
      </c>
      <c r="D73" s="69" t="s">
        <v>33</v>
      </c>
      <c r="E73" s="135">
        <v>113.125</v>
      </c>
      <c r="F73" s="135">
        <v>144.5</v>
      </c>
      <c r="G73" s="135">
        <v>115.08749999999999</v>
      </c>
      <c r="H73" s="205">
        <v>43.1875</v>
      </c>
      <c r="I73" s="205">
        <v>41.787500000000001</v>
      </c>
      <c r="J73" s="205">
        <v>44.662499999999994</v>
      </c>
      <c r="K73" s="135">
        <v>22.6875</v>
      </c>
      <c r="L73" s="135">
        <v>51.974999999999994</v>
      </c>
      <c r="M73" s="135">
        <v>40.087499999999999</v>
      </c>
      <c r="N73" s="205">
        <v>47.237499999999997</v>
      </c>
      <c r="O73" s="205">
        <v>48.087499999999999</v>
      </c>
      <c r="P73" s="205">
        <v>27.549999999999997</v>
      </c>
      <c r="Q73" s="205">
        <v>13.075000000000001</v>
      </c>
      <c r="R73" s="205">
        <v>15.45</v>
      </c>
      <c r="S73" s="205">
        <v>6.8374999999999995</v>
      </c>
      <c r="T73" s="205">
        <v>18.0625</v>
      </c>
      <c r="U73" s="205">
        <v>17.25</v>
      </c>
      <c r="V73" s="205">
        <v>12.787500000000001</v>
      </c>
      <c r="W73" s="205">
        <v>16.100000000000001</v>
      </c>
      <c r="X73" s="205">
        <v>15.387500000000001</v>
      </c>
      <c r="Y73" s="205">
        <v>7.9249999999999998</v>
      </c>
      <c r="Z73" s="205">
        <v>0</v>
      </c>
      <c r="AA73" s="205">
        <v>2.6124999999999998</v>
      </c>
      <c r="AB73" s="205">
        <v>2.4500000000000002</v>
      </c>
      <c r="AC73" s="135">
        <v>-26.912500000000001</v>
      </c>
      <c r="AD73" s="135">
        <v>-4.6624999999999996</v>
      </c>
      <c r="AE73" s="135">
        <v>-16.6875</v>
      </c>
      <c r="AF73" s="135">
        <v>-26.912500000000001</v>
      </c>
      <c r="AG73" s="135">
        <v>-4.6624999999999996</v>
      </c>
      <c r="AH73" s="135">
        <v>-16.6875</v>
      </c>
      <c r="AI73" s="210">
        <v>24.612500000000001</v>
      </c>
      <c r="AJ73" s="205">
        <v>22.637499999999999</v>
      </c>
      <c r="AK73" s="211">
        <v>25.950000000000003</v>
      </c>
      <c r="AL73" s="135">
        <v>3.0125000000000002</v>
      </c>
      <c r="AM73" s="135">
        <v>5.2</v>
      </c>
      <c r="AN73" s="135">
        <v>3.9624999999999999</v>
      </c>
      <c r="AO73" s="135">
        <v>3.0125000000000002</v>
      </c>
      <c r="AP73" s="135">
        <v>5.2</v>
      </c>
      <c r="AQ73" s="135">
        <v>3.9624999999999999</v>
      </c>
      <c r="AR73" s="135">
        <v>161.63749999999999</v>
      </c>
      <c r="AS73" s="135">
        <v>166.6</v>
      </c>
      <c r="AT73" s="135">
        <v>153.76250000000002</v>
      </c>
      <c r="AU73" s="205">
        <v>137.73750000000001</v>
      </c>
      <c r="AV73" s="135">
        <v>167.13750000000002</v>
      </c>
      <c r="AW73" s="135">
        <v>141.03749999999999</v>
      </c>
      <c r="AX73" s="135">
        <v>-23.900000000000002</v>
      </c>
      <c r="AY73" s="135">
        <v>0.53749999999999998</v>
      </c>
      <c r="AZ73" s="135">
        <v>-12.725</v>
      </c>
      <c r="BA73" s="135">
        <v>-23.900000000000002</v>
      </c>
      <c r="BB73" s="135">
        <v>0.53749999999999998</v>
      </c>
      <c r="BC73" s="135">
        <v>-12.725</v>
      </c>
    </row>
    <row r="74" spans="1:55">
      <c r="A74" s="69" t="s">
        <v>104</v>
      </c>
      <c r="B74" s="69">
        <v>25</v>
      </c>
      <c r="C74" s="69" t="s">
        <v>31</v>
      </c>
      <c r="D74" s="69" t="s">
        <v>33</v>
      </c>
      <c r="E74" s="135">
        <v>146.36363636363637</v>
      </c>
      <c r="F74" s="135">
        <v>147.20454545454544</v>
      </c>
      <c r="G74" s="135">
        <v>215.40909090909093</v>
      </c>
      <c r="H74" s="205">
        <v>21.545454545454547</v>
      </c>
      <c r="I74" s="205">
        <v>20.31818181818182</v>
      </c>
      <c r="J74" s="205">
        <v>37.090909090909093</v>
      </c>
      <c r="K74" s="135">
        <v>0</v>
      </c>
      <c r="L74" s="135">
        <v>0</v>
      </c>
      <c r="M74" s="135">
        <v>0.13636363636363638</v>
      </c>
      <c r="N74" s="205">
        <v>67.477272727272734</v>
      </c>
      <c r="O74" s="205">
        <v>62.772727272727266</v>
      </c>
      <c r="P74" s="205">
        <v>91.886363636363626</v>
      </c>
      <c r="Q74" s="205">
        <v>0</v>
      </c>
      <c r="R74" s="205">
        <v>0</v>
      </c>
      <c r="S74" s="205">
        <v>0</v>
      </c>
      <c r="T74" s="205">
        <v>14.477272727272727</v>
      </c>
      <c r="U74" s="205">
        <v>16.454545454545453</v>
      </c>
      <c r="V74" s="205">
        <v>18.272727272727273</v>
      </c>
      <c r="W74" s="205">
        <v>53</v>
      </c>
      <c r="X74" s="205">
        <v>53.13636363636364</v>
      </c>
      <c r="Y74" s="205">
        <v>73.61363636363636</v>
      </c>
      <c r="Z74" s="205">
        <v>57.340909090909086</v>
      </c>
      <c r="AA74" s="205">
        <v>64.11363636363636</v>
      </c>
      <c r="AB74" s="205">
        <v>86.295454545454547</v>
      </c>
      <c r="AC74" s="135">
        <v>-10.886363636363635</v>
      </c>
      <c r="AD74" s="135">
        <v>4.9772727272727275</v>
      </c>
      <c r="AE74" s="135">
        <v>41.977272727272727</v>
      </c>
      <c r="AF74" s="135">
        <v>-11.886363636363637</v>
      </c>
      <c r="AG74" s="135">
        <v>4.2727272727272725</v>
      </c>
      <c r="AH74" s="135">
        <v>41.022727272727273</v>
      </c>
      <c r="AI74" s="210">
        <v>7.8181818181818183</v>
      </c>
      <c r="AJ74" s="205">
        <v>7.2727272727272725</v>
      </c>
      <c r="AK74" s="211">
        <v>9.7727272727272734</v>
      </c>
      <c r="AL74" s="135">
        <v>1.8181818181818181</v>
      </c>
      <c r="AM74" s="135">
        <v>1.9772727272727271</v>
      </c>
      <c r="AN74" s="135">
        <v>-1.8181818181818181</v>
      </c>
      <c r="AO74" s="135">
        <v>1.6363636363636365</v>
      </c>
      <c r="AP74" s="135">
        <v>1.9772727272727271</v>
      </c>
      <c r="AQ74" s="135">
        <v>-1.8181818181818181</v>
      </c>
      <c r="AR74" s="135">
        <v>163.25</v>
      </c>
      <c r="AS74" s="135">
        <v>147.52272727272728</v>
      </c>
      <c r="AT74" s="135">
        <v>185.02272727272728</v>
      </c>
      <c r="AU74" s="205">
        <v>154.18181818181819</v>
      </c>
      <c r="AV74" s="135">
        <v>154.47727272727272</v>
      </c>
      <c r="AW74" s="135">
        <v>225.18181818181819</v>
      </c>
      <c r="AX74" s="135">
        <v>-9.0681818181818183</v>
      </c>
      <c r="AY74" s="135">
        <v>6.954545454545455</v>
      </c>
      <c r="AZ74" s="135">
        <v>40.159090909090914</v>
      </c>
      <c r="BA74" s="135">
        <v>-10.25</v>
      </c>
      <c r="BB74" s="135">
        <v>6.25</v>
      </c>
      <c r="BC74" s="135">
        <v>39.204545454545453</v>
      </c>
    </row>
    <row r="75" spans="1:55">
      <c r="A75" s="132" t="s">
        <v>55</v>
      </c>
      <c r="B75" s="132">
        <v>450</v>
      </c>
      <c r="C75" s="132" t="s">
        <v>37</v>
      </c>
      <c r="D75" s="132" t="s">
        <v>33</v>
      </c>
      <c r="E75" s="132">
        <v>4397</v>
      </c>
      <c r="F75" s="132">
        <v>6040</v>
      </c>
      <c r="G75" s="132">
        <v>5510</v>
      </c>
      <c r="H75" s="132">
        <v>2502</v>
      </c>
      <c r="I75" s="132">
        <v>2408</v>
      </c>
      <c r="J75" s="132">
        <v>0</v>
      </c>
      <c r="K75" s="132">
        <v>60</v>
      </c>
      <c r="L75" s="132">
        <v>0</v>
      </c>
      <c r="M75" s="132">
        <v>1</v>
      </c>
      <c r="N75" s="132">
        <v>1835</v>
      </c>
      <c r="O75" s="132">
        <v>2350</v>
      </c>
      <c r="P75" s="132">
        <v>4696</v>
      </c>
      <c r="Q75" s="153">
        <v>120</v>
      </c>
      <c r="R75" s="153">
        <v>0</v>
      </c>
      <c r="S75" s="153">
        <v>0</v>
      </c>
      <c r="T75" s="153">
        <v>0</v>
      </c>
      <c r="U75" s="153">
        <v>224</v>
      </c>
      <c r="V75" s="153">
        <v>0</v>
      </c>
      <c r="W75" s="153">
        <v>1715</v>
      </c>
      <c r="X75" s="153">
        <v>2126</v>
      </c>
      <c r="Y75" s="153">
        <v>4696</v>
      </c>
      <c r="Z75" s="132">
        <v>0</v>
      </c>
      <c r="AA75" s="132">
        <v>746</v>
      </c>
      <c r="AB75" s="132">
        <v>741</v>
      </c>
      <c r="AC75" s="132">
        <v>-85</v>
      </c>
      <c r="AD75" s="132">
        <v>-386</v>
      </c>
      <c r="AE75" s="132">
        <v>-349</v>
      </c>
      <c r="AF75" s="132">
        <v>-85</v>
      </c>
      <c r="AG75" s="132">
        <v>-386</v>
      </c>
      <c r="AH75" s="132">
        <v>-349</v>
      </c>
      <c r="AI75" s="152">
        <v>0</v>
      </c>
      <c r="AJ75" s="153">
        <v>245</v>
      </c>
      <c r="AK75" s="154">
        <v>79</v>
      </c>
      <c r="AL75" s="132">
        <v>0</v>
      </c>
      <c r="AM75" s="132">
        <v>-5</v>
      </c>
      <c r="AN75" s="132">
        <v>1</v>
      </c>
      <c r="AO75" s="132">
        <v>0</v>
      </c>
      <c r="AP75" s="132">
        <v>-5</v>
      </c>
      <c r="AQ75" s="132">
        <v>1</v>
      </c>
      <c r="AR75" s="132">
        <v>4481</v>
      </c>
      <c r="AS75" s="132">
        <v>6676</v>
      </c>
      <c r="AT75" s="132">
        <v>5937</v>
      </c>
      <c r="AU75" s="132">
        <v>4397</v>
      </c>
      <c r="AV75" s="132">
        <v>6285</v>
      </c>
      <c r="AW75" s="132">
        <v>5589</v>
      </c>
      <c r="AX75" s="132">
        <v>-84</v>
      </c>
      <c r="AY75" s="132">
        <v>-391</v>
      </c>
      <c r="AZ75" s="132">
        <v>-348</v>
      </c>
      <c r="BA75" s="132">
        <v>-85</v>
      </c>
      <c r="BB75" s="132">
        <v>-391</v>
      </c>
      <c r="BC75" s="132">
        <v>-348</v>
      </c>
    </row>
    <row r="76" spans="1:55">
      <c r="A76" s="132" t="s">
        <v>107</v>
      </c>
      <c r="B76" s="132">
        <v>70</v>
      </c>
      <c r="C76" s="132" t="s">
        <v>37</v>
      </c>
      <c r="D76" s="132" t="s">
        <v>33</v>
      </c>
      <c r="E76" s="132">
        <v>275</v>
      </c>
      <c r="F76" s="132">
        <v>559</v>
      </c>
      <c r="G76" s="132">
        <v>1082</v>
      </c>
      <c r="H76" s="132">
        <v>133</v>
      </c>
      <c r="I76" s="132">
        <v>216</v>
      </c>
      <c r="J76" s="132">
        <v>443</v>
      </c>
      <c r="K76" s="132">
        <v>0</v>
      </c>
      <c r="L76" s="132">
        <v>0</v>
      </c>
      <c r="M76" s="132">
        <v>0</v>
      </c>
      <c r="N76" s="132">
        <v>142</v>
      </c>
      <c r="O76" s="132">
        <v>343</v>
      </c>
      <c r="P76" s="132">
        <v>515</v>
      </c>
      <c r="Q76" s="153">
        <v>0</v>
      </c>
      <c r="R76" s="153">
        <v>0</v>
      </c>
      <c r="S76" s="153">
        <v>0</v>
      </c>
      <c r="T76" s="153">
        <v>0</v>
      </c>
      <c r="U76" s="153">
        <v>0</v>
      </c>
      <c r="V76" s="153">
        <v>0</v>
      </c>
      <c r="W76" s="153">
        <v>142</v>
      </c>
      <c r="X76" s="153">
        <v>343</v>
      </c>
      <c r="Y76" s="153">
        <v>515</v>
      </c>
      <c r="Z76" s="132">
        <v>0</v>
      </c>
      <c r="AA76" s="132">
        <v>0</v>
      </c>
      <c r="AB76" s="132">
        <v>124</v>
      </c>
      <c r="AC76" s="132">
        <v>-118</v>
      </c>
      <c r="AD76" s="132">
        <v>88</v>
      </c>
      <c r="AE76" s="132">
        <v>90</v>
      </c>
      <c r="AF76" s="132">
        <v>-118</v>
      </c>
      <c r="AG76" s="132">
        <v>88</v>
      </c>
      <c r="AH76" s="132">
        <v>90</v>
      </c>
      <c r="AI76" s="152">
        <v>0</v>
      </c>
      <c r="AJ76" s="153">
        <v>0</v>
      </c>
      <c r="AK76" s="154">
        <v>0</v>
      </c>
      <c r="AL76" s="132">
        <v>0</v>
      </c>
      <c r="AM76" s="132">
        <v>0</v>
      </c>
      <c r="AN76" s="132">
        <v>0</v>
      </c>
      <c r="AO76" s="132">
        <v>0</v>
      </c>
      <c r="AP76" s="132">
        <v>0</v>
      </c>
      <c r="AQ76" s="132">
        <v>0</v>
      </c>
      <c r="AR76" s="132">
        <v>393</v>
      </c>
      <c r="AS76" s="132">
        <v>471</v>
      </c>
      <c r="AT76" s="132">
        <v>992</v>
      </c>
      <c r="AU76" s="132">
        <v>275</v>
      </c>
      <c r="AV76" s="132">
        <v>559</v>
      </c>
      <c r="AW76" s="132">
        <v>1082</v>
      </c>
      <c r="AX76" s="132">
        <v>-118</v>
      </c>
      <c r="AY76" s="132">
        <v>88</v>
      </c>
      <c r="AZ76" s="132">
        <v>90</v>
      </c>
      <c r="BA76" s="132">
        <v>-118</v>
      </c>
      <c r="BB76" s="132">
        <v>88</v>
      </c>
      <c r="BC76" s="132">
        <v>90</v>
      </c>
    </row>
    <row r="77" spans="1:55">
      <c r="A77" s="63" t="s">
        <v>61</v>
      </c>
      <c r="B77" s="63">
        <v>180</v>
      </c>
      <c r="C77" s="63" t="s">
        <v>38</v>
      </c>
      <c r="D77" s="63" t="s">
        <v>33</v>
      </c>
      <c r="E77" s="63">
        <v>472</v>
      </c>
      <c r="F77" s="63">
        <v>561</v>
      </c>
      <c r="G77" s="63">
        <v>731</v>
      </c>
      <c r="H77" s="63">
        <v>46</v>
      </c>
      <c r="I77" s="63">
        <v>79</v>
      </c>
      <c r="J77" s="63">
        <v>506</v>
      </c>
      <c r="K77" s="63">
        <v>185</v>
      </c>
      <c r="L77" s="63">
        <v>155</v>
      </c>
      <c r="M77" s="63">
        <v>17</v>
      </c>
      <c r="N77" s="63">
        <v>57</v>
      </c>
      <c r="O77" s="63">
        <v>52</v>
      </c>
      <c r="P77" s="63">
        <v>25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57</v>
      </c>
      <c r="X77" s="156">
        <v>52</v>
      </c>
      <c r="Y77" s="156">
        <v>25</v>
      </c>
      <c r="Z77" s="63">
        <v>184</v>
      </c>
      <c r="AA77" s="63">
        <v>275</v>
      </c>
      <c r="AB77" s="63">
        <v>183</v>
      </c>
      <c r="AC77" s="63">
        <v>-138</v>
      </c>
      <c r="AD77" s="63">
        <v>-339</v>
      </c>
      <c r="AE77" s="63">
        <v>-261</v>
      </c>
      <c r="AF77" s="63">
        <v>-138</v>
      </c>
      <c r="AG77" s="63">
        <v>-339</v>
      </c>
      <c r="AH77" s="63">
        <v>-261</v>
      </c>
      <c r="AI77" s="155">
        <v>173</v>
      </c>
      <c r="AJ77" s="156">
        <v>426</v>
      </c>
      <c r="AK77" s="157">
        <v>473</v>
      </c>
      <c r="AL77" s="63">
        <v>152</v>
      </c>
      <c r="AM77" s="63">
        <v>349</v>
      </c>
      <c r="AN77" s="63">
        <v>433</v>
      </c>
      <c r="AO77" s="63">
        <v>152</v>
      </c>
      <c r="AP77" s="63">
        <v>340</v>
      </c>
      <c r="AQ77" s="63">
        <v>408</v>
      </c>
      <c r="AR77" s="63">
        <v>631</v>
      </c>
      <c r="AS77" s="63">
        <v>977</v>
      </c>
      <c r="AT77" s="63">
        <v>1057</v>
      </c>
      <c r="AU77" s="63">
        <v>645</v>
      </c>
      <c r="AV77" s="63">
        <v>987</v>
      </c>
      <c r="AW77" s="63">
        <v>1204</v>
      </c>
      <c r="AX77" s="63">
        <v>14</v>
      </c>
      <c r="AY77" s="63">
        <v>10</v>
      </c>
      <c r="AZ77" s="63">
        <v>147</v>
      </c>
      <c r="BA77" s="63">
        <v>14</v>
      </c>
      <c r="BB77" s="63">
        <v>1</v>
      </c>
      <c r="BC77" s="63">
        <v>147</v>
      </c>
    </row>
    <row r="78" spans="1:55">
      <c r="A78" s="63" t="s">
        <v>65</v>
      </c>
      <c r="B78" s="63">
        <v>148</v>
      </c>
      <c r="C78" s="63" t="s">
        <v>38</v>
      </c>
      <c r="D78" s="63" t="s">
        <v>33</v>
      </c>
      <c r="E78" s="63">
        <v>1322</v>
      </c>
      <c r="F78" s="63">
        <v>1324</v>
      </c>
      <c r="G78" s="63">
        <v>1571</v>
      </c>
      <c r="H78" s="63">
        <v>281</v>
      </c>
      <c r="I78" s="63">
        <v>268</v>
      </c>
      <c r="J78" s="63">
        <v>235</v>
      </c>
      <c r="K78" s="63">
        <v>0</v>
      </c>
      <c r="L78" s="63">
        <v>0</v>
      </c>
      <c r="M78" s="63">
        <v>0</v>
      </c>
      <c r="N78" s="63">
        <v>551</v>
      </c>
      <c r="O78" s="63">
        <v>391</v>
      </c>
      <c r="P78" s="63">
        <v>593</v>
      </c>
      <c r="Q78" s="156">
        <v>0</v>
      </c>
      <c r="R78" s="156">
        <v>0</v>
      </c>
      <c r="S78" s="156">
        <v>0</v>
      </c>
      <c r="T78" s="156">
        <v>134</v>
      </c>
      <c r="U78" s="156">
        <v>50</v>
      </c>
      <c r="V78" s="156">
        <v>95</v>
      </c>
      <c r="W78" s="156">
        <v>417</v>
      </c>
      <c r="X78" s="156">
        <v>341</v>
      </c>
      <c r="Y78" s="156">
        <v>498</v>
      </c>
      <c r="Z78" s="63">
        <v>490</v>
      </c>
      <c r="AA78" s="63">
        <v>665</v>
      </c>
      <c r="AB78" s="63">
        <v>743</v>
      </c>
      <c r="AC78" s="63">
        <v>-203</v>
      </c>
      <c r="AD78" s="63">
        <v>-86</v>
      </c>
      <c r="AE78" s="63">
        <v>-394</v>
      </c>
      <c r="AF78" s="63">
        <v>-203</v>
      </c>
      <c r="AG78" s="63">
        <v>-86</v>
      </c>
      <c r="AH78" s="63">
        <v>-406</v>
      </c>
      <c r="AI78" s="155">
        <v>631</v>
      </c>
      <c r="AJ78" s="156">
        <v>547</v>
      </c>
      <c r="AK78" s="157">
        <v>600</v>
      </c>
      <c r="AL78" s="63">
        <v>280</v>
      </c>
      <c r="AM78" s="63">
        <v>247</v>
      </c>
      <c r="AN78" s="63">
        <v>363</v>
      </c>
      <c r="AO78" s="63">
        <v>280</v>
      </c>
      <c r="AP78" s="63">
        <v>247</v>
      </c>
      <c r="AQ78" s="63">
        <v>363</v>
      </c>
      <c r="AR78" s="63">
        <v>1876</v>
      </c>
      <c r="AS78" s="63">
        <v>1710</v>
      </c>
      <c r="AT78" s="63">
        <v>2214</v>
      </c>
      <c r="AU78" s="63">
        <v>1953</v>
      </c>
      <c r="AV78" s="63">
        <v>1871</v>
      </c>
      <c r="AW78" s="63">
        <v>2171</v>
      </c>
      <c r="AX78" s="63">
        <v>77</v>
      </c>
      <c r="AY78" s="63">
        <v>161</v>
      </c>
      <c r="AZ78" s="63">
        <v>-31</v>
      </c>
      <c r="BA78" s="63">
        <v>77</v>
      </c>
      <c r="BB78" s="63">
        <v>161</v>
      </c>
      <c r="BC78" s="63">
        <v>-43</v>
      </c>
    </row>
    <row r="79" spans="1:55">
      <c r="A79" s="63" t="s">
        <v>84</v>
      </c>
      <c r="B79" s="63">
        <v>90</v>
      </c>
      <c r="C79" s="63" t="s">
        <v>38</v>
      </c>
      <c r="D79" s="63" t="s">
        <v>33</v>
      </c>
      <c r="E79" s="63">
        <v>550</v>
      </c>
      <c r="F79" s="63">
        <v>544</v>
      </c>
      <c r="G79" s="63">
        <v>537</v>
      </c>
      <c r="H79" s="63">
        <v>264</v>
      </c>
      <c r="I79" s="63">
        <v>286</v>
      </c>
      <c r="J79" s="63">
        <v>355</v>
      </c>
      <c r="K79" s="63">
        <v>286</v>
      </c>
      <c r="L79" s="63">
        <v>0</v>
      </c>
      <c r="M79" s="63">
        <v>0</v>
      </c>
      <c r="N79" s="63">
        <v>0</v>
      </c>
      <c r="O79" s="63">
        <v>0</v>
      </c>
      <c r="P79" s="63">
        <v>76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76</v>
      </c>
      <c r="W79" s="156">
        <v>0</v>
      </c>
      <c r="X79" s="156">
        <v>0</v>
      </c>
      <c r="Y79" s="156">
        <v>0</v>
      </c>
      <c r="Z79" s="63">
        <v>0</v>
      </c>
      <c r="AA79" s="63">
        <v>258</v>
      </c>
      <c r="AB79" s="63">
        <v>106</v>
      </c>
      <c r="AC79" s="63">
        <v>-29</v>
      </c>
      <c r="AD79" s="63">
        <v>-99</v>
      </c>
      <c r="AE79" s="63">
        <v>38</v>
      </c>
      <c r="AF79" s="63">
        <v>-29</v>
      </c>
      <c r="AG79" s="63">
        <v>-99</v>
      </c>
      <c r="AH79" s="63">
        <v>38</v>
      </c>
      <c r="AI79" s="155">
        <v>68</v>
      </c>
      <c r="AJ79" s="156">
        <v>14</v>
      </c>
      <c r="AK79" s="157">
        <v>47</v>
      </c>
      <c r="AL79" s="63">
        <v>30</v>
      </c>
      <c r="AM79" s="63">
        <v>7</v>
      </c>
      <c r="AN79" s="63">
        <v>21</v>
      </c>
      <c r="AO79" s="63">
        <v>30</v>
      </c>
      <c r="AP79" s="63">
        <v>7</v>
      </c>
      <c r="AQ79" s="63">
        <v>21</v>
      </c>
      <c r="AR79" s="63">
        <v>617</v>
      </c>
      <c r="AS79" s="63">
        <v>650</v>
      </c>
      <c r="AT79" s="63">
        <v>525</v>
      </c>
      <c r="AU79" s="63">
        <v>618</v>
      </c>
      <c r="AV79" s="63">
        <v>558</v>
      </c>
      <c r="AW79" s="63">
        <v>584</v>
      </c>
      <c r="AX79" s="63">
        <v>1</v>
      </c>
      <c r="AY79" s="63">
        <v>-92</v>
      </c>
      <c r="AZ79" s="63">
        <v>59</v>
      </c>
      <c r="BA79" s="63">
        <v>1</v>
      </c>
      <c r="BB79" s="63">
        <v>-92</v>
      </c>
      <c r="BC79" s="63">
        <v>59</v>
      </c>
    </row>
    <row r="80" spans="1:55">
      <c r="A80" s="63" t="s">
        <v>86</v>
      </c>
      <c r="B80" s="63">
        <v>50</v>
      </c>
      <c r="C80" s="63" t="s">
        <v>38</v>
      </c>
      <c r="D80" s="63" t="s">
        <v>33</v>
      </c>
      <c r="E80" s="63">
        <v>138</v>
      </c>
      <c r="F80" s="63">
        <v>143</v>
      </c>
      <c r="G80" s="63">
        <v>152</v>
      </c>
      <c r="H80" s="63">
        <v>0</v>
      </c>
      <c r="I80" s="63">
        <v>30</v>
      </c>
      <c r="J80" s="63">
        <v>13</v>
      </c>
      <c r="K80" s="63">
        <v>69</v>
      </c>
      <c r="L80" s="63">
        <v>0</v>
      </c>
      <c r="M80" s="63">
        <v>9</v>
      </c>
      <c r="N80" s="63">
        <v>24</v>
      </c>
      <c r="O80" s="63">
        <v>13</v>
      </c>
      <c r="P80" s="63">
        <v>30</v>
      </c>
      <c r="Q80" s="156">
        <v>0</v>
      </c>
      <c r="R80" s="156">
        <v>0</v>
      </c>
      <c r="S80" s="156">
        <v>0</v>
      </c>
      <c r="T80" s="156">
        <v>21</v>
      </c>
      <c r="U80" s="156">
        <v>10</v>
      </c>
      <c r="V80" s="156">
        <v>27</v>
      </c>
      <c r="W80" s="156">
        <v>3</v>
      </c>
      <c r="X80" s="156">
        <v>3</v>
      </c>
      <c r="Y80" s="156">
        <v>3</v>
      </c>
      <c r="Z80" s="63">
        <v>45</v>
      </c>
      <c r="AA80" s="63">
        <v>100</v>
      </c>
      <c r="AB80" s="63">
        <v>100</v>
      </c>
      <c r="AC80" s="63">
        <v>-96</v>
      </c>
      <c r="AD80" s="63">
        <v>-63</v>
      </c>
      <c r="AE80" s="63">
        <v>-189</v>
      </c>
      <c r="AF80" s="63">
        <v>-96</v>
      </c>
      <c r="AG80" s="63">
        <v>-63</v>
      </c>
      <c r="AH80" s="63">
        <v>-189</v>
      </c>
      <c r="AI80" s="155">
        <v>96</v>
      </c>
      <c r="AJ80" s="156">
        <v>131</v>
      </c>
      <c r="AK80" s="157">
        <v>127</v>
      </c>
      <c r="AL80" s="63">
        <v>96</v>
      </c>
      <c r="AM80" s="63">
        <v>131</v>
      </c>
      <c r="AN80" s="63">
        <v>127</v>
      </c>
      <c r="AO80" s="63">
        <v>96</v>
      </c>
      <c r="AP80" s="63">
        <v>131</v>
      </c>
      <c r="AQ80" s="63">
        <v>127</v>
      </c>
      <c r="AR80" s="63">
        <v>234</v>
      </c>
      <c r="AS80" s="63">
        <v>206</v>
      </c>
      <c r="AT80" s="63">
        <v>341</v>
      </c>
      <c r="AU80" s="63">
        <v>234</v>
      </c>
      <c r="AV80" s="63">
        <v>274</v>
      </c>
      <c r="AW80" s="63">
        <v>279</v>
      </c>
      <c r="AX80" s="63">
        <v>0</v>
      </c>
      <c r="AY80" s="63">
        <v>68</v>
      </c>
      <c r="AZ80" s="63">
        <v>-62</v>
      </c>
      <c r="BA80" s="63">
        <v>0</v>
      </c>
      <c r="BB80" s="63">
        <v>68</v>
      </c>
      <c r="BC80" s="63">
        <v>-62</v>
      </c>
    </row>
    <row r="81" spans="1:55">
      <c r="A81" s="63" t="s">
        <v>114</v>
      </c>
      <c r="B81" s="63">
        <v>195</v>
      </c>
      <c r="C81" s="63" t="s">
        <v>38</v>
      </c>
      <c r="D81" s="63" t="s">
        <v>33</v>
      </c>
      <c r="E81" s="63">
        <v>867</v>
      </c>
      <c r="F81" s="63">
        <v>1740</v>
      </c>
      <c r="G81" s="63">
        <v>1040</v>
      </c>
      <c r="H81" s="63">
        <v>392</v>
      </c>
      <c r="I81" s="63">
        <v>278</v>
      </c>
      <c r="J81" s="63">
        <v>183</v>
      </c>
      <c r="K81" s="63">
        <v>1</v>
      </c>
      <c r="L81" s="63">
        <v>0</v>
      </c>
      <c r="M81" s="63">
        <v>0</v>
      </c>
      <c r="N81" s="63">
        <v>474</v>
      </c>
      <c r="O81" s="63">
        <v>1462</v>
      </c>
      <c r="P81" s="63">
        <v>393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393</v>
      </c>
      <c r="W81" s="156">
        <v>474</v>
      </c>
      <c r="X81" s="156">
        <v>1462</v>
      </c>
      <c r="Y81" s="156">
        <v>0</v>
      </c>
      <c r="Z81" s="63">
        <v>0</v>
      </c>
      <c r="AA81" s="63">
        <v>0</v>
      </c>
      <c r="AB81" s="63">
        <v>464</v>
      </c>
      <c r="AC81" s="63">
        <v>-1</v>
      </c>
      <c r="AD81" s="63">
        <v>-10</v>
      </c>
      <c r="AE81" s="63">
        <v>-1</v>
      </c>
      <c r="AF81" s="63">
        <v>-1</v>
      </c>
      <c r="AG81" s="63">
        <v>-10</v>
      </c>
      <c r="AH81" s="63">
        <v>-1</v>
      </c>
      <c r="AI81" s="155">
        <v>105</v>
      </c>
      <c r="AJ81" s="156">
        <v>291</v>
      </c>
      <c r="AK81" s="157">
        <v>203</v>
      </c>
      <c r="AL81" s="63">
        <v>56</v>
      </c>
      <c r="AM81" s="63">
        <v>0</v>
      </c>
      <c r="AN81" s="63">
        <v>-4</v>
      </c>
      <c r="AO81" s="63">
        <v>56</v>
      </c>
      <c r="AP81" s="63">
        <v>0</v>
      </c>
      <c r="AQ81" s="63">
        <v>-4</v>
      </c>
      <c r="AR81" s="63">
        <v>917</v>
      </c>
      <c r="AS81" s="63">
        <v>2041</v>
      </c>
      <c r="AT81" s="63">
        <v>1248</v>
      </c>
      <c r="AU81" s="63">
        <v>972</v>
      </c>
      <c r="AV81" s="63">
        <v>2031</v>
      </c>
      <c r="AW81" s="63">
        <v>1243</v>
      </c>
      <c r="AX81" s="63">
        <v>55</v>
      </c>
      <c r="AY81" s="63">
        <v>-10</v>
      </c>
      <c r="AZ81" s="63">
        <v>-5</v>
      </c>
      <c r="BA81" s="63">
        <v>55</v>
      </c>
      <c r="BB81" s="63">
        <v>-10</v>
      </c>
      <c r="BC81" s="63">
        <v>-5</v>
      </c>
    </row>
    <row r="82" spans="1:55">
      <c r="A82" s="63" t="s">
        <v>116</v>
      </c>
      <c r="B82" s="63">
        <v>130</v>
      </c>
      <c r="C82" s="63" t="s">
        <v>38</v>
      </c>
      <c r="D82" s="63" t="s">
        <v>33</v>
      </c>
      <c r="E82" s="63">
        <v>311</v>
      </c>
      <c r="F82" s="63">
        <v>457</v>
      </c>
      <c r="G82" s="63">
        <v>442</v>
      </c>
      <c r="H82" s="63">
        <v>53</v>
      </c>
      <c r="I82" s="63">
        <v>78</v>
      </c>
      <c r="J82" s="63">
        <v>43</v>
      </c>
      <c r="K82" s="63">
        <v>0</v>
      </c>
      <c r="L82" s="63">
        <v>0</v>
      </c>
      <c r="M82" s="63">
        <v>0</v>
      </c>
      <c r="N82" s="63">
        <v>108</v>
      </c>
      <c r="O82" s="63">
        <v>127</v>
      </c>
      <c r="P82" s="63">
        <v>249</v>
      </c>
      <c r="Q82" s="156">
        <v>0</v>
      </c>
      <c r="R82" s="156">
        <v>0</v>
      </c>
      <c r="S82" s="156">
        <v>0</v>
      </c>
      <c r="T82" s="156">
        <v>72</v>
      </c>
      <c r="U82" s="156">
        <v>73</v>
      </c>
      <c r="V82" s="156">
        <v>207</v>
      </c>
      <c r="W82" s="156">
        <v>36</v>
      </c>
      <c r="X82" s="156">
        <v>54</v>
      </c>
      <c r="Y82" s="156">
        <v>42</v>
      </c>
      <c r="Z82" s="63">
        <v>150</v>
      </c>
      <c r="AA82" s="63">
        <v>252</v>
      </c>
      <c r="AB82" s="63">
        <v>150</v>
      </c>
      <c r="AC82" s="63">
        <v>-19</v>
      </c>
      <c r="AD82" s="63">
        <v>15</v>
      </c>
      <c r="AE82" s="63">
        <v>38</v>
      </c>
      <c r="AF82" s="63">
        <v>-19</v>
      </c>
      <c r="AG82" s="63">
        <v>15</v>
      </c>
      <c r="AH82" s="63">
        <v>38</v>
      </c>
      <c r="AI82" s="155">
        <v>53</v>
      </c>
      <c r="AJ82" s="156">
        <v>24</v>
      </c>
      <c r="AK82" s="157">
        <v>47</v>
      </c>
      <c r="AL82" s="63">
        <v>53</v>
      </c>
      <c r="AM82" s="63">
        <v>24</v>
      </c>
      <c r="AN82" s="63">
        <v>47</v>
      </c>
      <c r="AO82" s="63">
        <v>53</v>
      </c>
      <c r="AP82" s="63">
        <v>24</v>
      </c>
      <c r="AQ82" s="63">
        <v>47</v>
      </c>
      <c r="AR82" s="63">
        <v>641</v>
      </c>
      <c r="AS82" s="63">
        <v>442</v>
      </c>
      <c r="AT82" s="63">
        <v>404</v>
      </c>
      <c r="AU82" s="63">
        <v>364</v>
      </c>
      <c r="AV82" s="63">
        <v>481</v>
      </c>
      <c r="AW82" s="63">
        <v>489</v>
      </c>
      <c r="AX82" s="63">
        <v>-277</v>
      </c>
      <c r="AY82" s="63">
        <v>39</v>
      </c>
      <c r="AZ82" s="63">
        <v>85</v>
      </c>
      <c r="BA82" s="63">
        <v>34</v>
      </c>
      <c r="BB82" s="63">
        <v>39</v>
      </c>
      <c r="BC82" s="63">
        <v>85</v>
      </c>
    </row>
    <row r="83" spans="1:55">
      <c r="A83" s="63" t="s">
        <v>126</v>
      </c>
      <c r="B83" s="63">
        <v>76</v>
      </c>
      <c r="C83" s="63" t="s">
        <v>38</v>
      </c>
      <c r="D83" s="63" t="s">
        <v>33</v>
      </c>
      <c r="E83" s="63">
        <v>158</v>
      </c>
      <c r="F83" s="63">
        <v>149</v>
      </c>
      <c r="G83" s="63">
        <v>137</v>
      </c>
      <c r="H83" s="63">
        <v>0</v>
      </c>
      <c r="I83" s="63">
        <v>0</v>
      </c>
      <c r="J83" s="63">
        <v>0</v>
      </c>
      <c r="K83" s="63">
        <v>65</v>
      </c>
      <c r="L83" s="63">
        <v>58</v>
      </c>
      <c r="M83" s="63">
        <v>28</v>
      </c>
      <c r="N83" s="63">
        <v>48</v>
      </c>
      <c r="O83" s="63">
        <v>36</v>
      </c>
      <c r="P83" s="63">
        <v>31</v>
      </c>
      <c r="Q83" s="156">
        <v>0</v>
      </c>
      <c r="R83" s="156">
        <v>0</v>
      </c>
      <c r="S83" s="156">
        <v>0</v>
      </c>
      <c r="T83" s="156">
        <v>17</v>
      </c>
      <c r="U83" s="156">
        <v>0</v>
      </c>
      <c r="V83" s="156">
        <v>0</v>
      </c>
      <c r="W83" s="156">
        <v>31</v>
      </c>
      <c r="X83" s="156">
        <v>36</v>
      </c>
      <c r="Y83" s="156">
        <v>31</v>
      </c>
      <c r="Z83" s="63">
        <v>45</v>
      </c>
      <c r="AA83" s="63">
        <v>55</v>
      </c>
      <c r="AB83" s="63">
        <v>78</v>
      </c>
      <c r="AC83" s="63">
        <v>-34</v>
      </c>
      <c r="AD83" s="63">
        <v>21</v>
      </c>
      <c r="AE83" s="63">
        <v>9</v>
      </c>
      <c r="AF83" s="63">
        <v>-34</v>
      </c>
      <c r="AG83" s="63">
        <v>21</v>
      </c>
      <c r="AH83" s="63">
        <v>9</v>
      </c>
      <c r="AI83" s="155">
        <v>0</v>
      </c>
      <c r="AJ83" s="156">
        <v>0</v>
      </c>
      <c r="AK83" s="157">
        <v>0</v>
      </c>
      <c r="AL83" s="63">
        <v>0</v>
      </c>
      <c r="AM83" s="63">
        <v>0</v>
      </c>
      <c r="AN83" s="63">
        <v>0</v>
      </c>
      <c r="AO83" s="63">
        <v>0</v>
      </c>
      <c r="AP83" s="63">
        <v>0</v>
      </c>
      <c r="AQ83" s="63">
        <v>0</v>
      </c>
      <c r="AR83" s="63">
        <v>192</v>
      </c>
      <c r="AS83" s="63">
        <v>128</v>
      </c>
      <c r="AT83" s="63">
        <v>128</v>
      </c>
      <c r="AU83" s="63">
        <v>158</v>
      </c>
      <c r="AV83" s="63">
        <v>149</v>
      </c>
      <c r="AW83" s="63">
        <v>137</v>
      </c>
      <c r="AX83" s="63">
        <v>-34</v>
      </c>
      <c r="AY83" s="63">
        <v>21</v>
      </c>
      <c r="AZ83" s="63">
        <v>9</v>
      </c>
      <c r="BA83" s="63">
        <v>-34</v>
      </c>
      <c r="BB83" s="63">
        <v>21</v>
      </c>
      <c r="BC83" s="63">
        <v>9</v>
      </c>
    </row>
    <row r="84" spans="1:55">
      <c r="A84" s="63" t="s">
        <v>129</v>
      </c>
      <c r="B84" s="63">
        <v>278</v>
      </c>
      <c r="C84" s="63" t="s">
        <v>38</v>
      </c>
      <c r="D84" s="63" t="s">
        <v>33</v>
      </c>
      <c r="E84" s="63">
        <v>771</v>
      </c>
      <c r="F84" s="63">
        <v>359</v>
      </c>
      <c r="G84" s="63">
        <v>515</v>
      </c>
      <c r="H84" s="63">
        <v>95</v>
      </c>
      <c r="I84" s="63">
        <v>0</v>
      </c>
      <c r="J84" s="63">
        <v>10</v>
      </c>
      <c r="K84" s="63">
        <v>0</v>
      </c>
      <c r="L84" s="63">
        <v>17</v>
      </c>
      <c r="M84" s="63">
        <v>22</v>
      </c>
      <c r="N84" s="63">
        <v>416</v>
      </c>
      <c r="O84" s="63">
        <v>87</v>
      </c>
      <c r="P84" s="63">
        <v>483</v>
      </c>
      <c r="Q84" s="156">
        <v>326</v>
      </c>
      <c r="R84" s="156">
        <v>4</v>
      </c>
      <c r="S84" s="156">
        <v>0</v>
      </c>
      <c r="T84" s="156">
        <v>0</v>
      </c>
      <c r="U84" s="156">
        <v>0</v>
      </c>
      <c r="V84" s="156">
        <v>393</v>
      </c>
      <c r="W84" s="156">
        <v>90</v>
      </c>
      <c r="X84" s="156">
        <v>83</v>
      </c>
      <c r="Y84" s="156">
        <v>90</v>
      </c>
      <c r="Z84" s="63">
        <v>260</v>
      </c>
      <c r="AA84" s="63">
        <v>255</v>
      </c>
      <c r="AB84" s="63">
        <v>0</v>
      </c>
      <c r="AC84" s="63">
        <v>-89</v>
      </c>
      <c r="AD84" s="63">
        <v>-279</v>
      </c>
      <c r="AE84" s="63">
        <v>-232</v>
      </c>
      <c r="AF84" s="63">
        <v>-89</v>
      </c>
      <c r="AG84" s="63">
        <v>-279</v>
      </c>
      <c r="AH84" s="63">
        <v>-232</v>
      </c>
      <c r="AI84" s="155">
        <v>119</v>
      </c>
      <c r="AJ84" s="156">
        <v>311</v>
      </c>
      <c r="AK84" s="157">
        <v>164</v>
      </c>
      <c r="AL84" s="63">
        <v>116</v>
      </c>
      <c r="AM84" s="63">
        <v>253</v>
      </c>
      <c r="AN84" s="63">
        <v>141</v>
      </c>
      <c r="AO84" s="63">
        <v>116</v>
      </c>
      <c r="AP84" s="63">
        <v>253</v>
      </c>
      <c r="AQ84" s="63">
        <v>141</v>
      </c>
      <c r="AR84" s="63">
        <v>863</v>
      </c>
      <c r="AS84" s="63">
        <v>696</v>
      </c>
      <c r="AT84" s="63">
        <v>770</v>
      </c>
      <c r="AU84" s="63">
        <v>890</v>
      </c>
      <c r="AV84" s="63">
        <v>670</v>
      </c>
      <c r="AW84" s="63">
        <v>679</v>
      </c>
      <c r="AX84" s="63">
        <v>27</v>
      </c>
      <c r="AY84" s="63">
        <v>-26</v>
      </c>
      <c r="AZ84" s="63">
        <v>-91</v>
      </c>
      <c r="BA84" s="63">
        <v>27</v>
      </c>
      <c r="BB84" s="63">
        <v>-26</v>
      </c>
      <c r="BC84" s="63">
        <v>-91</v>
      </c>
    </row>
    <row r="85" spans="1:55">
      <c r="A85" s="63" t="s">
        <v>132</v>
      </c>
      <c r="B85" s="63">
        <v>124</v>
      </c>
      <c r="C85" s="63" t="s">
        <v>38</v>
      </c>
      <c r="D85" s="63" t="s">
        <v>33</v>
      </c>
      <c r="E85" s="63">
        <v>82</v>
      </c>
      <c r="F85" s="63">
        <v>75</v>
      </c>
      <c r="G85" s="63">
        <v>182</v>
      </c>
      <c r="H85" s="63">
        <v>0</v>
      </c>
      <c r="I85" s="63">
        <v>5</v>
      </c>
      <c r="J85" s="63">
        <v>37</v>
      </c>
      <c r="K85" s="63">
        <v>0</v>
      </c>
      <c r="L85" s="63">
        <v>0</v>
      </c>
      <c r="M85" s="63">
        <v>0</v>
      </c>
      <c r="N85" s="63">
        <v>35</v>
      </c>
      <c r="O85" s="63">
        <v>40</v>
      </c>
      <c r="P85" s="63">
        <v>67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35</v>
      </c>
      <c r="X85" s="156">
        <v>40</v>
      </c>
      <c r="Y85" s="156">
        <v>67</v>
      </c>
      <c r="Z85" s="63">
        <v>47</v>
      </c>
      <c r="AA85" s="63">
        <v>30</v>
      </c>
      <c r="AB85" s="63">
        <v>78</v>
      </c>
      <c r="AC85" s="63">
        <v>6</v>
      </c>
      <c r="AD85" s="63">
        <v>-25</v>
      </c>
      <c r="AE85" s="63">
        <v>15</v>
      </c>
      <c r="AF85" s="63">
        <v>6</v>
      </c>
      <c r="AG85" s="63">
        <v>-25</v>
      </c>
      <c r="AH85" s="63">
        <v>15</v>
      </c>
      <c r="AI85" s="155">
        <v>19</v>
      </c>
      <c r="AJ85" s="156">
        <v>67</v>
      </c>
      <c r="AK85" s="157">
        <v>63</v>
      </c>
      <c r="AL85" s="63">
        <v>7</v>
      </c>
      <c r="AM85" s="63">
        <v>38</v>
      </c>
      <c r="AN85" s="63">
        <v>3</v>
      </c>
      <c r="AO85" s="63">
        <v>7</v>
      </c>
      <c r="AP85" s="63">
        <v>38</v>
      </c>
      <c r="AQ85" s="63">
        <v>3</v>
      </c>
      <c r="AR85" s="63">
        <v>88</v>
      </c>
      <c r="AS85" s="63">
        <v>129</v>
      </c>
      <c r="AT85" s="63">
        <v>227</v>
      </c>
      <c r="AU85" s="63">
        <v>101</v>
      </c>
      <c r="AV85" s="63">
        <v>142</v>
      </c>
      <c r="AW85" s="63">
        <v>245</v>
      </c>
      <c r="AX85" s="63">
        <v>13</v>
      </c>
      <c r="AY85" s="63">
        <v>13</v>
      </c>
      <c r="AZ85" s="63">
        <v>18</v>
      </c>
      <c r="BA85" s="63">
        <v>13</v>
      </c>
      <c r="BB85" s="63">
        <v>13</v>
      </c>
      <c r="BC85" s="63">
        <v>18</v>
      </c>
    </row>
    <row r="86" spans="1:55">
      <c r="A86" s="66" t="s">
        <v>76</v>
      </c>
      <c r="B86" s="66">
        <v>40</v>
      </c>
      <c r="C86" s="66" t="s">
        <v>41</v>
      </c>
      <c r="D86" s="66" t="s">
        <v>33</v>
      </c>
      <c r="E86" s="66">
        <v>338.56780091416965</v>
      </c>
      <c r="F86" s="66">
        <v>424.92635855764348</v>
      </c>
      <c r="G86" s="66">
        <v>427.46571863890301</v>
      </c>
      <c r="H86" s="66">
        <v>101.02590147282883</v>
      </c>
      <c r="I86" s="66">
        <v>94.97206703910615</v>
      </c>
      <c r="J86" s="66">
        <v>95.39867953275774</v>
      </c>
      <c r="K86" s="66">
        <v>18.953783646521075</v>
      </c>
      <c r="L86" s="66">
        <v>42.640934484509899</v>
      </c>
      <c r="M86" s="66">
        <v>31.406805485017774</v>
      </c>
      <c r="N86" s="66">
        <v>106.49060436769935</v>
      </c>
      <c r="O86" s="66">
        <v>75.774504824784145</v>
      </c>
      <c r="P86" s="66">
        <v>70.391061452513966</v>
      </c>
      <c r="Q86" s="107">
        <v>100.33519553072625</v>
      </c>
      <c r="R86" s="107">
        <v>0</v>
      </c>
      <c r="S86" s="107">
        <v>0</v>
      </c>
      <c r="T86" s="107">
        <v>9.3448450990350427</v>
      </c>
      <c r="U86" s="107">
        <v>19.156932453021838</v>
      </c>
      <c r="V86" s="107">
        <v>4.3270695784662268</v>
      </c>
      <c r="W86" s="107">
        <v>59.66480446927374</v>
      </c>
      <c r="X86" s="107">
        <v>56.637887252412391</v>
      </c>
      <c r="Y86" s="107">
        <v>66.063991874047744</v>
      </c>
      <c r="Z86" s="66">
        <v>110.47232097511427</v>
      </c>
      <c r="AA86" s="66">
        <v>203.10817673946164</v>
      </c>
      <c r="AB86" s="66">
        <v>230.26917216861349</v>
      </c>
      <c r="AC86" s="66">
        <v>-53.164042661249368</v>
      </c>
      <c r="AD86" s="66">
        <v>-129.79177247333672</v>
      </c>
      <c r="AE86" s="66">
        <v>-39.796851193499236</v>
      </c>
      <c r="AF86" s="66">
        <v>-59.908583037074656</v>
      </c>
      <c r="AG86" s="66">
        <v>-131.11223971559167</v>
      </c>
      <c r="AH86" s="66">
        <v>-39.796851193499236</v>
      </c>
      <c r="AI86" s="163">
        <v>53.164042661249368</v>
      </c>
      <c r="AJ86" s="107">
        <v>64.80446927374301</v>
      </c>
      <c r="AK86" s="164">
        <v>315.97765363128491</v>
      </c>
      <c r="AL86" s="66">
        <v>50.705942102590143</v>
      </c>
      <c r="AM86" s="66">
        <v>53.732859319451492</v>
      </c>
      <c r="AN86" s="66">
        <v>294.68765871000505</v>
      </c>
      <c r="AO86" s="66">
        <v>50.705942102590143</v>
      </c>
      <c r="AP86" s="66">
        <v>46.582021330624677</v>
      </c>
      <c r="AQ86" s="66">
        <v>241.99085830370748</v>
      </c>
      <c r="AR86" s="66">
        <v>394.18994413407825</v>
      </c>
      <c r="AS86" s="66">
        <v>574.26104621635341</v>
      </c>
      <c r="AT86" s="66">
        <v>541.24936515997967</v>
      </c>
      <c r="AU86" s="66">
        <v>391.73184357541902</v>
      </c>
      <c r="AV86" s="66">
        <v>489.73082783138648</v>
      </c>
      <c r="AW86" s="66">
        <v>743.44337227018798</v>
      </c>
      <c r="AX86" s="66">
        <v>-2.4581005586592179</v>
      </c>
      <c r="AY86" s="66">
        <v>-84.530218384966986</v>
      </c>
      <c r="AZ86" s="66">
        <v>202.19400711020822</v>
      </c>
      <c r="BA86" s="66">
        <v>-9.2026409344845099</v>
      </c>
      <c r="BB86" s="66">
        <v>-84.530218384966986</v>
      </c>
      <c r="BC86" s="66">
        <v>202.19400711020822</v>
      </c>
    </row>
    <row r="87" spans="1:55">
      <c r="A87" s="66" t="s">
        <v>79</v>
      </c>
      <c r="B87" s="66">
        <v>30</v>
      </c>
      <c r="C87" s="66" t="s">
        <v>41</v>
      </c>
      <c r="D87" s="66" t="s">
        <v>33</v>
      </c>
      <c r="E87" s="66">
        <v>209</v>
      </c>
      <c r="F87" s="66">
        <v>205</v>
      </c>
      <c r="G87" s="66">
        <v>290</v>
      </c>
      <c r="H87" s="66">
        <v>40</v>
      </c>
      <c r="I87" s="66">
        <v>49</v>
      </c>
      <c r="J87" s="66">
        <v>58</v>
      </c>
      <c r="K87" s="66">
        <v>0</v>
      </c>
      <c r="L87" s="66">
        <v>0</v>
      </c>
      <c r="M87" s="66">
        <v>0</v>
      </c>
      <c r="N87" s="66">
        <v>21</v>
      </c>
      <c r="O87" s="66">
        <v>27</v>
      </c>
      <c r="P87" s="66">
        <v>22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21</v>
      </c>
      <c r="X87" s="107">
        <v>27</v>
      </c>
      <c r="Y87" s="107">
        <v>22</v>
      </c>
      <c r="Z87" s="66">
        <v>148</v>
      </c>
      <c r="AA87" s="66">
        <v>129</v>
      </c>
      <c r="AB87" s="66">
        <v>210</v>
      </c>
      <c r="AC87" s="66">
        <v>-38</v>
      </c>
      <c r="AD87" s="66">
        <v>26</v>
      </c>
      <c r="AE87" s="66">
        <v>-6</v>
      </c>
      <c r="AF87" s="66">
        <v>-38</v>
      </c>
      <c r="AG87" s="66">
        <v>26</v>
      </c>
      <c r="AH87" s="66">
        <v>-6</v>
      </c>
      <c r="AI87" s="163">
        <v>15</v>
      </c>
      <c r="AJ87" s="107">
        <v>5</v>
      </c>
      <c r="AK87" s="164">
        <v>3</v>
      </c>
      <c r="AL87" s="66">
        <v>15</v>
      </c>
      <c r="AM87" s="66">
        <v>5</v>
      </c>
      <c r="AN87" s="66">
        <v>3</v>
      </c>
      <c r="AO87" s="66">
        <v>15</v>
      </c>
      <c r="AP87" s="66">
        <v>5</v>
      </c>
      <c r="AQ87" s="66">
        <v>3</v>
      </c>
      <c r="AR87" s="66">
        <v>247</v>
      </c>
      <c r="AS87" s="66">
        <v>179</v>
      </c>
      <c r="AT87" s="66">
        <v>296</v>
      </c>
      <c r="AU87" s="66">
        <v>224</v>
      </c>
      <c r="AV87" s="66">
        <v>210</v>
      </c>
      <c r="AW87" s="66">
        <v>293</v>
      </c>
      <c r="AX87" s="66">
        <v>-23</v>
      </c>
      <c r="AY87" s="66">
        <v>31</v>
      </c>
      <c r="AZ87" s="66">
        <v>-3</v>
      </c>
      <c r="BA87" s="66">
        <v>-23</v>
      </c>
      <c r="BB87" s="66">
        <v>31</v>
      </c>
      <c r="BC87" s="66">
        <v>-3</v>
      </c>
    </row>
    <row r="88" spans="1:55">
      <c r="A88" s="45" t="s">
        <v>88</v>
      </c>
      <c r="B88" s="45">
        <v>180</v>
      </c>
      <c r="C88" s="45" t="s">
        <v>34</v>
      </c>
      <c r="D88" s="45" t="s">
        <v>33</v>
      </c>
      <c r="E88" s="45">
        <v>1487</v>
      </c>
      <c r="F88" s="45">
        <v>1548</v>
      </c>
      <c r="G88" s="45">
        <v>1471</v>
      </c>
      <c r="H88" s="45">
        <v>51</v>
      </c>
      <c r="I88" s="45">
        <v>47</v>
      </c>
      <c r="J88" s="45">
        <v>80</v>
      </c>
      <c r="K88" s="45">
        <v>847</v>
      </c>
      <c r="L88" s="45">
        <v>809</v>
      </c>
      <c r="M88" s="45">
        <v>781</v>
      </c>
      <c r="N88" s="45">
        <v>0</v>
      </c>
      <c r="O88" s="45">
        <v>0</v>
      </c>
      <c r="P88" s="45">
        <v>0</v>
      </c>
      <c r="Q88" s="102">
        <v>0</v>
      </c>
      <c r="R88" s="102">
        <v>0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2">
        <v>0</v>
      </c>
      <c r="Y88" s="102">
        <v>0</v>
      </c>
      <c r="Z88" s="45">
        <v>589</v>
      </c>
      <c r="AA88" s="45">
        <v>692</v>
      </c>
      <c r="AB88" s="45">
        <v>700</v>
      </c>
      <c r="AC88" s="45">
        <v>78</v>
      </c>
      <c r="AD88" s="45">
        <v>100</v>
      </c>
      <c r="AE88" s="45">
        <v>24</v>
      </c>
      <c r="AF88" s="45">
        <v>78</v>
      </c>
      <c r="AG88" s="45">
        <v>100</v>
      </c>
      <c r="AH88" s="45">
        <v>24</v>
      </c>
      <c r="AI88" s="165">
        <v>0</v>
      </c>
      <c r="AJ88" s="102">
        <v>0</v>
      </c>
      <c r="AK88" s="166">
        <v>0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1409</v>
      </c>
      <c r="AS88" s="45">
        <v>1448</v>
      </c>
      <c r="AT88" s="45">
        <v>1447</v>
      </c>
      <c r="AU88" s="45">
        <v>1487</v>
      </c>
      <c r="AV88" s="45">
        <v>1548</v>
      </c>
      <c r="AW88" s="45">
        <v>1471</v>
      </c>
      <c r="AX88" s="45">
        <v>78</v>
      </c>
      <c r="AY88" s="45">
        <v>100</v>
      </c>
      <c r="AZ88" s="45">
        <v>24</v>
      </c>
      <c r="BA88" s="45">
        <v>78</v>
      </c>
      <c r="BB88" s="45">
        <v>100</v>
      </c>
      <c r="BC88" s="45">
        <v>24</v>
      </c>
    </row>
    <row r="89" spans="1:55">
      <c r="A89" s="45" t="s">
        <v>139</v>
      </c>
      <c r="B89" s="45">
        <v>350</v>
      </c>
      <c r="C89" s="45" t="s">
        <v>34</v>
      </c>
      <c r="D89" s="45" t="s">
        <v>33</v>
      </c>
      <c r="E89" s="45">
        <v>3928</v>
      </c>
      <c r="F89" s="45">
        <v>3940</v>
      </c>
      <c r="G89" s="45">
        <v>5030</v>
      </c>
      <c r="H89" s="45">
        <v>887</v>
      </c>
      <c r="I89" s="45">
        <v>0</v>
      </c>
      <c r="J89" s="45">
        <v>64</v>
      </c>
      <c r="K89" s="45">
        <v>0</v>
      </c>
      <c r="L89" s="45">
        <v>-3</v>
      </c>
      <c r="M89" s="45">
        <v>1</v>
      </c>
      <c r="N89" s="45">
        <v>1265</v>
      </c>
      <c r="O89" s="45">
        <v>2084</v>
      </c>
      <c r="P89" s="45">
        <v>2592</v>
      </c>
      <c r="Q89" s="102">
        <v>0</v>
      </c>
      <c r="R89" s="102">
        <v>0</v>
      </c>
      <c r="S89" s="102">
        <v>0</v>
      </c>
      <c r="T89" s="102">
        <v>97</v>
      </c>
      <c r="U89" s="102">
        <v>431</v>
      </c>
      <c r="V89" s="102">
        <v>619</v>
      </c>
      <c r="W89" s="102">
        <v>1168</v>
      </c>
      <c r="X89" s="102">
        <v>1653</v>
      </c>
      <c r="Y89" s="102">
        <v>1973</v>
      </c>
      <c r="Z89" s="45">
        <v>1776</v>
      </c>
      <c r="AA89" s="45">
        <v>1859</v>
      </c>
      <c r="AB89" s="45">
        <v>2373</v>
      </c>
      <c r="AC89" s="45">
        <v>143</v>
      </c>
      <c r="AD89" s="45">
        <v>-702</v>
      </c>
      <c r="AE89" s="45">
        <v>-276</v>
      </c>
      <c r="AF89" s="45">
        <v>143</v>
      </c>
      <c r="AG89" s="45">
        <v>-702</v>
      </c>
      <c r="AH89" s="45">
        <v>-276</v>
      </c>
      <c r="AI89" s="165">
        <v>0</v>
      </c>
      <c r="AJ89" s="102">
        <v>148</v>
      </c>
      <c r="AK89" s="166">
        <v>96</v>
      </c>
      <c r="AL89" s="45">
        <v>0</v>
      </c>
      <c r="AM89" s="45">
        <v>148</v>
      </c>
      <c r="AN89" s="45">
        <v>96</v>
      </c>
      <c r="AO89" s="45">
        <v>0</v>
      </c>
      <c r="AP89" s="45">
        <v>148</v>
      </c>
      <c r="AQ89" s="45">
        <v>96</v>
      </c>
      <c r="AR89" s="45">
        <v>3785</v>
      </c>
      <c r="AS89" s="45">
        <v>4642</v>
      </c>
      <c r="AT89" s="45">
        <v>5306</v>
      </c>
      <c r="AU89" s="45">
        <v>3928</v>
      </c>
      <c r="AV89" s="45">
        <v>4088</v>
      </c>
      <c r="AW89" s="45">
        <v>5126</v>
      </c>
      <c r="AX89" s="45">
        <v>143</v>
      </c>
      <c r="AY89" s="45">
        <v>-554</v>
      </c>
      <c r="AZ89" s="45">
        <v>-180</v>
      </c>
      <c r="BA89" s="45">
        <v>143</v>
      </c>
      <c r="BB89" s="45">
        <v>-554</v>
      </c>
      <c r="BC89" s="45">
        <v>-180</v>
      </c>
    </row>
    <row r="90" spans="1:55">
      <c r="A90" s="45" t="s">
        <v>140</v>
      </c>
      <c r="B90" s="45">
        <v>210</v>
      </c>
      <c r="C90" s="45" t="s">
        <v>34</v>
      </c>
      <c r="D90" s="45" t="s">
        <v>33</v>
      </c>
      <c r="E90" s="45">
        <v>1339</v>
      </c>
      <c r="F90" s="45">
        <v>1930</v>
      </c>
      <c r="G90" s="45">
        <v>2027</v>
      </c>
      <c r="H90" s="45">
        <v>162</v>
      </c>
      <c r="I90" s="45">
        <v>215</v>
      </c>
      <c r="J90" s="45">
        <v>384</v>
      </c>
      <c r="K90" s="45">
        <v>0</v>
      </c>
      <c r="L90" s="45">
        <v>0</v>
      </c>
      <c r="M90" s="45">
        <v>0</v>
      </c>
      <c r="N90" s="45">
        <v>949</v>
      </c>
      <c r="O90" s="45">
        <v>1028</v>
      </c>
      <c r="P90" s="45">
        <v>856</v>
      </c>
      <c r="Q90" s="102">
        <v>42</v>
      </c>
      <c r="R90" s="102">
        <v>121</v>
      </c>
      <c r="S90" s="102">
        <v>853</v>
      </c>
      <c r="T90" s="102">
        <v>25</v>
      </c>
      <c r="U90" s="102">
        <v>25</v>
      </c>
      <c r="V90" s="102">
        <v>0</v>
      </c>
      <c r="W90" s="102">
        <v>882</v>
      </c>
      <c r="X90" s="102">
        <v>882</v>
      </c>
      <c r="Y90" s="102">
        <v>3</v>
      </c>
      <c r="Z90" s="45">
        <v>228</v>
      </c>
      <c r="AA90" s="45">
        <v>687</v>
      </c>
      <c r="AB90" s="45">
        <v>787</v>
      </c>
      <c r="AC90" s="45">
        <v>144</v>
      </c>
      <c r="AD90" s="45">
        <v>434</v>
      </c>
      <c r="AE90" s="45">
        <v>284</v>
      </c>
      <c r="AF90" s="45">
        <v>144</v>
      </c>
      <c r="AG90" s="45">
        <v>434</v>
      </c>
      <c r="AH90" s="45">
        <v>284</v>
      </c>
      <c r="AI90" s="165">
        <v>0</v>
      </c>
      <c r="AJ90" s="102">
        <v>0</v>
      </c>
      <c r="AK90" s="166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1195</v>
      </c>
      <c r="AS90" s="45">
        <v>1496</v>
      </c>
      <c r="AT90" s="45">
        <v>1743</v>
      </c>
      <c r="AU90" s="45">
        <v>1339</v>
      </c>
      <c r="AV90" s="45">
        <v>1930</v>
      </c>
      <c r="AW90" s="45">
        <v>2027</v>
      </c>
      <c r="AX90" s="45">
        <v>144</v>
      </c>
      <c r="AY90" s="45">
        <v>434</v>
      </c>
      <c r="AZ90" s="45">
        <v>284</v>
      </c>
      <c r="BA90" s="45">
        <v>144</v>
      </c>
      <c r="BB90" s="45">
        <v>434</v>
      </c>
      <c r="BC90" s="45">
        <v>284</v>
      </c>
    </row>
    <row r="91" spans="1:55">
      <c r="A91" s="47" t="s">
        <v>77</v>
      </c>
      <c r="B91" s="47">
        <v>105</v>
      </c>
      <c r="C91" s="47" t="s">
        <v>43</v>
      </c>
      <c r="D91" s="47" t="s">
        <v>33</v>
      </c>
      <c r="E91" s="47">
        <v>804</v>
      </c>
      <c r="F91" s="47">
        <v>873</v>
      </c>
      <c r="G91" s="47">
        <v>1133</v>
      </c>
      <c r="H91" s="47">
        <v>49</v>
      </c>
      <c r="I91" s="47">
        <v>85</v>
      </c>
      <c r="J91" s="47">
        <v>21</v>
      </c>
      <c r="K91" s="47">
        <v>117</v>
      </c>
      <c r="L91" s="47">
        <v>49</v>
      </c>
      <c r="M91" s="47">
        <v>72</v>
      </c>
      <c r="N91" s="47">
        <v>273</v>
      </c>
      <c r="O91" s="47">
        <v>388</v>
      </c>
      <c r="P91" s="47">
        <v>346</v>
      </c>
      <c r="Q91" s="170">
        <v>0</v>
      </c>
      <c r="R91" s="170">
        <v>0</v>
      </c>
      <c r="S91" s="170">
        <v>0</v>
      </c>
      <c r="T91" s="170">
        <v>115</v>
      </c>
      <c r="U91" s="170">
        <v>85</v>
      </c>
      <c r="V91" s="170">
        <v>54</v>
      </c>
      <c r="W91" s="170">
        <v>273</v>
      </c>
      <c r="X91" s="170">
        <v>303</v>
      </c>
      <c r="Y91" s="170">
        <v>292</v>
      </c>
      <c r="Z91" s="47">
        <v>365</v>
      </c>
      <c r="AA91" s="47">
        <v>341</v>
      </c>
      <c r="AB91" s="47">
        <v>654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169">
        <v>0</v>
      </c>
      <c r="AJ91" s="170">
        <v>0</v>
      </c>
      <c r="AK91" s="171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804</v>
      </c>
      <c r="AS91" s="47">
        <v>873</v>
      </c>
      <c r="AT91" s="47">
        <v>1133</v>
      </c>
      <c r="AU91" s="47">
        <v>804</v>
      </c>
      <c r="AV91" s="47">
        <v>873</v>
      </c>
      <c r="AW91" s="47">
        <v>1133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</row>
    <row r="92" spans="1:55">
      <c r="A92" s="64" t="s">
        <v>90</v>
      </c>
      <c r="B92" s="64">
        <v>65</v>
      </c>
      <c r="C92" s="64" t="s">
        <v>44</v>
      </c>
      <c r="D92" s="64" t="s">
        <v>33</v>
      </c>
      <c r="E92" s="64">
        <v>123.5</v>
      </c>
      <c r="F92" s="64">
        <v>150.01999999999998</v>
      </c>
      <c r="G92" s="64">
        <v>193.44</v>
      </c>
      <c r="H92" s="64">
        <v>8.32</v>
      </c>
      <c r="I92" s="64">
        <v>1.3</v>
      </c>
      <c r="J92" s="64">
        <v>2.4699999999999998</v>
      </c>
      <c r="K92" s="64">
        <v>0</v>
      </c>
      <c r="L92" s="64">
        <v>0.26</v>
      </c>
      <c r="M92" s="64">
        <v>0.26</v>
      </c>
      <c r="N92" s="64">
        <v>62.66</v>
      </c>
      <c r="O92" s="64">
        <v>55.12</v>
      </c>
      <c r="P92" s="64">
        <v>53.04</v>
      </c>
      <c r="Q92" s="104">
        <v>5.46</v>
      </c>
      <c r="R92" s="104">
        <v>4.16</v>
      </c>
      <c r="S92" s="104">
        <v>6.11</v>
      </c>
      <c r="T92" s="104">
        <v>41.08</v>
      </c>
      <c r="U92" s="104">
        <v>34.840000000000003</v>
      </c>
      <c r="V92" s="104">
        <v>24.57</v>
      </c>
      <c r="W92" s="104">
        <v>16.12</v>
      </c>
      <c r="X92" s="104">
        <v>15.99</v>
      </c>
      <c r="Y92" s="104">
        <v>22.36</v>
      </c>
      <c r="Z92" s="64">
        <v>52.650000000000006</v>
      </c>
      <c r="AA92" s="64">
        <v>93.34</v>
      </c>
      <c r="AB92" s="64">
        <v>137.66999999999999</v>
      </c>
      <c r="AC92" s="64">
        <v>6.11</v>
      </c>
      <c r="AD92" s="64">
        <v>-11.44</v>
      </c>
      <c r="AE92" s="64">
        <v>1.95</v>
      </c>
      <c r="AF92" s="64">
        <v>6.11</v>
      </c>
      <c r="AG92" s="64">
        <v>-11.44</v>
      </c>
      <c r="AH92" s="64">
        <v>1.95</v>
      </c>
      <c r="AI92" s="172">
        <v>10.790000000000001</v>
      </c>
      <c r="AJ92" s="104">
        <v>14.17</v>
      </c>
      <c r="AK92" s="173">
        <v>11.44</v>
      </c>
      <c r="AL92" s="64">
        <v>9.879999999999999</v>
      </c>
      <c r="AM92" s="64">
        <v>14.17</v>
      </c>
      <c r="AN92" s="64">
        <v>11.44</v>
      </c>
      <c r="AO92" s="64">
        <v>9.879999999999999</v>
      </c>
      <c r="AP92" s="64">
        <v>14.17</v>
      </c>
      <c r="AQ92" s="64">
        <v>11.44</v>
      </c>
      <c r="AR92" s="64">
        <v>118.56</v>
      </c>
      <c r="AS92" s="64">
        <v>161.33000000000001</v>
      </c>
      <c r="AT92" s="64">
        <v>191.49</v>
      </c>
      <c r="AU92" s="64">
        <v>134.29</v>
      </c>
      <c r="AV92" s="64">
        <v>164.19</v>
      </c>
      <c r="AW92" s="64">
        <v>204.88</v>
      </c>
      <c r="AX92" s="64">
        <v>15.73</v>
      </c>
      <c r="AY92" s="64">
        <v>2.86</v>
      </c>
      <c r="AZ92" s="64">
        <v>13.389999999999999</v>
      </c>
      <c r="BA92" s="64">
        <v>15.99</v>
      </c>
      <c r="BB92" s="64">
        <v>2.73</v>
      </c>
      <c r="BC92" s="64">
        <v>13.389999999999999</v>
      </c>
    </row>
    <row r="93" spans="1:55">
      <c r="A93" s="64" t="s">
        <v>97</v>
      </c>
      <c r="B93" s="64">
        <v>21</v>
      </c>
      <c r="C93" s="64" t="s">
        <v>44</v>
      </c>
      <c r="D93" s="64" t="s">
        <v>33</v>
      </c>
      <c r="E93" s="64">
        <v>197.16666666666666</v>
      </c>
      <c r="F93" s="64">
        <v>203.45</v>
      </c>
      <c r="G93" s="64">
        <v>248.625</v>
      </c>
      <c r="H93" s="64">
        <v>137.69166666666666</v>
      </c>
      <c r="I93" s="64">
        <v>4.7666666666666666</v>
      </c>
      <c r="J93" s="64">
        <v>6.3916666666666666</v>
      </c>
      <c r="K93" s="64">
        <v>59.475000000000001</v>
      </c>
      <c r="L93" s="64">
        <v>18.524999999999999</v>
      </c>
      <c r="M93" s="64">
        <v>7.6916666666666664</v>
      </c>
      <c r="N93" s="64">
        <v>0</v>
      </c>
      <c r="O93" s="64">
        <v>134.98333333333332</v>
      </c>
      <c r="P93" s="64">
        <v>120.35833333333332</v>
      </c>
      <c r="Q93" s="104">
        <v>0</v>
      </c>
      <c r="R93" s="104">
        <v>0</v>
      </c>
      <c r="S93" s="104">
        <v>6.3916666666666666</v>
      </c>
      <c r="T93" s="104">
        <v>0</v>
      </c>
      <c r="U93" s="104">
        <v>0</v>
      </c>
      <c r="V93" s="104">
        <v>7.9083333333333341</v>
      </c>
      <c r="W93" s="104">
        <v>0</v>
      </c>
      <c r="X93" s="104">
        <v>134.98333333333332</v>
      </c>
      <c r="Y93" s="104">
        <v>106.05833333333332</v>
      </c>
      <c r="Z93" s="64">
        <v>0</v>
      </c>
      <c r="AA93" s="64">
        <v>45.174999999999997</v>
      </c>
      <c r="AB93" s="64">
        <v>114.18333333333332</v>
      </c>
      <c r="AC93" s="64">
        <v>-15.708333333333334</v>
      </c>
      <c r="AD93" s="64">
        <v>6.9333333333333336</v>
      </c>
      <c r="AE93" s="64">
        <v>-24.158333333333331</v>
      </c>
      <c r="AF93" s="64">
        <v>-15.708333333333334</v>
      </c>
      <c r="AG93" s="64">
        <v>6.9333333333333336</v>
      </c>
      <c r="AH93" s="64">
        <v>-24.158333333333331</v>
      </c>
      <c r="AI93" s="172">
        <v>16.141666666666666</v>
      </c>
      <c r="AJ93" s="104">
        <v>10.291666666666666</v>
      </c>
      <c r="AK93" s="173">
        <v>44.2</v>
      </c>
      <c r="AL93" s="64">
        <v>15.816666666666668</v>
      </c>
      <c r="AM93" s="64">
        <v>10.291666666666666</v>
      </c>
      <c r="AN93" s="64">
        <v>44.2</v>
      </c>
      <c r="AO93" s="64">
        <v>15.924999999999999</v>
      </c>
      <c r="AP93" s="64">
        <v>10.291666666666666</v>
      </c>
      <c r="AQ93" s="64">
        <v>44.2</v>
      </c>
      <c r="AR93" s="64">
        <v>213.2</v>
      </c>
      <c r="AS93" s="64">
        <v>196.51666666666668</v>
      </c>
      <c r="AT93" s="64">
        <v>272.7833333333333</v>
      </c>
      <c r="AU93" s="64">
        <v>213.30833333333334</v>
      </c>
      <c r="AV93" s="64">
        <v>213.74166666666667</v>
      </c>
      <c r="AW93" s="64">
        <v>292.82499999999999</v>
      </c>
      <c r="AX93" s="64">
        <v>0.10833333333333334</v>
      </c>
      <c r="AY93" s="64">
        <v>17.225000000000001</v>
      </c>
      <c r="AZ93" s="64">
        <v>20.041666666666668</v>
      </c>
      <c r="BA93" s="64">
        <v>0.21666666666666667</v>
      </c>
      <c r="BB93" s="64">
        <v>17.225000000000001</v>
      </c>
      <c r="BC93" s="64">
        <v>20.041666666666668</v>
      </c>
    </row>
    <row r="94" spans="1:55">
      <c r="A94" s="134" t="s">
        <v>81</v>
      </c>
      <c r="B94" s="134">
        <v>70</v>
      </c>
      <c r="C94" s="134" t="s">
        <v>45</v>
      </c>
      <c r="D94" s="134" t="s">
        <v>33</v>
      </c>
      <c r="E94" s="134">
        <v>634.7297297297298</v>
      </c>
      <c r="F94" s="134">
        <v>545.24324324324323</v>
      </c>
      <c r="G94" s="134">
        <v>625.2702702702702</v>
      </c>
      <c r="H94" s="134">
        <v>0</v>
      </c>
      <c r="I94" s="134">
        <v>0</v>
      </c>
      <c r="J94" s="134">
        <v>0</v>
      </c>
      <c r="K94" s="134">
        <v>2.6486486486486487</v>
      </c>
      <c r="L94" s="134">
        <v>0</v>
      </c>
      <c r="M94" s="134">
        <v>89.108108108108112</v>
      </c>
      <c r="N94" s="134">
        <v>383.29729729729729</v>
      </c>
      <c r="O94" s="134">
        <v>238.56756756756758</v>
      </c>
      <c r="P94" s="134">
        <v>216.62162162162164</v>
      </c>
      <c r="Q94" s="179">
        <v>0</v>
      </c>
      <c r="R94" s="179">
        <v>0</v>
      </c>
      <c r="S94" s="179">
        <v>0</v>
      </c>
      <c r="T94" s="179">
        <v>87.594594594594597</v>
      </c>
      <c r="U94" s="179">
        <v>87.594594594594597</v>
      </c>
      <c r="V94" s="179">
        <v>90.621621621621628</v>
      </c>
      <c r="W94" s="179">
        <v>295.70270270270271</v>
      </c>
      <c r="X94" s="179">
        <v>150.972972972973</v>
      </c>
      <c r="Y94" s="179">
        <v>126.18918918918919</v>
      </c>
      <c r="Z94" s="208">
        <v>248.78378378378378</v>
      </c>
      <c r="AA94" s="208">
        <v>306.67567567567568</v>
      </c>
      <c r="AB94" s="208">
        <v>319.3513513513513</v>
      </c>
      <c r="AC94" s="134">
        <v>-182.75675675675674</v>
      </c>
      <c r="AD94" s="134">
        <v>-129.78378378378378</v>
      </c>
      <c r="AE94" s="134">
        <v>-59.78378378378379</v>
      </c>
      <c r="AF94" s="134">
        <v>-182.75675675675674</v>
      </c>
      <c r="AG94" s="134">
        <v>-129.78378378378378</v>
      </c>
      <c r="AH94" s="134">
        <v>-59.78378378378379</v>
      </c>
      <c r="AI94" s="181">
        <v>103.29729729729731</v>
      </c>
      <c r="AJ94" s="179">
        <v>105.94594594594595</v>
      </c>
      <c r="AK94" s="182">
        <v>97.432432432432435</v>
      </c>
      <c r="AL94" s="134">
        <v>52.594594594594597</v>
      </c>
      <c r="AM94" s="134">
        <v>55.432432432432435</v>
      </c>
      <c r="AN94" s="134">
        <v>46.729729729729726</v>
      </c>
      <c r="AO94" s="134">
        <v>52.594594594594597</v>
      </c>
      <c r="AP94" s="134">
        <v>55.432432432432435</v>
      </c>
      <c r="AQ94" s="134">
        <v>46.729729729729726</v>
      </c>
      <c r="AR94" s="134">
        <v>868.18918918918916</v>
      </c>
      <c r="AS94" s="134">
        <v>725.54054054054052</v>
      </c>
      <c r="AT94" s="134">
        <v>735.75675675675677</v>
      </c>
      <c r="AU94" s="134">
        <v>738.02702702702697</v>
      </c>
      <c r="AV94" s="134">
        <v>651.18918918918916</v>
      </c>
      <c r="AW94" s="134">
        <v>722.70270270270271</v>
      </c>
      <c r="AX94" s="134">
        <v>-130.16216216216216</v>
      </c>
      <c r="AY94" s="134">
        <v>-74.351351351351354</v>
      </c>
      <c r="AZ94" s="134">
        <v>-13.054054054054054</v>
      </c>
      <c r="BA94" s="134">
        <v>-130.16216216216216</v>
      </c>
      <c r="BB94" s="134">
        <v>-74.351351351351354</v>
      </c>
      <c r="BC94" s="134">
        <v>-13.054054054054054</v>
      </c>
    </row>
    <row r="95" spans="1:55">
      <c r="Z95" s="11">
        <f>SUM(Z2:Z94)</f>
        <v>26206.583113270714</v>
      </c>
      <c r="AA95" s="11">
        <f t="shared" ref="AA95:AB95" si="0">SUM(AA2:AA94)</f>
        <v>43386.910850764267</v>
      </c>
      <c r="AB95" s="11">
        <f t="shared" si="0"/>
        <v>53269.43768687416</v>
      </c>
    </row>
    <row r="97" spans="1:34">
      <c r="AA97" s="11">
        <f>SUM(Z95:AB95)</f>
        <v>122862.93165090913</v>
      </c>
    </row>
    <row r="98" spans="1:34">
      <c r="AA98" s="11">
        <f>AA97-K99</f>
        <v>18467.149439252331</v>
      </c>
      <c r="AE98">
        <f>Z2+Z3+Z8+Z10+Z12+Z16+Z19+Z20++Z22+Z26+Z21+Z27+Z31+Z29+Z32+Z33+Z37+Z39+Z40+Z41+Z42+Z44+Z50+Z57+Z59+Z60+Z70+Z73+Z75+Z74+Z80+Z81+Z85+Z89+Z92+Z93</f>
        <v>8032.2525913338995</v>
      </c>
      <c r="AF98">
        <f t="shared" ref="AF98:AG98" si="1">AA2+AA3+AA8+AA10+AA12+AA16+AA19+AA20++AA22+AA26+AA21+AA27+AA31+AA29+AA32+AA33+AA37+AA39+AA40+AA41+AA42+AA44+AA50+AA57+AA59+AA60+AA70+AA73+AA75+AA74+AA80+AA81+AA85+AA89+AA92+AA93</f>
        <v>16664.558893372981</v>
      </c>
      <c r="AG98">
        <f t="shared" si="1"/>
        <v>20384.159535542341</v>
      </c>
      <c r="AH98" s="11"/>
    </row>
    <row r="99" spans="1:34">
      <c r="A99" t="s">
        <v>102</v>
      </c>
      <c r="B99">
        <v>117</v>
      </c>
      <c r="C99" t="s">
        <v>31</v>
      </c>
      <c r="D99" t="s">
        <v>35</v>
      </c>
      <c r="E99">
        <v>49</v>
      </c>
      <c r="F99">
        <v>49</v>
      </c>
      <c r="G99">
        <v>85</v>
      </c>
      <c r="K99">
        <f>H131+H170+H199</f>
        <v>104395.7822116568</v>
      </c>
      <c r="AF99">
        <f>AE98+AF98+AG98</f>
        <v>45080.971020249221</v>
      </c>
    </row>
    <row r="100" spans="1:34">
      <c r="A100" t="s">
        <v>134</v>
      </c>
      <c r="B100">
        <v>300</v>
      </c>
      <c r="C100" t="s">
        <v>31</v>
      </c>
      <c r="D100" t="s">
        <v>35</v>
      </c>
      <c r="E100">
        <v>0</v>
      </c>
      <c r="F100">
        <v>1341</v>
      </c>
      <c r="G100">
        <v>1551</v>
      </c>
      <c r="Y100" t="s">
        <v>668</v>
      </c>
      <c r="Z100">
        <v>10</v>
      </c>
      <c r="AA100">
        <v>6</v>
      </c>
      <c r="AB100">
        <v>4</v>
      </c>
      <c r="AG100" s="11"/>
    </row>
    <row r="101" spans="1:34">
      <c r="A101" t="s">
        <v>54</v>
      </c>
      <c r="B101">
        <v>11</v>
      </c>
      <c r="C101" t="s">
        <v>36</v>
      </c>
      <c r="D101" t="s">
        <v>35</v>
      </c>
      <c r="E101">
        <v>13</v>
      </c>
      <c r="F101">
        <v>13</v>
      </c>
      <c r="G101">
        <v>10</v>
      </c>
      <c r="Y101" t="s">
        <v>669</v>
      </c>
      <c r="Z101">
        <v>5</v>
      </c>
      <c r="AA101">
        <v>3</v>
      </c>
      <c r="AB101">
        <v>3</v>
      </c>
    </row>
    <row r="102" spans="1:34">
      <c r="A102" t="s">
        <v>105</v>
      </c>
      <c r="B102">
        <v>21</v>
      </c>
      <c r="C102" t="s">
        <v>46</v>
      </c>
      <c r="D102" t="s">
        <v>35</v>
      </c>
      <c r="E102">
        <v>0</v>
      </c>
      <c r="F102">
        <v>0</v>
      </c>
      <c r="G102">
        <v>0</v>
      </c>
      <c r="Y102" t="s">
        <v>670</v>
      </c>
      <c r="Z102">
        <v>8</v>
      </c>
      <c r="AA102">
        <v>3</v>
      </c>
      <c r="AB102">
        <v>1</v>
      </c>
    </row>
    <row r="103" spans="1:34">
      <c r="A103" t="s">
        <v>106</v>
      </c>
      <c r="B103">
        <v>19</v>
      </c>
      <c r="C103" t="s">
        <v>37</v>
      </c>
      <c r="D103" t="s">
        <v>35</v>
      </c>
      <c r="E103">
        <v>12.064417177914111</v>
      </c>
      <c r="F103">
        <v>16.726993865030675</v>
      </c>
      <c r="G103">
        <v>23.604294478527606</v>
      </c>
      <c r="Z103">
        <f>SUBTOTAL(9,Z100:Z102)</f>
        <v>23</v>
      </c>
      <c r="AA103">
        <f t="shared" ref="AA103:AB103" si="2">SUBTOTAL(9,AA100:AA102)</f>
        <v>12</v>
      </c>
      <c r="AB103">
        <f t="shared" si="2"/>
        <v>8</v>
      </c>
    </row>
    <row r="104" spans="1:34">
      <c r="A104" t="s">
        <v>108</v>
      </c>
      <c r="B104">
        <v>160</v>
      </c>
      <c r="C104" t="s">
        <v>37</v>
      </c>
      <c r="D104" t="s">
        <v>35</v>
      </c>
      <c r="E104">
        <v>153</v>
      </c>
      <c r="F104">
        <v>176</v>
      </c>
      <c r="G104">
        <v>257</v>
      </c>
      <c r="K104" t="s">
        <v>673</v>
      </c>
      <c r="L104" s="11">
        <f>SUM(Z2:AB32)</f>
        <v>16800.840149965916</v>
      </c>
      <c r="O104" s="20">
        <f>L104/$N$105</f>
        <v>0.13771075288211304</v>
      </c>
    </row>
    <row r="105" spans="1:34">
      <c r="A105" t="s">
        <v>59</v>
      </c>
      <c r="B105">
        <v>121</v>
      </c>
      <c r="C105" t="s">
        <v>38</v>
      </c>
      <c r="D105" t="s">
        <v>35</v>
      </c>
      <c r="E105">
        <v>201</v>
      </c>
      <c r="F105">
        <v>235</v>
      </c>
      <c r="G105">
        <v>176</v>
      </c>
      <c r="K105" t="s">
        <v>669</v>
      </c>
      <c r="L105">
        <f>SUM(Z33:AB68)</f>
        <v>69844.600186915894</v>
      </c>
      <c r="N105" s="11">
        <f>SUM(L104:L106)</f>
        <v>122000.93165090916</v>
      </c>
      <c r="O105" s="20">
        <f t="shared" ref="O105:O106" si="3">L105/$N$105</f>
        <v>0.57249235101554574</v>
      </c>
      <c r="Z105">
        <f>COUNTIF(Z2:Z94,0)</f>
        <v>23</v>
      </c>
      <c r="AA105">
        <f t="shared" ref="AA105:AB105" si="4">COUNTIF(AA2:AA94,0)</f>
        <v>12</v>
      </c>
      <c r="AB105">
        <f t="shared" si="4"/>
        <v>8</v>
      </c>
    </row>
    <row r="106" spans="1:34">
      <c r="A106" t="s">
        <v>66</v>
      </c>
      <c r="B106">
        <v>47</v>
      </c>
      <c r="C106" t="s">
        <v>38</v>
      </c>
      <c r="D106" t="s">
        <v>35</v>
      </c>
      <c r="E106">
        <v>0</v>
      </c>
      <c r="F106">
        <v>146</v>
      </c>
      <c r="G106">
        <v>118</v>
      </c>
      <c r="K106" t="s">
        <v>670</v>
      </c>
      <c r="L106">
        <f>SUM(Z70:AB94)</f>
        <v>35355.491314027335</v>
      </c>
      <c r="O106" s="20">
        <f t="shared" si="3"/>
        <v>0.28979689610234105</v>
      </c>
    </row>
    <row r="107" spans="1:34">
      <c r="A107" t="s">
        <v>67</v>
      </c>
      <c r="B107">
        <v>351</v>
      </c>
      <c r="C107" t="s">
        <v>38</v>
      </c>
      <c r="D107" t="s">
        <v>35</v>
      </c>
      <c r="E107">
        <v>779</v>
      </c>
      <c r="F107">
        <v>874</v>
      </c>
      <c r="G107">
        <v>1014</v>
      </c>
    </row>
    <row r="108" spans="1:34">
      <c r="A108" t="s">
        <v>69</v>
      </c>
      <c r="B108">
        <v>190</v>
      </c>
      <c r="C108" t="s">
        <v>38</v>
      </c>
      <c r="D108" t="s">
        <v>35</v>
      </c>
      <c r="E108">
        <v>476</v>
      </c>
      <c r="F108">
        <v>96</v>
      </c>
      <c r="G108">
        <v>180</v>
      </c>
    </row>
    <row r="109" spans="1:34">
      <c r="A109" t="s">
        <v>74</v>
      </c>
      <c r="B109">
        <v>100</v>
      </c>
      <c r="C109" t="s">
        <v>38</v>
      </c>
      <c r="D109" t="s">
        <v>35</v>
      </c>
      <c r="E109">
        <v>60</v>
      </c>
      <c r="F109">
        <v>0</v>
      </c>
      <c r="G109">
        <v>0</v>
      </c>
    </row>
    <row r="110" spans="1:34">
      <c r="A110" t="s">
        <v>85</v>
      </c>
      <c r="B110">
        <v>80</v>
      </c>
      <c r="C110" t="s">
        <v>38</v>
      </c>
      <c r="D110" t="s">
        <v>35</v>
      </c>
      <c r="E110">
        <v>145</v>
      </c>
      <c r="F110">
        <v>216</v>
      </c>
      <c r="G110">
        <v>296</v>
      </c>
      <c r="K110" t="s">
        <v>370</v>
      </c>
      <c r="L110" t="s">
        <v>373</v>
      </c>
      <c r="N110" t="s">
        <v>671</v>
      </c>
      <c r="O110" t="s">
        <v>672</v>
      </c>
      <c r="P110" t="s">
        <v>675</v>
      </c>
      <c r="Q110" t="s">
        <v>676</v>
      </c>
      <c r="R110" t="s">
        <v>677</v>
      </c>
    </row>
    <row r="111" spans="1:34">
      <c r="A111" t="s">
        <v>91</v>
      </c>
      <c r="B111">
        <v>70</v>
      </c>
      <c r="C111" t="s">
        <v>38</v>
      </c>
      <c r="D111" t="s">
        <v>35</v>
      </c>
      <c r="E111">
        <v>200</v>
      </c>
      <c r="F111">
        <v>77</v>
      </c>
      <c r="G111">
        <v>141</v>
      </c>
      <c r="K111" t="s">
        <v>35</v>
      </c>
      <c r="L111">
        <v>31</v>
      </c>
      <c r="M111" s="20">
        <v>0.33333333333333331</v>
      </c>
      <c r="N111">
        <v>20</v>
      </c>
      <c r="O111">
        <v>11</v>
      </c>
      <c r="P111" s="20">
        <v>0.35483870967741937</v>
      </c>
      <c r="Q111" s="11">
        <v>16800.840149965916</v>
      </c>
      <c r="R111" s="20">
        <v>0.13771075288211304</v>
      </c>
    </row>
    <row r="112" spans="1:34">
      <c r="A112" t="s">
        <v>95</v>
      </c>
      <c r="B112">
        <v>255</v>
      </c>
      <c r="C112" t="s">
        <v>38</v>
      </c>
      <c r="D112" t="s">
        <v>35</v>
      </c>
      <c r="E112">
        <v>416</v>
      </c>
      <c r="F112">
        <v>473</v>
      </c>
      <c r="G112">
        <v>947</v>
      </c>
      <c r="K112" t="s">
        <v>32</v>
      </c>
      <c r="L112">
        <v>36</v>
      </c>
      <c r="M112" s="20">
        <v>0.38709677419354838</v>
      </c>
      <c r="N112">
        <v>11</v>
      </c>
      <c r="O112">
        <v>25</v>
      </c>
      <c r="P112" s="20">
        <v>0.69444444444444442</v>
      </c>
      <c r="Q112" s="11">
        <v>69844.600186915894</v>
      </c>
      <c r="R112" s="20">
        <v>0.57249235101554574</v>
      </c>
    </row>
    <row r="113" spans="1:18">
      <c r="A113" t="s">
        <v>111</v>
      </c>
      <c r="B113">
        <v>420</v>
      </c>
      <c r="C113" t="s">
        <v>38</v>
      </c>
      <c r="D113" t="s">
        <v>35</v>
      </c>
      <c r="E113">
        <v>0</v>
      </c>
      <c r="F113">
        <v>0</v>
      </c>
      <c r="G113">
        <v>56</v>
      </c>
      <c r="K113" t="s">
        <v>33</v>
      </c>
      <c r="L113">
        <v>26</v>
      </c>
      <c r="M113" s="20">
        <v>0.27956989247311825</v>
      </c>
      <c r="N113">
        <v>12</v>
      </c>
      <c r="O113">
        <v>14</v>
      </c>
      <c r="P113" s="20">
        <v>0.53846153846153844</v>
      </c>
      <c r="Q113" s="11">
        <v>35355.491314027335</v>
      </c>
      <c r="R113" s="20">
        <v>0.28979689610234105</v>
      </c>
    </row>
    <row r="114" spans="1:18">
      <c r="A114" t="s">
        <v>112</v>
      </c>
      <c r="B114">
        <v>125</v>
      </c>
      <c r="C114" t="s">
        <v>38</v>
      </c>
      <c r="D114" t="s">
        <v>35</v>
      </c>
      <c r="E114">
        <v>0</v>
      </c>
      <c r="F114">
        <v>279.11111111111109</v>
      </c>
      <c r="G114">
        <v>42.333333333333336</v>
      </c>
      <c r="K114" t="s">
        <v>371</v>
      </c>
      <c r="L114">
        <v>93</v>
      </c>
    </row>
    <row r="115" spans="1:18">
      <c r="A115" t="s">
        <v>113</v>
      </c>
      <c r="B115">
        <v>100</v>
      </c>
      <c r="C115" t="s">
        <v>38</v>
      </c>
      <c r="D115" t="s">
        <v>35</v>
      </c>
      <c r="E115">
        <v>72</v>
      </c>
      <c r="F115">
        <v>50</v>
      </c>
      <c r="G115">
        <v>124</v>
      </c>
    </row>
    <row r="116" spans="1:18">
      <c r="A116" t="s">
        <v>115</v>
      </c>
      <c r="B116">
        <v>112</v>
      </c>
      <c r="C116" t="s">
        <v>38</v>
      </c>
      <c r="D116" t="s">
        <v>35</v>
      </c>
      <c r="E116">
        <v>0</v>
      </c>
      <c r="F116">
        <v>0</v>
      </c>
      <c r="G116">
        <v>0</v>
      </c>
    </row>
    <row r="117" spans="1:18">
      <c r="A117" t="s">
        <v>118</v>
      </c>
      <c r="B117">
        <v>55</v>
      </c>
      <c r="C117" t="s">
        <v>38</v>
      </c>
      <c r="D117" t="s">
        <v>35</v>
      </c>
      <c r="E117">
        <v>0</v>
      </c>
      <c r="F117">
        <v>189</v>
      </c>
      <c r="G117">
        <v>231</v>
      </c>
    </row>
    <row r="118" spans="1:18">
      <c r="A118" t="s">
        <v>121</v>
      </c>
      <c r="B118">
        <v>127</v>
      </c>
      <c r="C118" t="s">
        <v>38</v>
      </c>
      <c r="D118" t="s">
        <v>35</v>
      </c>
      <c r="E118">
        <v>70</v>
      </c>
      <c r="F118">
        <v>115</v>
      </c>
      <c r="G118">
        <v>90</v>
      </c>
    </row>
    <row r="119" spans="1:18">
      <c r="A119" t="s">
        <v>122</v>
      </c>
      <c r="B119">
        <v>147</v>
      </c>
      <c r="C119" t="s">
        <v>38</v>
      </c>
      <c r="D119" t="s">
        <v>35</v>
      </c>
      <c r="E119">
        <v>53</v>
      </c>
      <c r="F119">
        <v>185</v>
      </c>
      <c r="G119">
        <v>231</v>
      </c>
    </row>
    <row r="120" spans="1:18">
      <c r="A120" t="s">
        <v>123</v>
      </c>
      <c r="B120">
        <v>45</v>
      </c>
      <c r="C120" t="s">
        <v>38</v>
      </c>
      <c r="D120" t="s">
        <v>35</v>
      </c>
      <c r="E120">
        <v>24</v>
      </c>
      <c r="F120">
        <v>146</v>
      </c>
      <c r="G120">
        <v>142</v>
      </c>
    </row>
    <row r="121" spans="1:18">
      <c r="A121" t="s">
        <v>124</v>
      </c>
      <c r="B121">
        <v>120</v>
      </c>
      <c r="C121" t="s">
        <v>38</v>
      </c>
      <c r="D121" t="s">
        <v>35</v>
      </c>
      <c r="E121">
        <v>0</v>
      </c>
      <c r="F121">
        <v>410</v>
      </c>
      <c r="G121">
        <v>300</v>
      </c>
    </row>
    <row r="122" spans="1:18">
      <c r="A122" t="s">
        <v>125</v>
      </c>
      <c r="B122">
        <v>110</v>
      </c>
      <c r="C122" t="s">
        <v>38</v>
      </c>
      <c r="D122" t="s">
        <v>35</v>
      </c>
      <c r="E122">
        <v>73</v>
      </c>
      <c r="F122">
        <v>64</v>
      </c>
      <c r="G122">
        <v>142</v>
      </c>
    </row>
    <row r="123" spans="1:18">
      <c r="A123" t="s">
        <v>127</v>
      </c>
      <c r="B123">
        <v>111</v>
      </c>
      <c r="C123" t="s">
        <v>38</v>
      </c>
      <c r="D123" t="s">
        <v>35</v>
      </c>
      <c r="E123">
        <v>60</v>
      </c>
      <c r="F123">
        <v>100</v>
      </c>
      <c r="G123">
        <v>153</v>
      </c>
    </row>
    <row r="124" spans="1:18">
      <c r="A124" t="s">
        <v>128</v>
      </c>
      <c r="B124">
        <v>105</v>
      </c>
      <c r="C124" t="s">
        <v>38</v>
      </c>
      <c r="D124" t="s">
        <v>35</v>
      </c>
      <c r="E124">
        <v>36</v>
      </c>
      <c r="F124">
        <v>295</v>
      </c>
      <c r="G124">
        <v>266</v>
      </c>
    </row>
    <row r="125" spans="1:18">
      <c r="A125" t="s">
        <v>131</v>
      </c>
      <c r="B125">
        <v>105</v>
      </c>
      <c r="C125" t="s">
        <v>38</v>
      </c>
      <c r="D125" t="s">
        <v>35</v>
      </c>
      <c r="E125">
        <v>120</v>
      </c>
      <c r="F125">
        <v>204</v>
      </c>
      <c r="G125">
        <v>126</v>
      </c>
    </row>
    <row r="126" spans="1:18">
      <c r="A126" t="s">
        <v>75</v>
      </c>
      <c r="B126">
        <v>50</v>
      </c>
      <c r="C126" t="s">
        <v>40</v>
      </c>
      <c r="D126" t="s">
        <v>35</v>
      </c>
      <c r="E126">
        <v>0</v>
      </c>
      <c r="F126">
        <v>0</v>
      </c>
      <c r="G126">
        <v>0</v>
      </c>
    </row>
    <row r="127" spans="1:18">
      <c r="A127" t="s">
        <v>87</v>
      </c>
      <c r="B127">
        <v>120</v>
      </c>
      <c r="C127" t="s">
        <v>41</v>
      </c>
      <c r="D127" t="s">
        <v>35</v>
      </c>
      <c r="E127">
        <v>98</v>
      </c>
      <c r="F127">
        <v>163</v>
      </c>
      <c r="G127">
        <v>159</v>
      </c>
    </row>
    <row r="128" spans="1:18">
      <c r="A128" t="s">
        <v>78</v>
      </c>
      <c r="B128">
        <v>203</v>
      </c>
      <c r="C128" t="s">
        <v>44</v>
      </c>
      <c r="D128" t="s">
        <v>35</v>
      </c>
      <c r="E128">
        <v>0</v>
      </c>
      <c r="F128">
        <v>0</v>
      </c>
      <c r="G128">
        <v>286</v>
      </c>
    </row>
    <row r="129" spans="1:9">
      <c r="A129" t="s">
        <v>80</v>
      </c>
      <c r="B129">
        <v>180</v>
      </c>
      <c r="C129" t="s">
        <v>44</v>
      </c>
      <c r="D129" t="s">
        <v>35</v>
      </c>
      <c r="E129">
        <v>166</v>
      </c>
      <c r="F129">
        <v>254</v>
      </c>
      <c r="G129">
        <v>211</v>
      </c>
    </row>
    <row r="130" spans="1:9">
      <c r="E130">
        <f>SUBTOTAL(9,E99:E129)</f>
        <v>3276.064417177914</v>
      </c>
      <c r="F130">
        <f t="shared" ref="F130:G130" si="5">SUBTOTAL(9,F99:F129)</f>
        <v>6166.8381049761419</v>
      </c>
      <c r="G130">
        <f t="shared" si="5"/>
        <v>7357.9376278118607</v>
      </c>
    </row>
    <row r="131" spans="1:9">
      <c r="E131">
        <v>3276.064417177914</v>
      </c>
      <c r="F131">
        <v>6166.8381049761419</v>
      </c>
      <c r="G131">
        <v>7357.9376278118607</v>
      </c>
      <c r="H131">
        <f>SUBTOTAL(9,E131:G131)</f>
        <v>16800.840149965916</v>
      </c>
      <c r="I131">
        <f>AVERAGEA(E99:G129)</f>
        <v>180.65419516092382</v>
      </c>
    </row>
    <row r="133" spans="1:9">
      <c r="A133" s="69" t="s">
        <v>48</v>
      </c>
      <c r="B133" s="69">
        <v>50</v>
      </c>
      <c r="C133" s="69" t="s">
        <v>31</v>
      </c>
      <c r="D133" s="69" t="s">
        <v>32</v>
      </c>
      <c r="E133">
        <v>137</v>
      </c>
      <c r="F133">
        <v>190</v>
      </c>
      <c r="G133">
        <v>170</v>
      </c>
    </row>
    <row r="134" spans="1:9">
      <c r="A134" s="69" t="s">
        <v>49</v>
      </c>
      <c r="B134" s="69">
        <v>208</v>
      </c>
      <c r="C134" s="69" t="s">
        <v>31</v>
      </c>
      <c r="D134" s="69" t="s">
        <v>32</v>
      </c>
      <c r="E134">
        <v>197</v>
      </c>
      <c r="F134">
        <v>302</v>
      </c>
      <c r="G134">
        <v>672</v>
      </c>
    </row>
    <row r="135" spans="1:9">
      <c r="A135" s="69" t="s">
        <v>93</v>
      </c>
      <c r="B135" s="69">
        <v>260</v>
      </c>
      <c r="C135" s="69" t="s">
        <v>31</v>
      </c>
      <c r="D135" s="69" t="s">
        <v>32</v>
      </c>
      <c r="E135">
        <v>1302</v>
      </c>
      <c r="F135">
        <v>1964</v>
      </c>
      <c r="G135">
        <v>2438</v>
      </c>
    </row>
    <row r="136" spans="1:9">
      <c r="A136" s="69" t="s">
        <v>101</v>
      </c>
      <c r="B136" s="69">
        <v>176</v>
      </c>
      <c r="C136" s="69" t="s">
        <v>31</v>
      </c>
      <c r="D136" s="69" t="s">
        <v>32</v>
      </c>
      <c r="E136">
        <v>474</v>
      </c>
      <c r="F136">
        <v>505</v>
      </c>
      <c r="G136">
        <v>535</v>
      </c>
    </row>
    <row r="137" spans="1:9">
      <c r="A137" s="69" t="s">
        <v>103</v>
      </c>
      <c r="B137" s="69">
        <v>720</v>
      </c>
      <c r="C137" s="69" t="s">
        <v>31</v>
      </c>
      <c r="D137" s="69" t="s">
        <v>32</v>
      </c>
      <c r="E137">
        <v>0</v>
      </c>
      <c r="F137">
        <v>1341</v>
      </c>
      <c r="G137">
        <v>1551</v>
      </c>
    </row>
    <row r="138" spans="1:9">
      <c r="A138" s="30" t="s">
        <v>94</v>
      </c>
      <c r="B138" s="30">
        <v>50</v>
      </c>
      <c r="C138" s="30" t="s">
        <v>36</v>
      </c>
      <c r="D138" s="30" t="s">
        <v>32</v>
      </c>
      <c r="E138">
        <v>0</v>
      </c>
      <c r="F138">
        <v>885</v>
      </c>
      <c r="G138">
        <v>1080</v>
      </c>
    </row>
    <row r="139" spans="1:9">
      <c r="A139" s="132" t="s">
        <v>56</v>
      </c>
      <c r="B139" s="132">
        <v>80</v>
      </c>
      <c r="C139" s="132" t="s">
        <v>37</v>
      </c>
      <c r="D139" s="132" t="s">
        <v>32</v>
      </c>
      <c r="E139">
        <v>204.26168224299064</v>
      </c>
      <c r="F139">
        <v>266.31775700934577</v>
      </c>
      <c r="G139">
        <v>300.56074766355141</v>
      </c>
    </row>
    <row r="140" spans="1:9">
      <c r="A140" s="132" t="s">
        <v>57</v>
      </c>
      <c r="B140" s="132">
        <v>366</v>
      </c>
      <c r="C140" s="132" t="s">
        <v>37</v>
      </c>
      <c r="D140" s="132" t="s">
        <v>32</v>
      </c>
      <c r="E140">
        <v>373</v>
      </c>
      <c r="F140">
        <v>596</v>
      </c>
      <c r="G140">
        <v>623</v>
      </c>
    </row>
    <row r="141" spans="1:9">
      <c r="A141" s="132" t="s">
        <v>58</v>
      </c>
      <c r="B141" s="132">
        <v>200</v>
      </c>
      <c r="C141" s="132" t="s">
        <v>37</v>
      </c>
      <c r="D141" s="132" t="s">
        <v>32</v>
      </c>
      <c r="E141">
        <v>310</v>
      </c>
      <c r="F141">
        <v>230</v>
      </c>
      <c r="G141">
        <v>592</v>
      </c>
    </row>
    <row r="142" spans="1:9">
      <c r="A142" s="132" t="s">
        <v>82</v>
      </c>
      <c r="B142" s="132">
        <v>30</v>
      </c>
      <c r="C142" s="132" t="s">
        <v>37</v>
      </c>
      <c r="D142" s="132" t="s">
        <v>32</v>
      </c>
      <c r="E142">
        <v>30</v>
      </c>
      <c r="F142">
        <v>40</v>
      </c>
      <c r="G142">
        <v>144</v>
      </c>
    </row>
    <row r="143" spans="1:9">
      <c r="A143" s="132" t="s">
        <v>109</v>
      </c>
      <c r="B143" s="132">
        <v>150</v>
      </c>
      <c r="C143" s="132" t="s">
        <v>37</v>
      </c>
      <c r="D143" s="132" t="s">
        <v>32</v>
      </c>
      <c r="E143">
        <v>210</v>
      </c>
      <c r="F143">
        <v>0</v>
      </c>
      <c r="G143">
        <v>0</v>
      </c>
    </row>
    <row r="144" spans="1:9">
      <c r="A144" s="132" t="s">
        <v>136</v>
      </c>
      <c r="B144" s="132">
        <v>230</v>
      </c>
      <c r="C144" s="132" t="s">
        <v>37</v>
      </c>
      <c r="D144" s="132" t="s">
        <v>32</v>
      </c>
      <c r="E144">
        <v>619</v>
      </c>
      <c r="F144">
        <v>936</v>
      </c>
      <c r="G144">
        <v>1046</v>
      </c>
    </row>
    <row r="145" spans="1:7">
      <c r="A145" s="63" t="s">
        <v>60</v>
      </c>
      <c r="B145" s="63">
        <v>105</v>
      </c>
      <c r="C145" s="63" t="s">
        <v>38</v>
      </c>
      <c r="D145" s="63" t="s">
        <v>32</v>
      </c>
      <c r="E145">
        <v>39</v>
      </c>
      <c r="F145">
        <v>148</v>
      </c>
      <c r="G145">
        <v>308</v>
      </c>
    </row>
    <row r="146" spans="1:7">
      <c r="A146" s="63" t="s">
        <v>62</v>
      </c>
      <c r="B146" s="63">
        <v>296</v>
      </c>
      <c r="C146" s="63" t="s">
        <v>38</v>
      </c>
      <c r="D146" s="63" t="s">
        <v>32</v>
      </c>
      <c r="E146">
        <v>329</v>
      </c>
      <c r="F146">
        <v>431</v>
      </c>
      <c r="G146">
        <v>803</v>
      </c>
    </row>
    <row r="147" spans="1:7">
      <c r="A147" s="63" t="s">
        <v>63</v>
      </c>
      <c r="B147" s="63">
        <v>79</v>
      </c>
      <c r="C147" s="63" t="s">
        <v>38</v>
      </c>
      <c r="D147" s="63" t="s">
        <v>32</v>
      </c>
      <c r="E147">
        <v>214</v>
      </c>
      <c r="F147">
        <v>300</v>
      </c>
      <c r="G147">
        <v>280</v>
      </c>
    </row>
    <row r="148" spans="1:7">
      <c r="A148" s="63" t="s">
        <v>64</v>
      </c>
      <c r="B148" s="63">
        <v>250</v>
      </c>
      <c r="C148" s="63" t="s">
        <v>38</v>
      </c>
      <c r="D148" s="63" t="s">
        <v>32</v>
      </c>
      <c r="E148">
        <v>682</v>
      </c>
      <c r="F148">
        <v>1926</v>
      </c>
      <c r="G148">
        <v>2335</v>
      </c>
    </row>
    <row r="149" spans="1:7">
      <c r="A149" s="63" t="s">
        <v>68</v>
      </c>
      <c r="B149" s="63">
        <v>175</v>
      </c>
      <c r="C149" s="63" t="s">
        <v>38</v>
      </c>
      <c r="D149" s="63" t="s">
        <v>32</v>
      </c>
      <c r="E149">
        <v>0</v>
      </c>
      <c r="F149">
        <v>85</v>
      </c>
      <c r="G149">
        <v>350</v>
      </c>
    </row>
    <row r="150" spans="1:7">
      <c r="A150" s="63" t="s">
        <v>70</v>
      </c>
      <c r="B150" s="63">
        <v>169</v>
      </c>
      <c r="C150" s="63" t="s">
        <v>38</v>
      </c>
      <c r="D150" s="63" t="s">
        <v>32</v>
      </c>
      <c r="E150">
        <v>110</v>
      </c>
      <c r="F150">
        <v>100</v>
      </c>
      <c r="G150">
        <v>100</v>
      </c>
    </row>
    <row r="151" spans="1:7">
      <c r="A151" s="63" t="s">
        <v>71</v>
      </c>
      <c r="B151" s="63">
        <v>180</v>
      </c>
      <c r="C151" s="63" t="s">
        <v>38</v>
      </c>
      <c r="D151" s="63" t="s">
        <v>32</v>
      </c>
      <c r="E151">
        <v>0</v>
      </c>
      <c r="F151">
        <v>0</v>
      </c>
      <c r="G151">
        <v>0</v>
      </c>
    </row>
    <row r="152" spans="1:7">
      <c r="A152" s="63" t="s">
        <v>72</v>
      </c>
      <c r="B152" s="63">
        <v>225</v>
      </c>
      <c r="C152" s="63" t="s">
        <v>38</v>
      </c>
      <c r="D152" s="63" t="s">
        <v>32</v>
      </c>
      <c r="E152">
        <v>140</v>
      </c>
      <c r="F152">
        <v>310</v>
      </c>
      <c r="G152">
        <v>344</v>
      </c>
    </row>
    <row r="153" spans="1:7">
      <c r="A153" s="63" t="s">
        <v>73</v>
      </c>
      <c r="B153" s="63">
        <v>285</v>
      </c>
      <c r="C153" s="63" t="s">
        <v>38</v>
      </c>
      <c r="D153" s="63" t="s">
        <v>32</v>
      </c>
      <c r="E153">
        <v>1087.18</v>
      </c>
      <c r="F153">
        <v>1316.51</v>
      </c>
      <c r="G153">
        <v>1475.3500000000001</v>
      </c>
    </row>
    <row r="154" spans="1:7">
      <c r="A154" s="63" t="s">
        <v>83</v>
      </c>
      <c r="B154" s="63">
        <v>180</v>
      </c>
      <c r="C154" s="63" t="s">
        <v>38</v>
      </c>
      <c r="D154" s="63" t="s">
        <v>32</v>
      </c>
      <c r="E154">
        <v>719</v>
      </c>
      <c r="F154">
        <v>828</v>
      </c>
      <c r="G154">
        <v>662</v>
      </c>
    </row>
    <row r="155" spans="1:7">
      <c r="A155" s="63" t="s">
        <v>110</v>
      </c>
      <c r="B155" s="63">
        <v>230</v>
      </c>
      <c r="C155" s="63" t="s">
        <v>38</v>
      </c>
      <c r="D155" s="63" t="s">
        <v>32</v>
      </c>
      <c r="E155">
        <v>169</v>
      </c>
      <c r="F155">
        <v>190</v>
      </c>
      <c r="G155">
        <v>335</v>
      </c>
    </row>
    <row r="156" spans="1:7">
      <c r="A156" s="63" t="s">
        <v>117</v>
      </c>
      <c r="B156" s="63">
        <v>187</v>
      </c>
      <c r="C156" s="63" t="s">
        <v>38</v>
      </c>
      <c r="D156" s="63" t="s">
        <v>32</v>
      </c>
      <c r="E156">
        <v>200</v>
      </c>
      <c r="F156">
        <v>301</v>
      </c>
      <c r="G156">
        <v>425</v>
      </c>
    </row>
    <row r="157" spans="1:7">
      <c r="A157" s="63" t="s">
        <v>119</v>
      </c>
      <c r="B157" s="63">
        <v>336</v>
      </c>
      <c r="C157" s="63" t="s">
        <v>38</v>
      </c>
      <c r="D157" s="63" t="s">
        <v>32</v>
      </c>
      <c r="E157">
        <v>1932</v>
      </c>
      <c r="F157">
        <v>2176</v>
      </c>
      <c r="G157">
        <v>2418</v>
      </c>
    </row>
    <row r="158" spans="1:7">
      <c r="A158" s="63" t="s">
        <v>120</v>
      </c>
      <c r="B158" s="63">
        <v>104</v>
      </c>
      <c r="C158" s="63" t="s">
        <v>38</v>
      </c>
      <c r="D158" s="63" t="s">
        <v>32</v>
      </c>
      <c r="E158">
        <v>136</v>
      </c>
      <c r="F158">
        <v>0</v>
      </c>
      <c r="G158">
        <v>424</v>
      </c>
    </row>
    <row r="159" spans="1:7">
      <c r="A159" s="63" t="s">
        <v>130</v>
      </c>
      <c r="B159" s="63">
        <v>138</v>
      </c>
      <c r="C159" s="63" t="s">
        <v>38</v>
      </c>
      <c r="D159" s="63" t="s">
        <v>32</v>
      </c>
      <c r="E159">
        <v>416</v>
      </c>
      <c r="F159">
        <v>547</v>
      </c>
      <c r="G159">
        <v>1258</v>
      </c>
    </row>
    <row r="160" spans="1:7">
      <c r="A160" s="63" t="s">
        <v>137</v>
      </c>
      <c r="B160" s="63">
        <v>138</v>
      </c>
      <c r="C160" s="63" t="s">
        <v>38</v>
      </c>
      <c r="D160" s="63" t="s">
        <v>32</v>
      </c>
      <c r="E160">
        <v>449</v>
      </c>
      <c r="F160">
        <v>558</v>
      </c>
      <c r="G160">
        <v>447</v>
      </c>
    </row>
    <row r="161" spans="1:9">
      <c r="A161" s="63" t="s">
        <v>138</v>
      </c>
      <c r="B161" s="63">
        <v>85</v>
      </c>
      <c r="C161" s="63" t="s">
        <v>38</v>
      </c>
      <c r="D161" s="63" t="s">
        <v>32</v>
      </c>
      <c r="E161">
        <v>196</v>
      </c>
      <c r="F161">
        <v>177</v>
      </c>
      <c r="G161">
        <v>239</v>
      </c>
    </row>
    <row r="162" spans="1:9">
      <c r="A162" s="32" t="s">
        <v>133</v>
      </c>
      <c r="B162" s="32">
        <v>95</v>
      </c>
      <c r="C162" s="32" t="s">
        <v>39</v>
      </c>
      <c r="D162" s="32" t="s">
        <v>32</v>
      </c>
      <c r="E162">
        <v>83</v>
      </c>
      <c r="F162">
        <v>232</v>
      </c>
      <c r="G162">
        <v>223</v>
      </c>
    </row>
    <row r="163" spans="1:9">
      <c r="A163" s="66" t="s">
        <v>98</v>
      </c>
      <c r="B163" s="66">
        <v>31</v>
      </c>
      <c r="C163" s="66" t="s">
        <v>41</v>
      </c>
      <c r="D163" s="66" t="s">
        <v>32</v>
      </c>
      <c r="E163">
        <v>59</v>
      </c>
      <c r="F163">
        <v>58</v>
      </c>
      <c r="G163">
        <v>48</v>
      </c>
    </row>
    <row r="164" spans="1:9">
      <c r="A164" s="45" t="s">
        <v>53</v>
      </c>
      <c r="B164" s="45">
        <v>140</v>
      </c>
      <c r="C164" s="45" t="s">
        <v>34</v>
      </c>
      <c r="D164" s="45" t="s">
        <v>32</v>
      </c>
      <c r="E164">
        <v>196.82999999999998</v>
      </c>
      <c r="F164">
        <v>482.21999999999997</v>
      </c>
      <c r="G164">
        <v>656.37</v>
      </c>
    </row>
    <row r="165" spans="1:9">
      <c r="A165" s="68" t="s">
        <v>96</v>
      </c>
      <c r="B165" s="68">
        <v>92</v>
      </c>
      <c r="C165" s="68" t="s">
        <v>42</v>
      </c>
      <c r="D165" s="68" t="s">
        <v>32</v>
      </c>
      <c r="E165">
        <v>136</v>
      </c>
      <c r="F165">
        <v>268</v>
      </c>
      <c r="G165">
        <v>406</v>
      </c>
    </row>
    <row r="166" spans="1:9">
      <c r="A166" s="64" t="s">
        <v>89</v>
      </c>
      <c r="B166" s="64">
        <v>195</v>
      </c>
      <c r="C166" s="64" t="s">
        <v>44</v>
      </c>
      <c r="D166" s="64" t="s">
        <v>32</v>
      </c>
      <c r="E166">
        <v>4154</v>
      </c>
      <c r="F166">
        <v>5832</v>
      </c>
      <c r="G166">
        <v>6342</v>
      </c>
    </row>
    <row r="167" spans="1:9">
      <c r="A167" s="64" t="s">
        <v>99</v>
      </c>
      <c r="B167" s="64">
        <v>217</v>
      </c>
      <c r="C167" s="64" t="s">
        <v>44</v>
      </c>
      <c r="D167" s="64" t="s">
        <v>32</v>
      </c>
      <c r="E167">
        <v>0</v>
      </c>
      <c r="F167">
        <v>138</v>
      </c>
      <c r="G167">
        <v>0</v>
      </c>
    </row>
    <row r="168" spans="1:9">
      <c r="A168" s="64" t="s">
        <v>135</v>
      </c>
      <c r="B168" s="64">
        <v>269</v>
      </c>
      <c r="C168" s="64" t="s">
        <v>44</v>
      </c>
      <c r="D168" s="64" t="s">
        <v>32</v>
      </c>
      <c r="E168">
        <v>624</v>
      </c>
      <c r="F168">
        <v>711</v>
      </c>
      <c r="G168">
        <v>517</v>
      </c>
    </row>
    <row r="169" spans="1:9">
      <c r="E169">
        <f>SUBTOTAL(9,E133:E168)</f>
        <v>15927.27168224299</v>
      </c>
      <c r="F169">
        <f t="shared" ref="F169:G169" si="6">SUBTOTAL(9,F133:F168)</f>
        <v>24370.04775700935</v>
      </c>
      <c r="G169">
        <f t="shared" si="6"/>
        <v>29547.280747663553</v>
      </c>
      <c r="I169">
        <f>AVERAGEA(E133:G168)</f>
        <v>646.70926098996199</v>
      </c>
    </row>
    <row r="170" spans="1:9">
      <c r="E170">
        <v>11080.131308411213</v>
      </c>
      <c r="F170">
        <v>15927.27168224299</v>
      </c>
      <c r="G170">
        <v>24370.04775700935</v>
      </c>
      <c r="H170">
        <f>SUBTOTAL(9,E170:G170)</f>
        <v>51377.450747663555</v>
      </c>
    </row>
    <row r="172" spans="1:9">
      <c r="A172" t="s">
        <v>50</v>
      </c>
      <c r="B172">
        <v>350</v>
      </c>
      <c r="C172" t="s">
        <v>31</v>
      </c>
      <c r="D172" t="s">
        <v>33</v>
      </c>
      <c r="E172">
        <v>0</v>
      </c>
      <c r="F172">
        <v>0</v>
      </c>
      <c r="G172">
        <v>862</v>
      </c>
    </row>
    <row r="173" spans="1:9">
      <c r="A173" t="s">
        <v>51</v>
      </c>
      <c r="B173">
        <v>570</v>
      </c>
      <c r="C173" t="s">
        <v>31</v>
      </c>
      <c r="D173" t="s">
        <v>33</v>
      </c>
      <c r="E173">
        <v>0</v>
      </c>
      <c r="F173">
        <v>3107</v>
      </c>
      <c r="G173">
        <v>3288</v>
      </c>
    </row>
    <row r="174" spans="1:9">
      <c r="A174" t="s">
        <v>52</v>
      </c>
      <c r="B174">
        <v>450</v>
      </c>
      <c r="C174" t="s">
        <v>31</v>
      </c>
      <c r="D174" t="s">
        <v>33</v>
      </c>
      <c r="E174">
        <v>1397</v>
      </c>
      <c r="F174">
        <v>1566</v>
      </c>
      <c r="G174">
        <v>2115</v>
      </c>
    </row>
    <row r="175" spans="1:9">
      <c r="A175" t="s">
        <v>92</v>
      </c>
      <c r="B175">
        <v>385</v>
      </c>
      <c r="C175" t="s">
        <v>31</v>
      </c>
      <c r="D175" t="s">
        <v>33</v>
      </c>
      <c r="E175">
        <v>810</v>
      </c>
      <c r="F175">
        <v>1118</v>
      </c>
      <c r="G175">
        <v>1718</v>
      </c>
    </row>
    <row r="176" spans="1:9">
      <c r="A176" t="s">
        <v>100</v>
      </c>
      <c r="B176">
        <v>10</v>
      </c>
      <c r="C176" t="s">
        <v>31</v>
      </c>
      <c r="D176" t="s">
        <v>33</v>
      </c>
      <c r="E176">
        <v>0</v>
      </c>
      <c r="F176">
        <v>2.6124999999999998</v>
      </c>
      <c r="G176">
        <v>2.4500000000000002</v>
      </c>
    </row>
    <row r="177" spans="1:7">
      <c r="A177" t="s">
        <v>104</v>
      </c>
      <c r="B177">
        <v>25</v>
      </c>
      <c r="C177" t="s">
        <v>31</v>
      </c>
      <c r="D177" t="s">
        <v>33</v>
      </c>
      <c r="E177">
        <v>57.340909090909086</v>
      </c>
      <c r="F177">
        <v>64.11363636363636</v>
      </c>
      <c r="G177">
        <v>86.295454545454547</v>
      </c>
    </row>
    <row r="178" spans="1:7">
      <c r="A178" t="s">
        <v>55</v>
      </c>
      <c r="B178">
        <v>450</v>
      </c>
      <c r="C178" t="s">
        <v>37</v>
      </c>
      <c r="D178" t="s">
        <v>33</v>
      </c>
      <c r="E178">
        <v>0</v>
      </c>
      <c r="F178">
        <v>746</v>
      </c>
      <c r="G178">
        <v>741</v>
      </c>
    </row>
    <row r="179" spans="1:7">
      <c r="A179" t="s">
        <v>107</v>
      </c>
      <c r="B179">
        <v>70</v>
      </c>
      <c r="C179" t="s">
        <v>37</v>
      </c>
      <c r="D179" t="s">
        <v>33</v>
      </c>
      <c r="E179">
        <v>0</v>
      </c>
      <c r="F179">
        <v>0</v>
      </c>
      <c r="G179">
        <v>124</v>
      </c>
    </row>
    <row r="180" spans="1:7">
      <c r="A180" t="s">
        <v>61</v>
      </c>
      <c r="B180">
        <v>180</v>
      </c>
      <c r="C180" t="s">
        <v>38</v>
      </c>
      <c r="D180" t="s">
        <v>33</v>
      </c>
      <c r="E180">
        <v>184</v>
      </c>
      <c r="F180">
        <v>275</v>
      </c>
      <c r="G180">
        <v>183</v>
      </c>
    </row>
    <row r="181" spans="1:7">
      <c r="A181" t="s">
        <v>65</v>
      </c>
      <c r="B181">
        <v>148</v>
      </c>
      <c r="C181" t="s">
        <v>38</v>
      </c>
      <c r="D181" t="s">
        <v>33</v>
      </c>
      <c r="E181">
        <v>490</v>
      </c>
      <c r="F181">
        <v>665</v>
      </c>
      <c r="G181">
        <v>743</v>
      </c>
    </row>
    <row r="182" spans="1:7">
      <c r="A182" t="s">
        <v>84</v>
      </c>
      <c r="B182">
        <v>90</v>
      </c>
      <c r="C182" t="s">
        <v>38</v>
      </c>
      <c r="D182" t="s">
        <v>33</v>
      </c>
      <c r="E182">
        <v>0</v>
      </c>
      <c r="F182">
        <v>258</v>
      </c>
      <c r="G182">
        <v>106</v>
      </c>
    </row>
    <row r="183" spans="1:7">
      <c r="A183" t="s">
        <v>86</v>
      </c>
      <c r="B183">
        <v>50</v>
      </c>
      <c r="C183" t="s">
        <v>38</v>
      </c>
      <c r="D183" t="s">
        <v>33</v>
      </c>
      <c r="E183">
        <v>45</v>
      </c>
      <c r="F183">
        <v>100</v>
      </c>
      <c r="G183">
        <v>100</v>
      </c>
    </row>
    <row r="184" spans="1:7">
      <c r="A184" t="s">
        <v>114</v>
      </c>
      <c r="B184">
        <v>195</v>
      </c>
      <c r="C184" t="s">
        <v>38</v>
      </c>
      <c r="D184" t="s">
        <v>33</v>
      </c>
      <c r="E184">
        <v>0</v>
      </c>
      <c r="F184">
        <v>0</v>
      </c>
      <c r="G184">
        <v>464</v>
      </c>
    </row>
    <row r="185" spans="1:7">
      <c r="A185" t="s">
        <v>116</v>
      </c>
      <c r="B185">
        <v>130</v>
      </c>
      <c r="C185" t="s">
        <v>38</v>
      </c>
      <c r="D185" t="s">
        <v>33</v>
      </c>
      <c r="E185">
        <v>150</v>
      </c>
      <c r="F185">
        <v>252</v>
      </c>
      <c r="G185">
        <v>150</v>
      </c>
    </row>
    <row r="186" spans="1:7">
      <c r="A186" t="s">
        <v>126</v>
      </c>
      <c r="B186">
        <v>76</v>
      </c>
      <c r="C186" t="s">
        <v>38</v>
      </c>
      <c r="D186" t="s">
        <v>33</v>
      </c>
      <c r="E186">
        <v>45</v>
      </c>
      <c r="F186">
        <v>55</v>
      </c>
      <c r="G186">
        <v>78</v>
      </c>
    </row>
    <row r="187" spans="1:7">
      <c r="A187" t="s">
        <v>129</v>
      </c>
      <c r="B187">
        <v>278</v>
      </c>
      <c r="C187" t="s">
        <v>38</v>
      </c>
      <c r="D187" t="s">
        <v>33</v>
      </c>
      <c r="E187">
        <v>260</v>
      </c>
      <c r="F187">
        <v>255</v>
      </c>
      <c r="G187">
        <v>0</v>
      </c>
    </row>
    <row r="188" spans="1:7">
      <c r="A188" t="s">
        <v>132</v>
      </c>
      <c r="B188">
        <v>124</v>
      </c>
      <c r="C188" t="s">
        <v>38</v>
      </c>
      <c r="D188" t="s">
        <v>33</v>
      </c>
      <c r="E188">
        <v>47</v>
      </c>
      <c r="F188">
        <v>30</v>
      </c>
      <c r="G188">
        <v>78</v>
      </c>
    </row>
    <row r="189" spans="1:7">
      <c r="A189" t="s">
        <v>76</v>
      </c>
      <c r="B189">
        <v>40</v>
      </c>
      <c r="C189" t="s">
        <v>41</v>
      </c>
      <c r="D189" t="s">
        <v>33</v>
      </c>
      <c r="E189">
        <v>110.47232097511427</v>
      </c>
      <c r="F189">
        <v>203.10817673946164</v>
      </c>
      <c r="G189">
        <v>230.26917216861349</v>
      </c>
    </row>
    <row r="190" spans="1:7">
      <c r="A190" t="s">
        <v>79</v>
      </c>
      <c r="B190">
        <v>30</v>
      </c>
      <c r="C190" t="s">
        <v>41</v>
      </c>
      <c r="D190" t="s">
        <v>33</v>
      </c>
      <c r="E190">
        <v>148</v>
      </c>
      <c r="F190">
        <v>129</v>
      </c>
      <c r="G190">
        <v>210</v>
      </c>
    </row>
    <row r="191" spans="1:7">
      <c r="A191" t="s">
        <v>88</v>
      </c>
      <c r="B191">
        <v>180</v>
      </c>
      <c r="C191" t="s">
        <v>34</v>
      </c>
      <c r="D191" t="s">
        <v>33</v>
      </c>
      <c r="E191">
        <v>589</v>
      </c>
      <c r="F191">
        <v>692</v>
      </c>
      <c r="G191">
        <v>700</v>
      </c>
    </row>
    <row r="192" spans="1:7">
      <c r="A192" t="s">
        <v>139</v>
      </c>
      <c r="B192">
        <v>350</v>
      </c>
      <c r="C192" t="s">
        <v>34</v>
      </c>
      <c r="D192" t="s">
        <v>33</v>
      </c>
      <c r="E192">
        <v>1776</v>
      </c>
      <c r="F192">
        <v>1859</v>
      </c>
      <c r="G192">
        <v>2373</v>
      </c>
    </row>
    <row r="193" spans="1:9">
      <c r="A193" t="s">
        <v>140</v>
      </c>
      <c r="B193">
        <v>210</v>
      </c>
      <c r="C193" t="s">
        <v>34</v>
      </c>
      <c r="D193" t="s">
        <v>33</v>
      </c>
      <c r="E193">
        <v>228</v>
      </c>
      <c r="F193">
        <v>687</v>
      </c>
      <c r="G193">
        <v>787</v>
      </c>
    </row>
    <row r="194" spans="1:9">
      <c r="A194" t="s">
        <v>77</v>
      </c>
      <c r="B194">
        <v>105</v>
      </c>
      <c r="C194" t="s">
        <v>43</v>
      </c>
      <c r="D194" t="s">
        <v>33</v>
      </c>
      <c r="E194">
        <v>365</v>
      </c>
      <c r="F194">
        <v>341</v>
      </c>
      <c r="G194">
        <v>654</v>
      </c>
    </row>
    <row r="195" spans="1:9">
      <c r="A195" t="s">
        <v>90</v>
      </c>
      <c r="B195">
        <v>65</v>
      </c>
      <c r="C195" t="s">
        <v>44</v>
      </c>
      <c r="D195" t="s">
        <v>33</v>
      </c>
      <c r="E195">
        <v>52.650000000000006</v>
      </c>
      <c r="F195">
        <v>93.34</v>
      </c>
      <c r="G195">
        <v>137.66999999999999</v>
      </c>
    </row>
    <row r="196" spans="1:9">
      <c r="A196" t="s">
        <v>97</v>
      </c>
      <c r="B196">
        <v>21</v>
      </c>
      <c r="C196" t="s">
        <v>44</v>
      </c>
      <c r="D196" t="s">
        <v>33</v>
      </c>
      <c r="E196">
        <v>0</v>
      </c>
      <c r="F196">
        <v>45.174999999999997</v>
      </c>
      <c r="G196">
        <v>114.18333333333332</v>
      </c>
    </row>
    <row r="197" spans="1:9">
      <c r="A197" t="s">
        <v>81</v>
      </c>
      <c r="B197">
        <v>70</v>
      </c>
      <c r="C197" t="s">
        <v>45</v>
      </c>
      <c r="D197" t="s">
        <v>33</v>
      </c>
      <c r="E197">
        <v>248.783783783784</v>
      </c>
      <c r="F197">
        <v>306.67567567567568</v>
      </c>
      <c r="G197">
        <v>319.3513513513513</v>
      </c>
    </row>
    <row r="198" spans="1:9">
      <c r="E198">
        <f>SUBTOTAL(9,E172:E197)</f>
        <v>7003.2470138498074</v>
      </c>
      <c r="F198">
        <f t="shared" ref="F198:G198" si="7">SUBTOTAL(9,F172:F197)</f>
        <v>12850.02498877877</v>
      </c>
      <c r="G198">
        <f t="shared" si="7"/>
        <v>16364.219311398752</v>
      </c>
    </row>
    <row r="199" spans="1:9">
      <c r="E199">
        <v>7003.2470138498074</v>
      </c>
      <c r="F199">
        <v>12850.02498877877</v>
      </c>
      <c r="G199">
        <v>16364.219311398752</v>
      </c>
      <c r="H199">
        <f>SUBTOTAL(9,E199:G199)</f>
        <v>36217.491314027327</v>
      </c>
      <c r="I199">
        <f>AVERAGEA(E172:G197)</f>
        <v>464.32681171829915</v>
      </c>
    </row>
  </sheetData>
  <autoFilter ref="A1:BC95" xr:uid="{0BB6E47B-7A2B-524C-ADA9-A13597E95240}">
    <sortState xmlns:xlrd2="http://schemas.microsoft.com/office/spreadsheetml/2017/richdata2" ref="A2:BC95">
      <sortCondition ref="D1:D95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176E-BB79-9B48-987F-7C902F8E2240}">
  <dimension ref="A1:EE414"/>
  <sheetViews>
    <sheetView zoomScale="39" zoomScaleNormal="80" workbookViewId="0">
      <selection activeCell="B164" sqref="B164:C168"/>
    </sheetView>
  </sheetViews>
  <sheetFormatPr baseColWidth="10" defaultColWidth="11" defaultRowHeight="16"/>
  <cols>
    <col min="1" max="1" width="61.6640625" bestFit="1" customWidth="1"/>
    <col min="2" max="2" width="21.83203125" bestFit="1" customWidth="1"/>
    <col min="3" max="3" width="15.6640625" bestFit="1" customWidth="1"/>
    <col min="4" max="6" width="14.5" bestFit="1" customWidth="1"/>
    <col min="7" max="7" width="13.6640625" bestFit="1" customWidth="1"/>
    <col min="8" max="8" width="13" bestFit="1" customWidth="1"/>
    <col min="9" max="9" width="13.6640625" bestFit="1" customWidth="1"/>
    <col min="10" max="10" width="16.1640625" customWidth="1"/>
    <col min="11" max="11" width="11.6640625" bestFit="1" customWidth="1"/>
    <col min="12" max="14" width="13.6640625" bestFit="1" customWidth="1"/>
    <col min="15" max="17" width="13.83203125" bestFit="1" customWidth="1"/>
    <col min="18" max="18" width="12.6640625" bestFit="1" customWidth="1"/>
    <col min="54" max="54" width="10.83203125" style="155"/>
    <col min="55" max="55" width="10.83203125" style="156"/>
    <col min="56" max="56" width="10.83203125" style="157"/>
    <col min="63" max="63" width="10.83203125" style="142"/>
    <col min="64" max="64" width="10.83203125" style="110"/>
    <col min="65" max="65" width="10.83203125" style="143"/>
    <col min="72" max="72" width="10.83203125" style="172"/>
    <col min="73" max="73" width="10.83203125" style="104"/>
    <col min="74" max="74" width="10.83203125" style="173"/>
    <col min="76" max="76" width="11" style="172"/>
    <col min="77" max="77" width="11" style="104"/>
    <col min="78" max="78" width="11" style="173"/>
    <col min="79" max="81" width="11" style="383"/>
    <col min="82" max="84" width="11" style="68"/>
    <col min="85" max="85" width="11" style="4"/>
    <col min="96" max="96" width="14.1640625" bestFit="1" customWidth="1"/>
  </cols>
  <sheetData>
    <row r="1" spans="1:135" s="25" customFormat="1" ht="153">
      <c r="B1" s="1" t="s">
        <v>276</v>
      </c>
      <c r="C1" s="1" t="s">
        <v>435</v>
      </c>
      <c r="D1" s="1" t="s">
        <v>436</v>
      </c>
      <c r="E1" s="1" t="s">
        <v>296</v>
      </c>
      <c r="F1" s="1" t="s">
        <v>205</v>
      </c>
      <c r="G1" s="1" t="s">
        <v>257</v>
      </c>
      <c r="H1" s="1" t="s">
        <v>328</v>
      </c>
      <c r="I1" s="1" t="s">
        <v>329</v>
      </c>
      <c r="J1" s="1" t="s">
        <v>330</v>
      </c>
      <c r="K1" s="1" t="s">
        <v>16</v>
      </c>
      <c r="L1" s="1" t="s">
        <v>447</v>
      </c>
      <c r="M1" s="1" t="s">
        <v>642</v>
      </c>
      <c r="X1" s="25" t="s">
        <v>598</v>
      </c>
      <c r="AB1" s="1" t="s">
        <v>334</v>
      </c>
      <c r="AC1" s="178" t="s">
        <v>337</v>
      </c>
      <c r="AD1" s="178" t="s">
        <v>340</v>
      </c>
      <c r="AE1" s="178" t="s">
        <v>343</v>
      </c>
      <c r="AF1" s="178" t="s">
        <v>352</v>
      </c>
      <c r="AG1" s="1" t="s">
        <v>346</v>
      </c>
      <c r="AM1" s="1" t="s">
        <v>277</v>
      </c>
      <c r="AN1" s="1" t="s">
        <v>221</v>
      </c>
      <c r="AO1" s="1" t="s">
        <v>273</v>
      </c>
      <c r="AP1" s="1" t="s">
        <v>296</v>
      </c>
      <c r="AQ1" s="1" t="s">
        <v>205</v>
      </c>
      <c r="AR1" s="1" t="s">
        <v>257</v>
      </c>
      <c r="AS1" s="1" t="s">
        <v>606</v>
      </c>
      <c r="AT1" s="1" t="s">
        <v>607</v>
      </c>
      <c r="AU1" s="1" t="s">
        <v>608</v>
      </c>
      <c r="AV1" s="1" t="s">
        <v>610</v>
      </c>
      <c r="AW1" s="1" t="s">
        <v>611</v>
      </c>
      <c r="AX1" s="1" t="s">
        <v>609</v>
      </c>
      <c r="AY1" s="25" t="s">
        <v>482</v>
      </c>
      <c r="AZ1" s="25" t="s">
        <v>483</v>
      </c>
      <c r="BA1" s="25" t="s">
        <v>484</v>
      </c>
      <c r="BB1" s="336" t="s">
        <v>612</v>
      </c>
      <c r="BC1" s="337" t="s">
        <v>613</v>
      </c>
      <c r="BD1" s="338" t="s">
        <v>614</v>
      </c>
      <c r="BE1" s="1" t="s">
        <v>615</v>
      </c>
      <c r="BF1" s="1" t="s">
        <v>616</v>
      </c>
      <c r="BG1" s="1" t="s">
        <v>617</v>
      </c>
      <c r="BH1" s="25" t="s">
        <v>482</v>
      </c>
      <c r="BI1" s="25" t="s">
        <v>483</v>
      </c>
      <c r="BJ1" s="25" t="s">
        <v>484</v>
      </c>
      <c r="BK1" s="348" t="s">
        <v>618</v>
      </c>
      <c r="BL1" s="349" t="s">
        <v>619</v>
      </c>
      <c r="BM1" s="350" t="s">
        <v>620</v>
      </c>
      <c r="BN1" s="1" t="s">
        <v>621</v>
      </c>
      <c r="BO1" s="1" t="s">
        <v>622</v>
      </c>
      <c r="BP1" s="1" t="s">
        <v>623</v>
      </c>
      <c r="BQ1" s="25" t="s">
        <v>482</v>
      </c>
      <c r="BR1" s="25" t="s">
        <v>483</v>
      </c>
      <c r="BS1" s="25" t="s">
        <v>484</v>
      </c>
      <c r="BT1" s="342" t="s">
        <v>624</v>
      </c>
      <c r="BU1" s="343" t="s">
        <v>625</v>
      </c>
      <c r="BV1" s="344" t="s">
        <v>626</v>
      </c>
      <c r="BX1" s="342" t="s">
        <v>680</v>
      </c>
      <c r="BY1" s="343" t="s">
        <v>681</v>
      </c>
      <c r="BZ1" s="344" t="s">
        <v>682</v>
      </c>
      <c r="CA1" s="381" t="s">
        <v>683</v>
      </c>
      <c r="CB1" s="381" t="s">
        <v>684</v>
      </c>
      <c r="CC1" s="381" t="s">
        <v>685</v>
      </c>
      <c r="CD1" s="384" t="s">
        <v>686</v>
      </c>
      <c r="CE1" s="384" t="s">
        <v>687</v>
      </c>
      <c r="CF1" s="384" t="s">
        <v>688</v>
      </c>
      <c r="CG1" s="376" t="s">
        <v>689</v>
      </c>
      <c r="CH1" s="376"/>
      <c r="CJ1" s="25" t="s">
        <v>277</v>
      </c>
      <c r="CK1" s="25" t="s">
        <v>296</v>
      </c>
      <c r="CL1" s="1" t="s">
        <v>273</v>
      </c>
      <c r="CN1" s="25" t="s">
        <v>690</v>
      </c>
      <c r="CO1" s="25" t="s">
        <v>690</v>
      </c>
      <c r="CP1" s="25" t="s">
        <v>690</v>
      </c>
      <c r="CQ1" s="25" t="s">
        <v>691</v>
      </c>
      <c r="CR1" s="25" t="s">
        <v>691</v>
      </c>
      <c r="CS1" s="25" t="s">
        <v>691</v>
      </c>
      <c r="CT1" s="25" t="s">
        <v>692</v>
      </c>
      <c r="CU1" s="25" t="s">
        <v>692</v>
      </c>
      <c r="CV1" s="25" t="s">
        <v>692</v>
      </c>
    </row>
    <row r="2" spans="1:135" s="25" customFormat="1">
      <c r="A2" s="69" t="s">
        <v>48</v>
      </c>
      <c r="B2" s="25">
        <v>274</v>
      </c>
      <c r="C2" s="25">
        <v>307</v>
      </c>
      <c r="D2" s="25">
        <v>258</v>
      </c>
      <c r="E2" s="25">
        <v>137</v>
      </c>
      <c r="F2" s="25">
        <v>190</v>
      </c>
      <c r="G2" s="25">
        <v>170</v>
      </c>
      <c r="H2" s="25">
        <v>0.5</v>
      </c>
      <c r="I2" s="25">
        <v>0.61889250814332253</v>
      </c>
      <c r="J2" s="25">
        <v>0.65891472868217049</v>
      </c>
      <c r="K2" s="25">
        <v>50</v>
      </c>
      <c r="L2" s="25">
        <v>42.5</v>
      </c>
      <c r="M2" s="354">
        <f t="shared" ref="M2:M33" si="0">AVERAGEA(E2:G2)</f>
        <v>165.66666666666666</v>
      </c>
      <c r="X2" s="25">
        <v>0.5</v>
      </c>
      <c r="AB2" s="131">
        <v>0</v>
      </c>
      <c r="AC2" s="145">
        <v>2.1897810218978103E-2</v>
      </c>
      <c r="AD2" s="145">
        <v>0.15693430656934307</v>
      </c>
      <c r="AE2" s="145">
        <v>0</v>
      </c>
      <c r="AF2" s="145">
        <v>0.17518248175182483</v>
      </c>
      <c r="AG2" s="131">
        <v>0.14598540145985406</v>
      </c>
      <c r="AM2" s="25">
        <v>26</v>
      </c>
      <c r="AN2" s="25">
        <v>-16</v>
      </c>
      <c r="AO2" s="25">
        <v>26</v>
      </c>
      <c r="AP2" s="25">
        <v>137</v>
      </c>
      <c r="AQ2" s="25">
        <v>190</v>
      </c>
      <c r="AR2" s="25">
        <v>170</v>
      </c>
      <c r="AS2" s="25">
        <f>IF(AP2&gt;0,1,0)</f>
        <v>1</v>
      </c>
      <c r="AT2" s="25">
        <f t="shared" ref="AT2:AU17" si="1">IF(AQ2&gt;0,1,0)</f>
        <v>1</v>
      </c>
      <c r="AU2" s="25">
        <f t="shared" si="1"/>
        <v>1</v>
      </c>
      <c r="AV2" s="25">
        <f>IF(AM2&gt;0,1,0)</f>
        <v>1</v>
      </c>
      <c r="AW2" s="25">
        <f t="shared" ref="AW2:AX2" si="2">IF(AN2&gt;0,1,0)</f>
        <v>0</v>
      </c>
      <c r="AX2" s="25">
        <f t="shared" si="2"/>
        <v>1</v>
      </c>
      <c r="AY2" s="25">
        <f>AS2+AV2</f>
        <v>2</v>
      </c>
      <c r="AZ2" s="25">
        <f t="shared" ref="AZ2:BA2" si="3">AT2+AW2</f>
        <v>1</v>
      </c>
      <c r="BA2" s="25">
        <f t="shared" si="3"/>
        <v>2</v>
      </c>
      <c r="BB2" s="339">
        <f>IF(AY2=2,1,0)</f>
        <v>1</v>
      </c>
      <c r="BC2" s="340">
        <f t="shared" ref="BC2:BD2" si="4">IF(AZ2=2,1,0)</f>
        <v>0</v>
      </c>
      <c r="BD2" s="341">
        <f t="shared" si="4"/>
        <v>1</v>
      </c>
      <c r="BE2" s="25">
        <f>IF(AM2&lt;0,1,0)</f>
        <v>0</v>
      </c>
      <c r="BF2" s="25">
        <f t="shared" ref="BF2:BG2" si="5">IF(AN2&lt;0,1,0)</f>
        <v>1</v>
      </c>
      <c r="BG2" s="25">
        <f t="shared" si="5"/>
        <v>0</v>
      </c>
      <c r="BH2" s="25">
        <f>BE2+AS2</f>
        <v>1</v>
      </c>
      <c r="BI2" s="25">
        <f>BF2+AT2</f>
        <v>2</v>
      </c>
      <c r="BJ2" s="25">
        <f t="shared" ref="BJ2" si="6">BG2+AU2</f>
        <v>1</v>
      </c>
      <c r="BK2" s="351">
        <f>IF(BH2=2,1,0)</f>
        <v>0</v>
      </c>
      <c r="BL2" s="352">
        <f t="shared" ref="BL2:BM2" si="7">IF(BI2=2,1,0)</f>
        <v>1</v>
      </c>
      <c r="BM2" s="353">
        <f t="shared" si="7"/>
        <v>0</v>
      </c>
      <c r="BN2" s="25">
        <f>IF(AM2=0,1,0)</f>
        <v>0</v>
      </c>
      <c r="BO2" s="25">
        <f t="shared" ref="BO2:BP2" si="8">IF(AN2=0,1,0)</f>
        <v>0</v>
      </c>
      <c r="BP2" s="25">
        <f t="shared" si="8"/>
        <v>0</v>
      </c>
      <c r="BQ2" s="25">
        <f>AS2+BN2</f>
        <v>1</v>
      </c>
      <c r="BR2" s="25">
        <f>AT2+BO2</f>
        <v>1</v>
      </c>
      <c r="BS2" s="25">
        <f>AU2+BP2</f>
        <v>1</v>
      </c>
      <c r="BT2" s="345">
        <f>IF(BQ2=2,1,0)</f>
        <v>0</v>
      </c>
      <c r="BU2" s="346">
        <f t="shared" ref="BU2:BV2" si="9">IF(BR2=2,1,0)</f>
        <v>0</v>
      </c>
      <c r="BV2" s="347">
        <f t="shared" si="9"/>
        <v>0</v>
      </c>
      <c r="BX2" s="345">
        <f>IF(CN2=2,1,0)</f>
        <v>0</v>
      </c>
      <c r="BY2" s="345">
        <f t="shared" ref="BY2:BZ2" si="10">IF(CO2=2,1,0)</f>
        <v>0</v>
      </c>
      <c r="BZ2" s="345">
        <f t="shared" si="10"/>
        <v>0</v>
      </c>
      <c r="CA2" s="382">
        <f>IF(CQ2=2,1,0)</f>
        <v>0</v>
      </c>
      <c r="CB2" s="382">
        <f t="shared" ref="CB2:CC2" si="11">IF(CR2=2,1,0)</f>
        <v>0</v>
      </c>
      <c r="CC2" s="382">
        <f t="shared" si="11"/>
        <v>0</v>
      </c>
      <c r="CD2" s="385">
        <f>IF(CT2=2,1,0)</f>
        <v>0</v>
      </c>
      <c r="CE2" s="385">
        <f t="shared" ref="CE2:CF2" si="12">IF(CU2=2,1,0)</f>
        <v>0</v>
      </c>
      <c r="CF2" s="385">
        <f t="shared" si="12"/>
        <v>0</v>
      </c>
      <c r="CG2" s="377">
        <f>IF(AP2=0,1,0)</f>
        <v>0</v>
      </c>
      <c r="CH2" s="377">
        <f t="shared" ref="CH2:CI2" si="13">IF(AQ2=0,1,0)</f>
        <v>0</v>
      </c>
      <c r="CI2" s="377">
        <f t="shared" si="13"/>
        <v>0</v>
      </c>
      <c r="CK2" s="25">
        <v>137</v>
      </c>
      <c r="CL2" s="25">
        <v>26</v>
      </c>
      <c r="CN2" s="25">
        <f>CG2+AV2</f>
        <v>1</v>
      </c>
      <c r="CO2" s="25">
        <f t="shared" ref="CO2:CP2" si="14">CH2+AW2</f>
        <v>0</v>
      </c>
      <c r="CP2" s="25">
        <f t="shared" si="14"/>
        <v>1</v>
      </c>
      <c r="CQ2" s="25">
        <f>CG2+BE2</f>
        <v>0</v>
      </c>
      <c r="CR2" s="25">
        <f t="shared" ref="CR2:CS2" si="15">CH2+BF2</f>
        <v>1</v>
      </c>
      <c r="CS2" s="25">
        <f t="shared" si="15"/>
        <v>0</v>
      </c>
      <c r="CT2" s="25">
        <f>CG2+BN2</f>
        <v>0</v>
      </c>
      <c r="CU2" s="25">
        <f t="shared" ref="CU2:CV2" si="16">CH2+BO2</f>
        <v>0</v>
      </c>
      <c r="CV2" s="25">
        <f t="shared" si="16"/>
        <v>0</v>
      </c>
    </row>
    <row r="3" spans="1:135" s="25" customFormat="1">
      <c r="A3" s="69" t="s">
        <v>49</v>
      </c>
      <c r="B3" s="25">
        <v>704</v>
      </c>
      <c r="C3" s="25">
        <v>727</v>
      </c>
      <c r="D3" s="25">
        <v>1159</v>
      </c>
      <c r="E3" s="25">
        <v>197</v>
      </c>
      <c r="F3" s="25">
        <v>302</v>
      </c>
      <c r="G3" s="25">
        <v>672</v>
      </c>
      <c r="H3" s="25">
        <v>0.27982954545454547</v>
      </c>
      <c r="I3" s="25">
        <v>0.4154057771664374</v>
      </c>
      <c r="J3" s="25">
        <v>0.57981018119068162</v>
      </c>
      <c r="K3" s="25">
        <v>208</v>
      </c>
      <c r="L3" s="25">
        <v>116.48</v>
      </c>
      <c r="M3" s="354">
        <f t="shared" si="0"/>
        <v>390.33333333333331</v>
      </c>
      <c r="P3" s="25">
        <f>LINEST(M2:M94,L2:L94)</f>
        <v>4.2955008071930614</v>
      </c>
      <c r="X3" s="25">
        <v>0.27982954545454547</v>
      </c>
      <c r="AB3" s="131">
        <v>0</v>
      </c>
      <c r="AC3" s="145">
        <v>7.102272727272727E-3</v>
      </c>
      <c r="AD3" s="145">
        <v>0.54261363636363635</v>
      </c>
      <c r="AE3" s="145">
        <v>0.11931818181818182</v>
      </c>
      <c r="AF3" s="145">
        <v>5.113636363636364E-2</v>
      </c>
      <c r="AG3" s="131">
        <v>0</v>
      </c>
      <c r="AM3" s="25">
        <v>-40</v>
      </c>
      <c r="AN3" s="25">
        <v>-34</v>
      </c>
      <c r="AO3" s="25">
        <v>287</v>
      </c>
      <c r="AP3" s="25">
        <v>197</v>
      </c>
      <c r="AQ3" s="25">
        <v>302</v>
      </c>
      <c r="AR3" s="25">
        <v>672</v>
      </c>
      <c r="AS3" s="25">
        <f t="shared" ref="AS3:AS66" si="17">IF(AP3&gt;0,1,0)</f>
        <v>1</v>
      </c>
      <c r="AT3" s="25">
        <f t="shared" si="1"/>
        <v>1</v>
      </c>
      <c r="AU3" s="25">
        <f t="shared" si="1"/>
        <v>1</v>
      </c>
      <c r="AV3" s="25">
        <f t="shared" ref="AV3:AV66" si="18">IF(AM3&gt;0,1,0)</f>
        <v>0</v>
      </c>
      <c r="AW3" s="25">
        <f t="shared" ref="AW3:AW66" si="19">IF(AN3&gt;0,1,0)</f>
        <v>0</v>
      </c>
      <c r="AX3" s="25">
        <f t="shared" ref="AX3:AX66" si="20">IF(AO3&gt;0,1,0)</f>
        <v>1</v>
      </c>
      <c r="AY3" s="25">
        <f t="shared" ref="AY3:AY66" si="21">AS3+AV3</f>
        <v>1</v>
      </c>
      <c r="AZ3" s="25">
        <f t="shared" ref="AZ3:AZ66" si="22">AT3+AW3</f>
        <v>1</v>
      </c>
      <c r="BA3" s="25">
        <f t="shared" ref="BA3:BA66" si="23">AU3+AX3</f>
        <v>2</v>
      </c>
      <c r="BB3" s="339">
        <f t="shared" ref="BB3:BB66" si="24">IF(AY3=2,1,0)</f>
        <v>0</v>
      </c>
      <c r="BC3" s="340">
        <f t="shared" ref="BC3:BC66" si="25">IF(AZ3=2,1,0)</f>
        <v>0</v>
      </c>
      <c r="BD3" s="341">
        <f t="shared" ref="BD3:BD66" si="26">IF(BA3=2,1,0)</f>
        <v>1</v>
      </c>
      <c r="BE3" s="25">
        <f t="shared" ref="BE3:BE66" si="27">IF(AM3&lt;0,1,0)</f>
        <v>1</v>
      </c>
      <c r="BF3" s="25">
        <f t="shared" ref="BF3:BF66" si="28">IF(AN3&lt;0,1,0)</f>
        <v>1</v>
      </c>
      <c r="BG3" s="25">
        <f t="shared" ref="BG3:BG66" si="29">IF(AO3&lt;0,1,0)</f>
        <v>0</v>
      </c>
      <c r="BH3" s="25">
        <f t="shared" ref="BH3:BH66" si="30">BE3+AS3</f>
        <v>2</v>
      </c>
      <c r="BI3" s="25">
        <f t="shared" ref="BI3:BI66" si="31">BF3+AT3</f>
        <v>2</v>
      </c>
      <c r="BJ3" s="25">
        <f t="shared" ref="BJ3:BJ66" si="32">BG3+AU3</f>
        <v>1</v>
      </c>
      <c r="BK3" s="351">
        <f t="shared" ref="BK3:BK66" si="33">IF(BH3=2,1,0)</f>
        <v>1</v>
      </c>
      <c r="BL3" s="352">
        <f t="shared" ref="BL3:BL66" si="34">IF(BI3=2,1,0)</f>
        <v>1</v>
      </c>
      <c r="BM3" s="353">
        <f t="shared" ref="BM3:BM66" si="35">IF(BJ3=2,1,0)</f>
        <v>0</v>
      </c>
      <c r="BN3" s="25">
        <f t="shared" ref="BN3:BN66" si="36">IF(AM3=0,1,0)</f>
        <v>0</v>
      </c>
      <c r="BO3" s="25">
        <f t="shared" ref="BO3:BO66" si="37">IF(AN3=0,1,0)</f>
        <v>0</v>
      </c>
      <c r="BP3" s="25">
        <f t="shared" ref="BP3:BP66" si="38">IF(AO3=0,1,0)</f>
        <v>0</v>
      </c>
      <c r="BQ3" s="25">
        <f t="shared" ref="BQ3:BQ66" si="39">AS3+BN3</f>
        <v>1</v>
      </c>
      <c r="BR3" s="25">
        <f t="shared" ref="BR3:BR66" si="40">AT3+BO3</f>
        <v>1</v>
      </c>
      <c r="BS3" s="25">
        <f t="shared" ref="BS3:BS66" si="41">AU3+BP3</f>
        <v>1</v>
      </c>
      <c r="BT3" s="345">
        <f t="shared" ref="BT3:BT66" si="42">IF(BQ3=2,1,0)</f>
        <v>0</v>
      </c>
      <c r="BU3" s="346">
        <f t="shared" ref="BU3:BU66" si="43">IF(BR3=2,1,0)</f>
        <v>0</v>
      </c>
      <c r="BV3" s="347">
        <f t="shared" ref="BV3:BV66" si="44">IF(BS3=2,1,0)</f>
        <v>0</v>
      </c>
      <c r="BX3" s="345">
        <f t="shared" ref="BX3:BX66" si="45">IF(CN3=2,1,0)</f>
        <v>0</v>
      </c>
      <c r="BY3" s="345">
        <f t="shared" ref="BY3:BY66" si="46">IF(CO3=2,1,0)</f>
        <v>0</v>
      </c>
      <c r="BZ3" s="345">
        <f t="shared" ref="BZ3:BZ66" si="47">IF(CP3=2,1,0)</f>
        <v>0</v>
      </c>
      <c r="CA3" s="382">
        <f t="shared" ref="CA3:CA66" si="48">IF(CQ3=2,1,0)</f>
        <v>0</v>
      </c>
      <c r="CB3" s="382">
        <f t="shared" ref="CB3:CB66" si="49">IF(CR3=2,1,0)</f>
        <v>0</v>
      </c>
      <c r="CC3" s="382">
        <f t="shared" ref="CC3:CC66" si="50">IF(CS3=2,1,0)</f>
        <v>0</v>
      </c>
      <c r="CD3" s="385">
        <f t="shared" ref="CD3:CD66" si="51">IF(CT3=2,1,0)</f>
        <v>0</v>
      </c>
      <c r="CE3" s="385">
        <f t="shared" ref="CE3:CE66" si="52">IF(CU3=2,1,0)</f>
        <v>0</v>
      </c>
      <c r="CF3" s="385">
        <f t="shared" ref="CF3:CF66" si="53">IF(CV3=2,1,0)</f>
        <v>0</v>
      </c>
      <c r="CG3" s="377">
        <f t="shared" ref="CG3:CG66" si="54">IF(AP3=0,1,0)</f>
        <v>0</v>
      </c>
      <c r="CH3" s="377">
        <f t="shared" ref="CH3:CH66" si="55">IF(AQ3=0,1,0)</f>
        <v>0</v>
      </c>
      <c r="CI3" s="377">
        <f t="shared" ref="CI3:CI66" si="56">IF(AR3=0,1,0)</f>
        <v>0</v>
      </c>
      <c r="CK3" s="25">
        <v>197</v>
      </c>
      <c r="CL3" s="25">
        <v>-40</v>
      </c>
      <c r="CN3" s="25">
        <f t="shared" ref="CN3:CN66" si="57">CG3+AV3</f>
        <v>0</v>
      </c>
      <c r="CO3" s="25">
        <f t="shared" ref="CO3:CO66" si="58">CH3+AW3</f>
        <v>0</v>
      </c>
      <c r="CP3" s="25">
        <f t="shared" ref="CP3:CP66" si="59">CI3+AX3</f>
        <v>1</v>
      </c>
      <c r="CQ3" s="25">
        <f t="shared" ref="CQ3:CQ66" si="60">CG3+BE3</f>
        <v>1</v>
      </c>
      <c r="CR3" s="25">
        <f t="shared" ref="CR3:CR66" si="61">CH3+BF3</f>
        <v>1</v>
      </c>
      <c r="CS3" s="25">
        <f t="shared" ref="CS3:CS66" si="62">CI3+BG3</f>
        <v>0</v>
      </c>
      <c r="CT3" s="25">
        <f t="shared" ref="CT3:CT66" si="63">CG3+BN3</f>
        <v>0</v>
      </c>
      <c r="CU3" s="25">
        <f t="shared" ref="CU3:CU66" si="64">CH3+BO3</f>
        <v>0</v>
      </c>
      <c r="CV3" s="25">
        <f t="shared" ref="CV3:CV66" si="65">CI3+BP3</f>
        <v>0</v>
      </c>
    </row>
    <row r="4" spans="1:135" s="25" customFormat="1">
      <c r="A4" s="69" t="s">
        <v>50</v>
      </c>
      <c r="B4" s="25">
        <v>5125</v>
      </c>
      <c r="C4" s="25">
        <v>6566</v>
      </c>
      <c r="D4" s="25">
        <v>8734</v>
      </c>
      <c r="E4" s="25">
        <v>0</v>
      </c>
      <c r="F4" s="25">
        <v>0</v>
      </c>
      <c r="G4" s="25">
        <v>862</v>
      </c>
      <c r="H4" s="25">
        <v>0</v>
      </c>
      <c r="I4" s="25">
        <v>0</v>
      </c>
      <c r="J4" s="25">
        <v>9.8694756125486602E-2</v>
      </c>
      <c r="K4" s="25">
        <v>350</v>
      </c>
      <c r="L4" s="25">
        <v>140</v>
      </c>
      <c r="M4" s="354">
        <f t="shared" si="0"/>
        <v>287.33333333333331</v>
      </c>
      <c r="X4" s="25">
        <v>0</v>
      </c>
      <c r="AB4" s="131">
        <v>0</v>
      </c>
      <c r="AC4" s="145">
        <v>0.38595121951219513</v>
      </c>
      <c r="AD4" s="145">
        <v>0.35317073170731705</v>
      </c>
      <c r="AE4" s="145">
        <v>0.25970731707317074</v>
      </c>
      <c r="AF4" s="145">
        <v>0</v>
      </c>
      <c r="AG4" s="131">
        <v>1.1707317073170742E-3</v>
      </c>
      <c r="AM4" s="25">
        <v>-20</v>
      </c>
      <c r="AN4" s="25">
        <v>224</v>
      </c>
      <c r="AO4" s="25">
        <v>845</v>
      </c>
      <c r="AP4" s="25">
        <v>0</v>
      </c>
      <c r="AQ4" s="25">
        <v>0</v>
      </c>
      <c r="AR4" s="25">
        <v>862</v>
      </c>
      <c r="AS4" s="25">
        <f t="shared" si="17"/>
        <v>0</v>
      </c>
      <c r="AT4" s="25">
        <f t="shared" si="1"/>
        <v>0</v>
      </c>
      <c r="AU4" s="25">
        <f t="shared" si="1"/>
        <v>1</v>
      </c>
      <c r="AV4" s="25">
        <f t="shared" si="18"/>
        <v>0</v>
      </c>
      <c r="AW4" s="25">
        <f t="shared" si="19"/>
        <v>1</v>
      </c>
      <c r="AX4" s="25">
        <f t="shared" si="20"/>
        <v>1</v>
      </c>
      <c r="AY4" s="25">
        <f t="shared" si="21"/>
        <v>0</v>
      </c>
      <c r="AZ4" s="25">
        <f t="shared" si="22"/>
        <v>1</v>
      </c>
      <c r="BA4" s="25">
        <f t="shared" si="23"/>
        <v>2</v>
      </c>
      <c r="BB4" s="339">
        <f t="shared" si="24"/>
        <v>0</v>
      </c>
      <c r="BC4" s="340">
        <f t="shared" si="25"/>
        <v>0</v>
      </c>
      <c r="BD4" s="341">
        <f t="shared" si="26"/>
        <v>1</v>
      </c>
      <c r="BE4" s="25">
        <f t="shared" si="27"/>
        <v>1</v>
      </c>
      <c r="BF4" s="25">
        <f t="shared" si="28"/>
        <v>0</v>
      </c>
      <c r="BG4" s="25">
        <f t="shared" si="29"/>
        <v>0</v>
      </c>
      <c r="BH4" s="25">
        <f t="shared" si="30"/>
        <v>1</v>
      </c>
      <c r="BI4" s="25">
        <f t="shared" si="31"/>
        <v>0</v>
      </c>
      <c r="BJ4" s="25">
        <f t="shared" si="32"/>
        <v>1</v>
      </c>
      <c r="BK4" s="351">
        <f t="shared" si="33"/>
        <v>0</v>
      </c>
      <c r="BL4" s="352">
        <f t="shared" si="34"/>
        <v>0</v>
      </c>
      <c r="BM4" s="353">
        <f t="shared" si="35"/>
        <v>0</v>
      </c>
      <c r="BN4" s="25">
        <f t="shared" si="36"/>
        <v>0</v>
      </c>
      <c r="BO4" s="25">
        <f t="shared" si="37"/>
        <v>0</v>
      </c>
      <c r="BP4" s="25">
        <f t="shared" si="38"/>
        <v>0</v>
      </c>
      <c r="BQ4" s="25">
        <f t="shared" si="39"/>
        <v>0</v>
      </c>
      <c r="BR4" s="25">
        <f t="shared" si="40"/>
        <v>0</v>
      </c>
      <c r="BS4" s="25">
        <f t="shared" si="41"/>
        <v>1</v>
      </c>
      <c r="BT4" s="345">
        <f t="shared" si="42"/>
        <v>0</v>
      </c>
      <c r="BU4" s="346">
        <f t="shared" si="43"/>
        <v>0</v>
      </c>
      <c r="BV4" s="347">
        <f t="shared" si="44"/>
        <v>0</v>
      </c>
      <c r="BX4" s="345">
        <f t="shared" si="45"/>
        <v>0</v>
      </c>
      <c r="BY4" s="345">
        <f t="shared" si="46"/>
        <v>1</v>
      </c>
      <c r="BZ4" s="345">
        <f t="shared" si="47"/>
        <v>0</v>
      </c>
      <c r="CA4" s="382">
        <f t="shared" si="48"/>
        <v>1</v>
      </c>
      <c r="CB4" s="382">
        <f t="shared" si="49"/>
        <v>0</v>
      </c>
      <c r="CC4" s="382">
        <f t="shared" si="50"/>
        <v>0</v>
      </c>
      <c r="CD4" s="385">
        <f t="shared" si="51"/>
        <v>0</v>
      </c>
      <c r="CE4" s="385">
        <f t="shared" si="52"/>
        <v>0</v>
      </c>
      <c r="CF4" s="385">
        <f t="shared" si="53"/>
        <v>0</v>
      </c>
      <c r="CG4" s="377">
        <f t="shared" si="54"/>
        <v>1</v>
      </c>
      <c r="CH4" s="377">
        <f t="shared" si="55"/>
        <v>1</v>
      </c>
      <c r="CI4" s="377">
        <f t="shared" si="56"/>
        <v>0</v>
      </c>
      <c r="CK4" s="25">
        <v>0</v>
      </c>
      <c r="CL4" s="25">
        <v>-20</v>
      </c>
      <c r="CN4" s="25">
        <f t="shared" si="57"/>
        <v>1</v>
      </c>
      <c r="CO4" s="25">
        <f t="shared" si="58"/>
        <v>2</v>
      </c>
      <c r="CP4" s="25">
        <f t="shared" si="59"/>
        <v>1</v>
      </c>
      <c r="CQ4" s="25">
        <f>CG4+BE4</f>
        <v>2</v>
      </c>
      <c r="CR4" s="25">
        <f t="shared" si="61"/>
        <v>1</v>
      </c>
      <c r="CS4" s="25">
        <f t="shared" si="62"/>
        <v>0</v>
      </c>
      <c r="CT4" s="25">
        <f t="shared" si="63"/>
        <v>1</v>
      </c>
      <c r="CU4" s="25">
        <f t="shared" si="64"/>
        <v>1</v>
      </c>
      <c r="CV4" s="25">
        <f t="shared" si="65"/>
        <v>0</v>
      </c>
      <c r="DC4" t="s">
        <v>643</v>
      </c>
      <c r="DD4"/>
      <c r="DE4"/>
      <c r="DF4"/>
      <c r="DG4"/>
      <c r="DH4"/>
      <c r="DI4"/>
      <c r="DJ4"/>
      <c r="DK4"/>
      <c r="DW4" t="s">
        <v>643</v>
      </c>
      <c r="DX4"/>
      <c r="DY4"/>
      <c r="DZ4"/>
      <c r="EA4"/>
      <c r="EB4"/>
      <c r="EC4"/>
      <c r="ED4"/>
      <c r="EE4"/>
    </row>
    <row r="5" spans="1:135" s="25" customFormat="1" ht="17" thickBot="1">
      <c r="A5" s="69" t="s">
        <v>51</v>
      </c>
      <c r="B5" s="25">
        <v>4040</v>
      </c>
      <c r="C5" s="25">
        <v>4331</v>
      </c>
      <c r="D5" s="25">
        <v>5958</v>
      </c>
      <c r="E5" s="25">
        <v>0</v>
      </c>
      <c r="F5" s="25">
        <v>3107</v>
      </c>
      <c r="G5" s="25">
        <v>3288</v>
      </c>
      <c r="H5" s="25">
        <v>0</v>
      </c>
      <c r="I5" s="25">
        <v>0.71738628492265066</v>
      </c>
      <c r="J5" s="25">
        <v>0.55186304128902319</v>
      </c>
      <c r="K5" s="25">
        <v>570</v>
      </c>
      <c r="L5" s="25">
        <v>456</v>
      </c>
      <c r="M5" s="354">
        <f t="shared" si="0"/>
        <v>2131.6666666666665</v>
      </c>
      <c r="X5" s="25">
        <v>0</v>
      </c>
      <c r="AB5" s="131">
        <v>0.76584158415841586</v>
      </c>
      <c r="AC5" s="145">
        <v>0</v>
      </c>
      <c r="AD5" s="145">
        <v>0.17054455445544556</v>
      </c>
      <c r="AE5" s="145">
        <v>5.717821782178218E-2</v>
      </c>
      <c r="AF5" s="145">
        <v>0</v>
      </c>
      <c r="AG5" s="131">
        <v>6.4356435643563303E-3</v>
      </c>
      <c r="AM5" s="25">
        <v>267</v>
      </c>
      <c r="AN5" s="25">
        <v>-6</v>
      </c>
      <c r="AO5" s="25">
        <v>167</v>
      </c>
      <c r="AP5" s="25">
        <v>0</v>
      </c>
      <c r="AQ5" s="25">
        <v>3107</v>
      </c>
      <c r="AR5" s="25">
        <v>3288</v>
      </c>
      <c r="AS5" s="25">
        <f t="shared" si="17"/>
        <v>0</v>
      </c>
      <c r="AT5" s="25">
        <f t="shared" si="1"/>
        <v>1</v>
      </c>
      <c r="AU5" s="25">
        <f t="shared" si="1"/>
        <v>1</v>
      </c>
      <c r="AV5" s="25">
        <f t="shared" si="18"/>
        <v>1</v>
      </c>
      <c r="AW5" s="25">
        <f t="shared" si="19"/>
        <v>0</v>
      </c>
      <c r="AX5" s="25">
        <f t="shared" si="20"/>
        <v>1</v>
      </c>
      <c r="AY5" s="25">
        <f t="shared" si="21"/>
        <v>1</v>
      </c>
      <c r="AZ5" s="25">
        <f t="shared" si="22"/>
        <v>1</v>
      </c>
      <c r="BA5" s="25">
        <f t="shared" si="23"/>
        <v>2</v>
      </c>
      <c r="BB5" s="339">
        <f t="shared" si="24"/>
        <v>0</v>
      </c>
      <c r="BC5" s="340">
        <f t="shared" si="25"/>
        <v>0</v>
      </c>
      <c r="BD5" s="341">
        <f t="shared" si="26"/>
        <v>1</v>
      </c>
      <c r="BE5" s="25">
        <f t="shared" si="27"/>
        <v>0</v>
      </c>
      <c r="BF5" s="25">
        <f t="shared" si="28"/>
        <v>1</v>
      </c>
      <c r="BG5" s="25">
        <f t="shared" si="29"/>
        <v>0</v>
      </c>
      <c r="BH5" s="25">
        <f t="shared" si="30"/>
        <v>0</v>
      </c>
      <c r="BI5" s="25">
        <f t="shared" si="31"/>
        <v>2</v>
      </c>
      <c r="BJ5" s="25">
        <f t="shared" si="32"/>
        <v>1</v>
      </c>
      <c r="BK5" s="351">
        <f t="shared" si="33"/>
        <v>0</v>
      </c>
      <c r="BL5" s="352">
        <f t="shared" si="34"/>
        <v>1</v>
      </c>
      <c r="BM5" s="353">
        <f t="shared" si="35"/>
        <v>0</v>
      </c>
      <c r="BN5" s="25">
        <f t="shared" si="36"/>
        <v>0</v>
      </c>
      <c r="BO5" s="25">
        <f t="shared" si="37"/>
        <v>0</v>
      </c>
      <c r="BP5" s="25">
        <f t="shared" si="38"/>
        <v>0</v>
      </c>
      <c r="BQ5" s="25">
        <f t="shared" si="39"/>
        <v>0</v>
      </c>
      <c r="BR5" s="25">
        <f t="shared" si="40"/>
        <v>1</v>
      </c>
      <c r="BS5" s="25">
        <f t="shared" si="41"/>
        <v>1</v>
      </c>
      <c r="BT5" s="345">
        <f t="shared" si="42"/>
        <v>0</v>
      </c>
      <c r="BU5" s="346">
        <f t="shared" si="43"/>
        <v>0</v>
      </c>
      <c r="BV5" s="347">
        <f t="shared" si="44"/>
        <v>0</v>
      </c>
      <c r="BX5" s="345">
        <f t="shared" si="45"/>
        <v>1</v>
      </c>
      <c r="BY5" s="345">
        <f t="shared" si="46"/>
        <v>0</v>
      </c>
      <c r="BZ5" s="345">
        <f t="shared" si="47"/>
        <v>0</v>
      </c>
      <c r="CA5" s="382">
        <f t="shared" si="48"/>
        <v>0</v>
      </c>
      <c r="CB5" s="382">
        <f t="shared" si="49"/>
        <v>0</v>
      </c>
      <c r="CC5" s="382">
        <f t="shared" si="50"/>
        <v>0</v>
      </c>
      <c r="CD5" s="385">
        <f t="shared" si="51"/>
        <v>0</v>
      </c>
      <c r="CE5" s="385">
        <f t="shared" si="52"/>
        <v>0</v>
      </c>
      <c r="CF5" s="385">
        <f t="shared" si="53"/>
        <v>0</v>
      </c>
      <c r="CG5" s="377">
        <f t="shared" si="54"/>
        <v>1</v>
      </c>
      <c r="CH5" s="377">
        <f t="shared" si="55"/>
        <v>0</v>
      </c>
      <c r="CI5" s="377">
        <f t="shared" si="56"/>
        <v>0</v>
      </c>
      <c r="CK5" s="25">
        <v>0</v>
      </c>
      <c r="CL5" s="25">
        <v>267</v>
      </c>
      <c r="CN5" s="25">
        <f t="shared" si="57"/>
        <v>2</v>
      </c>
      <c r="CO5" s="25">
        <f t="shared" si="58"/>
        <v>0</v>
      </c>
      <c r="CP5" s="25">
        <f t="shared" si="59"/>
        <v>1</v>
      </c>
      <c r="CQ5" s="25">
        <f t="shared" si="60"/>
        <v>1</v>
      </c>
      <c r="CR5" s="25">
        <f t="shared" si="61"/>
        <v>1</v>
      </c>
      <c r="CS5" s="25">
        <f t="shared" si="62"/>
        <v>0</v>
      </c>
      <c r="CT5" s="25">
        <f t="shared" si="63"/>
        <v>1</v>
      </c>
      <c r="CU5" s="25">
        <f t="shared" si="64"/>
        <v>0</v>
      </c>
      <c r="CV5" s="25">
        <f t="shared" si="65"/>
        <v>0</v>
      </c>
      <c r="DC5"/>
      <c r="DD5"/>
      <c r="DE5"/>
      <c r="DF5"/>
      <c r="DG5"/>
      <c r="DH5"/>
      <c r="DI5"/>
      <c r="DJ5"/>
      <c r="DK5"/>
      <c r="DW5"/>
      <c r="DX5"/>
      <c r="DY5"/>
      <c r="DZ5"/>
      <c r="EA5"/>
      <c r="EB5"/>
      <c r="EC5"/>
      <c r="ED5"/>
      <c r="EE5"/>
    </row>
    <row r="6" spans="1:135">
      <c r="A6" s="69" t="s">
        <v>52</v>
      </c>
      <c r="B6">
        <v>6499</v>
      </c>
      <c r="C6">
        <v>7465</v>
      </c>
      <c r="D6">
        <v>8229</v>
      </c>
      <c r="E6">
        <v>1397</v>
      </c>
      <c r="F6">
        <v>1566</v>
      </c>
      <c r="G6">
        <v>2115</v>
      </c>
      <c r="H6">
        <v>0.21495614709955377</v>
      </c>
      <c r="I6">
        <v>0.20977896851975888</v>
      </c>
      <c r="J6">
        <v>0.25701786365293472</v>
      </c>
      <c r="K6">
        <v>450</v>
      </c>
      <c r="L6">
        <v>369</v>
      </c>
      <c r="M6" s="354">
        <f t="shared" si="0"/>
        <v>1692.6666666666667</v>
      </c>
      <c r="X6">
        <v>0.21495614709955377</v>
      </c>
      <c r="AB6" s="131">
        <v>4.8161255577781198E-2</v>
      </c>
      <c r="AC6" s="145">
        <v>8.385905523926758E-2</v>
      </c>
      <c r="AD6" s="145">
        <v>0.14463763655947068</v>
      </c>
      <c r="AE6" s="145">
        <v>0</v>
      </c>
      <c r="AF6" s="145">
        <v>0.13309739959993847</v>
      </c>
      <c r="AG6" s="131">
        <v>0.37498076627173405</v>
      </c>
      <c r="AM6">
        <v>92</v>
      </c>
      <c r="AN6">
        <v>-312</v>
      </c>
      <c r="AO6">
        <v>580</v>
      </c>
      <c r="AP6">
        <v>1397</v>
      </c>
      <c r="AQ6">
        <v>1566</v>
      </c>
      <c r="AR6">
        <v>2115</v>
      </c>
      <c r="AS6" s="25">
        <f t="shared" si="17"/>
        <v>1</v>
      </c>
      <c r="AT6" s="25">
        <f t="shared" si="1"/>
        <v>1</v>
      </c>
      <c r="AU6" s="25">
        <f t="shared" si="1"/>
        <v>1</v>
      </c>
      <c r="AV6" s="25">
        <f t="shared" si="18"/>
        <v>1</v>
      </c>
      <c r="AW6" s="25">
        <f t="shared" si="19"/>
        <v>0</v>
      </c>
      <c r="AX6" s="25">
        <f t="shared" si="20"/>
        <v>1</v>
      </c>
      <c r="AY6" s="25">
        <f t="shared" si="21"/>
        <v>2</v>
      </c>
      <c r="AZ6" s="25">
        <f t="shared" si="22"/>
        <v>1</v>
      </c>
      <c r="BA6" s="25">
        <f t="shared" si="23"/>
        <v>2</v>
      </c>
      <c r="BB6" s="339">
        <f t="shared" si="24"/>
        <v>1</v>
      </c>
      <c r="BC6" s="340">
        <f t="shared" si="25"/>
        <v>0</v>
      </c>
      <c r="BD6" s="341">
        <f t="shared" si="26"/>
        <v>1</v>
      </c>
      <c r="BE6" s="25">
        <f t="shared" si="27"/>
        <v>0</v>
      </c>
      <c r="BF6" s="25">
        <f t="shared" si="28"/>
        <v>1</v>
      </c>
      <c r="BG6" s="25">
        <f t="shared" si="29"/>
        <v>0</v>
      </c>
      <c r="BH6" s="25">
        <f t="shared" si="30"/>
        <v>1</v>
      </c>
      <c r="BI6" s="25">
        <f t="shared" si="31"/>
        <v>2</v>
      </c>
      <c r="BJ6" s="25">
        <f t="shared" si="32"/>
        <v>1</v>
      </c>
      <c r="BK6" s="351">
        <f t="shared" si="33"/>
        <v>0</v>
      </c>
      <c r="BL6" s="352">
        <f t="shared" si="34"/>
        <v>1</v>
      </c>
      <c r="BM6" s="353">
        <f t="shared" si="35"/>
        <v>0</v>
      </c>
      <c r="BN6" s="25">
        <f t="shared" si="36"/>
        <v>0</v>
      </c>
      <c r="BO6" s="25">
        <f t="shared" si="37"/>
        <v>0</v>
      </c>
      <c r="BP6" s="25">
        <f t="shared" si="38"/>
        <v>0</v>
      </c>
      <c r="BQ6" s="25">
        <f t="shared" si="39"/>
        <v>1</v>
      </c>
      <c r="BR6" s="25">
        <f t="shared" si="40"/>
        <v>1</v>
      </c>
      <c r="BS6" s="25">
        <f t="shared" si="41"/>
        <v>1</v>
      </c>
      <c r="BT6" s="345">
        <f t="shared" si="42"/>
        <v>0</v>
      </c>
      <c r="BU6" s="346">
        <f t="shared" si="43"/>
        <v>0</v>
      </c>
      <c r="BV6" s="347">
        <f t="shared" si="44"/>
        <v>0</v>
      </c>
      <c r="BX6" s="345">
        <f t="shared" si="45"/>
        <v>0</v>
      </c>
      <c r="BY6" s="345">
        <f t="shared" si="46"/>
        <v>0</v>
      </c>
      <c r="BZ6" s="345">
        <f t="shared" si="47"/>
        <v>0</v>
      </c>
      <c r="CA6" s="382">
        <f t="shared" si="48"/>
        <v>0</v>
      </c>
      <c r="CB6" s="382">
        <f t="shared" si="49"/>
        <v>0</v>
      </c>
      <c r="CC6" s="382">
        <f t="shared" si="50"/>
        <v>0</v>
      </c>
      <c r="CD6" s="385">
        <f t="shared" si="51"/>
        <v>0</v>
      </c>
      <c r="CE6" s="385">
        <f t="shared" si="52"/>
        <v>0</v>
      </c>
      <c r="CF6" s="385">
        <f t="shared" si="53"/>
        <v>0</v>
      </c>
      <c r="CG6" s="377">
        <f t="shared" si="54"/>
        <v>0</v>
      </c>
      <c r="CH6" s="377">
        <f t="shared" si="55"/>
        <v>0</v>
      </c>
      <c r="CI6" s="377">
        <f t="shared" si="56"/>
        <v>0</v>
      </c>
      <c r="CK6">
        <v>1397</v>
      </c>
      <c r="CL6">
        <v>92</v>
      </c>
      <c r="CN6" s="25">
        <f t="shared" si="57"/>
        <v>1</v>
      </c>
      <c r="CO6" s="25">
        <f t="shared" si="58"/>
        <v>0</v>
      </c>
      <c r="CP6" s="25">
        <f t="shared" si="59"/>
        <v>1</v>
      </c>
      <c r="CQ6" s="25">
        <f t="shared" si="60"/>
        <v>0</v>
      </c>
      <c r="CR6" s="25">
        <f t="shared" si="61"/>
        <v>1</v>
      </c>
      <c r="CS6" s="25">
        <f t="shared" si="62"/>
        <v>0</v>
      </c>
      <c r="CT6" s="25">
        <f t="shared" si="63"/>
        <v>0</v>
      </c>
      <c r="CU6" s="25">
        <f t="shared" si="64"/>
        <v>0</v>
      </c>
      <c r="CV6" s="25">
        <f t="shared" si="65"/>
        <v>0</v>
      </c>
      <c r="DC6" s="61" t="s">
        <v>644</v>
      </c>
      <c r="DD6" s="61"/>
      <c r="DW6" s="61" t="s">
        <v>644</v>
      </c>
      <c r="DX6" s="61"/>
    </row>
    <row r="7" spans="1:135">
      <c r="A7" s="69" t="s">
        <v>92</v>
      </c>
      <c r="B7">
        <v>1351</v>
      </c>
      <c r="C7">
        <v>1820</v>
      </c>
      <c r="D7">
        <v>2494</v>
      </c>
      <c r="E7">
        <v>810</v>
      </c>
      <c r="F7">
        <v>1118</v>
      </c>
      <c r="G7">
        <v>1718</v>
      </c>
      <c r="H7">
        <v>0.59955588452997777</v>
      </c>
      <c r="I7">
        <v>0.61428571428571432</v>
      </c>
      <c r="J7">
        <v>0.68885324779470725</v>
      </c>
      <c r="K7">
        <v>385</v>
      </c>
      <c r="L7">
        <v>327.25</v>
      </c>
      <c r="M7" s="354">
        <f t="shared" si="0"/>
        <v>1215.3333333333333</v>
      </c>
      <c r="X7">
        <v>0.59955588452997777</v>
      </c>
      <c r="AB7" s="131">
        <v>0</v>
      </c>
      <c r="AC7" s="145">
        <v>2.1465581051073278E-2</v>
      </c>
      <c r="AD7" s="145">
        <v>0.11176905995558846</v>
      </c>
      <c r="AE7" s="145">
        <v>0</v>
      </c>
      <c r="AF7" s="145">
        <v>0</v>
      </c>
      <c r="AG7" s="131">
        <v>0.26720947446336052</v>
      </c>
      <c r="AM7">
        <v>-71</v>
      </c>
      <c r="AN7">
        <v>-12</v>
      </c>
      <c r="AO7">
        <v>14</v>
      </c>
      <c r="AP7">
        <v>810</v>
      </c>
      <c r="AQ7">
        <v>1118</v>
      </c>
      <c r="AR7">
        <v>1718</v>
      </c>
      <c r="AS7" s="25">
        <f t="shared" si="17"/>
        <v>1</v>
      </c>
      <c r="AT7" s="25">
        <f t="shared" si="1"/>
        <v>1</v>
      </c>
      <c r="AU7" s="25">
        <f t="shared" si="1"/>
        <v>1</v>
      </c>
      <c r="AV7" s="25">
        <f t="shared" si="18"/>
        <v>0</v>
      </c>
      <c r="AW7" s="25">
        <f t="shared" si="19"/>
        <v>0</v>
      </c>
      <c r="AX7" s="25">
        <f t="shared" si="20"/>
        <v>1</v>
      </c>
      <c r="AY7" s="25">
        <f t="shared" si="21"/>
        <v>1</v>
      </c>
      <c r="AZ7" s="25">
        <f t="shared" si="22"/>
        <v>1</v>
      </c>
      <c r="BA7" s="25">
        <f t="shared" si="23"/>
        <v>2</v>
      </c>
      <c r="BB7" s="339">
        <f t="shared" si="24"/>
        <v>0</v>
      </c>
      <c r="BC7" s="340">
        <f t="shared" si="25"/>
        <v>0</v>
      </c>
      <c r="BD7" s="341">
        <f t="shared" si="26"/>
        <v>1</v>
      </c>
      <c r="BE7" s="25">
        <f t="shared" si="27"/>
        <v>1</v>
      </c>
      <c r="BF7" s="25">
        <f t="shared" si="28"/>
        <v>1</v>
      </c>
      <c r="BG7" s="25">
        <f t="shared" si="29"/>
        <v>0</v>
      </c>
      <c r="BH7" s="25">
        <f t="shared" si="30"/>
        <v>2</v>
      </c>
      <c r="BI7" s="25">
        <f t="shared" si="31"/>
        <v>2</v>
      </c>
      <c r="BJ7" s="25">
        <f t="shared" si="32"/>
        <v>1</v>
      </c>
      <c r="BK7" s="351">
        <f t="shared" si="33"/>
        <v>1</v>
      </c>
      <c r="BL7" s="352">
        <f t="shared" si="34"/>
        <v>1</v>
      </c>
      <c r="BM7" s="353">
        <f t="shared" si="35"/>
        <v>0</v>
      </c>
      <c r="BN7" s="25">
        <f t="shared" si="36"/>
        <v>0</v>
      </c>
      <c r="BO7" s="25">
        <f t="shared" si="37"/>
        <v>0</v>
      </c>
      <c r="BP7" s="25">
        <f t="shared" si="38"/>
        <v>0</v>
      </c>
      <c r="BQ7" s="25">
        <f t="shared" si="39"/>
        <v>1</v>
      </c>
      <c r="BR7" s="25">
        <f t="shared" si="40"/>
        <v>1</v>
      </c>
      <c r="BS7" s="25">
        <f t="shared" si="41"/>
        <v>1</v>
      </c>
      <c r="BT7" s="345">
        <f t="shared" si="42"/>
        <v>0</v>
      </c>
      <c r="BU7" s="346">
        <f t="shared" si="43"/>
        <v>0</v>
      </c>
      <c r="BV7" s="347">
        <f t="shared" si="44"/>
        <v>0</v>
      </c>
      <c r="BX7" s="345">
        <f t="shared" si="45"/>
        <v>0</v>
      </c>
      <c r="BY7" s="345">
        <f t="shared" si="46"/>
        <v>0</v>
      </c>
      <c r="BZ7" s="345">
        <f t="shared" si="47"/>
        <v>0</v>
      </c>
      <c r="CA7" s="382">
        <f t="shared" si="48"/>
        <v>0</v>
      </c>
      <c r="CB7" s="382">
        <f t="shared" si="49"/>
        <v>0</v>
      </c>
      <c r="CC7" s="382">
        <f t="shared" si="50"/>
        <v>0</v>
      </c>
      <c r="CD7" s="385">
        <f t="shared" si="51"/>
        <v>0</v>
      </c>
      <c r="CE7" s="385">
        <f t="shared" si="52"/>
        <v>0</v>
      </c>
      <c r="CF7" s="385">
        <f t="shared" si="53"/>
        <v>0</v>
      </c>
      <c r="CG7" s="377">
        <f t="shared" si="54"/>
        <v>0</v>
      </c>
      <c r="CH7" s="377">
        <f t="shared" si="55"/>
        <v>0</v>
      </c>
      <c r="CI7" s="377">
        <f t="shared" si="56"/>
        <v>0</v>
      </c>
      <c r="CK7">
        <v>810</v>
      </c>
      <c r="CL7">
        <v>-71</v>
      </c>
      <c r="CN7" s="25">
        <f t="shared" si="57"/>
        <v>0</v>
      </c>
      <c r="CO7" s="25">
        <f t="shared" si="58"/>
        <v>0</v>
      </c>
      <c r="CP7" s="25">
        <f t="shared" si="59"/>
        <v>1</v>
      </c>
      <c r="CQ7" s="25">
        <f t="shared" si="60"/>
        <v>1</v>
      </c>
      <c r="CR7" s="25">
        <f t="shared" si="61"/>
        <v>1</v>
      </c>
      <c r="CS7" s="25">
        <f t="shared" si="62"/>
        <v>0</v>
      </c>
      <c r="CT7" s="25">
        <f t="shared" si="63"/>
        <v>0</v>
      </c>
      <c r="CU7" s="25">
        <f t="shared" si="64"/>
        <v>0</v>
      </c>
      <c r="CV7" s="25">
        <f t="shared" si="65"/>
        <v>0</v>
      </c>
      <c r="DC7" s="58" t="s">
        <v>645</v>
      </c>
      <c r="DD7" s="58">
        <v>0.13972181962982658</v>
      </c>
      <c r="DW7" s="58" t="s">
        <v>645</v>
      </c>
      <c r="DX7" s="359">
        <v>0.13972181962982658</v>
      </c>
    </row>
    <row r="8" spans="1:135">
      <c r="A8" s="69" t="s">
        <v>93</v>
      </c>
      <c r="B8">
        <v>4315</v>
      </c>
      <c r="C8">
        <v>4882</v>
      </c>
      <c r="D8">
        <v>5908</v>
      </c>
      <c r="E8">
        <v>1302</v>
      </c>
      <c r="F8">
        <v>1964</v>
      </c>
      <c r="G8">
        <v>2438</v>
      </c>
      <c r="H8">
        <v>0.30173812282734647</v>
      </c>
      <c r="I8">
        <v>0.40229414174518641</v>
      </c>
      <c r="J8">
        <v>0.41266079891672308</v>
      </c>
      <c r="K8">
        <v>260</v>
      </c>
      <c r="L8">
        <v>252.2</v>
      </c>
      <c r="M8" s="354">
        <f t="shared" si="0"/>
        <v>1901.3333333333333</v>
      </c>
      <c r="X8">
        <v>0.30173812282734647</v>
      </c>
      <c r="AB8" s="131">
        <v>0.13209733487833139</v>
      </c>
      <c r="AC8" s="145">
        <v>5.909617612977984E-2</v>
      </c>
      <c r="AD8" s="145">
        <v>0.22572421784472768</v>
      </c>
      <c r="AE8" s="145">
        <v>4.7045191193511006E-2</v>
      </c>
      <c r="AF8" s="145">
        <v>0.21320973348783315</v>
      </c>
      <c r="AG8" s="131">
        <v>2.1089223638470433E-2</v>
      </c>
      <c r="AM8">
        <v>356</v>
      </c>
      <c r="AN8">
        <v>275</v>
      </c>
      <c r="AO8">
        <v>32</v>
      </c>
      <c r="AP8">
        <v>1302</v>
      </c>
      <c r="AQ8">
        <v>1964</v>
      </c>
      <c r="AR8">
        <v>2438</v>
      </c>
      <c r="AS8" s="25">
        <f t="shared" si="17"/>
        <v>1</v>
      </c>
      <c r="AT8" s="25">
        <f t="shared" si="1"/>
        <v>1</v>
      </c>
      <c r="AU8" s="25">
        <f t="shared" si="1"/>
        <v>1</v>
      </c>
      <c r="AV8" s="25">
        <f t="shared" si="18"/>
        <v>1</v>
      </c>
      <c r="AW8" s="25">
        <f t="shared" si="19"/>
        <v>1</v>
      </c>
      <c r="AX8" s="25">
        <f t="shared" si="20"/>
        <v>1</v>
      </c>
      <c r="AY8" s="25">
        <f t="shared" si="21"/>
        <v>2</v>
      </c>
      <c r="AZ8" s="25">
        <f t="shared" si="22"/>
        <v>2</v>
      </c>
      <c r="BA8" s="25">
        <f t="shared" si="23"/>
        <v>2</v>
      </c>
      <c r="BB8" s="339">
        <f t="shared" si="24"/>
        <v>1</v>
      </c>
      <c r="BC8" s="340">
        <f t="shared" si="25"/>
        <v>1</v>
      </c>
      <c r="BD8" s="341">
        <f t="shared" si="26"/>
        <v>1</v>
      </c>
      <c r="BE8" s="25">
        <f t="shared" si="27"/>
        <v>0</v>
      </c>
      <c r="BF8" s="25">
        <f t="shared" si="28"/>
        <v>0</v>
      </c>
      <c r="BG8" s="25">
        <f t="shared" si="29"/>
        <v>0</v>
      </c>
      <c r="BH8" s="25">
        <f t="shared" si="30"/>
        <v>1</v>
      </c>
      <c r="BI8" s="25">
        <f t="shared" si="31"/>
        <v>1</v>
      </c>
      <c r="BJ8" s="25">
        <f t="shared" si="32"/>
        <v>1</v>
      </c>
      <c r="BK8" s="351">
        <f t="shared" si="33"/>
        <v>0</v>
      </c>
      <c r="BL8" s="352">
        <f t="shared" si="34"/>
        <v>0</v>
      </c>
      <c r="BM8" s="353">
        <f t="shared" si="35"/>
        <v>0</v>
      </c>
      <c r="BN8" s="25">
        <f t="shared" si="36"/>
        <v>0</v>
      </c>
      <c r="BO8" s="25">
        <f t="shared" si="37"/>
        <v>0</v>
      </c>
      <c r="BP8" s="25">
        <f t="shared" si="38"/>
        <v>0</v>
      </c>
      <c r="BQ8" s="25">
        <f t="shared" si="39"/>
        <v>1</v>
      </c>
      <c r="BR8" s="25">
        <f t="shared" si="40"/>
        <v>1</v>
      </c>
      <c r="BS8" s="25">
        <f t="shared" si="41"/>
        <v>1</v>
      </c>
      <c r="BT8" s="345">
        <f t="shared" si="42"/>
        <v>0</v>
      </c>
      <c r="BU8" s="346">
        <f t="shared" si="43"/>
        <v>0</v>
      </c>
      <c r="BV8" s="347">
        <f t="shared" si="44"/>
        <v>0</v>
      </c>
      <c r="BX8" s="345">
        <f t="shared" si="45"/>
        <v>0</v>
      </c>
      <c r="BY8" s="345">
        <f t="shared" si="46"/>
        <v>0</v>
      </c>
      <c r="BZ8" s="345">
        <f t="shared" si="47"/>
        <v>0</v>
      </c>
      <c r="CA8" s="382">
        <f t="shared" si="48"/>
        <v>0</v>
      </c>
      <c r="CB8" s="382">
        <f t="shared" si="49"/>
        <v>0</v>
      </c>
      <c r="CC8" s="382">
        <f t="shared" si="50"/>
        <v>0</v>
      </c>
      <c r="CD8" s="385">
        <f t="shared" si="51"/>
        <v>0</v>
      </c>
      <c r="CE8" s="385">
        <f t="shared" si="52"/>
        <v>0</v>
      </c>
      <c r="CF8" s="385">
        <f t="shared" si="53"/>
        <v>0</v>
      </c>
      <c r="CG8" s="377">
        <f t="shared" si="54"/>
        <v>0</v>
      </c>
      <c r="CH8" s="377">
        <f t="shared" si="55"/>
        <v>0</v>
      </c>
      <c r="CI8" s="377">
        <f t="shared" si="56"/>
        <v>0</v>
      </c>
      <c r="CK8">
        <v>1302</v>
      </c>
      <c r="CL8">
        <v>356</v>
      </c>
      <c r="CN8" s="25">
        <f t="shared" si="57"/>
        <v>1</v>
      </c>
      <c r="CO8" s="25">
        <f t="shared" si="58"/>
        <v>1</v>
      </c>
      <c r="CP8" s="25">
        <f t="shared" si="59"/>
        <v>1</v>
      </c>
      <c r="CQ8" s="25">
        <f t="shared" si="60"/>
        <v>0</v>
      </c>
      <c r="CR8" s="25">
        <f t="shared" si="61"/>
        <v>0</v>
      </c>
      <c r="CS8" s="25">
        <f t="shared" si="62"/>
        <v>0</v>
      </c>
      <c r="CT8" s="25">
        <f t="shared" si="63"/>
        <v>0</v>
      </c>
      <c r="CU8" s="25">
        <f t="shared" si="64"/>
        <v>0</v>
      </c>
      <c r="CV8" s="25">
        <f t="shared" si="65"/>
        <v>0</v>
      </c>
      <c r="DC8" s="58" t="s">
        <v>646</v>
      </c>
      <c r="DD8" s="58">
        <v>1.9522186880669787E-2</v>
      </c>
      <c r="DW8" s="58" t="s">
        <v>646</v>
      </c>
      <c r="DX8" s="359">
        <v>1.9522186880669787E-2</v>
      </c>
    </row>
    <row r="9" spans="1:135">
      <c r="A9" s="69" t="s">
        <v>100</v>
      </c>
      <c r="B9">
        <v>137.73750000000001</v>
      </c>
      <c r="C9">
        <v>167.13750000000002</v>
      </c>
      <c r="D9">
        <v>141.03749999999999</v>
      </c>
      <c r="E9">
        <v>0</v>
      </c>
      <c r="F9">
        <v>2.6124999999999998</v>
      </c>
      <c r="G9">
        <v>2.4500000000000002</v>
      </c>
      <c r="H9">
        <v>0</v>
      </c>
      <c r="I9">
        <v>1.5630842868895368E-2</v>
      </c>
      <c r="J9">
        <v>1.7371266507134629E-2</v>
      </c>
      <c r="K9">
        <v>10</v>
      </c>
      <c r="L9">
        <v>3</v>
      </c>
      <c r="M9" s="354">
        <f t="shared" si="0"/>
        <v>1.6875</v>
      </c>
      <c r="X9">
        <v>0</v>
      </c>
      <c r="AB9" s="131">
        <v>9.4926944368817504E-2</v>
      </c>
      <c r="AC9" s="145">
        <v>0.13113712678101461</v>
      </c>
      <c r="AD9" s="145">
        <v>0.11688900989200472</v>
      </c>
      <c r="AE9" s="145">
        <v>0.31354932389509027</v>
      </c>
      <c r="AF9" s="145">
        <v>0.17869135130229602</v>
      </c>
      <c r="AG9" s="131">
        <v>0.1648062437607769</v>
      </c>
      <c r="AM9">
        <v>-23.900000000000002</v>
      </c>
      <c r="AN9">
        <v>0.53749999999999998</v>
      </c>
      <c r="AO9">
        <v>-12.725</v>
      </c>
      <c r="AP9">
        <v>0</v>
      </c>
      <c r="AQ9">
        <v>2.6124999999999998</v>
      </c>
      <c r="AR9">
        <v>2.4500000000000002</v>
      </c>
      <c r="AS9" s="25">
        <f t="shared" si="17"/>
        <v>0</v>
      </c>
      <c r="AT9" s="25">
        <f t="shared" si="1"/>
        <v>1</v>
      </c>
      <c r="AU9" s="25">
        <f t="shared" si="1"/>
        <v>1</v>
      </c>
      <c r="AV9" s="25">
        <f t="shared" si="18"/>
        <v>0</v>
      </c>
      <c r="AW9" s="25">
        <f t="shared" si="19"/>
        <v>1</v>
      </c>
      <c r="AX9" s="25">
        <f t="shared" si="20"/>
        <v>0</v>
      </c>
      <c r="AY9" s="25">
        <f t="shared" si="21"/>
        <v>0</v>
      </c>
      <c r="AZ9" s="25">
        <f t="shared" si="22"/>
        <v>2</v>
      </c>
      <c r="BA9" s="25">
        <f t="shared" si="23"/>
        <v>1</v>
      </c>
      <c r="BB9" s="339">
        <f t="shared" si="24"/>
        <v>0</v>
      </c>
      <c r="BC9" s="340">
        <f t="shared" si="25"/>
        <v>1</v>
      </c>
      <c r="BD9" s="341">
        <f t="shared" si="26"/>
        <v>0</v>
      </c>
      <c r="BE9" s="25">
        <f t="shared" si="27"/>
        <v>1</v>
      </c>
      <c r="BF9" s="25">
        <f t="shared" si="28"/>
        <v>0</v>
      </c>
      <c r="BG9" s="25">
        <f t="shared" si="29"/>
        <v>1</v>
      </c>
      <c r="BH9" s="25">
        <f t="shared" si="30"/>
        <v>1</v>
      </c>
      <c r="BI9" s="25">
        <f t="shared" si="31"/>
        <v>1</v>
      </c>
      <c r="BJ9" s="25">
        <f t="shared" si="32"/>
        <v>2</v>
      </c>
      <c r="BK9" s="351">
        <f t="shared" si="33"/>
        <v>0</v>
      </c>
      <c r="BL9" s="352">
        <f t="shared" si="34"/>
        <v>0</v>
      </c>
      <c r="BM9" s="353">
        <f t="shared" si="35"/>
        <v>1</v>
      </c>
      <c r="BN9" s="25">
        <f t="shared" si="36"/>
        <v>0</v>
      </c>
      <c r="BO9" s="25">
        <f t="shared" si="37"/>
        <v>0</v>
      </c>
      <c r="BP9" s="25">
        <f t="shared" si="38"/>
        <v>0</v>
      </c>
      <c r="BQ9" s="25">
        <f t="shared" si="39"/>
        <v>0</v>
      </c>
      <c r="BR9" s="25">
        <f t="shared" si="40"/>
        <v>1</v>
      </c>
      <c r="BS9" s="25">
        <f t="shared" si="41"/>
        <v>1</v>
      </c>
      <c r="BT9" s="345">
        <f t="shared" si="42"/>
        <v>0</v>
      </c>
      <c r="BU9" s="346">
        <f t="shared" si="43"/>
        <v>0</v>
      </c>
      <c r="BV9" s="347">
        <f t="shared" si="44"/>
        <v>0</v>
      </c>
      <c r="BX9" s="345">
        <f t="shared" si="45"/>
        <v>0</v>
      </c>
      <c r="BY9" s="345">
        <f t="shared" si="46"/>
        <v>0</v>
      </c>
      <c r="BZ9" s="345">
        <f t="shared" si="47"/>
        <v>0</v>
      </c>
      <c r="CA9" s="382">
        <f t="shared" si="48"/>
        <v>1</v>
      </c>
      <c r="CB9" s="382">
        <f t="shared" si="49"/>
        <v>0</v>
      </c>
      <c r="CC9" s="382">
        <f t="shared" si="50"/>
        <v>0</v>
      </c>
      <c r="CD9" s="385">
        <f t="shared" si="51"/>
        <v>0</v>
      </c>
      <c r="CE9" s="385">
        <f t="shared" si="52"/>
        <v>0</v>
      </c>
      <c r="CF9" s="385">
        <f t="shared" si="53"/>
        <v>0</v>
      </c>
      <c r="CG9" s="377">
        <f t="shared" si="54"/>
        <v>1</v>
      </c>
      <c r="CH9" s="377">
        <f t="shared" si="55"/>
        <v>0</v>
      </c>
      <c r="CI9" s="377">
        <f t="shared" si="56"/>
        <v>0</v>
      </c>
      <c r="CK9">
        <v>0</v>
      </c>
      <c r="CL9">
        <v>-23.900000000000002</v>
      </c>
      <c r="CN9" s="25">
        <f t="shared" si="57"/>
        <v>1</v>
      </c>
      <c r="CO9" s="25">
        <f t="shared" si="58"/>
        <v>1</v>
      </c>
      <c r="CP9" s="25">
        <f t="shared" si="59"/>
        <v>0</v>
      </c>
      <c r="CQ9" s="25">
        <f t="shared" si="60"/>
        <v>2</v>
      </c>
      <c r="CR9" s="25">
        <f t="shared" si="61"/>
        <v>0</v>
      </c>
      <c r="CS9" s="25">
        <f t="shared" si="62"/>
        <v>1</v>
      </c>
      <c r="CT9" s="25">
        <f t="shared" si="63"/>
        <v>1</v>
      </c>
      <c r="CU9" s="25">
        <f t="shared" si="64"/>
        <v>0</v>
      </c>
      <c r="CV9" s="25">
        <f t="shared" si="65"/>
        <v>0</v>
      </c>
      <c r="DC9" s="58" t="s">
        <v>647</v>
      </c>
      <c r="DD9" s="58">
        <v>1.5982555786376175E-2</v>
      </c>
      <c r="DW9" s="58" t="s">
        <v>647</v>
      </c>
      <c r="DX9" s="359">
        <v>1.5982555786376175E-2</v>
      </c>
    </row>
    <row r="10" spans="1:135">
      <c r="A10" s="69" t="s">
        <v>101</v>
      </c>
      <c r="B10">
        <v>1958</v>
      </c>
      <c r="C10">
        <v>2220</v>
      </c>
      <c r="D10">
        <v>2138</v>
      </c>
      <c r="E10">
        <v>474</v>
      </c>
      <c r="F10">
        <v>505</v>
      </c>
      <c r="G10">
        <v>535</v>
      </c>
      <c r="H10">
        <v>0.24208375893769152</v>
      </c>
      <c r="I10">
        <v>0.22747747747747749</v>
      </c>
      <c r="J10">
        <v>0.25023386342376053</v>
      </c>
      <c r="K10">
        <v>176</v>
      </c>
      <c r="L10">
        <v>140.80000000000001</v>
      </c>
      <c r="M10" s="354">
        <f t="shared" si="0"/>
        <v>504.66666666666669</v>
      </c>
      <c r="X10">
        <v>0.24208375893769152</v>
      </c>
      <c r="AB10" s="131">
        <v>0</v>
      </c>
      <c r="AC10" s="145">
        <v>0.11235955056179775</v>
      </c>
      <c r="AD10" s="145">
        <v>9.3973442288049033E-2</v>
      </c>
      <c r="AE10" s="145">
        <v>5.8733401430030641E-2</v>
      </c>
      <c r="AF10" s="145">
        <v>0.21348314606741572</v>
      </c>
      <c r="AG10" s="131">
        <v>0.27936670071501546</v>
      </c>
      <c r="AM10">
        <v>45</v>
      </c>
      <c r="AN10">
        <v>-244</v>
      </c>
      <c r="AO10">
        <v>46</v>
      </c>
      <c r="AP10">
        <v>474</v>
      </c>
      <c r="AQ10">
        <v>505</v>
      </c>
      <c r="AR10">
        <v>535</v>
      </c>
      <c r="AS10" s="25">
        <f t="shared" si="17"/>
        <v>1</v>
      </c>
      <c r="AT10" s="25">
        <f t="shared" si="1"/>
        <v>1</v>
      </c>
      <c r="AU10" s="25">
        <f t="shared" si="1"/>
        <v>1</v>
      </c>
      <c r="AV10" s="25">
        <f t="shared" si="18"/>
        <v>1</v>
      </c>
      <c r="AW10" s="25">
        <f t="shared" si="19"/>
        <v>0</v>
      </c>
      <c r="AX10" s="25">
        <f t="shared" si="20"/>
        <v>1</v>
      </c>
      <c r="AY10" s="25">
        <f t="shared" si="21"/>
        <v>2</v>
      </c>
      <c r="AZ10" s="25">
        <f t="shared" si="22"/>
        <v>1</v>
      </c>
      <c r="BA10" s="25">
        <f t="shared" si="23"/>
        <v>2</v>
      </c>
      <c r="BB10" s="339">
        <f t="shared" si="24"/>
        <v>1</v>
      </c>
      <c r="BC10" s="340">
        <f t="shared" si="25"/>
        <v>0</v>
      </c>
      <c r="BD10" s="341">
        <f t="shared" si="26"/>
        <v>1</v>
      </c>
      <c r="BE10" s="25">
        <f t="shared" si="27"/>
        <v>0</v>
      </c>
      <c r="BF10" s="25">
        <f t="shared" si="28"/>
        <v>1</v>
      </c>
      <c r="BG10" s="25">
        <f t="shared" si="29"/>
        <v>0</v>
      </c>
      <c r="BH10" s="25">
        <f t="shared" si="30"/>
        <v>1</v>
      </c>
      <c r="BI10" s="25">
        <f t="shared" si="31"/>
        <v>2</v>
      </c>
      <c r="BJ10" s="25">
        <f t="shared" si="32"/>
        <v>1</v>
      </c>
      <c r="BK10" s="351">
        <f t="shared" si="33"/>
        <v>0</v>
      </c>
      <c r="BL10" s="352">
        <f t="shared" si="34"/>
        <v>1</v>
      </c>
      <c r="BM10" s="353">
        <f t="shared" si="35"/>
        <v>0</v>
      </c>
      <c r="BN10" s="25">
        <f t="shared" si="36"/>
        <v>0</v>
      </c>
      <c r="BO10" s="25">
        <f t="shared" si="37"/>
        <v>0</v>
      </c>
      <c r="BP10" s="25">
        <f t="shared" si="38"/>
        <v>0</v>
      </c>
      <c r="BQ10" s="25">
        <f t="shared" si="39"/>
        <v>1</v>
      </c>
      <c r="BR10" s="25">
        <f t="shared" si="40"/>
        <v>1</v>
      </c>
      <c r="BS10" s="25">
        <f t="shared" si="41"/>
        <v>1</v>
      </c>
      <c r="BT10" s="345">
        <f t="shared" si="42"/>
        <v>0</v>
      </c>
      <c r="BU10" s="346">
        <f t="shared" si="43"/>
        <v>0</v>
      </c>
      <c r="BV10" s="347">
        <f t="shared" si="44"/>
        <v>0</v>
      </c>
      <c r="BX10" s="345">
        <f t="shared" si="45"/>
        <v>0</v>
      </c>
      <c r="BY10" s="345">
        <f t="shared" si="46"/>
        <v>0</v>
      </c>
      <c r="BZ10" s="345">
        <f t="shared" si="47"/>
        <v>0</v>
      </c>
      <c r="CA10" s="382">
        <f t="shared" si="48"/>
        <v>0</v>
      </c>
      <c r="CB10" s="382">
        <f t="shared" si="49"/>
        <v>0</v>
      </c>
      <c r="CC10" s="382">
        <f t="shared" si="50"/>
        <v>0</v>
      </c>
      <c r="CD10" s="385">
        <f t="shared" si="51"/>
        <v>0</v>
      </c>
      <c r="CE10" s="385">
        <f t="shared" si="52"/>
        <v>0</v>
      </c>
      <c r="CF10" s="385">
        <f t="shared" si="53"/>
        <v>0</v>
      </c>
      <c r="CG10" s="377">
        <f t="shared" si="54"/>
        <v>0</v>
      </c>
      <c r="CH10" s="377">
        <f t="shared" si="55"/>
        <v>0</v>
      </c>
      <c r="CI10" s="377">
        <f t="shared" si="56"/>
        <v>0</v>
      </c>
      <c r="CK10">
        <v>474</v>
      </c>
      <c r="CL10">
        <v>45</v>
      </c>
      <c r="CN10" s="25">
        <f t="shared" si="57"/>
        <v>1</v>
      </c>
      <c r="CO10" s="25">
        <f t="shared" si="58"/>
        <v>0</v>
      </c>
      <c r="CP10" s="25">
        <f t="shared" si="59"/>
        <v>1</v>
      </c>
      <c r="CQ10" s="25">
        <f t="shared" si="60"/>
        <v>0</v>
      </c>
      <c r="CR10" s="25">
        <f t="shared" si="61"/>
        <v>1</v>
      </c>
      <c r="CS10" s="25">
        <f t="shared" si="62"/>
        <v>0</v>
      </c>
      <c r="CT10" s="25">
        <f t="shared" si="63"/>
        <v>0</v>
      </c>
      <c r="CU10" s="25">
        <f t="shared" si="64"/>
        <v>0</v>
      </c>
      <c r="CV10" s="25">
        <f t="shared" si="65"/>
        <v>0</v>
      </c>
      <c r="DC10" s="58" t="s">
        <v>456</v>
      </c>
      <c r="DD10" s="58">
        <v>281.01465290609377</v>
      </c>
      <c r="DW10" s="58" t="s">
        <v>456</v>
      </c>
      <c r="DX10" s="359">
        <v>281.01465290609377</v>
      </c>
    </row>
    <row r="11" spans="1:135" ht="17" thickBot="1">
      <c r="A11" s="135" t="s">
        <v>102</v>
      </c>
      <c r="B11">
        <v>111</v>
      </c>
      <c r="C11">
        <v>111</v>
      </c>
      <c r="D11">
        <v>158</v>
      </c>
      <c r="E11">
        <v>49</v>
      </c>
      <c r="F11">
        <v>49</v>
      </c>
      <c r="G11">
        <v>85</v>
      </c>
      <c r="H11">
        <v>0.44144144144144143</v>
      </c>
      <c r="I11">
        <v>0.44144144144144143</v>
      </c>
      <c r="J11">
        <v>0.53797468354430378</v>
      </c>
      <c r="K11">
        <v>117</v>
      </c>
      <c r="L11">
        <v>5.85</v>
      </c>
      <c r="M11" s="354">
        <f t="shared" si="0"/>
        <v>61</v>
      </c>
      <c r="X11">
        <v>0.44144144144144143</v>
      </c>
      <c r="AB11" s="135">
        <v>0</v>
      </c>
      <c r="AC11" s="205">
        <v>0.54054054054054057</v>
      </c>
      <c r="AD11" s="205">
        <v>2.7027027027027029E-2</v>
      </c>
      <c r="AE11" s="205">
        <v>0</v>
      </c>
      <c r="AF11" s="205">
        <v>0</v>
      </c>
      <c r="AG11" s="135">
        <v>-9.009009009008917E-3</v>
      </c>
      <c r="AM11">
        <v>0</v>
      </c>
      <c r="AN11">
        <v>0</v>
      </c>
      <c r="AO11">
        <v>0</v>
      </c>
      <c r="AP11">
        <v>49</v>
      </c>
      <c r="AQ11">
        <v>49</v>
      </c>
      <c r="AR11">
        <v>85</v>
      </c>
      <c r="AS11" s="25">
        <f t="shared" si="17"/>
        <v>1</v>
      </c>
      <c r="AT11" s="25">
        <f t="shared" si="1"/>
        <v>1</v>
      </c>
      <c r="AU11" s="25">
        <f t="shared" si="1"/>
        <v>1</v>
      </c>
      <c r="AV11" s="25">
        <f t="shared" si="18"/>
        <v>0</v>
      </c>
      <c r="AW11" s="25">
        <f t="shared" si="19"/>
        <v>0</v>
      </c>
      <c r="AX11" s="25">
        <f t="shared" si="20"/>
        <v>0</v>
      </c>
      <c r="AY11" s="25">
        <f t="shared" si="21"/>
        <v>1</v>
      </c>
      <c r="AZ11" s="25">
        <f t="shared" si="22"/>
        <v>1</v>
      </c>
      <c r="BA11" s="25">
        <f t="shared" si="23"/>
        <v>1</v>
      </c>
      <c r="BB11" s="339">
        <f t="shared" si="24"/>
        <v>0</v>
      </c>
      <c r="BC11" s="340">
        <f t="shared" si="25"/>
        <v>0</v>
      </c>
      <c r="BD11" s="341">
        <f t="shared" si="26"/>
        <v>0</v>
      </c>
      <c r="BE11" s="25">
        <f t="shared" si="27"/>
        <v>0</v>
      </c>
      <c r="BF11" s="25">
        <f t="shared" si="28"/>
        <v>0</v>
      </c>
      <c r="BG11" s="25">
        <f t="shared" si="29"/>
        <v>0</v>
      </c>
      <c r="BH11" s="25">
        <f t="shared" si="30"/>
        <v>1</v>
      </c>
      <c r="BI11" s="25">
        <f t="shared" si="31"/>
        <v>1</v>
      </c>
      <c r="BJ11" s="25">
        <f t="shared" si="32"/>
        <v>1</v>
      </c>
      <c r="BK11" s="351">
        <f t="shared" si="33"/>
        <v>0</v>
      </c>
      <c r="BL11" s="352">
        <f t="shared" si="34"/>
        <v>0</v>
      </c>
      <c r="BM11" s="353">
        <f t="shared" si="35"/>
        <v>0</v>
      </c>
      <c r="BN11" s="25">
        <f t="shared" si="36"/>
        <v>1</v>
      </c>
      <c r="BO11" s="25">
        <f t="shared" si="37"/>
        <v>1</v>
      </c>
      <c r="BP11" s="25">
        <f t="shared" si="38"/>
        <v>1</v>
      </c>
      <c r="BQ11" s="25">
        <f t="shared" si="39"/>
        <v>2</v>
      </c>
      <c r="BR11" s="25">
        <f t="shared" si="40"/>
        <v>2</v>
      </c>
      <c r="BS11" s="25">
        <f t="shared" si="41"/>
        <v>2</v>
      </c>
      <c r="BT11" s="345">
        <f t="shared" si="42"/>
        <v>1</v>
      </c>
      <c r="BU11" s="346">
        <f t="shared" si="43"/>
        <v>1</v>
      </c>
      <c r="BV11" s="347">
        <f t="shared" si="44"/>
        <v>1</v>
      </c>
      <c r="BX11" s="345">
        <f t="shared" si="45"/>
        <v>0</v>
      </c>
      <c r="BY11" s="345">
        <f t="shared" si="46"/>
        <v>0</v>
      </c>
      <c r="BZ11" s="345">
        <f t="shared" si="47"/>
        <v>0</v>
      </c>
      <c r="CA11" s="382">
        <f t="shared" si="48"/>
        <v>0</v>
      </c>
      <c r="CB11" s="382">
        <f t="shared" si="49"/>
        <v>0</v>
      </c>
      <c r="CC11" s="382">
        <f t="shared" si="50"/>
        <v>0</v>
      </c>
      <c r="CD11" s="385">
        <f t="shared" si="51"/>
        <v>0</v>
      </c>
      <c r="CE11" s="385">
        <f t="shared" si="52"/>
        <v>0</v>
      </c>
      <c r="CF11" s="385">
        <f t="shared" si="53"/>
        <v>0</v>
      </c>
      <c r="CG11" s="377">
        <f t="shared" si="54"/>
        <v>0</v>
      </c>
      <c r="CH11" s="377">
        <f t="shared" si="55"/>
        <v>0</v>
      </c>
      <c r="CI11" s="377">
        <f t="shared" si="56"/>
        <v>0</v>
      </c>
      <c r="CK11">
        <v>49</v>
      </c>
      <c r="CL11">
        <v>0</v>
      </c>
      <c r="CN11" s="25">
        <f t="shared" si="57"/>
        <v>0</v>
      </c>
      <c r="CO11" s="25">
        <f t="shared" si="58"/>
        <v>0</v>
      </c>
      <c r="CP11" s="25">
        <f t="shared" si="59"/>
        <v>0</v>
      </c>
      <c r="CQ11" s="25">
        <f t="shared" si="60"/>
        <v>0</v>
      </c>
      <c r="CR11" s="25">
        <f t="shared" si="61"/>
        <v>0</v>
      </c>
      <c r="CS11" s="25">
        <f t="shared" si="62"/>
        <v>0</v>
      </c>
      <c r="CT11" s="25">
        <f t="shared" si="63"/>
        <v>1</v>
      </c>
      <c r="CU11" s="25">
        <f t="shared" si="64"/>
        <v>1</v>
      </c>
      <c r="CV11" s="25">
        <f t="shared" si="65"/>
        <v>1</v>
      </c>
      <c r="DC11" s="59" t="s">
        <v>648</v>
      </c>
      <c r="DD11" s="59">
        <v>279</v>
      </c>
      <c r="DW11" s="59" t="s">
        <v>648</v>
      </c>
      <c r="DX11" s="370">
        <v>279</v>
      </c>
    </row>
    <row r="12" spans="1:135">
      <c r="A12" s="69" t="s">
        <v>103</v>
      </c>
      <c r="B12">
        <v>2884</v>
      </c>
      <c r="C12">
        <v>3706</v>
      </c>
      <c r="D12">
        <v>4188</v>
      </c>
      <c r="E12">
        <v>0</v>
      </c>
      <c r="F12">
        <v>1341</v>
      </c>
      <c r="G12">
        <v>1551</v>
      </c>
      <c r="H12">
        <v>0</v>
      </c>
      <c r="I12">
        <v>0.36184565569347005</v>
      </c>
      <c r="J12">
        <v>0.37034383954154726</v>
      </c>
      <c r="K12">
        <v>720</v>
      </c>
      <c r="L12">
        <v>316.8</v>
      </c>
      <c r="M12" s="354">
        <f t="shared" si="0"/>
        <v>964</v>
      </c>
      <c r="X12">
        <v>0</v>
      </c>
      <c r="AB12" s="131">
        <v>0</v>
      </c>
      <c r="AC12" s="145">
        <v>0.46879334257975036</v>
      </c>
      <c r="AD12" s="145">
        <v>0.52947295423023577</v>
      </c>
      <c r="AE12" s="145">
        <v>0</v>
      </c>
      <c r="AF12" s="145">
        <v>1.7337031900138697E-3</v>
      </c>
      <c r="AG12" s="131">
        <v>0</v>
      </c>
      <c r="AM12">
        <v>587</v>
      </c>
      <c r="AN12">
        <v>1193</v>
      </c>
      <c r="AO12">
        <v>1686</v>
      </c>
      <c r="AP12">
        <v>0</v>
      </c>
      <c r="AQ12">
        <v>1341</v>
      </c>
      <c r="AR12">
        <v>1551</v>
      </c>
      <c r="AS12" s="25">
        <f t="shared" si="17"/>
        <v>0</v>
      </c>
      <c r="AT12" s="25">
        <f t="shared" si="1"/>
        <v>1</v>
      </c>
      <c r="AU12" s="25">
        <f t="shared" si="1"/>
        <v>1</v>
      </c>
      <c r="AV12" s="25">
        <f t="shared" si="18"/>
        <v>1</v>
      </c>
      <c r="AW12" s="25">
        <f t="shared" si="19"/>
        <v>1</v>
      </c>
      <c r="AX12" s="25">
        <f t="shared" si="20"/>
        <v>1</v>
      </c>
      <c r="AY12" s="25">
        <f t="shared" si="21"/>
        <v>1</v>
      </c>
      <c r="AZ12" s="25">
        <f t="shared" si="22"/>
        <v>2</v>
      </c>
      <c r="BA12" s="25">
        <f t="shared" si="23"/>
        <v>2</v>
      </c>
      <c r="BB12" s="339">
        <f t="shared" si="24"/>
        <v>0</v>
      </c>
      <c r="BC12" s="340">
        <f t="shared" si="25"/>
        <v>1</v>
      </c>
      <c r="BD12" s="341">
        <f t="shared" si="26"/>
        <v>1</v>
      </c>
      <c r="BE12" s="25">
        <f t="shared" si="27"/>
        <v>0</v>
      </c>
      <c r="BF12" s="25">
        <f t="shared" si="28"/>
        <v>0</v>
      </c>
      <c r="BG12" s="25">
        <f t="shared" si="29"/>
        <v>0</v>
      </c>
      <c r="BH12" s="25">
        <f t="shared" si="30"/>
        <v>0</v>
      </c>
      <c r="BI12" s="25">
        <f t="shared" si="31"/>
        <v>1</v>
      </c>
      <c r="BJ12" s="25">
        <f t="shared" si="32"/>
        <v>1</v>
      </c>
      <c r="BK12" s="351">
        <f t="shared" si="33"/>
        <v>0</v>
      </c>
      <c r="BL12" s="352">
        <f t="shared" si="34"/>
        <v>0</v>
      </c>
      <c r="BM12" s="353">
        <f t="shared" si="35"/>
        <v>0</v>
      </c>
      <c r="BN12" s="25">
        <f t="shared" si="36"/>
        <v>0</v>
      </c>
      <c r="BO12" s="25">
        <f t="shared" si="37"/>
        <v>0</v>
      </c>
      <c r="BP12" s="25">
        <f t="shared" si="38"/>
        <v>0</v>
      </c>
      <c r="BQ12" s="25">
        <f t="shared" si="39"/>
        <v>0</v>
      </c>
      <c r="BR12" s="25">
        <f t="shared" si="40"/>
        <v>1</v>
      </c>
      <c r="BS12" s="25">
        <f t="shared" si="41"/>
        <v>1</v>
      </c>
      <c r="BT12" s="345">
        <f t="shared" si="42"/>
        <v>0</v>
      </c>
      <c r="BU12" s="346">
        <f t="shared" si="43"/>
        <v>0</v>
      </c>
      <c r="BV12" s="347">
        <f t="shared" si="44"/>
        <v>0</v>
      </c>
      <c r="BX12" s="345">
        <f t="shared" si="45"/>
        <v>1</v>
      </c>
      <c r="BY12" s="345">
        <f t="shared" si="46"/>
        <v>0</v>
      </c>
      <c r="BZ12" s="345">
        <f t="shared" si="47"/>
        <v>0</v>
      </c>
      <c r="CA12" s="382">
        <f t="shared" si="48"/>
        <v>0</v>
      </c>
      <c r="CB12" s="382">
        <f t="shared" si="49"/>
        <v>0</v>
      </c>
      <c r="CC12" s="382">
        <f t="shared" si="50"/>
        <v>0</v>
      </c>
      <c r="CD12" s="385">
        <f t="shared" si="51"/>
        <v>0</v>
      </c>
      <c r="CE12" s="385">
        <f t="shared" si="52"/>
        <v>0</v>
      </c>
      <c r="CF12" s="385">
        <f t="shared" si="53"/>
        <v>0</v>
      </c>
      <c r="CG12" s="377">
        <f t="shared" si="54"/>
        <v>1</v>
      </c>
      <c r="CH12" s="377">
        <f t="shared" si="55"/>
        <v>0</v>
      </c>
      <c r="CI12" s="377">
        <f t="shared" si="56"/>
        <v>0</v>
      </c>
      <c r="CK12">
        <v>0</v>
      </c>
      <c r="CL12">
        <v>587</v>
      </c>
      <c r="CN12" s="25">
        <f t="shared" si="57"/>
        <v>2</v>
      </c>
      <c r="CO12" s="25">
        <f t="shared" si="58"/>
        <v>1</v>
      </c>
      <c r="CP12" s="25">
        <f t="shared" si="59"/>
        <v>1</v>
      </c>
      <c r="CQ12" s="25">
        <f t="shared" si="60"/>
        <v>1</v>
      </c>
      <c r="CR12" s="25">
        <f t="shared" si="61"/>
        <v>0</v>
      </c>
      <c r="CS12" s="25">
        <f t="shared" si="62"/>
        <v>0</v>
      </c>
      <c r="CT12" s="25">
        <f t="shared" si="63"/>
        <v>1</v>
      </c>
      <c r="CU12" s="25">
        <f t="shared" si="64"/>
        <v>0</v>
      </c>
      <c r="CV12" s="25">
        <f t="shared" si="65"/>
        <v>0</v>
      </c>
    </row>
    <row r="13" spans="1:135" ht="17" thickBot="1">
      <c r="A13" s="69" t="s">
        <v>104</v>
      </c>
      <c r="B13">
        <v>154.18181818181819</v>
      </c>
      <c r="C13">
        <v>154.47727272727272</v>
      </c>
      <c r="D13">
        <v>225.18181818181819</v>
      </c>
      <c r="E13">
        <v>57.340909090909086</v>
      </c>
      <c r="F13">
        <v>64.11363636363636</v>
      </c>
      <c r="G13">
        <v>86.295454545454547</v>
      </c>
      <c r="H13">
        <v>0.37190448113207542</v>
      </c>
      <c r="I13">
        <v>0.41503604531410915</v>
      </c>
      <c r="J13">
        <v>0.38322567622123538</v>
      </c>
      <c r="K13">
        <v>25</v>
      </c>
      <c r="L13">
        <v>3.75</v>
      </c>
      <c r="M13" s="354">
        <f t="shared" si="0"/>
        <v>69.25</v>
      </c>
      <c r="X13">
        <v>0.37190448113207542</v>
      </c>
      <c r="AB13" s="131">
        <v>0</v>
      </c>
      <c r="AC13" s="145">
        <v>9.3897405660377353E-2</v>
      </c>
      <c r="AD13" s="145">
        <v>0.34375</v>
      </c>
      <c r="AE13" s="145">
        <v>0.13974056603773585</v>
      </c>
      <c r="AF13" s="145">
        <v>5.0707547169811323E-2</v>
      </c>
      <c r="AG13" s="131">
        <v>0</v>
      </c>
      <c r="AM13">
        <v>-9.0681818181818183</v>
      </c>
      <c r="AN13">
        <v>6.954545454545455</v>
      </c>
      <c r="AO13">
        <v>40.159090909090914</v>
      </c>
      <c r="AP13">
        <v>57.340909090909086</v>
      </c>
      <c r="AQ13">
        <v>64.11363636363636</v>
      </c>
      <c r="AR13">
        <v>86.295454545454547</v>
      </c>
      <c r="AS13" s="25">
        <f t="shared" si="17"/>
        <v>1</v>
      </c>
      <c r="AT13" s="25">
        <f t="shared" si="1"/>
        <v>1</v>
      </c>
      <c r="AU13" s="25">
        <f t="shared" si="1"/>
        <v>1</v>
      </c>
      <c r="AV13" s="25">
        <f t="shared" si="18"/>
        <v>0</v>
      </c>
      <c r="AW13" s="25">
        <f t="shared" si="19"/>
        <v>1</v>
      </c>
      <c r="AX13" s="25">
        <f t="shared" si="20"/>
        <v>1</v>
      </c>
      <c r="AY13" s="25">
        <f t="shared" si="21"/>
        <v>1</v>
      </c>
      <c r="AZ13" s="25">
        <f t="shared" si="22"/>
        <v>2</v>
      </c>
      <c r="BA13" s="25">
        <f t="shared" si="23"/>
        <v>2</v>
      </c>
      <c r="BB13" s="339">
        <f t="shared" si="24"/>
        <v>0</v>
      </c>
      <c r="BC13" s="340">
        <f t="shared" si="25"/>
        <v>1</v>
      </c>
      <c r="BD13" s="341">
        <f t="shared" si="26"/>
        <v>1</v>
      </c>
      <c r="BE13" s="25">
        <f t="shared" si="27"/>
        <v>1</v>
      </c>
      <c r="BF13" s="25">
        <f t="shared" si="28"/>
        <v>0</v>
      </c>
      <c r="BG13" s="25">
        <f t="shared" si="29"/>
        <v>0</v>
      </c>
      <c r="BH13" s="25">
        <f t="shared" si="30"/>
        <v>2</v>
      </c>
      <c r="BI13" s="25">
        <f t="shared" si="31"/>
        <v>1</v>
      </c>
      <c r="BJ13" s="25">
        <f t="shared" si="32"/>
        <v>1</v>
      </c>
      <c r="BK13" s="351">
        <f t="shared" si="33"/>
        <v>1</v>
      </c>
      <c r="BL13" s="352">
        <f t="shared" si="34"/>
        <v>0</v>
      </c>
      <c r="BM13" s="353">
        <f t="shared" si="35"/>
        <v>0</v>
      </c>
      <c r="BN13" s="25">
        <f t="shared" si="36"/>
        <v>0</v>
      </c>
      <c r="BO13" s="25">
        <f t="shared" si="37"/>
        <v>0</v>
      </c>
      <c r="BP13" s="25">
        <f t="shared" si="38"/>
        <v>0</v>
      </c>
      <c r="BQ13" s="25">
        <f t="shared" si="39"/>
        <v>1</v>
      </c>
      <c r="BR13" s="25">
        <f t="shared" si="40"/>
        <v>1</v>
      </c>
      <c r="BS13" s="25">
        <f t="shared" si="41"/>
        <v>1</v>
      </c>
      <c r="BT13" s="345">
        <f t="shared" si="42"/>
        <v>0</v>
      </c>
      <c r="BU13" s="346">
        <f t="shared" si="43"/>
        <v>0</v>
      </c>
      <c r="BV13" s="347">
        <f t="shared" si="44"/>
        <v>0</v>
      </c>
      <c r="BX13" s="345">
        <f t="shared" si="45"/>
        <v>0</v>
      </c>
      <c r="BY13" s="345">
        <f t="shared" si="46"/>
        <v>0</v>
      </c>
      <c r="BZ13" s="345">
        <f t="shared" si="47"/>
        <v>0</v>
      </c>
      <c r="CA13" s="382">
        <f t="shared" si="48"/>
        <v>0</v>
      </c>
      <c r="CB13" s="382">
        <f t="shared" si="49"/>
        <v>0</v>
      </c>
      <c r="CC13" s="382">
        <f t="shared" si="50"/>
        <v>0</v>
      </c>
      <c r="CD13" s="385">
        <f t="shared" si="51"/>
        <v>0</v>
      </c>
      <c r="CE13" s="385">
        <f t="shared" si="52"/>
        <v>0</v>
      </c>
      <c r="CF13" s="385">
        <f t="shared" si="53"/>
        <v>0</v>
      </c>
      <c r="CG13" s="377">
        <f t="shared" si="54"/>
        <v>0</v>
      </c>
      <c r="CH13" s="377">
        <f t="shared" si="55"/>
        <v>0</v>
      </c>
      <c r="CI13" s="377">
        <f t="shared" si="56"/>
        <v>0</v>
      </c>
      <c r="CK13">
        <v>57.340909090909086</v>
      </c>
      <c r="CL13">
        <v>-9.0681818181818183</v>
      </c>
      <c r="CN13" s="25">
        <f t="shared" si="57"/>
        <v>0</v>
      </c>
      <c r="CO13" s="25">
        <f t="shared" si="58"/>
        <v>1</v>
      </c>
      <c r="CP13" s="25">
        <f t="shared" si="59"/>
        <v>1</v>
      </c>
      <c r="CQ13" s="25">
        <f t="shared" si="60"/>
        <v>1</v>
      </c>
      <c r="CR13" s="25">
        <f t="shared" si="61"/>
        <v>0</v>
      </c>
      <c r="CS13" s="25">
        <f t="shared" si="62"/>
        <v>0</v>
      </c>
      <c r="CT13" s="25">
        <f t="shared" si="63"/>
        <v>0</v>
      </c>
      <c r="CU13" s="25">
        <f t="shared" si="64"/>
        <v>0</v>
      </c>
      <c r="CV13" s="25">
        <f t="shared" si="65"/>
        <v>0</v>
      </c>
      <c r="DC13" t="s">
        <v>637</v>
      </c>
      <c r="DW13" t="s">
        <v>637</v>
      </c>
    </row>
    <row r="14" spans="1:135">
      <c r="A14" s="69" t="s">
        <v>134</v>
      </c>
      <c r="B14">
        <v>2884</v>
      </c>
      <c r="C14">
        <v>3706</v>
      </c>
      <c r="D14">
        <v>4188</v>
      </c>
      <c r="E14">
        <v>0</v>
      </c>
      <c r="F14">
        <v>1341</v>
      </c>
      <c r="G14">
        <v>1551</v>
      </c>
      <c r="H14">
        <v>0</v>
      </c>
      <c r="I14">
        <v>0.36184565569347005</v>
      </c>
      <c r="J14">
        <v>0.37034383954154726</v>
      </c>
      <c r="K14">
        <v>300</v>
      </c>
      <c r="L14">
        <v>225</v>
      </c>
      <c r="M14" s="354">
        <f t="shared" si="0"/>
        <v>964</v>
      </c>
      <c r="X14">
        <v>0</v>
      </c>
      <c r="AB14" s="131">
        <v>0</v>
      </c>
      <c r="AC14" s="145">
        <v>0.46879334257975036</v>
      </c>
      <c r="AD14" s="145">
        <v>0.52947295423023577</v>
      </c>
      <c r="AE14" s="145">
        <v>0</v>
      </c>
      <c r="AF14" s="145">
        <v>1.7337031900138697E-3</v>
      </c>
      <c r="AG14" s="131">
        <v>0</v>
      </c>
      <c r="AM14">
        <v>587</v>
      </c>
      <c r="AN14">
        <v>1193</v>
      </c>
      <c r="AO14">
        <v>1686</v>
      </c>
      <c r="AP14">
        <v>0</v>
      </c>
      <c r="AQ14">
        <v>1341</v>
      </c>
      <c r="AR14">
        <v>1551</v>
      </c>
      <c r="AS14" s="25">
        <f t="shared" si="17"/>
        <v>0</v>
      </c>
      <c r="AT14" s="25">
        <f t="shared" si="1"/>
        <v>1</v>
      </c>
      <c r="AU14" s="25">
        <f t="shared" si="1"/>
        <v>1</v>
      </c>
      <c r="AV14" s="25">
        <f t="shared" si="18"/>
        <v>1</v>
      </c>
      <c r="AW14" s="25">
        <f t="shared" si="19"/>
        <v>1</v>
      </c>
      <c r="AX14" s="25">
        <f t="shared" si="20"/>
        <v>1</v>
      </c>
      <c r="AY14" s="25">
        <f t="shared" si="21"/>
        <v>1</v>
      </c>
      <c r="AZ14" s="25">
        <f t="shared" si="22"/>
        <v>2</v>
      </c>
      <c r="BA14" s="25">
        <f t="shared" si="23"/>
        <v>2</v>
      </c>
      <c r="BB14" s="339">
        <f t="shared" si="24"/>
        <v>0</v>
      </c>
      <c r="BC14" s="340">
        <f t="shared" si="25"/>
        <v>1</v>
      </c>
      <c r="BD14" s="341">
        <f t="shared" si="26"/>
        <v>1</v>
      </c>
      <c r="BE14" s="25">
        <f t="shared" si="27"/>
        <v>0</v>
      </c>
      <c r="BF14" s="25">
        <f t="shared" si="28"/>
        <v>0</v>
      </c>
      <c r="BG14" s="25">
        <f t="shared" si="29"/>
        <v>0</v>
      </c>
      <c r="BH14" s="25">
        <f t="shared" si="30"/>
        <v>0</v>
      </c>
      <c r="BI14" s="25">
        <f t="shared" si="31"/>
        <v>1</v>
      </c>
      <c r="BJ14" s="25">
        <f t="shared" si="32"/>
        <v>1</v>
      </c>
      <c r="BK14" s="351">
        <f t="shared" si="33"/>
        <v>0</v>
      </c>
      <c r="BL14" s="352">
        <f t="shared" si="34"/>
        <v>0</v>
      </c>
      <c r="BM14" s="353">
        <f t="shared" si="35"/>
        <v>0</v>
      </c>
      <c r="BN14" s="25">
        <f t="shared" si="36"/>
        <v>0</v>
      </c>
      <c r="BO14" s="25">
        <f t="shared" si="37"/>
        <v>0</v>
      </c>
      <c r="BP14" s="25">
        <f t="shared" si="38"/>
        <v>0</v>
      </c>
      <c r="BQ14" s="25">
        <f t="shared" si="39"/>
        <v>0</v>
      </c>
      <c r="BR14" s="25">
        <f t="shared" si="40"/>
        <v>1</v>
      </c>
      <c r="BS14" s="25">
        <f t="shared" si="41"/>
        <v>1</v>
      </c>
      <c r="BT14" s="345">
        <f t="shared" si="42"/>
        <v>0</v>
      </c>
      <c r="BU14" s="346">
        <f t="shared" si="43"/>
        <v>0</v>
      </c>
      <c r="BV14" s="347">
        <f t="shared" si="44"/>
        <v>0</v>
      </c>
      <c r="BX14" s="345">
        <f t="shared" si="45"/>
        <v>1</v>
      </c>
      <c r="BY14" s="345">
        <f t="shared" si="46"/>
        <v>0</v>
      </c>
      <c r="BZ14" s="345">
        <f t="shared" si="47"/>
        <v>0</v>
      </c>
      <c r="CA14" s="382">
        <f t="shared" si="48"/>
        <v>0</v>
      </c>
      <c r="CB14" s="382">
        <f t="shared" si="49"/>
        <v>0</v>
      </c>
      <c r="CC14" s="382">
        <f t="shared" si="50"/>
        <v>0</v>
      </c>
      <c r="CD14" s="385">
        <f t="shared" si="51"/>
        <v>0</v>
      </c>
      <c r="CE14" s="385">
        <f t="shared" si="52"/>
        <v>0</v>
      </c>
      <c r="CF14" s="385">
        <f t="shared" si="53"/>
        <v>0</v>
      </c>
      <c r="CG14" s="377">
        <f t="shared" si="54"/>
        <v>1</v>
      </c>
      <c r="CH14" s="377">
        <f t="shared" si="55"/>
        <v>0</v>
      </c>
      <c r="CI14" s="377">
        <f t="shared" si="56"/>
        <v>0</v>
      </c>
      <c r="CK14">
        <v>0</v>
      </c>
      <c r="CL14">
        <v>587</v>
      </c>
      <c r="CN14" s="25">
        <f t="shared" si="57"/>
        <v>2</v>
      </c>
      <c r="CO14" s="25">
        <f t="shared" si="58"/>
        <v>1</v>
      </c>
      <c r="CP14" s="25">
        <f t="shared" si="59"/>
        <v>1</v>
      </c>
      <c r="CQ14" s="25">
        <f t="shared" si="60"/>
        <v>1</v>
      </c>
      <c r="CR14" s="25">
        <f t="shared" si="61"/>
        <v>0</v>
      </c>
      <c r="CS14" s="25">
        <f t="shared" si="62"/>
        <v>0</v>
      </c>
      <c r="CT14" s="25">
        <f t="shared" si="63"/>
        <v>1</v>
      </c>
      <c r="CU14" s="25">
        <f t="shared" si="64"/>
        <v>0</v>
      </c>
      <c r="CV14" s="25">
        <f t="shared" si="65"/>
        <v>0</v>
      </c>
      <c r="DC14" s="372"/>
      <c r="DD14" s="372" t="s">
        <v>653</v>
      </c>
      <c r="DE14" s="372" t="s">
        <v>638</v>
      </c>
      <c r="DF14" s="372" t="s">
        <v>639</v>
      </c>
      <c r="DG14" s="372" t="s">
        <v>640</v>
      </c>
      <c r="DH14" s="372" t="s">
        <v>654</v>
      </c>
      <c r="DW14" s="355"/>
      <c r="DX14" s="355" t="s">
        <v>653</v>
      </c>
      <c r="DY14" s="355" t="s">
        <v>638</v>
      </c>
      <c r="DZ14" s="355" t="s">
        <v>639</v>
      </c>
      <c r="EA14" s="355" t="s">
        <v>640</v>
      </c>
      <c r="EB14" s="355" t="s">
        <v>654</v>
      </c>
    </row>
    <row r="15" spans="1:135">
      <c r="A15" s="30" t="s">
        <v>54</v>
      </c>
      <c r="B15">
        <v>14</v>
      </c>
      <c r="C15">
        <v>18</v>
      </c>
      <c r="D15">
        <v>14</v>
      </c>
      <c r="E15">
        <v>13</v>
      </c>
      <c r="F15">
        <v>13</v>
      </c>
      <c r="G15">
        <v>10</v>
      </c>
      <c r="H15">
        <v>0.9285714285714286</v>
      </c>
      <c r="I15">
        <v>0.72222222222222221</v>
      </c>
      <c r="J15">
        <v>0.7142857142857143</v>
      </c>
      <c r="K15">
        <v>11</v>
      </c>
      <c r="L15">
        <v>7.15</v>
      </c>
      <c r="M15" s="354">
        <f t="shared" si="0"/>
        <v>12</v>
      </c>
      <c r="X15">
        <v>0.9285714285714286</v>
      </c>
      <c r="AB15" s="30">
        <v>0</v>
      </c>
      <c r="AC15" s="100">
        <v>0</v>
      </c>
      <c r="AD15" s="100">
        <v>0</v>
      </c>
      <c r="AE15" s="100">
        <v>0</v>
      </c>
      <c r="AF15" s="100">
        <v>0</v>
      </c>
      <c r="AG15" s="30">
        <v>0</v>
      </c>
      <c r="AM15">
        <v>-1</v>
      </c>
      <c r="AN15">
        <v>-6</v>
      </c>
      <c r="AO15">
        <v>2</v>
      </c>
      <c r="AP15">
        <v>13</v>
      </c>
      <c r="AQ15">
        <v>13</v>
      </c>
      <c r="AR15">
        <v>10</v>
      </c>
      <c r="AS15" s="25">
        <f t="shared" si="17"/>
        <v>1</v>
      </c>
      <c r="AT15" s="25">
        <f t="shared" si="1"/>
        <v>1</v>
      </c>
      <c r="AU15" s="25">
        <f t="shared" si="1"/>
        <v>1</v>
      </c>
      <c r="AV15" s="25">
        <f t="shared" si="18"/>
        <v>0</v>
      </c>
      <c r="AW15" s="25">
        <f t="shared" si="19"/>
        <v>0</v>
      </c>
      <c r="AX15" s="25">
        <f t="shared" si="20"/>
        <v>1</v>
      </c>
      <c r="AY15" s="25">
        <f t="shared" si="21"/>
        <v>1</v>
      </c>
      <c r="AZ15" s="25">
        <f t="shared" si="22"/>
        <v>1</v>
      </c>
      <c r="BA15" s="25">
        <f t="shared" si="23"/>
        <v>2</v>
      </c>
      <c r="BB15" s="339">
        <f t="shared" si="24"/>
        <v>0</v>
      </c>
      <c r="BC15" s="340">
        <f t="shared" si="25"/>
        <v>0</v>
      </c>
      <c r="BD15" s="341">
        <f t="shared" si="26"/>
        <v>1</v>
      </c>
      <c r="BE15" s="25">
        <f t="shared" si="27"/>
        <v>1</v>
      </c>
      <c r="BF15" s="25">
        <f t="shared" si="28"/>
        <v>1</v>
      </c>
      <c r="BG15" s="25">
        <f t="shared" si="29"/>
        <v>0</v>
      </c>
      <c r="BH15" s="25">
        <f t="shared" si="30"/>
        <v>2</v>
      </c>
      <c r="BI15" s="25">
        <f t="shared" si="31"/>
        <v>2</v>
      </c>
      <c r="BJ15" s="25">
        <f t="shared" si="32"/>
        <v>1</v>
      </c>
      <c r="BK15" s="351">
        <f t="shared" si="33"/>
        <v>1</v>
      </c>
      <c r="BL15" s="352">
        <f t="shared" si="34"/>
        <v>1</v>
      </c>
      <c r="BM15" s="353">
        <f t="shared" si="35"/>
        <v>0</v>
      </c>
      <c r="BN15" s="25">
        <f t="shared" si="36"/>
        <v>0</v>
      </c>
      <c r="BO15" s="25">
        <f t="shared" si="37"/>
        <v>0</v>
      </c>
      <c r="BP15" s="25">
        <f t="shared" si="38"/>
        <v>0</v>
      </c>
      <c r="BQ15" s="25">
        <f t="shared" si="39"/>
        <v>1</v>
      </c>
      <c r="BR15" s="25">
        <f t="shared" si="40"/>
        <v>1</v>
      </c>
      <c r="BS15" s="25">
        <f t="shared" si="41"/>
        <v>1</v>
      </c>
      <c r="BT15" s="345">
        <f t="shared" si="42"/>
        <v>0</v>
      </c>
      <c r="BU15" s="346">
        <f t="shared" si="43"/>
        <v>0</v>
      </c>
      <c r="BV15" s="347">
        <f t="shared" si="44"/>
        <v>0</v>
      </c>
      <c r="BX15" s="345">
        <f t="shared" si="45"/>
        <v>0</v>
      </c>
      <c r="BY15" s="345">
        <f t="shared" si="46"/>
        <v>0</v>
      </c>
      <c r="BZ15" s="345">
        <f t="shared" si="47"/>
        <v>0</v>
      </c>
      <c r="CA15" s="382">
        <f t="shared" si="48"/>
        <v>0</v>
      </c>
      <c r="CB15" s="382">
        <f t="shared" si="49"/>
        <v>0</v>
      </c>
      <c r="CC15" s="382">
        <f t="shared" si="50"/>
        <v>0</v>
      </c>
      <c r="CD15" s="385">
        <f t="shared" si="51"/>
        <v>0</v>
      </c>
      <c r="CE15" s="385">
        <f t="shared" si="52"/>
        <v>0</v>
      </c>
      <c r="CF15" s="385">
        <f t="shared" si="53"/>
        <v>0</v>
      </c>
      <c r="CG15" s="377">
        <f t="shared" si="54"/>
        <v>0</v>
      </c>
      <c r="CH15" s="377">
        <f t="shared" si="55"/>
        <v>0</v>
      </c>
      <c r="CI15" s="377">
        <f t="shared" si="56"/>
        <v>0</v>
      </c>
      <c r="CK15">
        <v>13</v>
      </c>
      <c r="CL15">
        <v>-1</v>
      </c>
      <c r="CN15" s="25">
        <f t="shared" si="57"/>
        <v>0</v>
      </c>
      <c r="CO15" s="25">
        <f t="shared" si="58"/>
        <v>0</v>
      </c>
      <c r="CP15" s="25">
        <f t="shared" si="59"/>
        <v>1</v>
      </c>
      <c r="CQ15" s="25">
        <f t="shared" si="60"/>
        <v>1</v>
      </c>
      <c r="CR15" s="25">
        <f t="shared" si="61"/>
        <v>1</v>
      </c>
      <c r="CS15" s="25">
        <f t="shared" si="62"/>
        <v>0</v>
      </c>
      <c r="CT15" s="25">
        <f t="shared" si="63"/>
        <v>0</v>
      </c>
      <c r="CU15" s="25">
        <f t="shared" si="64"/>
        <v>0</v>
      </c>
      <c r="CV15" s="25">
        <f t="shared" si="65"/>
        <v>0</v>
      </c>
      <c r="DC15" s="58" t="s">
        <v>649</v>
      </c>
      <c r="DD15" s="58">
        <v>1</v>
      </c>
      <c r="DE15" s="58">
        <v>435540.35019831732</v>
      </c>
      <c r="DF15" s="58">
        <v>435540.35019831732</v>
      </c>
      <c r="DG15" s="58">
        <v>5.5153168114446531</v>
      </c>
      <c r="DH15" s="58">
        <v>1.9553827146659725E-2</v>
      </c>
      <c r="DW15" s="58" t="s">
        <v>649</v>
      </c>
      <c r="DX15" s="58">
        <v>1</v>
      </c>
      <c r="DY15" s="58">
        <v>435540.35019831732</v>
      </c>
      <c r="DZ15" s="58">
        <v>435540.35019831732</v>
      </c>
      <c r="EA15" s="175">
        <v>5.5153168114446531</v>
      </c>
      <c r="EB15" s="58">
        <v>1.9553827146659725E-2</v>
      </c>
    </row>
    <row r="16" spans="1:135">
      <c r="A16" s="30" t="s">
        <v>94</v>
      </c>
      <c r="B16">
        <v>255</v>
      </c>
      <c r="C16">
        <v>1409</v>
      </c>
      <c r="D16">
        <v>1828</v>
      </c>
      <c r="E16">
        <v>0</v>
      </c>
      <c r="F16">
        <v>885</v>
      </c>
      <c r="G16">
        <v>1080</v>
      </c>
      <c r="H16">
        <v>0</v>
      </c>
      <c r="I16">
        <v>0.62810503903477644</v>
      </c>
      <c r="J16">
        <v>0.5908096280087527</v>
      </c>
      <c r="K16">
        <v>50</v>
      </c>
      <c r="L16">
        <v>44</v>
      </c>
      <c r="M16" s="354">
        <f t="shared" si="0"/>
        <v>655</v>
      </c>
      <c r="X16">
        <v>0</v>
      </c>
      <c r="AB16" s="30">
        <v>0</v>
      </c>
      <c r="AC16" s="100">
        <v>0.69411764705882351</v>
      </c>
      <c r="AD16" s="100">
        <v>7.8431372549019607E-2</v>
      </c>
      <c r="AE16" s="100">
        <v>1.1764705882352941E-2</v>
      </c>
      <c r="AF16" s="100">
        <v>0</v>
      </c>
      <c r="AG16" s="30">
        <v>0.21568627450980393</v>
      </c>
      <c r="AM16">
        <v>-714</v>
      </c>
      <c r="AN16">
        <v>-228</v>
      </c>
      <c r="AO16">
        <v>-181</v>
      </c>
      <c r="AP16">
        <v>0</v>
      </c>
      <c r="AQ16">
        <v>885</v>
      </c>
      <c r="AR16">
        <v>1080</v>
      </c>
      <c r="AS16" s="25">
        <f t="shared" si="17"/>
        <v>0</v>
      </c>
      <c r="AT16" s="25">
        <f t="shared" si="1"/>
        <v>1</v>
      </c>
      <c r="AU16" s="25">
        <f t="shared" si="1"/>
        <v>1</v>
      </c>
      <c r="AV16" s="25">
        <f t="shared" si="18"/>
        <v>0</v>
      </c>
      <c r="AW16" s="25">
        <f t="shared" si="19"/>
        <v>0</v>
      </c>
      <c r="AX16" s="25">
        <f t="shared" si="20"/>
        <v>0</v>
      </c>
      <c r="AY16" s="25">
        <f t="shared" si="21"/>
        <v>0</v>
      </c>
      <c r="AZ16" s="25">
        <f t="shared" si="22"/>
        <v>1</v>
      </c>
      <c r="BA16" s="25">
        <f t="shared" si="23"/>
        <v>1</v>
      </c>
      <c r="BB16" s="339">
        <f t="shared" si="24"/>
        <v>0</v>
      </c>
      <c r="BC16" s="340">
        <f t="shared" si="25"/>
        <v>0</v>
      </c>
      <c r="BD16" s="341">
        <f t="shared" si="26"/>
        <v>0</v>
      </c>
      <c r="BE16" s="25">
        <f t="shared" si="27"/>
        <v>1</v>
      </c>
      <c r="BF16" s="25">
        <f t="shared" si="28"/>
        <v>1</v>
      </c>
      <c r="BG16" s="25">
        <f t="shared" si="29"/>
        <v>1</v>
      </c>
      <c r="BH16" s="25">
        <f t="shared" si="30"/>
        <v>1</v>
      </c>
      <c r="BI16" s="25">
        <f t="shared" si="31"/>
        <v>2</v>
      </c>
      <c r="BJ16" s="25">
        <f t="shared" si="32"/>
        <v>2</v>
      </c>
      <c r="BK16" s="351">
        <f t="shared" si="33"/>
        <v>0</v>
      </c>
      <c r="BL16" s="352">
        <f t="shared" si="34"/>
        <v>1</v>
      </c>
      <c r="BM16" s="353">
        <f t="shared" si="35"/>
        <v>1</v>
      </c>
      <c r="BN16" s="25">
        <f t="shared" si="36"/>
        <v>0</v>
      </c>
      <c r="BO16" s="25">
        <f t="shared" si="37"/>
        <v>0</v>
      </c>
      <c r="BP16" s="25">
        <f t="shared" si="38"/>
        <v>0</v>
      </c>
      <c r="BQ16" s="25">
        <f t="shared" si="39"/>
        <v>0</v>
      </c>
      <c r="BR16" s="25">
        <f t="shared" si="40"/>
        <v>1</v>
      </c>
      <c r="BS16" s="25">
        <f t="shared" si="41"/>
        <v>1</v>
      </c>
      <c r="BT16" s="345">
        <f t="shared" si="42"/>
        <v>0</v>
      </c>
      <c r="BU16" s="346">
        <f t="shared" si="43"/>
        <v>0</v>
      </c>
      <c r="BV16" s="347">
        <f t="shared" si="44"/>
        <v>0</v>
      </c>
      <c r="BX16" s="345">
        <f t="shared" si="45"/>
        <v>0</v>
      </c>
      <c r="BY16" s="345">
        <f t="shared" si="46"/>
        <v>0</v>
      </c>
      <c r="BZ16" s="345">
        <f t="shared" si="47"/>
        <v>0</v>
      </c>
      <c r="CA16" s="382">
        <f t="shared" si="48"/>
        <v>1</v>
      </c>
      <c r="CB16" s="382">
        <f t="shared" si="49"/>
        <v>0</v>
      </c>
      <c r="CC16" s="382">
        <f t="shared" si="50"/>
        <v>0</v>
      </c>
      <c r="CD16" s="385">
        <f t="shared" si="51"/>
        <v>0</v>
      </c>
      <c r="CE16" s="385">
        <f t="shared" si="52"/>
        <v>0</v>
      </c>
      <c r="CF16" s="385">
        <f t="shared" si="53"/>
        <v>0</v>
      </c>
      <c r="CG16" s="377">
        <f t="shared" si="54"/>
        <v>1</v>
      </c>
      <c r="CH16" s="377">
        <f t="shared" si="55"/>
        <v>0</v>
      </c>
      <c r="CI16" s="377">
        <f t="shared" si="56"/>
        <v>0</v>
      </c>
      <c r="CK16">
        <v>0</v>
      </c>
      <c r="CL16">
        <v>-714</v>
      </c>
      <c r="CN16" s="25">
        <f t="shared" si="57"/>
        <v>1</v>
      </c>
      <c r="CO16" s="25">
        <f t="shared" si="58"/>
        <v>0</v>
      </c>
      <c r="CP16" s="25">
        <f t="shared" si="59"/>
        <v>0</v>
      </c>
      <c r="CQ16" s="25">
        <f t="shared" si="60"/>
        <v>2</v>
      </c>
      <c r="CR16" s="25">
        <f t="shared" si="61"/>
        <v>1</v>
      </c>
      <c r="CS16" s="25">
        <f t="shared" si="62"/>
        <v>1</v>
      </c>
      <c r="CT16" s="25">
        <f t="shared" si="63"/>
        <v>1</v>
      </c>
      <c r="CU16" s="25">
        <f t="shared" si="64"/>
        <v>0</v>
      </c>
      <c r="CV16" s="25">
        <f t="shared" si="65"/>
        <v>0</v>
      </c>
      <c r="DC16" s="58" t="s">
        <v>650</v>
      </c>
      <c r="DD16" s="58">
        <v>277</v>
      </c>
      <c r="DE16" s="58">
        <v>21874478.135977261</v>
      </c>
      <c r="DF16" s="58">
        <v>78969.235147932355</v>
      </c>
      <c r="DG16" s="58"/>
      <c r="DH16" s="58"/>
      <c r="DW16" s="58" t="s">
        <v>650</v>
      </c>
      <c r="DX16" s="58">
        <v>277</v>
      </c>
      <c r="DY16" s="58">
        <v>21874478.135977261</v>
      </c>
      <c r="DZ16" s="58">
        <v>78969.235147932355</v>
      </c>
      <c r="EA16" s="58"/>
      <c r="EB16" s="58"/>
    </row>
    <row r="17" spans="1:135" ht="17" thickBot="1">
      <c r="A17" s="28" t="s">
        <v>105</v>
      </c>
      <c r="B17">
        <v>115</v>
      </c>
      <c r="C17">
        <v>57</v>
      </c>
      <c r="D17">
        <v>148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</v>
      </c>
      <c r="L17">
        <v>6.3000000000000007</v>
      </c>
      <c r="M17" s="354">
        <f t="shared" si="0"/>
        <v>0</v>
      </c>
      <c r="X17">
        <v>0</v>
      </c>
      <c r="AB17" s="28">
        <v>0</v>
      </c>
      <c r="AC17" s="150">
        <v>0.71304347826086956</v>
      </c>
      <c r="AD17" s="150">
        <v>0</v>
      </c>
      <c r="AE17" s="150">
        <v>0.28695652173913044</v>
      </c>
      <c r="AF17" s="150">
        <v>0</v>
      </c>
      <c r="AG17" s="28">
        <v>0</v>
      </c>
      <c r="AM17">
        <v>44</v>
      </c>
      <c r="AN17">
        <v>-63</v>
      </c>
      <c r="AO17">
        <v>53</v>
      </c>
      <c r="AP17">
        <v>0</v>
      </c>
      <c r="AQ17">
        <v>0</v>
      </c>
      <c r="AR17">
        <v>0</v>
      </c>
      <c r="AS17" s="25">
        <f t="shared" si="17"/>
        <v>0</v>
      </c>
      <c r="AT17" s="25">
        <f t="shared" si="1"/>
        <v>0</v>
      </c>
      <c r="AU17" s="25">
        <f t="shared" si="1"/>
        <v>0</v>
      </c>
      <c r="AV17" s="25">
        <f t="shared" si="18"/>
        <v>1</v>
      </c>
      <c r="AW17" s="25">
        <f t="shared" si="19"/>
        <v>0</v>
      </c>
      <c r="AX17" s="25">
        <f t="shared" si="20"/>
        <v>1</v>
      </c>
      <c r="AY17" s="25">
        <f t="shared" si="21"/>
        <v>1</v>
      </c>
      <c r="AZ17" s="25">
        <f t="shared" si="22"/>
        <v>0</v>
      </c>
      <c r="BA17" s="25">
        <f t="shared" si="23"/>
        <v>1</v>
      </c>
      <c r="BB17" s="339">
        <f t="shared" si="24"/>
        <v>0</v>
      </c>
      <c r="BC17" s="340">
        <f t="shared" si="25"/>
        <v>0</v>
      </c>
      <c r="BD17" s="341">
        <f t="shared" si="26"/>
        <v>0</v>
      </c>
      <c r="BE17" s="25">
        <f t="shared" si="27"/>
        <v>0</v>
      </c>
      <c r="BF17" s="25">
        <f t="shared" si="28"/>
        <v>1</v>
      </c>
      <c r="BG17" s="25">
        <f t="shared" si="29"/>
        <v>0</v>
      </c>
      <c r="BH17" s="25">
        <f t="shared" si="30"/>
        <v>0</v>
      </c>
      <c r="BI17" s="25">
        <f t="shared" si="31"/>
        <v>1</v>
      </c>
      <c r="BJ17" s="25">
        <f t="shared" si="32"/>
        <v>0</v>
      </c>
      <c r="BK17" s="351">
        <f t="shared" si="33"/>
        <v>0</v>
      </c>
      <c r="BL17" s="352">
        <f t="shared" si="34"/>
        <v>0</v>
      </c>
      <c r="BM17" s="353">
        <f t="shared" si="35"/>
        <v>0</v>
      </c>
      <c r="BN17" s="25">
        <f t="shared" si="36"/>
        <v>0</v>
      </c>
      <c r="BO17" s="25">
        <f t="shared" si="37"/>
        <v>0</v>
      </c>
      <c r="BP17" s="25">
        <f t="shared" si="38"/>
        <v>0</v>
      </c>
      <c r="BQ17" s="25">
        <f t="shared" si="39"/>
        <v>0</v>
      </c>
      <c r="BR17" s="25">
        <f t="shared" si="40"/>
        <v>0</v>
      </c>
      <c r="BS17" s="25">
        <f t="shared" si="41"/>
        <v>0</v>
      </c>
      <c r="BT17" s="345">
        <f t="shared" si="42"/>
        <v>0</v>
      </c>
      <c r="BU17" s="346">
        <f t="shared" si="43"/>
        <v>0</v>
      </c>
      <c r="BV17" s="347">
        <f t="shared" si="44"/>
        <v>0</v>
      </c>
      <c r="BX17" s="345">
        <f t="shared" si="45"/>
        <v>1</v>
      </c>
      <c r="BY17" s="345">
        <f t="shared" si="46"/>
        <v>0</v>
      </c>
      <c r="BZ17" s="345">
        <f t="shared" si="47"/>
        <v>1</v>
      </c>
      <c r="CA17" s="382">
        <f t="shared" si="48"/>
        <v>0</v>
      </c>
      <c r="CB17" s="382">
        <f t="shared" si="49"/>
        <v>1</v>
      </c>
      <c r="CC17" s="382">
        <f t="shared" si="50"/>
        <v>0</v>
      </c>
      <c r="CD17" s="385">
        <f t="shared" si="51"/>
        <v>0</v>
      </c>
      <c r="CE17" s="385">
        <f t="shared" si="52"/>
        <v>0</v>
      </c>
      <c r="CF17" s="385">
        <f t="shared" si="53"/>
        <v>0</v>
      </c>
      <c r="CG17" s="377">
        <f t="shared" si="54"/>
        <v>1</v>
      </c>
      <c r="CH17" s="377">
        <f t="shared" si="55"/>
        <v>1</v>
      </c>
      <c r="CI17" s="377">
        <f t="shared" si="56"/>
        <v>1</v>
      </c>
      <c r="CK17">
        <v>0</v>
      </c>
      <c r="CL17">
        <v>44</v>
      </c>
      <c r="CN17" s="25">
        <f t="shared" si="57"/>
        <v>2</v>
      </c>
      <c r="CO17" s="25">
        <f t="shared" si="58"/>
        <v>1</v>
      </c>
      <c r="CP17" s="25">
        <f t="shared" si="59"/>
        <v>2</v>
      </c>
      <c r="CQ17" s="25">
        <f t="shared" si="60"/>
        <v>1</v>
      </c>
      <c r="CR17" s="25">
        <f t="shared" si="61"/>
        <v>2</v>
      </c>
      <c r="CS17" s="25">
        <f t="shared" si="62"/>
        <v>1</v>
      </c>
      <c r="CT17" s="25">
        <f t="shared" si="63"/>
        <v>1</v>
      </c>
      <c r="CU17" s="25">
        <f t="shared" si="64"/>
        <v>1</v>
      </c>
      <c r="CV17" s="25">
        <f t="shared" si="65"/>
        <v>1</v>
      </c>
      <c r="DC17" s="59" t="s">
        <v>651</v>
      </c>
      <c r="DD17" s="59">
        <v>278</v>
      </c>
      <c r="DE17" s="59">
        <v>22310018.486175578</v>
      </c>
      <c r="DF17" s="59"/>
      <c r="DG17" s="59"/>
      <c r="DH17" s="59"/>
      <c r="DW17" s="59" t="s">
        <v>651</v>
      </c>
      <c r="DX17" s="59">
        <v>278</v>
      </c>
      <c r="DY17" s="59">
        <v>22310018.486175578</v>
      </c>
      <c r="DZ17" s="59"/>
      <c r="EA17" s="59"/>
      <c r="EB17" s="59"/>
    </row>
    <row r="18" spans="1:135" ht="17" thickBot="1">
      <c r="A18" s="132" t="s">
        <v>55</v>
      </c>
      <c r="B18">
        <v>4397</v>
      </c>
      <c r="C18">
        <v>6285</v>
      </c>
      <c r="D18">
        <v>5589</v>
      </c>
      <c r="E18">
        <v>0</v>
      </c>
      <c r="F18">
        <v>746</v>
      </c>
      <c r="G18">
        <v>741</v>
      </c>
      <c r="H18">
        <v>0</v>
      </c>
      <c r="I18">
        <v>0.1186953062848051</v>
      </c>
      <c r="J18">
        <v>0.13258185721953838</v>
      </c>
      <c r="K18">
        <v>450</v>
      </c>
      <c r="L18">
        <v>360</v>
      </c>
      <c r="M18" s="354">
        <f t="shared" si="0"/>
        <v>495.66666666666669</v>
      </c>
      <c r="X18">
        <v>0</v>
      </c>
      <c r="AB18" s="132">
        <v>2.7291335001137139E-2</v>
      </c>
      <c r="AC18" s="153">
        <v>0</v>
      </c>
      <c r="AD18" s="153">
        <v>0.39003866272458493</v>
      </c>
      <c r="AE18" s="153">
        <v>0.56902433477370939</v>
      </c>
      <c r="AF18" s="153">
        <v>0</v>
      </c>
      <c r="AG18" s="132">
        <v>1.3645667500568504E-2</v>
      </c>
      <c r="AM18">
        <v>-84</v>
      </c>
      <c r="AN18">
        <v>-391</v>
      </c>
      <c r="AO18">
        <v>-348</v>
      </c>
      <c r="AP18">
        <v>0</v>
      </c>
      <c r="AQ18">
        <v>746</v>
      </c>
      <c r="AR18">
        <v>741</v>
      </c>
      <c r="AS18" s="25">
        <f t="shared" si="17"/>
        <v>0</v>
      </c>
      <c r="AT18" s="25">
        <f t="shared" ref="AT18:AT81" si="66">IF(AQ18&gt;0,1,0)</f>
        <v>1</v>
      </c>
      <c r="AU18" s="25">
        <f t="shared" ref="AU18:AU81" si="67">IF(AR18&gt;0,1,0)</f>
        <v>1</v>
      </c>
      <c r="AV18" s="25">
        <f t="shared" si="18"/>
        <v>0</v>
      </c>
      <c r="AW18" s="25">
        <f t="shared" si="19"/>
        <v>0</v>
      </c>
      <c r="AX18" s="25">
        <f t="shared" si="20"/>
        <v>0</v>
      </c>
      <c r="AY18" s="25">
        <f t="shared" si="21"/>
        <v>0</v>
      </c>
      <c r="AZ18" s="25">
        <f t="shared" si="22"/>
        <v>1</v>
      </c>
      <c r="BA18" s="25">
        <f t="shared" si="23"/>
        <v>1</v>
      </c>
      <c r="BB18" s="339">
        <f t="shared" si="24"/>
        <v>0</v>
      </c>
      <c r="BC18" s="340">
        <f t="shared" si="25"/>
        <v>0</v>
      </c>
      <c r="BD18" s="341">
        <f t="shared" si="26"/>
        <v>0</v>
      </c>
      <c r="BE18" s="25">
        <f t="shared" si="27"/>
        <v>1</v>
      </c>
      <c r="BF18" s="25">
        <f t="shared" si="28"/>
        <v>1</v>
      </c>
      <c r="BG18" s="25">
        <f t="shared" si="29"/>
        <v>1</v>
      </c>
      <c r="BH18" s="25">
        <f t="shared" si="30"/>
        <v>1</v>
      </c>
      <c r="BI18" s="25">
        <f t="shared" si="31"/>
        <v>2</v>
      </c>
      <c r="BJ18" s="25">
        <f t="shared" si="32"/>
        <v>2</v>
      </c>
      <c r="BK18" s="351">
        <f t="shared" si="33"/>
        <v>0</v>
      </c>
      <c r="BL18" s="352">
        <f t="shared" si="34"/>
        <v>1</v>
      </c>
      <c r="BM18" s="353">
        <f t="shared" si="35"/>
        <v>1</v>
      </c>
      <c r="BN18" s="25">
        <f t="shared" si="36"/>
        <v>0</v>
      </c>
      <c r="BO18" s="25">
        <f t="shared" si="37"/>
        <v>0</v>
      </c>
      <c r="BP18" s="25">
        <f t="shared" si="38"/>
        <v>0</v>
      </c>
      <c r="BQ18" s="25">
        <f t="shared" si="39"/>
        <v>0</v>
      </c>
      <c r="BR18" s="25">
        <f t="shared" si="40"/>
        <v>1</v>
      </c>
      <c r="BS18" s="25">
        <f t="shared" si="41"/>
        <v>1</v>
      </c>
      <c r="BT18" s="345">
        <f t="shared" si="42"/>
        <v>0</v>
      </c>
      <c r="BU18" s="346">
        <f t="shared" si="43"/>
        <v>0</v>
      </c>
      <c r="BV18" s="347">
        <f t="shared" si="44"/>
        <v>0</v>
      </c>
      <c r="BX18" s="345">
        <f t="shared" si="45"/>
        <v>0</v>
      </c>
      <c r="BY18" s="345">
        <f t="shared" si="46"/>
        <v>0</v>
      </c>
      <c r="BZ18" s="345">
        <f t="shared" si="47"/>
        <v>0</v>
      </c>
      <c r="CA18" s="382">
        <f t="shared" si="48"/>
        <v>1</v>
      </c>
      <c r="CB18" s="382">
        <f t="shared" si="49"/>
        <v>0</v>
      </c>
      <c r="CC18" s="382">
        <f t="shared" si="50"/>
        <v>0</v>
      </c>
      <c r="CD18" s="385">
        <f t="shared" si="51"/>
        <v>0</v>
      </c>
      <c r="CE18" s="385">
        <f t="shared" si="52"/>
        <v>0</v>
      </c>
      <c r="CF18" s="385">
        <f t="shared" si="53"/>
        <v>0</v>
      </c>
      <c r="CG18" s="377">
        <f t="shared" si="54"/>
        <v>1</v>
      </c>
      <c r="CH18" s="377">
        <f t="shared" si="55"/>
        <v>0</v>
      </c>
      <c r="CI18" s="377">
        <f t="shared" si="56"/>
        <v>0</v>
      </c>
      <c r="CK18">
        <v>0</v>
      </c>
      <c r="CL18">
        <v>-84</v>
      </c>
      <c r="CN18" s="25">
        <f t="shared" si="57"/>
        <v>1</v>
      </c>
      <c r="CO18" s="25">
        <f t="shared" si="58"/>
        <v>0</v>
      </c>
      <c r="CP18" s="25">
        <f t="shared" si="59"/>
        <v>0</v>
      </c>
      <c r="CQ18" s="25">
        <f t="shared" si="60"/>
        <v>2</v>
      </c>
      <c r="CR18" s="25">
        <f t="shared" si="61"/>
        <v>1</v>
      </c>
      <c r="CS18" s="25">
        <f t="shared" si="62"/>
        <v>1</v>
      </c>
      <c r="CT18" s="25">
        <f t="shared" si="63"/>
        <v>1</v>
      </c>
      <c r="CU18" s="25">
        <f t="shared" si="64"/>
        <v>0</v>
      </c>
      <c r="CV18" s="25">
        <f t="shared" si="65"/>
        <v>0</v>
      </c>
    </row>
    <row r="19" spans="1:135">
      <c r="A19" s="132" t="s">
        <v>56</v>
      </c>
      <c r="B19">
        <v>493.60747663551399</v>
      </c>
      <c r="C19">
        <v>580.03738317757006</v>
      </c>
      <c r="D19">
        <v>636.85981308411215</v>
      </c>
      <c r="E19">
        <v>204.26168224299064</v>
      </c>
      <c r="F19">
        <v>266.31775700934577</v>
      </c>
      <c r="G19">
        <v>300.56074766355141</v>
      </c>
      <c r="H19">
        <v>0.41381399575886096</v>
      </c>
      <c r="I19">
        <v>0.45913895333848931</v>
      </c>
      <c r="J19">
        <v>0.47194177036863116</v>
      </c>
      <c r="K19">
        <v>80</v>
      </c>
      <c r="L19">
        <v>60</v>
      </c>
      <c r="M19" s="354">
        <f t="shared" si="0"/>
        <v>257.04672897196264</v>
      </c>
      <c r="X19">
        <v>0.41381399575886096</v>
      </c>
      <c r="AB19" s="132">
        <v>0</v>
      </c>
      <c r="AC19" s="153">
        <v>0.12481066343532264</v>
      </c>
      <c r="AD19" s="153">
        <v>0.17691608603453499</v>
      </c>
      <c r="AE19" s="153">
        <v>0.19448651923659499</v>
      </c>
      <c r="AF19" s="153">
        <v>8.9669797031202661E-2</v>
      </c>
      <c r="AG19" s="132">
        <v>3.0293850348372953E-4</v>
      </c>
      <c r="AM19">
        <v>14.355140186915886</v>
      </c>
      <c r="AN19">
        <v>37.383177570093459</v>
      </c>
      <c r="AO19">
        <v>18.542056074766357</v>
      </c>
      <c r="AP19">
        <v>204.26168224299064</v>
      </c>
      <c r="AQ19">
        <v>266.31775700934577</v>
      </c>
      <c r="AR19">
        <v>300.56074766355141</v>
      </c>
      <c r="AS19" s="25">
        <f t="shared" si="17"/>
        <v>1</v>
      </c>
      <c r="AT19" s="25">
        <f t="shared" si="66"/>
        <v>1</v>
      </c>
      <c r="AU19" s="25">
        <f t="shared" si="67"/>
        <v>1</v>
      </c>
      <c r="AV19" s="25">
        <f t="shared" si="18"/>
        <v>1</v>
      </c>
      <c r="AW19" s="25">
        <f t="shared" si="19"/>
        <v>1</v>
      </c>
      <c r="AX19" s="25">
        <f t="shared" si="20"/>
        <v>1</v>
      </c>
      <c r="AY19" s="25">
        <f t="shared" si="21"/>
        <v>2</v>
      </c>
      <c r="AZ19" s="25">
        <f t="shared" si="22"/>
        <v>2</v>
      </c>
      <c r="BA19" s="25">
        <f t="shared" si="23"/>
        <v>2</v>
      </c>
      <c r="BB19" s="339">
        <f t="shared" si="24"/>
        <v>1</v>
      </c>
      <c r="BC19" s="340">
        <f t="shared" si="25"/>
        <v>1</v>
      </c>
      <c r="BD19" s="341">
        <f t="shared" si="26"/>
        <v>1</v>
      </c>
      <c r="BE19" s="25">
        <f t="shared" si="27"/>
        <v>0</v>
      </c>
      <c r="BF19" s="25">
        <f t="shared" si="28"/>
        <v>0</v>
      </c>
      <c r="BG19" s="25">
        <f t="shared" si="29"/>
        <v>0</v>
      </c>
      <c r="BH19" s="25">
        <f t="shared" si="30"/>
        <v>1</v>
      </c>
      <c r="BI19" s="25">
        <f t="shared" si="31"/>
        <v>1</v>
      </c>
      <c r="BJ19" s="25">
        <f t="shared" si="32"/>
        <v>1</v>
      </c>
      <c r="BK19" s="351">
        <f t="shared" si="33"/>
        <v>0</v>
      </c>
      <c r="BL19" s="352">
        <f t="shared" si="34"/>
        <v>0</v>
      </c>
      <c r="BM19" s="353">
        <f t="shared" si="35"/>
        <v>0</v>
      </c>
      <c r="BN19" s="25">
        <f t="shared" si="36"/>
        <v>0</v>
      </c>
      <c r="BO19" s="25">
        <f t="shared" si="37"/>
        <v>0</v>
      </c>
      <c r="BP19" s="25">
        <f t="shared" si="38"/>
        <v>0</v>
      </c>
      <c r="BQ19" s="25">
        <f t="shared" si="39"/>
        <v>1</v>
      </c>
      <c r="BR19" s="25">
        <f t="shared" si="40"/>
        <v>1</v>
      </c>
      <c r="BS19" s="25">
        <f t="shared" si="41"/>
        <v>1</v>
      </c>
      <c r="BT19" s="345">
        <f t="shared" si="42"/>
        <v>0</v>
      </c>
      <c r="BU19" s="346">
        <f t="shared" si="43"/>
        <v>0</v>
      </c>
      <c r="BV19" s="347">
        <f t="shared" si="44"/>
        <v>0</v>
      </c>
      <c r="BX19" s="345">
        <f t="shared" si="45"/>
        <v>0</v>
      </c>
      <c r="BY19" s="345">
        <f t="shared" si="46"/>
        <v>0</v>
      </c>
      <c r="BZ19" s="345">
        <f t="shared" si="47"/>
        <v>0</v>
      </c>
      <c r="CA19" s="382">
        <f t="shared" si="48"/>
        <v>0</v>
      </c>
      <c r="CB19" s="382">
        <f t="shared" si="49"/>
        <v>0</v>
      </c>
      <c r="CC19" s="382">
        <f t="shared" si="50"/>
        <v>0</v>
      </c>
      <c r="CD19" s="385">
        <f t="shared" si="51"/>
        <v>0</v>
      </c>
      <c r="CE19" s="385">
        <f t="shared" si="52"/>
        <v>0</v>
      </c>
      <c r="CF19" s="385">
        <f t="shared" si="53"/>
        <v>0</v>
      </c>
      <c r="CG19" s="377">
        <f t="shared" si="54"/>
        <v>0</v>
      </c>
      <c r="CH19" s="377">
        <f t="shared" si="55"/>
        <v>0</v>
      </c>
      <c r="CI19" s="377">
        <f t="shared" si="56"/>
        <v>0</v>
      </c>
      <c r="CK19">
        <v>204.26168224299064</v>
      </c>
      <c r="CL19">
        <v>14.355140186915886</v>
      </c>
      <c r="CN19" s="25">
        <f t="shared" si="57"/>
        <v>1</v>
      </c>
      <c r="CO19" s="25">
        <f t="shared" si="58"/>
        <v>1</v>
      </c>
      <c r="CP19" s="25">
        <f t="shared" si="59"/>
        <v>1</v>
      </c>
      <c r="CQ19" s="25">
        <f t="shared" si="60"/>
        <v>0</v>
      </c>
      <c r="CR19" s="25">
        <f t="shared" si="61"/>
        <v>0</v>
      </c>
      <c r="CS19" s="25">
        <f t="shared" si="62"/>
        <v>0</v>
      </c>
      <c r="CT19" s="25">
        <f t="shared" si="63"/>
        <v>0</v>
      </c>
      <c r="CU19" s="25">
        <f t="shared" si="64"/>
        <v>0</v>
      </c>
      <c r="CV19" s="25">
        <f t="shared" si="65"/>
        <v>0</v>
      </c>
      <c r="DC19" s="372"/>
      <c r="DD19" s="372" t="s">
        <v>655</v>
      </c>
      <c r="DE19" s="372" t="s">
        <v>456</v>
      </c>
      <c r="DF19" s="372" t="s">
        <v>641</v>
      </c>
      <c r="DG19" s="372" t="s">
        <v>656</v>
      </c>
      <c r="DH19" s="372" t="s">
        <v>657</v>
      </c>
      <c r="DI19" s="372" t="s">
        <v>658</v>
      </c>
      <c r="DJ19" s="372" t="s">
        <v>659</v>
      </c>
      <c r="DK19" s="372" t="s">
        <v>660</v>
      </c>
      <c r="DW19" s="355"/>
      <c r="DX19" s="355" t="s">
        <v>655</v>
      </c>
      <c r="DY19" s="355" t="s">
        <v>456</v>
      </c>
      <c r="DZ19" s="355" t="s">
        <v>641</v>
      </c>
      <c r="EA19" s="355" t="s">
        <v>656</v>
      </c>
      <c r="EB19" s="355" t="s">
        <v>657</v>
      </c>
      <c r="EC19" s="355" t="s">
        <v>658</v>
      </c>
      <c r="ED19" s="355" t="s">
        <v>659</v>
      </c>
      <c r="EE19" s="355" t="s">
        <v>660</v>
      </c>
    </row>
    <row r="20" spans="1:135">
      <c r="A20" s="132" t="s">
        <v>57</v>
      </c>
      <c r="B20">
        <v>1996</v>
      </c>
      <c r="C20">
        <v>2620</v>
      </c>
      <c r="D20">
        <v>2423</v>
      </c>
      <c r="E20">
        <v>373</v>
      </c>
      <c r="F20">
        <v>596</v>
      </c>
      <c r="G20">
        <v>623</v>
      </c>
      <c r="H20">
        <v>0.18687374749498997</v>
      </c>
      <c r="I20">
        <v>0.22748091603053436</v>
      </c>
      <c r="J20">
        <v>0.25711927362773423</v>
      </c>
      <c r="K20">
        <v>366</v>
      </c>
      <c r="L20">
        <v>267.18</v>
      </c>
      <c r="M20" s="354">
        <f t="shared" si="0"/>
        <v>530.66666666666663</v>
      </c>
      <c r="X20">
        <v>0.18687374749498997</v>
      </c>
      <c r="AB20" s="132">
        <v>0</v>
      </c>
      <c r="AC20" s="153">
        <v>8.4168336673346694E-2</v>
      </c>
      <c r="AD20" s="153">
        <v>0.37575150300601201</v>
      </c>
      <c r="AE20" s="153">
        <v>0.16332665330661322</v>
      </c>
      <c r="AF20" s="153">
        <v>0.18987975951903807</v>
      </c>
      <c r="AG20" s="132">
        <v>0</v>
      </c>
      <c r="AM20">
        <v>-358</v>
      </c>
      <c r="AN20">
        <v>189</v>
      </c>
      <c r="AO20">
        <v>260</v>
      </c>
      <c r="AP20">
        <v>373</v>
      </c>
      <c r="AQ20">
        <v>596</v>
      </c>
      <c r="AR20">
        <v>623</v>
      </c>
      <c r="AS20" s="25">
        <f t="shared" si="17"/>
        <v>1</v>
      </c>
      <c r="AT20" s="25">
        <f t="shared" si="66"/>
        <v>1</v>
      </c>
      <c r="AU20" s="25">
        <f t="shared" si="67"/>
        <v>1</v>
      </c>
      <c r="AV20" s="25">
        <f t="shared" si="18"/>
        <v>0</v>
      </c>
      <c r="AW20" s="25">
        <f t="shared" si="19"/>
        <v>1</v>
      </c>
      <c r="AX20" s="25">
        <f t="shared" si="20"/>
        <v>1</v>
      </c>
      <c r="AY20" s="25">
        <f t="shared" si="21"/>
        <v>1</v>
      </c>
      <c r="AZ20" s="25">
        <f t="shared" si="22"/>
        <v>2</v>
      </c>
      <c r="BA20" s="25">
        <f t="shared" si="23"/>
        <v>2</v>
      </c>
      <c r="BB20" s="339">
        <f t="shared" si="24"/>
        <v>0</v>
      </c>
      <c r="BC20" s="340">
        <f t="shared" si="25"/>
        <v>1</v>
      </c>
      <c r="BD20" s="341">
        <f t="shared" si="26"/>
        <v>1</v>
      </c>
      <c r="BE20" s="25">
        <f t="shared" si="27"/>
        <v>1</v>
      </c>
      <c r="BF20" s="25">
        <f t="shared" si="28"/>
        <v>0</v>
      </c>
      <c r="BG20" s="25">
        <f t="shared" si="29"/>
        <v>0</v>
      </c>
      <c r="BH20" s="25">
        <f t="shared" si="30"/>
        <v>2</v>
      </c>
      <c r="BI20" s="25">
        <f t="shared" si="31"/>
        <v>1</v>
      </c>
      <c r="BJ20" s="25">
        <f t="shared" si="32"/>
        <v>1</v>
      </c>
      <c r="BK20" s="351">
        <f t="shared" si="33"/>
        <v>1</v>
      </c>
      <c r="BL20" s="352">
        <f t="shared" si="34"/>
        <v>0</v>
      </c>
      <c r="BM20" s="353">
        <f t="shared" si="35"/>
        <v>0</v>
      </c>
      <c r="BN20" s="25">
        <f t="shared" si="36"/>
        <v>0</v>
      </c>
      <c r="BO20" s="25">
        <f t="shared" si="37"/>
        <v>0</v>
      </c>
      <c r="BP20" s="25">
        <f t="shared" si="38"/>
        <v>0</v>
      </c>
      <c r="BQ20" s="25">
        <f t="shared" si="39"/>
        <v>1</v>
      </c>
      <c r="BR20" s="25">
        <f t="shared" si="40"/>
        <v>1</v>
      </c>
      <c r="BS20" s="25">
        <f t="shared" si="41"/>
        <v>1</v>
      </c>
      <c r="BT20" s="345">
        <f t="shared" si="42"/>
        <v>0</v>
      </c>
      <c r="BU20" s="346">
        <f t="shared" si="43"/>
        <v>0</v>
      </c>
      <c r="BV20" s="347">
        <f t="shared" si="44"/>
        <v>0</v>
      </c>
      <c r="BX20" s="345">
        <f t="shared" si="45"/>
        <v>0</v>
      </c>
      <c r="BY20" s="345">
        <f t="shared" si="46"/>
        <v>0</v>
      </c>
      <c r="BZ20" s="345">
        <f t="shared" si="47"/>
        <v>0</v>
      </c>
      <c r="CA20" s="382">
        <f t="shared" si="48"/>
        <v>0</v>
      </c>
      <c r="CB20" s="382">
        <f t="shared" si="49"/>
        <v>0</v>
      </c>
      <c r="CC20" s="382">
        <f t="shared" si="50"/>
        <v>0</v>
      </c>
      <c r="CD20" s="385">
        <f t="shared" si="51"/>
        <v>0</v>
      </c>
      <c r="CE20" s="385">
        <f t="shared" si="52"/>
        <v>0</v>
      </c>
      <c r="CF20" s="385">
        <f t="shared" si="53"/>
        <v>0</v>
      </c>
      <c r="CG20" s="377">
        <f t="shared" si="54"/>
        <v>0</v>
      </c>
      <c r="CH20" s="377">
        <f t="shared" si="55"/>
        <v>0</v>
      </c>
      <c r="CI20" s="377">
        <f t="shared" si="56"/>
        <v>0</v>
      </c>
      <c r="CK20">
        <v>373</v>
      </c>
      <c r="CL20">
        <v>-358</v>
      </c>
      <c r="CN20" s="25">
        <f t="shared" si="57"/>
        <v>0</v>
      </c>
      <c r="CO20" s="25">
        <f t="shared" si="58"/>
        <v>1</v>
      </c>
      <c r="CP20" s="25">
        <f t="shared" si="59"/>
        <v>1</v>
      </c>
      <c r="CQ20" s="25">
        <f t="shared" si="60"/>
        <v>1</v>
      </c>
      <c r="CR20" s="25">
        <f t="shared" si="61"/>
        <v>0</v>
      </c>
      <c r="CS20" s="25">
        <f t="shared" si="62"/>
        <v>0</v>
      </c>
      <c r="CT20" s="25">
        <f t="shared" si="63"/>
        <v>0</v>
      </c>
      <c r="CU20" s="25">
        <f t="shared" si="64"/>
        <v>0</v>
      </c>
      <c r="CV20" s="25">
        <f t="shared" si="65"/>
        <v>0</v>
      </c>
      <c r="DC20" s="58" t="s">
        <v>652</v>
      </c>
      <c r="DD20" s="58">
        <v>36.145817223701101</v>
      </c>
      <c r="DE20" s="58">
        <v>19.424905701699444</v>
      </c>
      <c r="DF20" s="58">
        <v>1.8607975646717698</v>
      </c>
      <c r="DG20" s="58">
        <v>6.3832238870264374E-2</v>
      </c>
      <c r="DH20" s="58">
        <v>-2.0933731706858794</v>
      </c>
      <c r="DI20" s="58">
        <v>74.385007618088082</v>
      </c>
      <c r="DJ20" s="58">
        <v>-2.0933731706858794</v>
      </c>
      <c r="DK20" s="58">
        <v>74.385007618088082</v>
      </c>
      <c r="DW20" s="58" t="s">
        <v>652</v>
      </c>
      <c r="DX20" s="175">
        <v>36.145817223701101</v>
      </c>
      <c r="DY20" s="175">
        <v>19.424905701699444</v>
      </c>
      <c r="DZ20" s="175">
        <v>1.8607975646717698</v>
      </c>
      <c r="EA20" s="175">
        <v>6.3832238870264374E-2</v>
      </c>
      <c r="EB20" s="175">
        <v>-2.0933731706858794</v>
      </c>
      <c r="EC20" s="175">
        <v>74.385007618088082</v>
      </c>
      <c r="ED20" s="175">
        <v>-2.0933731706858794</v>
      </c>
      <c r="EE20" s="175">
        <v>74.385007618088082</v>
      </c>
    </row>
    <row r="21" spans="1:135" ht="17" thickBot="1">
      <c r="A21" s="132" t="s">
        <v>58</v>
      </c>
      <c r="B21">
        <v>872</v>
      </c>
      <c r="C21">
        <v>1139</v>
      </c>
      <c r="D21">
        <v>1504</v>
      </c>
      <c r="E21">
        <v>310</v>
      </c>
      <c r="F21">
        <v>230</v>
      </c>
      <c r="G21">
        <v>592</v>
      </c>
      <c r="H21">
        <v>0.35550458715596328</v>
      </c>
      <c r="I21">
        <v>0.20193151887620719</v>
      </c>
      <c r="J21">
        <v>0.39361702127659576</v>
      </c>
      <c r="K21">
        <v>200</v>
      </c>
      <c r="L21">
        <v>140</v>
      </c>
      <c r="M21" s="354">
        <f t="shared" si="0"/>
        <v>377.33333333333331</v>
      </c>
      <c r="X21">
        <v>0.35550458715596328</v>
      </c>
      <c r="AB21" s="132">
        <v>0</v>
      </c>
      <c r="AC21" s="153">
        <v>5.3899082568807342E-2</v>
      </c>
      <c r="AD21" s="153">
        <v>0.58486238532110091</v>
      </c>
      <c r="AE21" s="153">
        <v>0</v>
      </c>
      <c r="AF21" s="153">
        <v>0</v>
      </c>
      <c r="AG21" s="132">
        <v>5.7339449541284893E-3</v>
      </c>
      <c r="AM21">
        <v>-25</v>
      </c>
      <c r="AN21">
        <v>14</v>
      </c>
      <c r="AO21">
        <v>90</v>
      </c>
      <c r="AP21">
        <v>310</v>
      </c>
      <c r="AQ21">
        <v>230</v>
      </c>
      <c r="AR21">
        <v>592</v>
      </c>
      <c r="AS21" s="25">
        <f t="shared" si="17"/>
        <v>1</v>
      </c>
      <c r="AT21" s="25">
        <f t="shared" si="66"/>
        <v>1</v>
      </c>
      <c r="AU21" s="25">
        <f t="shared" si="67"/>
        <v>1</v>
      </c>
      <c r="AV21" s="25">
        <f t="shared" si="18"/>
        <v>0</v>
      </c>
      <c r="AW21" s="25">
        <f t="shared" si="19"/>
        <v>1</v>
      </c>
      <c r="AX21" s="25">
        <f t="shared" si="20"/>
        <v>1</v>
      </c>
      <c r="AY21" s="25">
        <f t="shared" si="21"/>
        <v>1</v>
      </c>
      <c r="AZ21" s="25">
        <f t="shared" si="22"/>
        <v>2</v>
      </c>
      <c r="BA21" s="25">
        <f t="shared" si="23"/>
        <v>2</v>
      </c>
      <c r="BB21" s="339">
        <f t="shared" si="24"/>
        <v>0</v>
      </c>
      <c r="BC21" s="340">
        <f t="shared" si="25"/>
        <v>1</v>
      </c>
      <c r="BD21" s="341">
        <f t="shared" si="26"/>
        <v>1</v>
      </c>
      <c r="BE21" s="25">
        <f t="shared" si="27"/>
        <v>1</v>
      </c>
      <c r="BF21" s="25">
        <f t="shared" si="28"/>
        <v>0</v>
      </c>
      <c r="BG21" s="25">
        <f t="shared" si="29"/>
        <v>0</v>
      </c>
      <c r="BH21" s="25">
        <f t="shared" si="30"/>
        <v>2</v>
      </c>
      <c r="BI21" s="25">
        <f t="shared" si="31"/>
        <v>1</v>
      </c>
      <c r="BJ21" s="25">
        <f t="shared" si="32"/>
        <v>1</v>
      </c>
      <c r="BK21" s="351">
        <f t="shared" si="33"/>
        <v>1</v>
      </c>
      <c r="BL21" s="352">
        <f t="shared" si="34"/>
        <v>0</v>
      </c>
      <c r="BM21" s="353">
        <f t="shared" si="35"/>
        <v>0</v>
      </c>
      <c r="BN21" s="25">
        <f t="shared" si="36"/>
        <v>0</v>
      </c>
      <c r="BO21" s="25">
        <f t="shared" si="37"/>
        <v>0</v>
      </c>
      <c r="BP21" s="25">
        <f t="shared" si="38"/>
        <v>0</v>
      </c>
      <c r="BQ21" s="25">
        <f t="shared" si="39"/>
        <v>1</v>
      </c>
      <c r="BR21" s="25">
        <f t="shared" si="40"/>
        <v>1</v>
      </c>
      <c r="BS21" s="25">
        <f t="shared" si="41"/>
        <v>1</v>
      </c>
      <c r="BT21" s="345">
        <f t="shared" si="42"/>
        <v>0</v>
      </c>
      <c r="BU21" s="346">
        <f t="shared" si="43"/>
        <v>0</v>
      </c>
      <c r="BV21" s="347">
        <f t="shared" si="44"/>
        <v>0</v>
      </c>
      <c r="BX21" s="345">
        <f t="shared" si="45"/>
        <v>0</v>
      </c>
      <c r="BY21" s="345">
        <f t="shared" si="46"/>
        <v>0</v>
      </c>
      <c r="BZ21" s="345">
        <f t="shared" si="47"/>
        <v>0</v>
      </c>
      <c r="CA21" s="382">
        <f t="shared" si="48"/>
        <v>0</v>
      </c>
      <c r="CB21" s="382">
        <f t="shared" si="49"/>
        <v>0</v>
      </c>
      <c r="CC21" s="382">
        <f t="shared" si="50"/>
        <v>0</v>
      </c>
      <c r="CD21" s="385">
        <f t="shared" si="51"/>
        <v>0</v>
      </c>
      <c r="CE21" s="385">
        <f t="shared" si="52"/>
        <v>0</v>
      </c>
      <c r="CF21" s="385">
        <f t="shared" si="53"/>
        <v>0</v>
      </c>
      <c r="CG21" s="377">
        <f t="shared" si="54"/>
        <v>0</v>
      </c>
      <c r="CH21" s="377">
        <f t="shared" si="55"/>
        <v>0</v>
      </c>
      <c r="CI21" s="377">
        <f t="shared" si="56"/>
        <v>0</v>
      </c>
      <c r="CK21">
        <v>310</v>
      </c>
      <c r="CL21">
        <v>-25</v>
      </c>
      <c r="CN21" s="25">
        <f t="shared" si="57"/>
        <v>0</v>
      </c>
      <c r="CO21" s="25">
        <f t="shared" si="58"/>
        <v>1</v>
      </c>
      <c r="CP21" s="25">
        <f t="shared" si="59"/>
        <v>1</v>
      </c>
      <c r="CQ21" s="25">
        <f t="shared" si="60"/>
        <v>1</v>
      </c>
      <c r="CR21" s="25">
        <f t="shared" si="61"/>
        <v>0</v>
      </c>
      <c r="CS21" s="25">
        <f t="shared" si="62"/>
        <v>0</v>
      </c>
      <c r="CT21" s="25">
        <f t="shared" si="63"/>
        <v>0</v>
      </c>
      <c r="CU21" s="25">
        <f t="shared" si="64"/>
        <v>0</v>
      </c>
      <c r="CV21" s="25">
        <f t="shared" si="65"/>
        <v>0</v>
      </c>
      <c r="DC21" s="59" t="s">
        <v>296</v>
      </c>
      <c r="DD21" s="59">
        <v>5.178279722277325E-2</v>
      </c>
      <c r="DE21" s="59">
        <v>2.2049577615020868E-2</v>
      </c>
      <c r="DF21" s="59">
        <v>2.3484711647037253</v>
      </c>
      <c r="DG21" s="59">
        <v>1.9553827146657626E-2</v>
      </c>
      <c r="DH21" s="59">
        <v>8.3767694414991281E-3</v>
      </c>
      <c r="DI21" s="59">
        <v>9.5188825004047378E-2</v>
      </c>
      <c r="DJ21" s="59">
        <v>8.3767694414991281E-3</v>
      </c>
      <c r="DK21" s="59">
        <v>9.5188825004047378E-2</v>
      </c>
      <c r="DW21" s="59" t="s">
        <v>296</v>
      </c>
      <c r="DX21" s="192">
        <v>5.178279722277325E-2</v>
      </c>
      <c r="DY21" s="192">
        <v>2.2049577615020868E-2</v>
      </c>
      <c r="DZ21" s="192">
        <v>2.3484711647037253</v>
      </c>
      <c r="EA21" s="192">
        <v>1.9553827146657626E-2</v>
      </c>
      <c r="EB21" s="192">
        <v>8.3767694414991281E-3</v>
      </c>
      <c r="EC21" s="192">
        <v>9.5188825004047378E-2</v>
      </c>
      <c r="ED21" s="192">
        <v>8.3767694414991281E-3</v>
      </c>
      <c r="EE21" s="192">
        <v>9.5188825004047378E-2</v>
      </c>
    </row>
    <row r="22" spans="1:135">
      <c r="A22" s="132" t="s">
        <v>82</v>
      </c>
      <c r="B22">
        <v>65</v>
      </c>
      <c r="C22">
        <v>163</v>
      </c>
      <c r="D22">
        <v>350</v>
      </c>
      <c r="E22">
        <v>30</v>
      </c>
      <c r="F22">
        <v>40</v>
      </c>
      <c r="G22">
        <v>144</v>
      </c>
      <c r="H22">
        <v>0.46153846153846156</v>
      </c>
      <c r="I22">
        <v>0.24539877300613497</v>
      </c>
      <c r="J22">
        <v>0.41142857142857142</v>
      </c>
      <c r="K22">
        <v>30</v>
      </c>
      <c r="L22">
        <v>30</v>
      </c>
      <c r="M22" s="354">
        <f t="shared" si="0"/>
        <v>71.333333333333329</v>
      </c>
      <c r="X22">
        <v>0.46153846153846156</v>
      </c>
      <c r="AB22" s="132">
        <v>0</v>
      </c>
      <c r="AC22" s="153">
        <v>0</v>
      </c>
      <c r="AD22" s="153">
        <v>0.53846153846153844</v>
      </c>
      <c r="AE22" s="153">
        <v>0</v>
      </c>
      <c r="AF22" s="153">
        <v>0</v>
      </c>
      <c r="AG22" s="132">
        <v>0</v>
      </c>
      <c r="AM22">
        <v>35</v>
      </c>
      <c r="AN22">
        <v>55</v>
      </c>
      <c r="AO22">
        <v>90</v>
      </c>
      <c r="AP22">
        <v>30</v>
      </c>
      <c r="AQ22">
        <v>40</v>
      </c>
      <c r="AR22">
        <v>144</v>
      </c>
      <c r="AS22" s="25">
        <f t="shared" si="17"/>
        <v>1</v>
      </c>
      <c r="AT22" s="25">
        <f t="shared" si="66"/>
        <v>1</v>
      </c>
      <c r="AU22" s="25">
        <f t="shared" si="67"/>
        <v>1</v>
      </c>
      <c r="AV22" s="25">
        <f t="shared" si="18"/>
        <v>1</v>
      </c>
      <c r="AW22" s="25">
        <f t="shared" si="19"/>
        <v>1</v>
      </c>
      <c r="AX22" s="25">
        <f t="shared" si="20"/>
        <v>1</v>
      </c>
      <c r="AY22" s="25">
        <f t="shared" si="21"/>
        <v>2</v>
      </c>
      <c r="AZ22" s="25">
        <f t="shared" si="22"/>
        <v>2</v>
      </c>
      <c r="BA22" s="25">
        <f t="shared" si="23"/>
        <v>2</v>
      </c>
      <c r="BB22" s="339">
        <f t="shared" si="24"/>
        <v>1</v>
      </c>
      <c r="BC22" s="340">
        <f t="shared" si="25"/>
        <v>1</v>
      </c>
      <c r="BD22" s="341">
        <f t="shared" si="26"/>
        <v>1</v>
      </c>
      <c r="BE22" s="25">
        <f t="shared" si="27"/>
        <v>0</v>
      </c>
      <c r="BF22" s="25">
        <f t="shared" si="28"/>
        <v>0</v>
      </c>
      <c r="BG22" s="25">
        <f t="shared" si="29"/>
        <v>0</v>
      </c>
      <c r="BH22" s="25">
        <f t="shared" si="30"/>
        <v>1</v>
      </c>
      <c r="BI22" s="25">
        <f t="shared" si="31"/>
        <v>1</v>
      </c>
      <c r="BJ22" s="25">
        <f t="shared" si="32"/>
        <v>1</v>
      </c>
      <c r="BK22" s="351">
        <f t="shared" si="33"/>
        <v>0</v>
      </c>
      <c r="BL22" s="352">
        <f t="shared" si="34"/>
        <v>0</v>
      </c>
      <c r="BM22" s="353">
        <f t="shared" si="35"/>
        <v>0</v>
      </c>
      <c r="BN22" s="25">
        <f t="shared" si="36"/>
        <v>0</v>
      </c>
      <c r="BO22" s="25">
        <f t="shared" si="37"/>
        <v>0</v>
      </c>
      <c r="BP22" s="25">
        <f t="shared" si="38"/>
        <v>0</v>
      </c>
      <c r="BQ22" s="25">
        <f t="shared" si="39"/>
        <v>1</v>
      </c>
      <c r="BR22" s="25">
        <f t="shared" si="40"/>
        <v>1</v>
      </c>
      <c r="BS22" s="25">
        <f t="shared" si="41"/>
        <v>1</v>
      </c>
      <c r="BT22" s="345">
        <f t="shared" si="42"/>
        <v>0</v>
      </c>
      <c r="BU22" s="346">
        <f t="shared" si="43"/>
        <v>0</v>
      </c>
      <c r="BV22" s="347">
        <f t="shared" si="44"/>
        <v>0</v>
      </c>
      <c r="BX22" s="345">
        <f t="shared" si="45"/>
        <v>0</v>
      </c>
      <c r="BY22" s="345">
        <f t="shared" si="46"/>
        <v>0</v>
      </c>
      <c r="BZ22" s="345">
        <f t="shared" si="47"/>
        <v>0</v>
      </c>
      <c r="CA22" s="382">
        <f t="shared" si="48"/>
        <v>0</v>
      </c>
      <c r="CB22" s="382">
        <f t="shared" si="49"/>
        <v>0</v>
      </c>
      <c r="CC22" s="382">
        <f t="shared" si="50"/>
        <v>0</v>
      </c>
      <c r="CD22" s="385">
        <f t="shared" si="51"/>
        <v>0</v>
      </c>
      <c r="CE22" s="385">
        <f t="shared" si="52"/>
        <v>0</v>
      </c>
      <c r="CF22" s="385">
        <f t="shared" si="53"/>
        <v>0</v>
      </c>
      <c r="CG22" s="377">
        <f t="shared" si="54"/>
        <v>0</v>
      </c>
      <c r="CH22" s="377">
        <f t="shared" si="55"/>
        <v>0</v>
      </c>
      <c r="CI22" s="377">
        <f t="shared" si="56"/>
        <v>0</v>
      </c>
      <c r="CK22">
        <v>30</v>
      </c>
      <c r="CL22">
        <v>35</v>
      </c>
      <c r="CN22" s="25">
        <f t="shared" si="57"/>
        <v>1</v>
      </c>
      <c r="CO22" s="25">
        <f t="shared" si="58"/>
        <v>1</v>
      </c>
      <c r="CP22" s="25">
        <f t="shared" si="59"/>
        <v>1</v>
      </c>
      <c r="CQ22" s="25">
        <f t="shared" si="60"/>
        <v>0</v>
      </c>
      <c r="CR22" s="25">
        <f t="shared" si="61"/>
        <v>0</v>
      </c>
      <c r="CS22" s="25">
        <f t="shared" si="62"/>
        <v>0</v>
      </c>
      <c r="CT22" s="25">
        <f t="shared" si="63"/>
        <v>0</v>
      </c>
      <c r="CU22" s="25">
        <f t="shared" si="64"/>
        <v>0</v>
      </c>
      <c r="CV22" s="25">
        <f t="shared" si="65"/>
        <v>0</v>
      </c>
    </row>
    <row r="23" spans="1:135">
      <c r="A23" s="132" t="s">
        <v>106</v>
      </c>
      <c r="B23">
        <v>37.009202453987733</v>
      </c>
      <c r="C23">
        <v>54.027607361963184</v>
      </c>
      <c r="D23">
        <v>60.380368098159508</v>
      </c>
      <c r="E23">
        <v>12.064417177914111</v>
      </c>
      <c r="F23">
        <v>16.726993865030675</v>
      </c>
      <c r="G23">
        <v>23.604294478527606</v>
      </c>
      <c r="H23">
        <v>0.32598425196850395</v>
      </c>
      <c r="I23">
        <v>0.30960086299892131</v>
      </c>
      <c r="J23">
        <v>0.39092664092664092</v>
      </c>
      <c r="K23">
        <v>19</v>
      </c>
      <c r="L23">
        <v>2.85</v>
      </c>
      <c r="M23" s="354">
        <f t="shared" si="0"/>
        <v>17.46523517382413</v>
      </c>
      <c r="X23">
        <v>0.32598425196850395</v>
      </c>
      <c r="AB23" s="132">
        <v>5.1968503937007873E-2</v>
      </c>
      <c r="AC23" s="153">
        <v>6.1417322834645662E-2</v>
      </c>
      <c r="AD23" s="153">
        <v>0.34960629921259839</v>
      </c>
      <c r="AE23" s="153">
        <v>1.2598425196850394E-2</v>
      </c>
      <c r="AF23" s="153">
        <v>6.6141732283464566E-2</v>
      </c>
      <c r="AG23" s="132">
        <v>0.13228346456692919</v>
      </c>
      <c r="AM23">
        <v>1.8650306748466259</v>
      </c>
      <c r="AN23">
        <v>-1.6319018404907977</v>
      </c>
      <c r="AO23">
        <v>-5.3619631901840483</v>
      </c>
      <c r="AP23">
        <v>12.064417177914111</v>
      </c>
      <c r="AQ23">
        <v>16.726993865030675</v>
      </c>
      <c r="AR23">
        <v>23.604294478527606</v>
      </c>
      <c r="AS23" s="25">
        <f t="shared" si="17"/>
        <v>1</v>
      </c>
      <c r="AT23" s="25">
        <f t="shared" si="66"/>
        <v>1</v>
      </c>
      <c r="AU23" s="25">
        <f t="shared" si="67"/>
        <v>1</v>
      </c>
      <c r="AV23" s="25">
        <f t="shared" si="18"/>
        <v>1</v>
      </c>
      <c r="AW23" s="25">
        <f t="shared" si="19"/>
        <v>0</v>
      </c>
      <c r="AX23" s="25">
        <f t="shared" si="20"/>
        <v>0</v>
      </c>
      <c r="AY23" s="25">
        <f t="shared" si="21"/>
        <v>2</v>
      </c>
      <c r="AZ23" s="25">
        <f t="shared" si="22"/>
        <v>1</v>
      </c>
      <c r="BA23" s="25">
        <f t="shared" si="23"/>
        <v>1</v>
      </c>
      <c r="BB23" s="339">
        <f t="shared" si="24"/>
        <v>1</v>
      </c>
      <c r="BC23" s="340">
        <f t="shared" si="25"/>
        <v>0</v>
      </c>
      <c r="BD23" s="341">
        <f t="shared" si="26"/>
        <v>0</v>
      </c>
      <c r="BE23" s="25">
        <f t="shared" si="27"/>
        <v>0</v>
      </c>
      <c r="BF23" s="25">
        <f t="shared" si="28"/>
        <v>1</v>
      </c>
      <c r="BG23" s="25">
        <f t="shared" si="29"/>
        <v>1</v>
      </c>
      <c r="BH23" s="25">
        <f t="shared" si="30"/>
        <v>1</v>
      </c>
      <c r="BI23" s="25">
        <f t="shared" si="31"/>
        <v>2</v>
      </c>
      <c r="BJ23" s="25">
        <f t="shared" si="32"/>
        <v>2</v>
      </c>
      <c r="BK23" s="351">
        <f t="shared" si="33"/>
        <v>0</v>
      </c>
      <c r="BL23" s="352">
        <f t="shared" si="34"/>
        <v>1</v>
      </c>
      <c r="BM23" s="353">
        <f t="shared" si="35"/>
        <v>1</v>
      </c>
      <c r="BN23" s="25">
        <f t="shared" si="36"/>
        <v>0</v>
      </c>
      <c r="BO23" s="25">
        <f t="shared" si="37"/>
        <v>0</v>
      </c>
      <c r="BP23" s="25">
        <f t="shared" si="38"/>
        <v>0</v>
      </c>
      <c r="BQ23" s="25">
        <f t="shared" si="39"/>
        <v>1</v>
      </c>
      <c r="BR23" s="25">
        <f t="shared" si="40"/>
        <v>1</v>
      </c>
      <c r="BS23" s="25">
        <f t="shared" si="41"/>
        <v>1</v>
      </c>
      <c r="BT23" s="345">
        <f t="shared" si="42"/>
        <v>0</v>
      </c>
      <c r="BU23" s="346">
        <f t="shared" si="43"/>
        <v>0</v>
      </c>
      <c r="BV23" s="347">
        <f t="shared" si="44"/>
        <v>0</v>
      </c>
      <c r="BX23" s="345">
        <f t="shared" si="45"/>
        <v>0</v>
      </c>
      <c r="BY23" s="345">
        <f t="shared" si="46"/>
        <v>0</v>
      </c>
      <c r="BZ23" s="345">
        <f t="shared" si="47"/>
        <v>0</v>
      </c>
      <c r="CA23" s="382">
        <f t="shared" si="48"/>
        <v>0</v>
      </c>
      <c r="CB23" s="382">
        <f t="shared" si="49"/>
        <v>0</v>
      </c>
      <c r="CC23" s="382">
        <f t="shared" si="50"/>
        <v>0</v>
      </c>
      <c r="CD23" s="385">
        <f t="shared" si="51"/>
        <v>0</v>
      </c>
      <c r="CE23" s="385">
        <f t="shared" si="52"/>
        <v>0</v>
      </c>
      <c r="CF23" s="385">
        <f t="shared" si="53"/>
        <v>0</v>
      </c>
      <c r="CG23" s="377">
        <f t="shared" si="54"/>
        <v>0</v>
      </c>
      <c r="CH23" s="377">
        <f t="shared" si="55"/>
        <v>0</v>
      </c>
      <c r="CI23" s="377">
        <f t="shared" si="56"/>
        <v>0</v>
      </c>
      <c r="CK23">
        <v>12.064417177914111</v>
      </c>
      <c r="CL23">
        <v>1.8650306748466259</v>
      </c>
      <c r="CN23" s="25">
        <f t="shared" si="57"/>
        <v>1</v>
      </c>
      <c r="CO23" s="25">
        <f t="shared" si="58"/>
        <v>0</v>
      </c>
      <c r="CP23" s="25">
        <f t="shared" si="59"/>
        <v>0</v>
      </c>
      <c r="CQ23" s="25">
        <f t="shared" si="60"/>
        <v>0</v>
      </c>
      <c r="CR23" s="25">
        <f t="shared" si="61"/>
        <v>1</v>
      </c>
      <c r="CS23" s="25">
        <f t="shared" si="62"/>
        <v>1</v>
      </c>
      <c r="CT23" s="25">
        <f t="shared" si="63"/>
        <v>0</v>
      </c>
      <c r="CU23" s="25">
        <f t="shared" si="64"/>
        <v>0</v>
      </c>
      <c r="CV23" s="25">
        <f t="shared" si="65"/>
        <v>0</v>
      </c>
    </row>
    <row r="24" spans="1:135">
      <c r="A24" s="132" t="s">
        <v>107</v>
      </c>
      <c r="B24">
        <v>275</v>
      </c>
      <c r="C24">
        <v>559</v>
      </c>
      <c r="D24">
        <v>1082</v>
      </c>
      <c r="E24">
        <v>0</v>
      </c>
      <c r="F24">
        <v>0</v>
      </c>
      <c r="G24">
        <v>124</v>
      </c>
      <c r="H24">
        <v>0</v>
      </c>
      <c r="I24">
        <v>0</v>
      </c>
      <c r="J24">
        <v>0.11460258780036968</v>
      </c>
      <c r="K24">
        <v>70</v>
      </c>
      <c r="L24">
        <v>28</v>
      </c>
      <c r="M24" s="354">
        <f t="shared" si="0"/>
        <v>41.333333333333336</v>
      </c>
      <c r="X24">
        <v>0</v>
      </c>
      <c r="AB24" s="132">
        <v>0</v>
      </c>
      <c r="AC24" s="153">
        <v>0</v>
      </c>
      <c r="AD24" s="153">
        <v>0.51636363636363636</v>
      </c>
      <c r="AE24" s="153">
        <v>0.48363636363636364</v>
      </c>
      <c r="AF24" s="153">
        <v>0</v>
      </c>
      <c r="AG24" s="132">
        <v>0</v>
      </c>
      <c r="AM24">
        <v>-118</v>
      </c>
      <c r="AN24">
        <v>88</v>
      </c>
      <c r="AO24">
        <v>90</v>
      </c>
      <c r="AP24">
        <v>0</v>
      </c>
      <c r="AQ24">
        <v>0</v>
      </c>
      <c r="AR24">
        <v>124</v>
      </c>
      <c r="AS24" s="25">
        <f t="shared" si="17"/>
        <v>0</v>
      </c>
      <c r="AT24" s="25">
        <f t="shared" si="66"/>
        <v>0</v>
      </c>
      <c r="AU24" s="25">
        <f t="shared" si="67"/>
        <v>1</v>
      </c>
      <c r="AV24" s="25">
        <f t="shared" si="18"/>
        <v>0</v>
      </c>
      <c r="AW24" s="25">
        <f t="shared" si="19"/>
        <v>1</v>
      </c>
      <c r="AX24" s="25">
        <f t="shared" si="20"/>
        <v>1</v>
      </c>
      <c r="AY24" s="25">
        <f t="shared" si="21"/>
        <v>0</v>
      </c>
      <c r="AZ24" s="25">
        <f t="shared" si="22"/>
        <v>1</v>
      </c>
      <c r="BA24" s="25">
        <f t="shared" si="23"/>
        <v>2</v>
      </c>
      <c r="BB24" s="339">
        <f t="shared" si="24"/>
        <v>0</v>
      </c>
      <c r="BC24" s="340">
        <f t="shared" si="25"/>
        <v>0</v>
      </c>
      <c r="BD24" s="341">
        <f t="shared" si="26"/>
        <v>1</v>
      </c>
      <c r="BE24" s="25">
        <f t="shared" si="27"/>
        <v>1</v>
      </c>
      <c r="BF24" s="25">
        <f t="shared" si="28"/>
        <v>0</v>
      </c>
      <c r="BG24" s="25">
        <f t="shared" si="29"/>
        <v>0</v>
      </c>
      <c r="BH24" s="25">
        <f t="shared" si="30"/>
        <v>1</v>
      </c>
      <c r="BI24" s="25">
        <f t="shared" si="31"/>
        <v>0</v>
      </c>
      <c r="BJ24" s="25">
        <f t="shared" si="32"/>
        <v>1</v>
      </c>
      <c r="BK24" s="351">
        <f t="shared" si="33"/>
        <v>0</v>
      </c>
      <c r="BL24" s="352">
        <f t="shared" si="34"/>
        <v>0</v>
      </c>
      <c r="BM24" s="353">
        <f t="shared" si="35"/>
        <v>0</v>
      </c>
      <c r="BN24" s="25">
        <f t="shared" si="36"/>
        <v>0</v>
      </c>
      <c r="BO24" s="25">
        <f t="shared" si="37"/>
        <v>0</v>
      </c>
      <c r="BP24" s="25">
        <f t="shared" si="38"/>
        <v>0</v>
      </c>
      <c r="BQ24" s="25">
        <f t="shared" si="39"/>
        <v>0</v>
      </c>
      <c r="BR24" s="25">
        <f t="shared" si="40"/>
        <v>0</v>
      </c>
      <c r="BS24" s="25">
        <f t="shared" si="41"/>
        <v>1</v>
      </c>
      <c r="BT24" s="345">
        <f t="shared" si="42"/>
        <v>0</v>
      </c>
      <c r="BU24" s="346">
        <f t="shared" si="43"/>
        <v>0</v>
      </c>
      <c r="BV24" s="347">
        <f t="shared" si="44"/>
        <v>0</v>
      </c>
      <c r="BX24" s="345">
        <f t="shared" si="45"/>
        <v>0</v>
      </c>
      <c r="BY24" s="345">
        <f t="shared" si="46"/>
        <v>1</v>
      </c>
      <c r="BZ24" s="345">
        <f t="shared" si="47"/>
        <v>0</v>
      </c>
      <c r="CA24" s="382">
        <f t="shared" si="48"/>
        <v>1</v>
      </c>
      <c r="CB24" s="382">
        <f t="shared" si="49"/>
        <v>0</v>
      </c>
      <c r="CC24" s="382">
        <f t="shared" si="50"/>
        <v>0</v>
      </c>
      <c r="CD24" s="385">
        <f t="shared" si="51"/>
        <v>0</v>
      </c>
      <c r="CE24" s="385">
        <f t="shared" si="52"/>
        <v>0</v>
      </c>
      <c r="CF24" s="385">
        <f t="shared" si="53"/>
        <v>0</v>
      </c>
      <c r="CG24" s="377">
        <f t="shared" si="54"/>
        <v>1</v>
      </c>
      <c r="CH24" s="377">
        <f t="shared" si="55"/>
        <v>1</v>
      </c>
      <c r="CI24" s="377">
        <f t="shared" si="56"/>
        <v>0</v>
      </c>
      <c r="CK24">
        <v>0</v>
      </c>
      <c r="CL24">
        <v>-118</v>
      </c>
      <c r="CN24" s="25">
        <f t="shared" si="57"/>
        <v>1</v>
      </c>
      <c r="CO24" s="25">
        <f t="shared" si="58"/>
        <v>2</v>
      </c>
      <c r="CP24" s="25">
        <f t="shared" si="59"/>
        <v>1</v>
      </c>
      <c r="CQ24" s="25">
        <f t="shared" si="60"/>
        <v>2</v>
      </c>
      <c r="CR24" s="25">
        <f t="shared" si="61"/>
        <v>1</v>
      </c>
      <c r="CS24" s="25">
        <f t="shared" si="62"/>
        <v>0</v>
      </c>
      <c r="CT24" s="25">
        <f t="shared" si="63"/>
        <v>1</v>
      </c>
      <c r="CU24" s="25">
        <f t="shared" si="64"/>
        <v>1</v>
      </c>
      <c r="CV24" s="25">
        <f t="shared" si="65"/>
        <v>0</v>
      </c>
    </row>
    <row r="25" spans="1:135">
      <c r="A25" s="132" t="s">
        <v>108</v>
      </c>
      <c r="B25">
        <v>424</v>
      </c>
      <c r="C25">
        <v>415</v>
      </c>
      <c r="D25">
        <v>485</v>
      </c>
      <c r="E25">
        <v>153</v>
      </c>
      <c r="F25">
        <v>176</v>
      </c>
      <c r="G25">
        <v>257</v>
      </c>
      <c r="H25">
        <v>0.36084905660377359</v>
      </c>
      <c r="I25">
        <v>0.42409638554216866</v>
      </c>
      <c r="J25">
        <v>0.52989690721649485</v>
      </c>
      <c r="K25">
        <v>160</v>
      </c>
      <c r="L25">
        <v>78.400000000000006</v>
      </c>
      <c r="M25" s="354">
        <f t="shared" si="0"/>
        <v>195.33333333333334</v>
      </c>
      <c r="X25">
        <v>0.36084905660377359</v>
      </c>
      <c r="AB25" s="132">
        <v>0</v>
      </c>
      <c r="AC25" s="153">
        <v>0</v>
      </c>
      <c r="AD25" s="153">
        <v>0.330188679245283</v>
      </c>
      <c r="AE25" s="153">
        <v>0.16273584905660377</v>
      </c>
      <c r="AF25" s="153">
        <v>0</v>
      </c>
      <c r="AG25" s="132">
        <v>0.14622641509433965</v>
      </c>
      <c r="AM25">
        <v>78</v>
      </c>
      <c r="AN25">
        <v>10</v>
      </c>
      <c r="AO25">
        <v>0</v>
      </c>
      <c r="AP25">
        <v>153</v>
      </c>
      <c r="AQ25">
        <v>176</v>
      </c>
      <c r="AR25">
        <v>257</v>
      </c>
      <c r="AS25" s="25">
        <f t="shared" si="17"/>
        <v>1</v>
      </c>
      <c r="AT25" s="25">
        <f t="shared" si="66"/>
        <v>1</v>
      </c>
      <c r="AU25" s="25">
        <f t="shared" si="67"/>
        <v>1</v>
      </c>
      <c r="AV25" s="25">
        <f t="shared" si="18"/>
        <v>1</v>
      </c>
      <c r="AW25" s="25">
        <f t="shared" si="19"/>
        <v>1</v>
      </c>
      <c r="AX25" s="25">
        <f t="shared" si="20"/>
        <v>0</v>
      </c>
      <c r="AY25" s="25">
        <f t="shared" si="21"/>
        <v>2</v>
      </c>
      <c r="AZ25" s="25">
        <f t="shared" si="22"/>
        <v>2</v>
      </c>
      <c r="BA25" s="25">
        <f t="shared" si="23"/>
        <v>1</v>
      </c>
      <c r="BB25" s="339">
        <f t="shared" si="24"/>
        <v>1</v>
      </c>
      <c r="BC25" s="340">
        <f t="shared" si="25"/>
        <v>1</v>
      </c>
      <c r="BD25" s="341">
        <f t="shared" si="26"/>
        <v>0</v>
      </c>
      <c r="BE25" s="25">
        <f t="shared" si="27"/>
        <v>0</v>
      </c>
      <c r="BF25" s="25">
        <f t="shared" si="28"/>
        <v>0</v>
      </c>
      <c r="BG25" s="25">
        <f t="shared" si="29"/>
        <v>0</v>
      </c>
      <c r="BH25" s="25">
        <f t="shared" si="30"/>
        <v>1</v>
      </c>
      <c r="BI25" s="25">
        <f t="shared" si="31"/>
        <v>1</v>
      </c>
      <c r="BJ25" s="25">
        <f t="shared" si="32"/>
        <v>1</v>
      </c>
      <c r="BK25" s="351">
        <f t="shared" si="33"/>
        <v>0</v>
      </c>
      <c r="BL25" s="352">
        <f t="shared" si="34"/>
        <v>0</v>
      </c>
      <c r="BM25" s="353">
        <f t="shared" si="35"/>
        <v>0</v>
      </c>
      <c r="BN25" s="25">
        <f t="shared" si="36"/>
        <v>0</v>
      </c>
      <c r="BO25" s="25">
        <f t="shared" si="37"/>
        <v>0</v>
      </c>
      <c r="BP25" s="25">
        <f t="shared" si="38"/>
        <v>1</v>
      </c>
      <c r="BQ25" s="25">
        <f t="shared" si="39"/>
        <v>1</v>
      </c>
      <c r="BR25" s="25">
        <f t="shared" si="40"/>
        <v>1</v>
      </c>
      <c r="BS25" s="25">
        <f t="shared" si="41"/>
        <v>2</v>
      </c>
      <c r="BT25" s="345">
        <f t="shared" si="42"/>
        <v>0</v>
      </c>
      <c r="BU25" s="346">
        <f t="shared" si="43"/>
        <v>0</v>
      </c>
      <c r="BV25" s="347">
        <f t="shared" si="44"/>
        <v>1</v>
      </c>
      <c r="BX25" s="345">
        <f t="shared" si="45"/>
        <v>0</v>
      </c>
      <c r="BY25" s="345">
        <f t="shared" si="46"/>
        <v>0</v>
      </c>
      <c r="BZ25" s="345">
        <f t="shared" si="47"/>
        <v>0</v>
      </c>
      <c r="CA25" s="382">
        <f t="shared" si="48"/>
        <v>0</v>
      </c>
      <c r="CB25" s="382">
        <f t="shared" si="49"/>
        <v>0</v>
      </c>
      <c r="CC25" s="382">
        <f t="shared" si="50"/>
        <v>0</v>
      </c>
      <c r="CD25" s="385">
        <f t="shared" si="51"/>
        <v>0</v>
      </c>
      <c r="CE25" s="385">
        <f t="shared" si="52"/>
        <v>0</v>
      </c>
      <c r="CF25" s="385">
        <f t="shared" si="53"/>
        <v>0</v>
      </c>
      <c r="CG25" s="377">
        <f t="shared" si="54"/>
        <v>0</v>
      </c>
      <c r="CH25" s="377">
        <f t="shared" si="55"/>
        <v>0</v>
      </c>
      <c r="CI25" s="377">
        <f t="shared" si="56"/>
        <v>0</v>
      </c>
      <c r="CK25">
        <v>153</v>
      </c>
      <c r="CL25">
        <v>78</v>
      </c>
      <c r="CN25" s="25">
        <f t="shared" si="57"/>
        <v>1</v>
      </c>
      <c r="CO25" s="25">
        <f t="shared" si="58"/>
        <v>1</v>
      </c>
      <c r="CP25" s="25">
        <f t="shared" si="59"/>
        <v>0</v>
      </c>
      <c r="CQ25" s="25">
        <f t="shared" si="60"/>
        <v>0</v>
      </c>
      <c r="CR25" s="25">
        <f t="shared" si="61"/>
        <v>0</v>
      </c>
      <c r="CS25" s="25">
        <f t="shared" si="62"/>
        <v>0</v>
      </c>
      <c r="CT25" s="25">
        <f t="shared" si="63"/>
        <v>0</v>
      </c>
      <c r="CU25" s="25">
        <f t="shared" si="64"/>
        <v>0</v>
      </c>
      <c r="CV25" s="25">
        <f t="shared" si="65"/>
        <v>1</v>
      </c>
      <c r="DC25" t="s">
        <v>661</v>
      </c>
      <c r="DH25" t="s">
        <v>697</v>
      </c>
      <c r="DW25" t="s">
        <v>661</v>
      </c>
    </row>
    <row r="26" spans="1:135" ht="17" thickBot="1">
      <c r="A26" s="132" t="s">
        <v>109</v>
      </c>
      <c r="B26">
        <v>554</v>
      </c>
      <c r="C26">
        <v>880</v>
      </c>
      <c r="D26">
        <v>1113</v>
      </c>
      <c r="E26">
        <v>210</v>
      </c>
      <c r="F26">
        <v>0</v>
      </c>
      <c r="G26">
        <v>0</v>
      </c>
      <c r="H26">
        <v>0.37906137184115524</v>
      </c>
      <c r="I26">
        <v>0</v>
      </c>
      <c r="J26">
        <v>0</v>
      </c>
      <c r="K26">
        <v>150</v>
      </c>
      <c r="L26">
        <v>127.5</v>
      </c>
      <c r="M26" s="354">
        <f t="shared" si="0"/>
        <v>70</v>
      </c>
      <c r="X26">
        <v>0.37906137184115524</v>
      </c>
      <c r="AB26" s="132">
        <v>1.8050541516245487E-2</v>
      </c>
      <c r="AC26" s="153">
        <v>0.1444043321299639</v>
      </c>
      <c r="AD26" s="153">
        <v>0.31588447653429602</v>
      </c>
      <c r="AE26" s="153">
        <v>0</v>
      </c>
      <c r="AF26" s="153">
        <v>0</v>
      </c>
      <c r="AG26" s="132">
        <v>0.14259927797833938</v>
      </c>
      <c r="AM26">
        <v>105</v>
      </c>
      <c r="AN26">
        <v>16</v>
      </c>
      <c r="AO26">
        <v>165</v>
      </c>
      <c r="AP26">
        <v>210</v>
      </c>
      <c r="AQ26">
        <v>0</v>
      </c>
      <c r="AR26">
        <v>0</v>
      </c>
      <c r="AS26" s="25">
        <f t="shared" si="17"/>
        <v>1</v>
      </c>
      <c r="AT26" s="25">
        <f t="shared" si="66"/>
        <v>0</v>
      </c>
      <c r="AU26" s="25">
        <f t="shared" si="67"/>
        <v>0</v>
      </c>
      <c r="AV26" s="25">
        <f t="shared" si="18"/>
        <v>1</v>
      </c>
      <c r="AW26" s="25">
        <f t="shared" si="19"/>
        <v>1</v>
      </c>
      <c r="AX26" s="25">
        <f t="shared" si="20"/>
        <v>1</v>
      </c>
      <c r="AY26" s="25">
        <f t="shared" si="21"/>
        <v>2</v>
      </c>
      <c r="AZ26" s="25">
        <f t="shared" si="22"/>
        <v>1</v>
      </c>
      <c r="BA26" s="25">
        <f t="shared" si="23"/>
        <v>1</v>
      </c>
      <c r="BB26" s="339">
        <f t="shared" si="24"/>
        <v>1</v>
      </c>
      <c r="BC26" s="340">
        <f t="shared" si="25"/>
        <v>0</v>
      </c>
      <c r="BD26" s="341">
        <f t="shared" si="26"/>
        <v>0</v>
      </c>
      <c r="BE26" s="25">
        <f t="shared" si="27"/>
        <v>0</v>
      </c>
      <c r="BF26" s="25">
        <f t="shared" si="28"/>
        <v>0</v>
      </c>
      <c r="BG26" s="25">
        <f t="shared" si="29"/>
        <v>0</v>
      </c>
      <c r="BH26" s="25">
        <f t="shared" si="30"/>
        <v>1</v>
      </c>
      <c r="BI26" s="25">
        <f t="shared" si="31"/>
        <v>0</v>
      </c>
      <c r="BJ26" s="25">
        <f t="shared" si="32"/>
        <v>0</v>
      </c>
      <c r="BK26" s="351">
        <f t="shared" si="33"/>
        <v>0</v>
      </c>
      <c r="BL26" s="352">
        <f t="shared" si="34"/>
        <v>0</v>
      </c>
      <c r="BM26" s="353">
        <f t="shared" si="35"/>
        <v>0</v>
      </c>
      <c r="BN26" s="25">
        <f t="shared" si="36"/>
        <v>0</v>
      </c>
      <c r="BO26" s="25">
        <f t="shared" si="37"/>
        <v>0</v>
      </c>
      <c r="BP26" s="25">
        <f t="shared" si="38"/>
        <v>0</v>
      </c>
      <c r="BQ26" s="25">
        <f t="shared" si="39"/>
        <v>1</v>
      </c>
      <c r="BR26" s="25">
        <f t="shared" si="40"/>
        <v>0</v>
      </c>
      <c r="BS26" s="25">
        <f t="shared" si="41"/>
        <v>0</v>
      </c>
      <c r="BT26" s="345">
        <f t="shared" si="42"/>
        <v>0</v>
      </c>
      <c r="BU26" s="346">
        <f t="shared" si="43"/>
        <v>0</v>
      </c>
      <c r="BV26" s="347">
        <f t="shared" si="44"/>
        <v>0</v>
      </c>
      <c r="BX26" s="345">
        <f t="shared" si="45"/>
        <v>0</v>
      </c>
      <c r="BY26" s="345">
        <f t="shared" si="46"/>
        <v>1</v>
      </c>
      <c r="BZ26" s="345">
        <f t="shared" si="47"/>
        <v>1</v>
      </c>
      <c r="CA26" s="382">
        <f t="shared" si="48"/>
        <v>0</v>
      </c>
      <c r="CB26" s="382">
        <f t="shared" si="49"/>
        <v>0</v>
      </c>
      <c r="CC26" s="382">
        <f t="shared" si="50"/>
        <v>0</v>
      </c>
      <c r="CD26" s="385">
        <f t="shared" si="51"/>
        <v>0</v>
      </c>
      <c r="CE26" s="385">
        <f t="shared" si="52"/>
        <v>0</v>
      </c>
      <c r="CF26" s="385">
        <f t="shared" si="53"/>
        <v>0</v>
      </c>
      <c r="CG26" s="377">
        <f t="shared" si="54"/>
        <v>0</v>
      </c>
      <c r="CH26" s="377">
        <f t="shared" si="55"/>
        <v>1</v>
      </c>
      <c r="CI26" s="377">
        <f t="shared" si="56"/>
        <v>1</v>
      </c>
      <c r="CK26">
        <v>210</v>
      </c>
      <c r="CL26">
        <v>105</v>
      </c>
      <c r="CN26" s="25">
        <f t="shared" si="57"/>
        <v>1</v>
      </c>
      <c r="CO26" s="25">
        <f t="shared" si="58"/>
        <v>2</v>
      </c>
      <c r="CP26" s="25">
        <f t="shared" si="59"/>
        <v>2</v>
      </c>
      <c r="CQ26" s="25">
        <f t="shared" si="60"/>
        <v>0</v>
      </c>
      <c r="CR26" s="25">
        <f t="shared" si="61"/>
        <v>1</v>
      </c>
      <c r="CS26" s="25">
        <f t="shared" si="62"/>
        <v>1</v>
      </c>
      <c r="CT26" s="25">
        <f t="shared" si="63"/>
        <v>0</v>
      </c>
      <c r="CU26" s="25">
        <f t="shared" si="64"/>
        <v>1</v>
      </c>
      <c r="CV26" s="25">
        <f t="shared" si="65"/>
        <v>1</v>
      </c>
    </row>
    <row r="27" spans="1:135">
      <c r="A27" s="132" t="s">
        <v>136</v>
      </c>
      <c r="B27">
        <v>1482</v>
      </c>
      <c r="C27">
        <v>1769</v>
      </c>
      <c r="D27">
        <v>2043</v>
      </c>
      <c r="E27">
        <v>619</v>
      </c>
      <c r="F27">
        <v>936</v>
      </c>
      <c r="G27">
        <v>1046</v>
      </c>
      <c r="H27">
        <v>0.41767881241565452</v>
      </c>
      <c r="I27">
        <v>0.52911249293386098</v>
      </c>
      <c r="J27">
        <v>0.51199216837983352</v>
      </c>
      <c r="K27">
        <v>230</v>
      </c>
      <c r="L27">
        <v>174.79999999999998</v>
      </c>
      <c r="M27" s="354">
        <f t="shared" si="0"/>
        <v>867</v>
      </c>
      <c r="X27">
        <v>0.41767881241565452</v>
      </c>
      <c r="AB27" s="132">
        <v>0</v>
      </c>
      <c r="AC27" s="153">
        <v>0.10256410256410256</v>
      </c>
      <c r="AD27" s="153">
        <v>0.41160593792172739</v>
      </c>
      <c r="AE27" s="153">
        <v>5.3981106612685558E-3</v>
      </c>
      <c r="AF27" s="153">
        <v>6.2753036437246959E-2</v>
      </c>
      <c r="AG27" s="132">
        <v>0</v>
      </c>
      <c r="AM27">
        <v>-256</v>
      </c>
      <c r="AN27">
        <v>-85</v>
      </c>
      <c r="AO27">
        <v>202</v>
      </c>
      <c r="AP27">
        <v>619</v>
      </c>
      <c r="AQ27">
        <v>936</v>
      </c>
      <c r="AR27">
        <v>1046</v>
      </c>
      <c r="AS27" s="25">
        <f t="shared" si="17"/>
        <v>1</v>
      </c>
      <c r="AT27" s="25">
        <f t="shared" si="66"/>
        <v>1</v>
      </c>
      <c r="AU27" s="25">
        <f t="shared" si="67"/>
        <v>1</v>
      </c>
      <c r="AV27" s="25">
        <f t="shared" si="18"/>
        <v>0</v>
      </c>
      <c r="AW27" s="25">
        <f t="shared" si="19"/>
        <v>0</v>
      </c>
      <c r="AX27" s="25">
        <f t="shared" si="20"/>
        <v>1</v>
      </c>
      <c r="AY27" s="25">
        <f t="shared" si="21"/>
        <v>1</v>
      </c>
      <c r="AZ27" s="25">
        <f t="shared" si="22"/>
        <v>1</v>
      </c>
      <c r="BA27" s="25">
        <f t="shared" si="23"/>
        <v>2</v>
      </c>
      <c r="BB27" s="339">
        <f t="shared" si="24"/>
        <v>0</v>
      </c>
      <c r="BC27" s="340">
        <f t="shared" si="25"/>
        <v>0</v>
      </c>
      <c r="BD27" s="341">
        <f t="shared" si="26"/>
        <v>1</v>
      </c>
      <c r="BE27" s="25">
        <f t="shared" si="27"/>
        <v>1</v>
      </c>
      <c r="BF27" s="25">
        <f t="shared" si="28"/>
        <v>1</v>
      </c>
      <c r="BG27" s="25">
        <f t="shared" si="29"/>
        <v>0</v>
      </c>
      <c r="BH27" s="25">
        <f t="shared" si="30"/>
        <v>2</v>
      </c>
      <c r="BI27" s="25">
        <f t="shared" si="31"/>
        <v>2</v>
      </c>
      <c r="BJ27" s="25">
        <f t="shared" si="32"/>
        <v>1</v>
      </c>
      <c r="BK27" s="351">
        <f t="shared" si="33"/>
        <v>1</v>
      </c>
      <c r="BL27" s="352">
        <f t="shared" si="34"/>
        <v>1</v>
      </c>
      <c r="BM27" s="353">
        <f t="shared" si="35"/>
        <v>0</v>
      </c>
      <c r="BN27" s="25">
        <f t="shared" si="36"/>
        <v>0</v>
      </c>
      <c r="BO27" s="25">
        <f t="shared" si="37"/>
        <v>0</v>
      </c>
      <c r="BP27" s="25">
        <f t="shared" si="38"/>
        <v>0</v>
      </c>
      <c r="BQ27" s="25">
        <f t="shared" si="39"/>
        <v>1</v>
      </c>
      <c r="BR27" s="25">
        <f t="shared" si="40"/>
        <v>1</v>
      </c>
      <c r="BS27" s="25">
        <f t="shared" si="41"/>
        <v>1</v>
      </c>
      <c r="BT27" s="345">
        <f t="shared" si="42"/>
        <v>0</v>
      </c>
      <c r="BU27" s="346">
        <f t="shared" si="43"/>
        <v>0</v>
      </c>
      <c r="BV27" s="347">
        <f t="shared" si="44"/>
        <v>0</v>
      </c>
      <c r="BX27" s="345">
        <f t="shared" si="45"/>
        <v>0</v>
      </c>
      <c r="BY27" s="345">
        <f t="shared" si="46"/>
        <v>0</v>
      </c>
      <c r="BZ27" s="345">
        <f t="shared" si="47"/>
        <v>0</v>
      </c>
      <c r="CA27" s="382">
        <f t="shared" si="48"/>
        <v>0</v>
      </c>
      <c r="CB27" s="382">
        <f t="shared" si="49"/>
        <v>0</v>
      </c>
      <c r="CC27" s="382">
        <f t="shared" si="50"/>
        <v>0</v>
      </c>
      <c r="CD27" s="385">
        <f t="shared" si="51"/>
        <v>0</v>
      </c>
      <c r="CE27" s="385">
        <f t="shared" si="52"/>
        <v>0</v>
      </c>
      <c r="CF27" s="385">
        <f t="shared" si="53"/>
        <v>0</v>
      </c>
      <c r="CG27" s="377">
        <f t="shared" si="54"/>
        <v>0</v>
      </c>
      <c r="CH27" s="377">
        <f t="shared" si="55"/>
        <v>0</v>
      </c>
      <c r="CI27" s="377">
        <f t="shared" si="56"/>
        <v>0</v>
      </c>
      <c r="CK27">
        <v>619</v>
      </c>
      <c r="CL27">
        <v>-256</v>
      </c>
      <c r="CN27" s="25">
        <f t="shared" si="57"/>
        <v>0</v>
      </c>
      <c r="CO27" s="25">
        <f t="shared" si="58"/>
        <v>0</v>
      </c>
      <c r="CP27" s="25">
        <f t="shared" si="59"/>
        <v>1</v>
      </c>
      <c r="CQ27" s="25">
        <f t="shared" si="60"/>
        <v>1</v>
      </c>
      <c r="CR27" s="25">
        <f t="shared" si="61"/>
        <v>1</v>
      </c>
      <c r="CS27" s="25">
        <f t="shared" si="62"/>
        <v>0</v>
      </c>
      <c r="CT27" s="25">
        <f t="shared" si="63"/>
        <v>0</v>
      </c>
      <c r="CU27" s="25">
        <f t="shared" si="64"/>
        <v>0</v>
      </c>
      <c r="CV27" s="25">
        <f t="shared" si="65"/>
        <v>0</v>
      </c>
      <c r="DC27" s="372" t="s">
        <v>662</v>
      </c>
      <c r="DD27" s="372" t="s">
        <v>700</v>
      </c>
      <c r="DE27" s="372" t="s">
        <v>663</v>
      </c>
      <c r="DF27" s="372" t="s">
        <v>664</v>
      </c>
      <c r="DH27" s="372" t="s">
        <v>698</v>
      </c>
      <c r="DI27" s="372" t="s">
        <v>699</v>
      </c>
      <c r="DW27" s="355" t="s">
        <v>662</v>
      </c>
      <c r="DX27" s="355" t="s">
        <v>667</v>
      </c>
      <c r="DY27" s="355" t="s">
        <v>663</v>
      </c>
      <c r="DZ27" s="355" t="s">
        <v>664</v>
      </c>
    </row>
    <row r="28" spans="1:135">
      <c r="A28" s="63" t="s">
        <v>59</v>
      </c>
      <c r="B28">
        <v>263</v>
      </c>
      <c r="C28">
        <v>332</v>
      </c>
      <c r="D28">
        <v>273</v>
      </c>
      <c r="E28">
        <v>201</v>
      </c>
      <c r="F28">
        <v>235</v>
      </c>
      <c r="G28">
        <v>176</v>
      </c>
      <c r="H28">
        <v>0.76425855513307983</v>
      </c>
      <c r="I28">
        <v>0.70783132530120485</v>
      </c>
      <c r="J28">
        <v>0.64468864468864473</v>
      </c>
      <c r="K28">
        <v>121</v>
      </c>
      <c r="L28">
        <v>54.45</v>
      </c>
      <c r="M28" s="354">
        <f t="shared" si="0"/>
        <v>204</v>
      </c>
      <c r="X28">
        <v>0.76425855513307983</v>
      </c>
      <c r="AB28" s="63">
        <v>0</v>
      </c>
      <c r="AC28" s="156">
        <v>0</v>
      </c>
      <c r="AD28" s="156">
        <v>8.7452471482889732E-2</v>
      </c>
      <c r="AE28" s="156">
        <v>0</v>
      </c>
      <c r="AF28" s="156">
        <v>0.12167300380228137</v>
      </c>
      <c r="AG28" s="63">
        <v>2.6615969581749055E-2</v>
      </c>
      <c r="AM28">
        <v>-54</v>
      </c>
      <c r="AN28">
        <v>-67</v>
      </c>
      <c r="AO28">
        <v>-76</v>
      </c>
      <c r="AP28">
        <v>201</v>
      </c>
      <c r="AQ28">
        <v>235</v>
      </c>
      <c r="AR28">
        <v>176</v>
      </c>
      <c r="AS28" s="25">
        <f t="shared" si="17"/>
        <v>1</v>
      </c>
      <c r="AT28" s="25">
        <f t="shared" si="66"/>
        <v>1</v>
      </c>
      <c r="AU28" s="25">
        <f t="shared" si="67"/>
        <v>1</v>
      </c>
      <c r="AV28" s="25">
        <f t="shared" si="18"/>
        <v>0</v>
      </c>
      <c r="AW28" s="25">
        <f t="shared" si="19"/>
        <v>0</v>
      </c>
      <c r="AX28" s="25">
        <f t="shared" si="20"/>
        <v>0</v>
      </c>
      <c r="AY28" s="25">
        <f t="shared" si="21"/>
        <v>1</v>
      </c>
      <c r="AZ28" s="25">
        <f t="shared" si="22"/>
        <v>1</v>
      </c>
      <c r="BA28" s="25">
        <f t="shared" si="23"/>
        <v>1</v>
      </c>
      <c r="BB28" s="339">
        <f t="shared" si="24"/>
        <v>0</v>
      </c>
      <c r="BC28" s="340">
        <f t="shared" si="25"/>
        <v>0</v>
      </c>
      <c r="BD28" s="341">
        <f t="shared" si="26"/>
        <v>0</v>
      </c>
      <c r="BE28" s="25">
        <f t="shared" si="27"/>
        <v>1</v>
      </c>
      <c r="BF28" s="25">
        <f t="shared" si="28"/>
        <v>1</v>
      </c>
      <c r="BG28" s="25">
        <f t="shared" si="29"/>
        <v>1</v>
      </c>
      <c r="BH28" s="25">
        <f t="shared" si="30"/>
        <v>2</v>
      </c>
      <c r="BI28" s="25">
        <f t="shared" si="31"/>
        <v>2</v>
      </c>
      <c r="BJ28" s="25">
        <f t="shared" si="32"/>
        <v>2</v>
      </c>
      <c r="BK28" s="351">
        <f t="shared" si="33"/>
        <v>1</v>
      </c>
      <c r="BL28" s="352">
        <f t="shared" si="34"/>
        <v>1</v>
      </c>
      <c r="BM28" s="353">
        <f t="shared" si="35"/>
        <v>1</v>
      </c>
      <c r="BN28" s="25">
        <f t="shared" si="36"/>
        <v>0</v>
      </c>
      <c r="BO28" s="25">
        <f t="shared" si="37"/>
        <v>0</v>
      </c>
      <c r="BP28" s="25">
        <f t="shared" si="38"/>
        <v>0</v>
      </c>
      <c r="BQ28" s="25">
        <f t="shared" si="39"/>
        <v>1</v>
      </c>
      <c r="BR28" s="25">
        <f t="shared" si="40"/>
        <v>1</v>
      </c>
      <c r="BS28" s="25">
        <f t="shared" si="41"/>
        <v>1</v>
      </c>
      <c r="BT28" s="345">
        <f t="shared" si="42"/>
        <v>0</v>
      </c>
      <c r="BU28" s="346">
        <f t="shared" si="43"/>
        <v>0</v>
      </c>
      <c r="BV28" s="347">
        <f t="shared" si="44"/>
        <v>0</v>
      </c>
      <c r="BX28" s="345">
        <f t="shared" si="45"/>
        <v>0</v>
      </c>
      <c r="BY28" s="345">
        <f t="shared" si="46"/>
        <v>0</v>
      </c>
      <c r="BZ28" s="345">
        <f t="shared" si="47"/>
        <v>0</v>
      </c>
      <c r="CA28" s="382">
        <f t="shared" si="48"/>
        <v>0</v>
      </c>
      <c r="CB28" s="382">
        <f t="shared" si="49"/>
        <v>0</v>
      </c>
      <c r="CC28" s="382">
        <f t="shared" si="50"/>
        <v>0</v>
      </c>
      <c r="CD28" s="385">
        <f t="shared" si="51"/>
        <v>0</v>
      </c>
      <c r="CE28" s="385">
        <f t="shared" si="52"/>
        <v>0</v>
      </c>
      <c r="CF28" s="385">
        <f t="shared" si="53"/>
        <v>0</v>
      </c>
      <c r="CG28" s="377">
        <f t="shared" si="54"/>
        <v>0</v>
      </c>
      <c r="CH28" s="377">
        <f t="shared" si="55"/>
        <v>0</v>
      </c>
      <c r="CI28" s="377">
        <f t="shared" si="56"/>
        <v>0</v>
      </c>
      <c r="CK28">
        <v>201</v>
      </c>
      <c r="CL28">
        <v>-54</v>
      </c>
      <c r="CN28" s="25">
        <f t="shared" si="57"/>
        <v>0</v>
      </c>
      <c r="CO28" s="25">
        <f t="shared" si="58"/>
        <v>0</v>
      </c>
      <c r="CP28" s="25">
        <f t="shared" si="59"/>
        <v>0</v>
      </c>
      <c r="CQ28" s="25">
        <f t="shared" si="60"/>
        <v>1</v>
      </c>
      <c r="CR28" s="25">
        <f t="shared" si="61"/>
        <v>1</v>
      </c>
      <c r="CS28" s="25">
        <f t="shared" si="62"/>
        <v>1</v>
      </c>
      <c r="CT28" s="25">
        <f t="shared" si="63"/>
        <v>0</v>
      </c>
      <c r="CU28" s="25">
        <f t="shared" si="64"/>
        <v>0</v>
      </c>
      <c r="CV28" s="25">
        <f t="shared" si="65"/>
        <v>0</v>
      </c>
      <c r="DC28" s="58">
        <v>1</v>
      </c>
      <c r="DD28" s="58">
        <v>43.24006044322104</v>
      </c>
      <c r="DE28" s="58">
        <v>-17.24006044322104</v>
      </c>
      <c r="DF28" s="58">
        <v>-6.1459968268250037E-2</v>
      </c>
      <c r="DH28" s="58">
        <v>0.17921146953405018</v>
      </c>
      <c r="DI28" s="58">
        <v>-784</v>
      </c>
      <c r="DW28" s="58">
        <v>1</v>
      </c>
      <c r="DX28" s="58">
        <v>43.24006044322104</v>
      </c>
      <c r="DY28" s="58">
        <v>-17.24006044322104</v>
      </c>
      <c r="DZ28" s="58">
        <v>-6.1459968268250037E-2</v>
      </c>
    </row>
    <row r="29" spans="1:135">
      <c r="A29" s="63" t="s">
        <v>60</v>
      </c>
      <c r="B29">
        <v>514</v>
      </c>
      <c r="C29">
        <v>830</v>
      </c>
      <c r="D29">
        <v>1112</v>
      </c>
      <c r="E29">
        <v>39</v>
      </c>
      <c r="F29">
        <v>148</v>
      </c>
      <c r="G29">
        <v>308</v>
      </c>
      <c r="H29">
        <v>7.5875486381322951E-2</v>
      </c>
      <c r="I29">
        <v>0.1783132530120482</v>
      </c>
      <c r="J29">
        <v>0.27697841726618705</v>
      </c>
      <c r="K29">
        <v>105</v>
      </c>
      <c r="L29">
        <v>47.25</v>
      </c>
      <c r="M29" s="354">
        <f t="shared" si="0"/>
        <v>165</v>
      </c>
      <c r="X29">
        <v>7.5875486381322951E-2</v>
      </c>
      <c r="AB29" s="63">
        <v>6.0311284046692608E-2</v>
      </c>
      <c r="AC29" s="156">
        <v>0.32295719844357978</v>
      </c>
      <c r="AD29" s="156">
        <v>0.13618677042801555</v>
      </c>
      <c r="AE29" s="156">
        <v>0</v>
      </c>
      <c r="AF29" s="156">
        <v>0.34241245136186771</v>
      </c>
      <c r="AG29" s="63">
        <v>0.12256809338521402</v>
      </c>
      <c r="AM29">
        <v>92</v>
      </c>
      <c r="AN29">
        <v>-75</v>
      </c>
      <c r="AO29">
        <v>25</v>
      </c>
      <c r="AP29">
        <v>39</v>
      </c>
      <c r="AQ29">
        <v>148</v>
      </c>
      <c r="AR29">
        <v>308</v>
      </c>
      <c r="AS29" s="25">
        <f t="shared" si="17"/>
        <v>1</v>
      </c>
      <c r="AT29" s="25">
        <f t="shared" si="66"/>
        <v>1</v>
      </c>
      <c r="AU29" s="25">
        <f t="shared" si="67"/>
        <v>1</v>
      </c>
      <c r="AV29" s="25">
        <f t="shared" si="18"/>
        <v>1</v>
      </c>
      <c r="AW29" s="25">
        <f t="shared" si="19"/>
        <v>0</v>
      </c>
      <c r="AX29" s="25">
        <f t="shared" si="20"/>
        <v>1</v>
      </c>
      <c r="AY29" s="25">
        <f t="shared" si="21"/>
        <v>2</v>
      </c>
      <c r="AZ29" s="25">
        <f t="shared" si="22"/>
        <v>1</v>
      </c>
      <c r="BA29" s="25">
        <f t="shared" si="23"/>
        <v>2</v>
      </c>
      <c r="BB29" s="339">
        <f t="shared" si="24"/>
        <v>1</v>
      </c>
      <c r="BC29" s="340">
        <f t="shared" si="25"/>
        <v>0</v>
      </c>
      <c r="BD29" s="341">
        <f t="shared" si="26"/>
        <v>1</v>
      </c>
      <c r="BE29" s="25">
        <f t="shared" si="27"/>
        <v>0</v>
      </c>
      <c r="BF29" s="25">
        <f t="shared" si="28"/>
        <v>1</v>
      </c>
      <c r="BG29" s="25">
        <f t="shared" si="29"/>
        <v>0</v>
      </c>
      <c r="BH29" s="25">
        <f t="shared" si="30"/>
        <v>1</v>
      </c>
      <c r="BI29" s="25">
        <f t="shared" si="31"/>
        <v>2</v>
      </c>
      <c r="BJ29" s="25">
        <f t="shared" si="32"/>
        <v>1</v>
      </c>
      <c r="BK29" s="351">
        <f t="shared" si="33"/>
        <v>0</v>
      </c>
      <c r="BL29" s="352">
        <f t="shared" si="34"/>
        <v>1</v>
      </c>
      <c r="BM29" s="353">
        <f t="shared" si="35"/>
        <v>0</v>
      </c>
      <c r="BN29" s="25">
        <f t="shared" si="36"/>
        <v>0</v>
      </c>
      <c r="BO29" s="25">
        <f t="shared" si="37"/>
        <v>0</v>
      </c>
      <c r="BP29" s="25">
        <f t="shared" si="38"/>
        <v>0</v>
      </c>
      <c r="BQ29" s="25">
        <f t="shared" si="39"/>
        <v>1</v>
      </c>
      <c r="BR29" s="25">
        <f t="shared" si="40"/>
        <v>1</v>
      </c>
      <c r="BS29" s="25">
        <f t="shared" si="41"/>
        <v>1</v>
      </c>
      <c r="BT29" s="345">
        <f t="shared" si="42"/>
        <v>0</v>
      </c>
      <c r="BU29" s="346">
        <f t="shared" si="43"/>
        <v>0</v>
      </c>
      <c r="BV29" s="347">
        <f t="shared" si="44"/>
        <v>0</v>
      </c>
      <c r="BX29" s="345">
        <f t="shared" si="45"/>
        <v>0</v>
      </c>
      <c r="BY29" s="345">
        <f t="shared" si="46"/>
        <v>0</v>
      </c>
      <c r="BZ29" s="345">
        <f t="shared" si="47"/>
        <v>0</v>
      </c>
      <c r="CA29" s="382">
        <f t="shared" si="48"/>
        <v>0</v>
      </c>
      <c r="CB29" s="382">
        <f t="shared" si="49"/>
        <v>0</v>
      </c>
      <c r="CC29" s="382">
        <f t="shared" si="50"/>
        <v>0</v>
      </c>
      <c r="CD29" s="385">
        <f t="shared" si="51"/>
        <v>0</v>
      </c>
      <c r="CE29" s="385">
        <f t="shared" si="52"/>
        <v>0</v>
      </c>
      <c r="CF29" s="385">
        <f t="shared" si="53"/>
        <v>0</v>
      </c>
      <c r="CG29" s="377">
        <f t="shared" si="54"/>
        <v>0</v>
      </c>
      <c r="CH29" s="377">
        <f t="shared" si="55"/>
        <v>0</v>
      </c>
      <c r="CI29" s="377">
        <f t="shared" si="56"/>
        <v>0</v>
      </c>
      <c r="CK29">
        <v>39</v>
      </c>
      <c r="CL29">
        <v>92</v>
      </c>
      <c r="CN29" s="25">
        <f t="shared" si="57"/>
        <v>1</v>
      </c>
      <c r="CO29" s="25">
        <f t="shared" si="58"/>
        <v>0</v>
      </c>
      <c r="CP29" s="25">
        <f t="shared" si="59"/>
        <v>1</v>
      </c>
      <c r="CQ29" s="25">
        <f t="shared" si="60"/>
        <v>0</v>
      </c>
      <c r="CR29" s="25">
        <f t="shared" si="61"/>
        <v>1</v>
      </c>
      <c r="CS29" s="25">
        <f t="shared" si="62"/>
        <v>0</v>
      </c>
      <c r="CT29" s="25">
        <f t="shared" si="63"/>
        <v>0</v>
      </c>
      <c r="CU29" s="25">
        <f t="shared" si="64"/>
        <v>0</v>
      </c>
      <c r="CV29" s="25">
        <f t="shared" si="65"/>
        <v>0</v>
      </c>
      <c r="DC29" s="58">
        <v>2</v>
      </c>
      <c r="DD29" s="58">
        <v>46.34702827658743</v>
      </c>
      <c r="DE29" s="58">
        <v>-86.347028276587423</v>
      </c>
      <c r="DF29" s="58">
        <v>-0.30782291253645055</v>
      </c>
      <c r="DH29" s="58">
        <v>0.5376344086021505</v>
      </c>
      <c r="DI29" s="58">
        <v>-714</v>
      </c>
      <c r="DW29" s="58">
        <v>2</v>
      </c>
      <c r="DX29" s="58">
        <v>46.34702827658743</v>
      </c>
      <c r="DY29" s="58">
        <v>-86.347028276587423</v>
      </c>
      <c r="DZ29" s="58">
        <v>-0.30782291253645055</v>
      </c>
    </row>
    <row r="30" spans="1:135">
      <c r="A30" s="63" t="s">
        <v>61</v>
      </c>
      <c r="B30">
        <v>645</v>
      </c>
      <c r="C30">
        <v>987</v>
      </c>
      <c r="D30">
        <v>1204</v>
      </c>
      <c r="E30">
        <v>184</v>
      </c>
      <c r="F30">
        <v>275</v>
      </c>
      <c r="G30">
        <v>183</v>
      </c>
      <c r="H30">
        <v>0.28527131782945736</v>
      </c>
      <c r="I30">
        <v>0.2786220871327254</v>
      </c>
      <c r="J30">
        <v>0.15199335548172757</v>
      </c>
      <c r="K30">
        <v>180</v>
      </c>
      <c r="L30">
        <v>81</v>
      </c>
      <c r="M30" s="354">
        <f t="shared" si="0"/>
        <v>214</v>
      </c>
      <c r="X30">
        <v>0.28527131782945736</v>
      </c>
      <c r="AB30" s="63">
        <v>0</v>
      </c>
      <c r="AC30" s="156">
        <v>0</v>
      </c>
      <c r="AD30" s="156">
        <v>8.8372093023255813E-2</v>
      </c>
      <c r="AE30" s="156">
        <v>7.131782945736434E-2</v>
      </c>
      <c r="AF30" s="156">
        <v>0.2682170542635659</v>
      </c>
      <c r="AG30" s="63">
        <v>0.28682170542635654</v>
      </c>
      <c r="AM30">
        <v>14</v>
      </c>
      <c r="AN30">
        <v>10</v>
      </c>
      <c r="AO30">
        <v>147</v>
      </c>
      <c r="AP30">
        <v>184</v>
      </c>
      <c r="AQ30">
        <v>275</v>
      </c>
      <c r="AR30">
        <v>183</v>
      </c>
      <c r="AS30" s="25">
        <f t="shared" si="17"/>
        <v>1</v>
      </c>
      <c r="AT30" s="25">
        <f t="shared" si="66"/>
        <v>1</v>
      </c>
      <c r="AU30" s="25">
        <f t="shared" si="67"/>
        <v>1</v>
      </c>
      <c r="AV30" s="25">
        <f t="shared" si="18"/>
        <v>1</v>
      </c>
      <c r="AW30" s="25">
        <f t="shared" si="19"/>
        <v>1</v>
      </c>
      <c r="AX30" s="25">
        <f t="shared" si="20"/>
        <v>1</v>
      </c>
      <c r="AY30" s="25">
        <f t="shared" si="21"/>
        <v>2</v>
      </c>
      <c r="AZ30" s="25">
        <f t="shared" si="22"/>
        <v>2</v>
      </c>
      <c r="BA30" s="25">
        <f t="shared" si="23"/>
        <v>2</v>
      </c>
      <c r="BB30" s="339">
        <f t="shared" si="24"/>
        <v>1</v>
      </c>
      <c r="BC30" s="340">
        <f t="shared" si="25"/>
        <v>1</v>
      </c>
      <c r="BD30" s="341">
        <f t="shared" si="26"/>
        <v>1</v>
      </c>
      <c r="BE30" s="25">
        <f t="shared" si="27"/>
        <v>0</v>
      </c>
      <c r="BF30" s="25">
        <f t="shared" si="28"/>
        <v>0</v>
      </c>
      <c r="BG30" s="25">
        <f t="shared" si="29"/>
        <v>0</v>
      </c>
      <c r="BH30" s="25">
        <f t="shared" si="30"/>
        <v>1</v>
      </c>
      <c r="BI30" s="25">
        <f t="shared" si="31"/>
        <v>1</v>
      </c>
      <c r="BJ30" s="25">
        <f t="shared" si="32"/>
        <v>1</v>
      </c>
      <c r="BK30" s="351">
        <f t="shared" si="33"/>
        <v>0</v>
      </c>
      <c r="BL30" s="352">
        <f t="shared" si="34"/>
        <v>0</v>
      </c>
      <c r="BM30" s="353">
        <f t="shared" si="35"/>
        <v>0</v>
      </c>
      <c r="BN30" s="25">
        <f t="shared" si="36"/>
        <v>0</v>
      </c>
      <c r="BO30" s="25">
        <f t="shared" si="37"/>
        <v>0</v>
      </c>
      <c r="BP30" s="25">
        <f t="shared" si="38"/>
        <v>0</v>
      </c>
      <c r="BQ30" s="25">
        <f t="shared" si="39"/>
        <v>1</v>
      </c>
      <c r="BR30" s="25">
        <f t="shared" si="40"/>
        <v>1</v>
      </c>
      <c r="BS30" s="25">
        <f t="shared" si="41"/>
        <v>1</v>
      </c>
      <c r="BT30" s="345">
        <f t="shared" si="42"/>
        <v>0</v>
      </c>
      <c r="BU30" s="346">
        <f t="shared" si="43"/>
        <v>0</v>
      </c>
      <c r="BV30" s="347">
        <f t="shared" si="44"/>
        <v>0</v>
      </c>
      <c r="BX30" s="345">
        <f t="shared" si="45"/>
        <v>0</v>
      </c>
      <c r="BY30" s="345">
        <f t="shared" si="46"/>
        <v>0</v>
      </c>
      <c r="BZ30" s="345">
        <f t="shared" si="47"/>
        <v>0</v>
      </c>
      <c r="CA30" s="382">
        <f t="shared" si="48"/>
        <v>0</v>
      </c>
      <c r="CB30" s="382">
        <f t="shared" si="49"/>
        <v>0</v>
      </c>
      <c r="CC30" s="382">
        <f t="shared" si="50"/>
        <v>0</v>
      </c>
      <c r="CD30" s="385">
        <f t="shared" si="51"/>
        <v>0</v>
      </c>
      <c r="CE30" s="385">
        <f t="shared" si="52"/>
        <v>0</v>
      </c>
      <c r="CF30" s="385">
        <f t="shared" si="53"/>
        <v>0</v>
      </c>
      <c r="CG30" s="377">
        <f t="shared" si="54"/>
        <v>0</v>
      </c>
      <c r="CH30" s="377">
        <f t="shared" si="55"/>
        <v>0</v>
      </c>
      <c r="CI30" s="377">
        <f t="shared" si="56"/>
        <v>0</v>
      </c>
      <c r="CK30">
        <v>184</v>
      </c>
      <c r="CL30">
        <v>14</v>
      </c>
      <c r="CN30" s="25">
        <f t="shared" si="57"/>
        <v>1</v>
      </c>
      <c r="CO30" s="25">
        <f t="shared" si="58"/>
        <v>1</v>
      </c>
      <c r="CP30" s="25">
        <f t="shared" si="59"/>
        <v>1</v>
      </c>
      <c r="CQ30" s="25">
        <f t="shared" si="60"/>
        <v>0</v>
      </c>
      <c r="CR30" s="25">
        <f t="shared" si="61"/>
        <v>0</v>
      </c>
      <c r="CS30" s="25">
        <f t="shared" si="62"/>
        <v>0</v>
      </c>
      <c r="CT30" s="25">
        <f t="shared" si="63"/>
        <v>0</v>
      </c>
      <c r="CU30" s="25">
        <f t="shared" si="64"/>
        <v>0</v>
      </c>
      <c r="CV30" s="25">
        <f t="shared" si="65"/>
        <v>0</v>
      </c>
      <c r="DC30" s="58">
        <v>3</v>
      </c>
      <c r="DD30" s="58">
        <v>36.145817223701101</v>
      </c>
      <c r="DE30" s="58">
        <v>-56.145817223701101</v>
      </c>
      <c r="DF30" s="58">
        <v>-0.20015707928219548</v>
      </c>
      <c r="DH30" s="58">
        <v>0.89605734767025091</v>
      </c>
      <c r="DI30" s="58">
        <v>-554</v>
      </c>
      <c r="DW30" s="58">
        <v>3</v>
      </c>
      <c r="DX30" s="58">
        <v>36.145817223701101</v>
      </c>
      <c r="DY30" s="58">
        <v>-56.145817223701101</v>
      </c>
      <c r="DZ30" s="58">
        <v>-0.20015707928219548</v>
      </c>
    </row>
    <row r="31" spans="1:135">
      <c r="A31" s="63" t="s">
        <v>62</v>
      </c>
      <c r="B31">
        <v>667</v>
      </c>
      <c r="C31">
        <v>845</v>
      </c>
      <c r="D31">
        <v>1223</v>
      </c>
      <c r="E31">
        <v>329</v>
      </c>
      <c r="F31">
        <v>431</v>
      </c>
      <c r="G31">
        <v>803</v>
      </c>
      <c r="H31">
        <v>0.49325337331334335</v>
      </c>
      <c r="I31">
        <v>0.51005917159763314</v>
      </c>
      <c r="J31">
        <v>0.65658217497955851</v>
      </c>
      <c r="K31">
        <v>296</v>
      </c>
      <c r="L31">
        <v>281.2</v>
      </c>
      <c r="M31" s="354">
        <f t="shared" si="0"/>
        <v>521</v>
      </c>
      <c r="X31">
        <v>0.49325337331334335</v>
      </c>
      <c r="AB31" s="63">
        <v>6.5967016491754127E-2</v>
      </c>
      <c r="AC31" s="156">
        <v>0.1199400299850075</v>
      </c>
      <c r="AD31" s="156">
        <v>0.12743628185907047</v>
      </c>
      <c r="AE31" s="156">
        <v>0.16941529235382308</v>
      </c>
      <c r="AF31" s="156">
        <v>2.2488755622188907E-2</v>
      </c>
      <c r="AG31" s="63">
        <v>1.4992503748125774E-3</v>
      </c>
      <c r="AM31">
        <v>11</v>
      </c>
      <c r="AN31">
        <v>32</v>
      </c>
      <c r="AO31">
        <v>69</v>
      </c>
      <c r="AP31">
        <v>329</v>
      </c>
      <c r="AQ31">
        <v>431</v>
      </c>
      <c r="AR31">
        <v>803</v>
      </c>
      <c r="AS31" s="25">
        <f t="shared" si="17"/>
        <v>1</v>
      </c>
      <c r="AT31" s="25">
        <f t="shared" si="66"/>
        <v>1</v>
      </c>
      <c r="AU31" s="25">
        <f t="shared" si="67"/>
        <v>1</v>
      </c>
      <c r="AV31" s="25">
        <f t="shared" si="18"/>
        <v>1</v>
      </c>
      <c r="AW31" s="25">
        <f t="shared" si="19"/>
        <v>1</v>
      </c>
      <c r="AX31" s="25">
        <f t="shared" si="20"/>
        <v>1</v>
      </c>
      <c r="AY31" s="25">
        <f t="shared" si="21"/>
        <v>2</v>
      </c>
      <c r="AZ31" s="25">
        <f t="shared" si="22"/>
        <v>2</v>
      </c>
      <c r="BA31" s="25">
        <f t="shared" si="23"/>
        <v>2</v>
      </c>
      <c r="BB31" s="339">
        <f t="shared" si="24"/>
        <v>1</v>
      </c>
      <c r="BC31" s="340">
        <f t="shared" si="25"/>
        <v>1</v>
      </c>
      <c r="BD31" s="341">
        <f t="shared" si="26"/>
        <v>1</v>
      </c>
      <c r="BE31" s="25">
        <f t="shared" si="27"/>
        <v>0</v>
      </c>
      <c r="BF31" s="25">
        <f t="shared" si="28"/>
        <v>0</v>
      </c>
      <c r="BG31" s="25">
        <f t="shared" si="29"/>
        <v>0</v>
      </c>
      <c r="BH31" s="25">
        <f t="shared" si="30"/>
        <v>1</v>
      </c>
      <c r="BI31" s="25">
        <f t="shared" si="31"/>
        <v>1</v>
      </c>
      <c r="BJ31" s="25">
        <f t="shared" si="32"/>
        <v>1</v>
      </c>
      <c r="BK31" s="351">
        <f t="shared" si="33"/>
        <v>0</v>
      </c>
      <c r="BL31" s="352">
        <f t="shared" si="34"/>
        <v>0</v>
      </c>
      <c r="BM31" s="353">
        <f t="shared" si="35"/>
        <v>0</v>
      </c>
      <c r="BN31" s="25">
        <f t="shared" si="36"/>
        <v>0</v>
      </c>
      <c r="BO31" s="25">
        <f t="shared" si="37"/>
        <v>0</v>
      </c>
      <c r="BP31" s="25">
        <f t="shared" si="38"/>
        <v>0</v>
      </c>
      <c r="BQ31" s="25">
        <f t="shared" si="39"/>
        <v>1</v>
      </c>
      <c r="BR31" s="25">
        <f t="shared" si="40"/>
        <v>1</v>
      </c>
      <c r="BS31" s="25">
        <f t="shared" si="41"/>
        <v>1</v>
      </c>
      <c r="BT31" s="345">
        <f t="shared" si="42"/>
        <v>0</v>
      </c>
      <c r="BU31" s="346">
        <f t="shared" si="43"/>
        <v>0</v>
      </c>
      <c r="BV31" s="347">
        <f t="shared" si="44"/>
        <v>0</v>
      </c>
      <c r="BX31" s="345">
        <f t="shared" si="45"/>
        <v>0</v>
      </c>
      <c r="BY31" s="345">
        <f t="shared" si="46"/>
        <v>0</v>
      </c>
      <c r="BZ31" s="345">
        <f t="shared" si="47"/>
        <v>0</v>
      </c>
      <c r="CA31" s="382">
        <f t="shared" si="48"/>
        <v>0</v>
      </c>
      <c r="CB31" s="382">
        <f t="shared" si="49"/>
        <v>0</v>
      </c>
      <c r="CC31" s="382">
        <f t="shared" si="50"/>
        <v>0</v>
      </c>
      <c r="CD31" s="385">
        <f t="shared" si="51"/>
        <v>0</v>
      </c>
      <c r="CE31" s="385">
        <f t="shared" si="52"/>
        <v>0</v>
      </c>
      <c r="CF31" s="385">
        <f t="shared" si="53"/>
        <v>0</v>
      </c>
      <c r="CG31" s="377">
        <f t="shared" si="54"/>
        <v>0</v>
      </c>
      <c r="CH31" s="377">
        <f t="shared" si="55"/>
        <v>0</v>
      </c>
      <c r="CI31" s="377">
        <f t="shared" si="56"/>
        <v>0</v>
      </c>
      <c r="CK31">
        <v>329</v>
      </c>
      <c r="CL31">
        <v>11</v>
      </c>
      <c r="CN31" s="25">
        <f t="shared" si="57"/>
        <v>1</v>
      </c>
      <c r="CO31" s="25">
        <f t="shared" si="58"/>
        <v>1</v>
      </c>
      <c r="CP31" s="25">
        <f t="shared" si="59"/>
        <v>1</v>
      </c>
      <c r="CQ31" s="25">
        <f t="shared" si="60"/>
        <v>0</v>
      </c>
      <c r="CR31" s="25">
        <f t="shared" si="61"/>
        <v>0</v>
      </c>
      <c r="CS31" s="25">
        <f t="shared" si="62"/>
        <v>0</v>
      </c>
      <c r="CT31" s="25">
        <f t="shared" si="63"/>
        <v>0</v>
      </c>
      <c r="CU31" s="25">
        <f t="shared" si="64"/>
        <v>0</v>
      </c>
      <c r="CV31" s="25">
        <f t="shared" si="65"/>
        <v>0</v>
      </c>
      <c r="DC31" s="58">
        <v>4</v>
      </c>
      <c r="DD31" s="58">
        <v>36.145817223701101</v>
      </c>
      <c r="DE31" s="58">
        <v>230.8541827762989</v>
      </c>
      <c r="DF31" s="58">
        <v>0.82298381695077516</v>
      </c>
      <c r="DH31" s="58">
        <v>1.2544802867383511</v>
      </c>
      <c r="DI31" s="58">
        <v>-472</v>
      </c>
      <c r="DW31" s="58">
        <v>4</v>
      </c>
      <c r="DX31" s="58">
        <v>36.145817223701101</v>
      </c>
      <c r="DY31" s="58">
        <v>230.8541827762989</v>
      </c>
      <c r="DZ31" s="58">
        <v>0.82298381695077516</v>
      </c>
    </row>
    <row r="32" spans="1:135">
      <c r="A32" s="63" t="s">
        <v>63</v>
      </c>
      <c r="B32">
        <v>493</v>
      </c>
      <c r="C32">
        <v>438</v>
      </c>
      <c r="D32">
        <v>375</v>
      </c>
      <c r="E32">
        <v>214</v>
      </c>
      <c r="F32">
        <v>300</v>
      </c>
      <c r="G32">
        <v>280</v>
      </c>
      <c r="H32">
        <v>0.43407707910750509</v>
      </c>
      <c r="I32">
        <v>0.68493150684931503</v>
      </c>
      <c r="J32">
        <v>0.7466666666666667</v>
      </c>
      <c r="K32">
        <v>79</v>
      </c>
      <c r="L32">
        <v>26.860000000000003</v>
      </c>
      <c r="M32" s="354">
        <f t="shared" si="0"/>
        <v>264.66666666666669</v>
      </c>
      <c r="X32">
        <v>0.43407707910750509</v>
      </c>
      <c r="AB32" s="63">
        <v>6.6937119675456389E-2</v>
      </c>
      <c r="AC32" s="156">
        <v>0</v>
      </c>
      <c r="AD32" s="156">
        <v>0</v>
      </c>
      <c r="AE32" s="156">
        <v>2.6369168356997971E-2</v>
      </c>
      <c r="AF32" s="156">
        <v>0.46247464503042596</v>
      </c>
      <c r="AG32" s="63">
        <v>1.0141987829614507E-2</v>
      </c>
      <c r="AM32">
        <v>95</v>
      </c>
      <c r="AN32">
        <v>73</v>
      </c>
      <c r="AO32">
        <v>62</v>
      </c>
      <c r="AP32">
        <v>214</v>
      </c>
      <c r="AQ32">
        <v>300</v>
      </c>
      <c r="AR32">
        <v>280</v>
      </c>
      <c r="AS32" s="25">
        <f t="shared" si="17"/>
        <v>1</v>
      </c>
      <c r="AT32" s="25">
        <f t="shared" si="66"/>
        <v>1</v>
      </c>
      <c r="AU32" s="25">
        <f t="shared" si="67"/>
        <v>1</v>
      </c>
      <c r="AV32" s="25">
        <f t="shared" si="18"/>
        <v>1</v>
      </c>
      <c r="AW32" s="25">
        <f t="shared" si="19"/>
        <v>1</v>
      </c>
      <c r="AX32" s="25">
        <f t="shared" si="20"/>
        <v>1</v>
      </c>
      <c r="AY32" s="25">
        <f t="shared" si="21"/>
        <v>2</v>
      </c>
      <c r="AZ32" s="25">
        <f t="shared" si="22"/>
        <v>2</v>
      </c>
      <c r="BA32" s="25">
        <f t="shared" si="23"/>
        <v>2</v>
      </c>
      <c r="BB32" s="339">
        <f t="shared" si="24"/>
        <v>1</v>
      </c>
      <c r="BC32" s="340">
        <f t="shared" si="25"/>
        <v>1</v>
      </c>
      <c r="BD32" s="341">
        <f t="shared" si="26"/>
        <v>1</v>
      </c>
      <c r="BE32" s="25">
        <f t="shared" si="27"/>
        <v>0</v>
      </c>
      <c r="BF32" s="25">
        <f t="shared" si="28"/>
        <v>0</v>
      </c>
      <c r="BG32" s="25">
        <f t="shared" si="29"/>
        <v>0</v>
      </c>
      <c r="BH32" s="25">
        <f t="shared" si="30"/>
        <v>1</v>
      </c>
      <c r="BI32" s="25">
        <f t="shared" si="31"/>
        <v>1</v>
      </c>
      <c r="BJ32" s="25">
        <f t="shared" si="32"/>
        <v>1</v>
      </c>
      <c r="BK32" s="351">
        <f t="shared" si="33"/>
        <v>0</v>
      </c>
      <c r="BL32" s="352">
        <f t="shared" si="34"/>
        <v>0</v>
      </c>
      <c r="BM32" s="353">
        <f t="shared" si="35"/>
        <v>0</v>
      </c>
      <c r="BN32" s="25">
        <f t="shared" si="36"/>
        <v>0</v>
      </c>
      <c r="BO32" s="25">
        <f t="shared" si="37"/>
        <v>0</v>
      </c>
      <c r="BP32" s="25">
        <f t="shared" si="38"/>
        <v>0</v>
      </c>
      <c r="BQ32" s="25">
        <f t="shared" si="39"/>
        <v>1</v>
      </c>
      <c r="BR32" s="25">
        <f t="shared" si="40"/>
        <v>1</v>
      </c>
      <c r="BS32" s="25">
        <f t="shared" si="41"/>
        <v>1</v>
      </c>
      <c r="BT32" s="345">
        <f t="shared" si="42"/>
        <v>0</v>
      </c>
      <c r="BU32" s="346">
        <f t="shared" si="43"/>
        <v>0</v>
      </c>
      <c r="BV32" s="347">
        <f t="shared" si="44"/>
        <v>0</v>
      </c>
      <c r="BX32" s="345">
        <f t="shared" si="45"/>
        <v>0</v>
      </c>
      <c r="BY32" s="345">
        <f t="shared" si="46"/>
        <v>0</v>
      </c>
      <c r="BZ32" s="345">
        <f t="shared" si="47"/>
        <v>0</v>
      </c>
      <c r="CA32" s="382">
        <f t="shared" si="48"/>
        <v>0</v>
      </c>
      <c r="CB32" s="382">
        <f t="shared" si="49"/>
        <v>0</v>
      </c>
      <c r="CC32" s="382">
        <f t="shared" si="50"/>
        <v>0</v>
      </c>
      <c r="CD32" s="385">
        <f t="shared" si="51"/>
        <v>0</v>
      </c>
      <c r="CE32" s="385">
        <f t="shared" si="52"/>
        <v>0</v>
      </c>
      <c r="CF32" s="385">
        <f t="shared" si="53"/>
        <v>0</v>
      </c>
      <c r="CG32" s="377">
        <f t="shared" si="54"/>
        <v>0</v>
      </c>
      <c r="CH32" s="377">
        <f t="shared" si="55"/>
        <v>0</v>
      </c>
      <c r="CI32" s="377">
        <f t="shared" si="56"/>
        <v>0</v>
      </c>
      <c r="CK32">
        <v>214</v>
      </c>
      <c r="CL32">
        <v>95</v>
      </c>
      <c r="CN32" s="25">
        <f t="shared" si="57"/>
        <v>1</v>
      </c>
      <c r="CO32" s="25">
        <f t="shared" si="58"/>
        <v>1</v>
      </c>
      <c r="CP32" s="25">
        <f t="shared" si="59"/>
        <v>1</v>
      </c>
      <c r="CQ32" s="25">
        <f t="shared" si="60"/>
        <v>0</v>
      </c>
      <c r="CR32" s="25">
        <f t="shared" si="61"/>
        <v>0</v>
      </c>
      <c r="CS32" s="25">
        <f t="shared" si="62"/>
        <v>0</v>
      </c>
      <c r="CT32" s="25">
        <f t="shared" si="63"/>
        <v>0</v>
      </c>
      <c r="CU32" s="25">
        <f t="shared" si="64"/>
        <v>0</v>
      </c>
      <c r="CV32" s="25">
        <f t="shared" si="65"/>
        <v>0</v>
      </c>
      <c r="DC32" s="58">
        <v>5</v>
      </c>
      <c r="DD32" s="58">
        <v>108.48638494391533</v>
      </c>
      <c r="DE32" s="58">
        <v>-16.486384943915326</v>
      </c>
      <c r="DF32" s="58">
        <v>-5.8773152150380766E-2</v>
      </c>
      <c r="DH32" s="58">
        <v>1.6129032258064515</v>
      </c>
      <c r="DI32" s="58">
        <v>-391</v>
      </c>
      <c r="DW32" s="58">
        <v>5</v>
      </c>
      <c r="DX32" s="58">
        <v>108.48638494391533</v>
      </c>
      <c r="DY32" s="58">
        <v>-16.486384943915326</v>
      </c>
      <c r="DZ32" s="58">
        <v>-5.8773152150380766E-2</v>
      </c>
    </row>
    <row r="33" spans="1:130">
      <c r="A33" s="63" t="s">
        <v>64</v>
      </c>
      <c r="B33">
        <v>2209</v>
      </c>
      <c r="C33">
        <v>3783</v>
      </c>
      <c r="D33">
        <v>4705</v>
      </c>
      <c r="E33">
        <v>682</v>
      </c>
      <c r="F33">
        <v>1926</v>
      </c>
      <c r="G33">
        <v>2335</v>
      </c>
      <c r="H33">
        <v>0.30873698506111363</v>
      </c>
      <c r="I33">
        <v>0.50911974623314826</v>
      </c>
      <c r="J33">
        <v>0.4962805526036132</v>
      </c>
      <c r="K33">
        <v>250</v>
      </c>
      <c r="L33">
        <v>205</v>
      </c>
      <c r="M33" s="354">
        <f t="shared" si="0"/>
        <v>1647.6666666666667</v>
      </c>
      <c r="X33">
        <v>0.30873698506111363</v>
      </c>
      <c r="AB33" s="63">
        <v>0</v>
      </c>
      <c r="AC33" s="156">
        <v>3.3499320959710276E-2</v>
      </c>
      <c r="AD33" s="156">
        <v>0.10276143051154368</v>
      </c>
      <c r="AE33" s="156">
        <v>0.18198279764599365</v>
      </c>
      <c r="AF33" s="156">
        <v>0.31190583974649161</v>
      </c>
      <c r="AG33" s="63">
        <v>6.1113626075147032E-2</v>
      </c>
      <c r="AM33">
        <v>-175</v>
      </c>
      <c r="AN33">
        <v>-291</v>
      </c>
      <c r="AO33">
        <v>65</v>
      </c>
      <c r="AP33">
        <v>682</v>
      </c>
      <c r="AQ33">
        <v>1926</v>
      </c>
      <c r="AR33">
        <v>2335</v>
      </c>
      <c r="AS33" s="25">
        <f t="shared" si="17"/>
        <v>1</v>
      </c>
      <c r="AT33" s="25">
        <f t="shared" si="66"/>
        <v>1</v>
      </c>
      <c r="AU33" s="25">
        <f t="shared" si="67"/>
        <v>1</v>
      </c>
      <c r="AV33" s="25">
        <f t="shared" si="18"/>
        <v>0</v>
      </c>
      <c r="AW33" s="25">
        <f t="shared" si="19"/>
        <v>0</v>
      </c>
      <c r="AX33" s="25">
        <f t="shared" si="20"/>
        <v>1</v>
      </c>
      <c r="AY33" s="25">
        <f t="shared" si="21"/>
        <v>1</v>
      </c>
      <c r="AZ33" s="25">
        <f t="shared" si="22"/>
        <v>1</v>
      </c>
      <c r="BA33" s="25">
        <f t="shared" si="23"/>
        <v>2</v>
      </c>
      <c r="BB33" s="339">
        <f t="shared" si="24"/>
        <v>0</v>
      </c>
      <c r="BC33" s="340">
        <f t="shared" si="25"/>
        <v>0</v>
      </c>
      <c r="BD33" s="341">
        <f t="shared" si="26"/>
        <v>1</v>
      </c>
      <c r="BE33" s="25">
        <f t="shared" si="27"/>
        <v>1</v>
      </c>
      <c r="BF33" s="25">
        <f t="shared" si="28"/>
        <v>1</v>
      </c>
      <c r="BG33" s="25">
        <f t="shared" si="29"/>
        <v>0</v>
      </c>
      <c r="BH33" s="25">
        <f t="shared" si="30"/>
        <v>2</v>
      </c>
      <c r="BI33" s="25">
        <f t="shared" si="31"/>
        <v>2</v>
      </c>
      <c r="BJ33" s="25">
        <f t="shared" si="32"/>
        <v>1</v>
      </c>
      <c r="BK33" s="351">
        <f t="shared" si="33"/>
        <v>1</v>
      </c>
      <c r="BL33" s="352">
        <f t="shared" si="34"/>
        <v>1</v>
      </c>
      <c r="BM33" s="353">
        <f t="shared" si="35"/>
        <v>0</v>
      </c>
      <c r="BN33" s="25">
        <f t="shared" si="36"/>
        <v>0</v>
      </c>
      <c r="BO33" s="25">
        <f t="shared" si="37"/>
        <v>0</v>
      </c>
      <c r="BP33" s="25">
        <f t="shared" si="38"/>
        <v>0</v>
      </c>
      <c r="BQ33" s="25">
        <f t="shared" si="39"/>
        <v>1</v>
      </c>
      <c r="BR33" s="25">
        <f t="shared" si="40"/>
        <v>1</v>
      </c>
      <c r="BS33" s="25">
        <f t="shared" si="41"/>
        <v>1</v>
      </c>
      <c r="BT33" s="345">
        <f t="shared" si="42"/>
        <v>0</v>
      </c>
      <c r="BU33" s="346">
        <f t="shared" si="43"/>
        <v>0</v>
      </c>
      <c r="BV33" s="347">
        <f t="shared" si="44"/>
        <v>0</v>
      </c>
      <c r="BX33" s="345">
        <f t="shared" si="45"/>
        <v>0</v>
      </c>
      <c r="BY33" s="345">
        <f t="shared" si="46"/>
        <v>0</v>
      </c>
      <c r="BZ33" s="345">
        <f t="shared" si="47"/>
        <v>0</v>
      </c>
      <c r="CA33" s="382">
        <f t="shared" si="48"/>
        <v>0</v>
      </c>
      <c r="CB33" s="382">
        <f t="shared" si="49"/>
        <v>0</v>
      </c>
      <c r="CC33" s="382">
        <f t="shared" si="50"/>
        <v>0</v>
      </c>
      <c r="CD33" s="385">
        <f t="shared" si="51"/>
        <v>0</v>
      </c>
      <c r="CE33" s="385">
        <f t="shared" si="52"/>
        <v>0</v>
      </c>
      <c r="CF33" s="385">
        <f t="shared" si="53"/>
        <v>0</v>
      </c>
      <c r="CG33" s="377">
        <f t="shared" si="54"/>
        <v>0</v>
      </c>
      <c r="CH33" s="377">
        <f t="shared" si="55"/>
        <v>0</v>
      </c>
      <c r="CI33" s="377">
        <f t="shared" si="56"/>
        <v>0</v>
      </c>
      <c r="CK33">
        <v>682</v>
      </c>
      <c r="CL33">
        <v>-175</v>
      </c>
      <c r="CN33" s="25">
        <f t="shared" si="57"/>
        <v>0</v>
      </c>
      <c r="CO33" s="25">
        <f t="shared" si="58"/>
        <v>0</v>
      </c>
      <c r="CP33" s="25">
        <f t="shared" si="59"/>
        <v>1</v>
      </c>
      <c r="CQ33" s="25">
        <f t="shared" si="60"/>
        <v>1</v>
      </c>
      <c r="CR33" s="25">
        <f t="shared" si="61"/>
        <v>1</v>
      </c>
      <c r="CS33" s="25">
        <f t="shared" si="62"/>
        <v>0</v>
      </c>
      <c r="CT33" s="25">
        <f t="shared" si="63"/>
        <v>0</v>
      </c>
      <c r="CU33" s="25">
        <f t="shared" si="64"/>
        <v>0</v>
      </c>
      <c r="CV33" s="25">
        <f t="shared" si="65"/>
        <v>0</v>
      </c>
      <c r="DC33" s="58">
        <v>6</v>
      </c>
      <c r="DD33" s="58">
        <v>78.089882974147429</v>
      </c>
      <c r="DE33" s="58">
        <v>-149.08988297414743</v>
      </c>
      <c r="DF33" s="58">
        <v>-0.53149810622103799</v>
      </c>
      <c r="DH33" s="58">
        <v>1.9713261648745519</v>
      </c>
      <c r="DI33" s="58">
        <v>-375</v>
      </c>
      <c r="DW33" s="58">
        <v>6</v>
      </c>
      <c r="DX33" s="58">
        <v>78.089882974147429</v>
      </c>
      <c r="DY33" s="58">
        <v>-149.08988297414743</v>
      </c>
      <c r="DZ33" s="58">
        <v>-0.53149810622103799</v>
      </c>
    </row>
    <row r="34" spans="1:130">
      <c r="A34" s="63" t="s">
        <v>65</v>
      </c>
      <c r="B34">
        <v>1953</v>
      </c>
      <c r="C34">
        <v>1871</v>
      </c>
      <c r="D34">
        <v>2171</v>
      </c>
      <c r="E34">
        <v>490</v>
      </c>
      <c r="F34">
        <v>665</v>
      </c>
      <c r="G34">
        <v>743</v>
      </c>
      <c r="H34">
        <v>0.25089605734767023</v>
      </c>
      <c r="I34">
        <v>0.35542490646712988</v>
      </c>
      <c r="J34">
        <v>0.34223859972362969</v>
      </c>
      <c r="K34">
        <v>148</v>
      </c>
      <c r="L34">
        <v>85.84</v>
      </c>
      <c r="M34" s="354">
        <f t="shared" ref="M34:M65" si="68">AVERAGEA(E34:G34)</f>
        <v>632.66666666666663</v>
      </c>
      <c r="X34">
        <v>0.25089605734767023</v>
      </c>
      <c r="AB34" s="63">
        <v>0</v>
      </c>
      <c r="AC34" s="156">
        <v>6.8612391193036359E-2</v>
      </c>
      <c r="AD34" s="156">
        <v>0.21351766513056836</v>
      </c>
      <c r="AE34" s="156">
        <v>0.14388120839733742</v>
      </c>
      <c r="AF34" s="156">
        <v>0.32309267793138763</v>
      </c>
      <c r="AG34" s="63">
        <v>0</v>
      </c>
      <c r="AM34">
        <v>77</v>
      </c>
      <c r="AN34">
        <v>161</v>
      </c>
      <c r="AO34">
        <v>-31</v>
      </c>
      <c r="AP34">
        <v>490</v>
      </c>
      <c r="AQ34">
        <v>665</v>
      </c>
      <c r="AR34">
        <v>743</v>
      </c>
      <c r="AS34" s="25">
        <f t="shared" si="17"/>
        <v>1</v>
      </c>
      <c r="AT34" s="25">
        <f t="shared" si="66"/>
        <v>1</v>
      </c>
      <c r="AU34" s="25">
        <f t="shared" si="67"/>
        <v>1</v>
      </c>
      <c r="AV34" s="25">
        <f t="shared" si="18"/>
        <v>1</v>
      </c>
      <c r="AW34" s="25">
        <f t="shared" si="19"/>
        <v>1</v>
      </c>
      <c r="AX34" s="25">
        <f t="shared" si="20"/>
        <v>0</v>
      </c>
      <c r="AY34" s="25">
        <f t="shared" si="21"/>
        <v>2</v>
      </c>
      <c r="AZ34" s="25">
        <f t="shared" si="22"/>
        <v>2</v>
      </c>
      <c r="BA34" s="25">
        <f t="shared" si="23"/>
        <v>1</v>
      </c>
      <c r="BB34" s="339">
        <f t="shared" si="24"/>
        <v>1</v>
      </c>
      <c r="BC34" s="340">
        <f t="shared" si="25"/>
        <v>1</v>
      </c>
      <c r="BD34" s="341">
        <f t="shared" si="26"/>
        <v>0</v>
      </c>
      <c r="BE34" s="25">
        <f t="shared" si="27"/>
        <v>0</v>
      </c>
      <c r="BF34" s="25">
        <f t="shared" si="28"/>
        <v>0</v>
      </c>
      <c r="BG34" s="25">
        <f t="shared" si="29"/>
        <v>1</v>
      </c>
      <c r="BH34" s="25">
        <f t="shared" si="30"/>
        <v>1</v>
      </c>
      <c r="BI34" s="25">
        <f t="shared" si="31"/>
        <v>1</v>
      </c>
      <c r="BJ34" s="25">
        <f t="shared" si="32"/>
        <v>2</v>
      </c>
      <c r="BK34" s="351">
        <f t="shared" si="33"/>
        <v>0</v>
      </c>
      <c r="BL34" s="352">
        <f t="shared" si="34"/>
        <v>0</v>
      </c>
      <c r="BM34" s="353">
        <f t="shared" si="35"/>
        <v>1</v>
      </c>
      <c r="BN34" s="25">
        <f t="shared" si="36"/>
        <v>0</v>
      </c>
      <c r="BO34" s="25">
        <f t="shared" si="37"/>
        <v>0</v>
      </c>
      <c r="BP34" s="25">
        <f t="shared" si="38"/>
        <v>0</v>
      </c>
      <c r="BQ34" s="25">
        <f t="shared" si="39"/>
        <v>1</v>
      </c>
      <c r="BR34" s="25">
        <f t="shared" si="40"/>
        <v>1</v>
      </c>
      <c r="BS34" s="25">
        <f t="shared" si="41"/>
        <v>1</v>
      </c>
      <c r="BT34" s="345">
        <f t="shared" si="42"/>
        <v>0</v>
      </c>
      <c r="BU34" s="346">
        <f t="shared" si="43"/>
        <v>0</v>
      </c>
      <c r="BV34" s="347">
        <f t="shared" si="44"/>
        <v>0</v>
      </c>
      <c r="BX34" s="345">
        <f t="shared" si="45"/>
        <v>0</v>
      </c>
      <c r="BY34" s="345">
        <f t="shared" si="46"/>
        <v>0</v>
      </c>
      <c r="BZ34" s="345">
        <f t="shared" si="47"/>
        <v>0</v>
      </c>
      <c r="CA34" s="382">
        <f t="shared" si="48"/>
        <v>0</v>
      </c>
      <c r="CB34" s="382">
        <f t="shared" si="49"/>
        <v>0</v>
      </c>
      <c r="CC34" s="382">
        <f t="shared" si="50"/>
        <v>0</v>
      </c>
      <c r="CD34" s="385">
        <f t="shared" si="51"/>
        <v>0</v>
      </c>
      <c r="CE34" s="385">
        <f t="shared" si="52"/>
        <v>0</v>
      </c>
      <c r="CF34" s="385">
        <f t="shared" si="53"/>
        <v>0</v>
      </c>
      <c r="CG34" s="377">
        <f t="shared" si="54"/>
        <v>0</v>
      </c>
      <c r="CH34" s="377">
        <f t="shared" si="55"/>
        <v>0</v>
      </c>
      <c r="CI34" s="377">
        <f t="shared" si="56"/>
        <v>0</v>
      </c>
      <c r="CK34">
        <v>490</v>
      </c>
      <c r="CL34">
        <v>77</v>
      </c>
      <c r="CN34" s="25">
        <f t="shared" si="57"/>
        <v>1</v>
      </c>
      <c r="CO34" s="25">
        <f t="shared" si="58"/>
        <v>1</v>
      </c>
      <c r="CP34" s="25">
        <f t="shared" si="59"/>
        <v>0</v>
      </c>
      <c r="CQ34" s="25">
        <f t="shared" si="60"/>
        <v>0</v>
      </c>
      <c r="CR34" s="25">
        <f t="shared" si="61"/>
        <v>0</v>
      </c>
      <c r="CS34" s="25">
        <f t="shared" si="62"/>
        <v>1</v>
      </c>
      <c r="CT34" s="25">
        <f t="shared" si="63"/>
        <v>0</v>
      </c>
      <c r="CU34" s="25">
        <f t="shared" si="64"/>
        <v>0</v>
      </c>
      <c r="CV34" s="25">
        <f t="shared" si="65"/>
        <v>0</v>
      </c>
      <c r="DC34" s="58">
        <v>7</v>
      </c>
      <c r="DD34" s="58">
        <v>103.56701920775187</v>
      </c>
      <c r="DE34" s="58">
        <v>252.43298079224815</v>
      </c>
      <c r="DF34" s="58">
        <v>0.89991117145136246</v>
      </c>
      <c r="DH34" s="58">
        <v>2.3297491039426523</v>
      </c>
      <c r="DI34" s="58">
        <v>-358</v>
      </c>
      <c r="DW34" s="58">
        <v>7</v>
      </c>
      <c r="DX34" s="58">
        <v>103.56701920775187</v>
      </c>
      <c r="DY34" s="58">
        <v>252.43298079224815</v>
      </c>
      <c r="DZ34" s="58">
        <v>0.89991117145136246</v>
      </c>
    </row>
    <row r="35" spans="1:130">
      <c r="A35" s="63" t="s">
        <v>66</v>
      </c>
      <c r="B35">
        <v>228</v>
      </c>
      <c r="C35">
        <v>214</v>
      </c>
      <c r="D35">
        <v>155</v>
      </c>
      <c r="E35">
        <v>0</v>
      </c>
      <c r="F35">
        <v>146</v>
      </c>
      <c r="G35">
        <v>118</v>
      </c>
      <c r="H35">
        <v>0</v>
      </c>
      <c r="I35">
        <v>0.68224299065420557</v>
      </c>
      <c r="J35">
        <v>0.76129032258064511</v>
      </c>
      <c r="K35">
        <v>47</v>
      </c>
      <c r="L35">
        <v>0</v>
      </c>
      <c r="M35" s="354">
        <f t="shared" si="68"/>
        <v>88</v>
      </c>
      <c r="X35">
        <v>0</v>
      </c>
      <c r="AB35" s="63">
        <v>0</v>
      </c>
      <c r="AC35" s="156">
        <v>0.5</v>
      </c>
      <c r="AD35" s="156">
        <v>8.3333333333333329E-2</v>
      </c>
      <c r="AE35" s="156">
        <v>0</v>
      </c>
      <c r="AF35" s="156">
        <v>0.35526315789473684</v>
      </c>
      <c r="AG35" s="63">
        <v>6.1403508771929793E-2</v>
      </c>
      <c r="AM35">
        <v>19</v>
      </c>
      <c r="AN35">
        <v>1</v>
      </c>
      <c r="AO35">
        <v>4</v>
      </c>
      <c r="AP35">
        <v>0</v>
      </c>
      <c r="AQ35">
        <v>146</v>
      </c>
      <c r="AR35">
        <v>118</v>
      </c>
      <c r="AS35" s="25">
        <f t="shared" si="17"/>
        <v>0</v>
      </c>
      <c r="AT35" s="25">
        <f t="shared" si="66"/>
        <v>1</v>
      </c>
      <c r="AU35" s="25">
        <f t="shared" si="67"/>
        <v>1</v>
      </c>
      <c r="AV35" s="25">
        <f t="shared" si="18"/>
        <v>1</v>
      </c>
      <c r="AW35" s="25">
        <f t="shared" si="19"/>
        <v>1</v>
      </c>
      <c r="AX35" s="25">
        <f t="shared" si="20"/>
        <v>1</v>
      </c>
      <c r="AY35" s="25">
        <f t="shared" si="21"/>
        <v>1</v>
      </c>
      <c r="AZ35" s="25">
        <f t="shared" si="22"/>
        <v>2</v>
      </c>
      <c r="BA35" s="25">
        <f t="shared" si="23"/>
        <v>2</v>
      </c>
      <c r="BB35" s="339">
        <f t="shared" si="24"/>
        <v>0</v>
      </c>
      <c r="BC35" s="340">
        <f t="shared" si="25"/>
        <v>1</v>
      </c>
      <c r="BD35" s="341">
        <f t="shared" si="26"/>
        <v>1</v>
      </c>
      <c r="BE35" s="25">
        <f t="shared" si="27"/>
        <v>0</v>
      </c>
      <c r="BF35" s="25">
        <f t="shared" si="28"/>
        <v>0</v>
      </c>
      <c r="BG35" s="25">
        <f t="shared" si="29"/>
        <v>0</v>
      </c>
      <c r="BH35" s="25">
        <f t="shared" si="30"/>
        <v>0</v>
      </c>
      <c r="BI35" s="25">
        <f t="shared" si="31"/>
        <v>1</v>
      </c>
      <c r="BJ35" s="25">
        <f t="shared" si="32"/>
        <v>1</v>
      </c>
      <c r="BK35" s="351">
        <f t="shared" si="33"/>
        <v>0</v>
      </c>
      <c r="BL35" s="352">
        <f t="shared" si="34"/>
        <v>0</v>
      </c>
      <c r="BM35" s="353">
        <f t="shared" si="35"/>
        <v>0</v>
      </c>
      <c r="BN35" s="25">
        <f t="shared" si="36"/>
        <v>0</v>
      </c>
      <c r="BO35" s="25">
        <f t="shared" si="37"/>
        <v>0</v>
      </c>
      <c r="BP35" s="25">
        <f t="shared" si="38"/>
        <v>0</v>
      </c>
      <c r="BQ35" s="25">
        <f t="shared" si="39"/>
        <v>0</v>
      </c>
      <c r="BR35" s="25">
        <f t="shared" si="40"/>
        <v>1</v>
      </c>
      <c r="BS35" s="25">
        <f t="shared" si="41"/>
        <v>1</v>
      </c>
      <c r="BT35" s="345">
        <f t="shared" si="42"/>
        <v>0</v>
      </c>
      <c r="BU35" s="346">
        <f t="shared" si="43"/>
        <v>0</v>
      </c>
      <c r="BV35" s="347">
        <f t="shared" si="44"/>
        <v>0</v>
      </c>
      <c r="BX35" s="345">
        <f t="shared" si="45"/>
        <v>1</v>
      </c>
      <c r="BY35" s="345">
        <f t="shared" si="46"/>
        <v>0</v>
      </c>
      <c r="BZ35" s="345">
        <f t="shared" si="47"/>
        <v>0</v>
      </c>
      <c r="CA35" s="382">
        <f t="shared" si="48"/>
        <v>0</v>
      </c>
      <c r="CB35" s="382">
        <f t="shared" si="49"/>
        <v>0</v>
      </c>
      <c r="CC35" s="382">
        <f t="shared" si="50"/>
        <v>0</v>
      </c>
      <c r="CD35" s="385">
        <f t="shared" si="51"/>
        <v>0</v>
      </c>
      <c r="CE35" s="385">
        <f t="shared" si="52"/>
        <v>0</v>
      </c>
      <c r="CF35" s="385">
        <f t="shared" si="53"/>
        <v>0</v>
      </c>
      <c r="CG35" s="377">
        <f t="shared" si="54"/>
        <v>1</v>
      </c>
      <c r="CH35" s="377">
        <f t="shared" si="55"/>
        <v>0</v>
      </c>
      <c r="CI35" s="377">
        <f t="shared" si="56"/>
        <v>0</v>
      </c>
      <c r="CK35">
        <v>0</v>
      </c>
      <c r="CL35">
        <v>19</v>
      </c>
      <c r="CN35" s="25">
        <f t="shared" si="57"/>
        <v>2</v>
      </c>
      <c r="CO35" s="25">
        <f t="shared" si="58"/>
        <v>1</v>
      </c>
      <c r="CP35" s="25">
        <f t="shared" si="59"/>
        <v>1</v>
      </c>
      <c r="CQ35" s="25">
        <f t="shared" si="60"/>
        <v>1</v>
      </c>
      <c r="CR35" s="25">
        <f t="shared" si="61"/>
        <v>0</v>
      </c>
      <c r="CS35" s="25">
        <f t="shared" si="62"/>
        <v>0</v>
      </c>
      <c r="CT35" s="25">
        <f t="shared" si="63"/>
        <v>1</v>
      </c>
      <c r="CU35" s="25">
        <f t="shared" si="64"/>
        <v>0</v>
      </c>
      <c r="CV35" s="25">
        <f t="shared" si="65"/>
        <v>0</v>
      </c>
      <c r="DC35" s="58">
        <v>8</v>
      </c>
      <c r="DD35" s="58">
        <v>36.145817223701101</v>
      </c>
      <c r="DE35" s="58">
        <v>-60.045817223701107</v>
      </c>
      <c r="DF35" s="58">
        <v>-0.21406038762821847</v>
      </c>
      <c r="DH35" s="58">
        <v>2.688172043010753</v>
      </c>
      <c r="DI35" s="58">
        <v>-348</v>
      </c>
      <c r="DW35" s="58">
        <v>8</v>
      </c>
      <c r="DX35" s="58">
        <v>36.145817223701101</v>
      </c>
      <c r="DY35" s="58">
        <v>-60.045817223701107</v>
      </c>
      <c r="DZ35" s="58">
        <v>-0.21406038762821847</v>
      </c>
    </row>
    <row r="36" spans="1:130">
      <c r="A36" s="63" t="s">
        <v>67</v>
      </c>
      <c r="B36">
        <v>1939</v>
      </c>
      <c r="C36">
        <v>2465</v>
      </c>
      <c r="D36">
        <v>2936</v>
      </c>
      <c r="E36">
        <v>779</v>
      </c>
      <c r="F36">
        <v>874</v>
      </c>
      <c r="G36">
        <v>1014</v>
      </c>
      <c r="H36">
        <v>0.40175348117586385</v>
      </c>
      <c r="I36">
        <v>0.35456389452332659</v>
      </c>
      <c r="J36">
        <v>0.34536784741144416</v>
      </c>
      <c r="K36">
        <v>351</v>
      </c>
      <c r="L36">
        <v>175.5</v>
      </c>
      <c r="M36" s="354">
        <f t="shared" si="68"/>
        <v>889</v>
      </c>
      <c r="X36">
        <v>0.40175348117586385</v>
      </c>
      <c r="AB36" s="63">
        <v>0</v>
      </c>
      <c r="AC36" s="156">
        <v>0.23465703971119134</v>
      </c>
      <c r="AD36" s="156">
        <v>5.7761732851985562E-2</v>
      </c>
      <c r="AE36" s="156">
        <v>8.7674058793192372E-2</v>
      </c>
      <c r="AF36" s="156">
        <v>0.21815368746776689</v>
      </c>
      <c r="AG36" s="63">
        <v>0</v>
      </c>
      <c r="AM36">
        <v>-375</v>
      </c>
      <c r="AN36">
        <v>-40</v>
      </c>
      <c r="AO36">
        <v>-195</v>
      </c>
      <c r="AP36">
        <v>779</v>
      </c>
      <c r="AQ36">
        <v>874</v>
      </c>
      <c r="AR36">
        <v>1014</v>
      </c>
      <c r="AS36" s="25">
        <f t="shared" si="17"/>
        <v>1</v>
      </c>
      <c r="AT36" s="25">
        <f t="shared" si="66"/>
        <v>1</v>
      </c>
      <c r="AU36" s="25">
        <f t="shared" si="67"/>
        <v>1</v>
      </c>
      <c r="AV36" s="25">
        <f t="shared" si="18"/>
        <v>0</v>
      </c>
      <c r="AW36" s="25">
        <f t="shared" si="19"/>
        <v>0</v>
      </c>
      <c r="AX36" s="25">
        <f t="shared" si="20"/>
        <v>0</v>
      </c>
      <c r="AY36" s="25">
        <f t="shared" si="21"/>
        <v>1</v>
      </c>
      <c r="AZ36" s="25">
        <f t="shared" si="22"/>
        <v>1</v>
      </c>
      <c r="BA36" s="25">
        <f t="shared" si="23"/>
        <v>1</v>
      </c>
      <c r="BB36" s="339">
        <f t="shared" si="24"/>
        <v>0</v>
      </c>
      <c r="BC36" s="340">
        <f t="shared" si="25"/>
        <v>0</v>
      </c>
      <c r="BD36" s="341">
        <f t="shared" si="26"/>
        <v>0</v>
      </c>
      <c r="BE36" s="25">
        <f t="shared" si="27"/>
        <v>1</v>
      </c>
      <c r="BF36" s="25">
        <f t="shared" si="28"/>
        <v>1</v>
      </c>
      <c r="BG36" s="25">
        <f t="shared" si="29"/>
        <v>1</v>
      </c>
      <c r="BH36" s="25">
        <f t="shared" si="30"/>
        <v>2</v>
      </c>
      <c r="BI36" s="25">
        <f t="shared" si="31"/>
        <v>2</v>
      </c>
      <c r="BJ36" s="25">
        <f t="shared" si="32"/>
        <v>2</v>
      </c>
      <c r="BK36" s="351">
        <f t="shared" si="33"/>
        <v>1</v>
      </c>
      <c r="BL36" s="352">
        <f t="shared" si="34"/>
        <v>1</v>
      </c>
      <c r="BM36" s="353">
        <f t="shared" si="35"/>
        <v>1</v>
      </c>
      <c r="BN36" s="25">
        <f t="shared" si="36"/>
        <v>0</v>
      </c>
      <c r="BO36" s="25">
        <f t="shared" si="37"/>
        <v>0</v>
      </c>
      <c r="BP36" s="25">
        <f t="shared" si="38"/>
        <v>0</v>
      </c>
      <c r="BQ36" s="25">
        <f t="shared" si="39"/>
        <v>1</v>
      </c>
      <c r="BR36" s="25">
        <f t="shared" si="40"/>
        <v>1</v>
      </c>
      <c r="BS36" s="25">
        <f t="shared" si="41"/>
        <v>1</v>
      </c>
      <c r="BT36" s="345">
        <f t="shared" si="42"/>
        <v>0</v>
      </c>
      <c r="BU36" s="346">
        <f t="shared" si="43"/>
        <v>0</v>
      </c>
      <c r="BV36" s="347">
        <f t="shared" si="44"/>
        <v>0</v>
      </c>
      <c r="BX36" s="345">
        <f t="shared" si="45"/>
        <v>0</v>
      </c>
      <c r="BY36" s="345">
        <f t="shared" si="46"/>
        <v>0</v>
      </c>
      <c r="BZ36" s="345">
        <f t="shared" si="47"/>
        <v>0</v>
      </c>
      <c r="CA36" s="382">
        <f t="shared" si="48"/>
        <v>0</v>
      </c>
      <c r="CB36" s="382">
        <f t="shared" si="49"/>
        <v>0</v>
      </c>
      <c r="CC36" s="382">
        <f t="shared" si="50"/>
        <v>0</v>
      </c>
      <c r="CD36" s="385">
        <f t="shared" si="51"/>
        <v>0</v>
      </c>
      <c r="CE36" s="385">
        <f t="shared" si="52"/>
        <v>0</v>
      </c>
      <c r="CF36" s="385">
        <f t="shared" si="53"/>
        <v>0</v>
      </c>
      <c r="CG36" s="377">
        <f t="shared" si="54"/>
        <v>0</v>
      </c>
      <c r="CH36" s="377">
        <f t="shared" si="55"/>
        <v>0</v>
      </c>
      <c r="CI36" s="377">
        <f t="shared" si="56"/>
        <v>0</v>
      </c>
      <c r="CK36">
        <v>779</v>
      </c>
      <c r="CL36">
        <v>-375</v>
      </c>
      <c r="CN36" s="25">
        <f t="shared" si="57"/>
        <v>0</v>
      </c>
      <c r="CO36" s="25">
        <f t="shared" si="58"/>
        <v>0</v>
      </c>
      <c r="CP36" s="25">
        <f t="shared" si="59"/>
        <v>0</v>
      </c>
      <c r="CQ36" s="25">
        <f t="shared" si="60"/>
        <v>1</v>
      </c>
      <c r="CR36" s="25">
        <f t="shared" si="61"/>
        <v>1</v>
      </c>
      <c r="CS36" s="25">
        <f t="shared" si="62"/>
        <v>1</v>
      </c>
      <c r="CT36" s="25">
        <f t="shared" si="63"/>
        <v>0</v>
      </c>
      <c r="CU36" s="25">
        <f t="shared" si="64"/>
        <v>0</v>
      </c>
      <c r="CV36" s="25">
        <f t="shared" si="65"/>
        <v>0</v>
      </c>
      <c r="DC36" s="58">
        <v>9</v>
      </c>
      <c r="DD36" s="58">
        <v>60.690863107295627</v>
      </c>
      <c r="DE36" s="58">
        <v>-15.690863107295627</v>
      </c>
      <c r="DF36" s="58">
        <v>-5.5937155896401754E-2</v>
      </c>
      <c r="DH36" s="58">
        <v>3.0465949820788532</v>
      </c>
      <c r="DI36" s="58">
        <v>-315</v>
      </c>
      <c r="DW36" s="58">
        <v>9</v>
      </c>
      <c r="DX36" s="58">
        <v>60.690863107295627</v>
      </c>
      <c r="DY36" s="58">
        <v>-15.690863107295627</v>
      </c>
      <c r="DZ36" s="58">
        <v>-5.5937155896401754E-2</v>
      </c>
    </row>
    <row r="37" spans="1:130">
      <c r="A37" s="63" t="s">
        <v>68</v>
      </c>
      <c r="B37">
        <v>627</v>
      </c>
      <c r="C37">
        <v>691</v>
      </c>
      <c r="D37">
        <v>1026</v>
      </c>
      <c r="E37">
        <v>0</v>
      </c>
      <c r="F37">
        <v>85</v>
      </c>
      <c r="G37">
        <v>350</v>
      </c>
      <c r="H37">
        <v>0</v>
      </c>
      <c r="I37">
        <v>0.12301013024602026</v>
      </c>
      <c r="J37">
        <v>0.34113060428849901</v>
      </c>
      <c r="K37">
        <v>175</v>
      </c>
      <c r="L37">
        <v>96.25</v>
      </c>
      <c r="M37" s="354">
        <f t="shared" si="68"/>
        <v>145</v>
      </c>
      <c r="X37">
        <v>0</v>
      </c>
      <c r="AB37" s="63">
        <v>3.6682615629984053E-2</v>
      </c>
      <c r="AC37" s="156">
        <v>0.68421052631578949</v>
      </c>
      <c r="AD37" s="156">
        <v>4.784688995215311E-2</v>
      </c>
      <c r="AE37" s="156">
        <v>0.18181818181818182</v>
      </c>
      <c r="AF37" s="156">
        <v>0</v>
      </c>
      <c r="AG37" s="63">
        <v>4.944178628389162E-2</v>
      </c>
      <c r="AM37">
        <v>95</v>
      </c>
      <c r="AN37">
        <v>40</v>
      </c>
      <c r="AO37">
        <v>204</v>
      </c>
      <c r="AP37">
        <v>0</v>
      </c>
      <c r="AQ37">
        <v>85</v>
      </c>
      <c r="AR37">
        <v>350</v>
      </c>
      <c r="AS37" s="25">
        <f t="shared" si="17"/>
        <v>0</v>
      </c>
      <c r="AT37" s="25">
        <f t="shared" si="66"/>
        <v>1</v>
      </c>
      <c r="AU37" s="25">
        <f t="shared" si="67"/>
        <v>1</v>
      </c>
      <c r="AV37" s="25">
        <f t="shared" si="18"/>
        <v>1</v>
      </c>
      <c r="AW37" s="25">
        <f t="shared" si="19"/>
        <v>1</v>
      </c>
      <c r="AX37" s="25">
        <f t="shared" si="20"/>
        <v>1</v>
      </c>
      <c r="AY37" s="25">
        <f t="shared" si="21"/>
        <v>1</v>
      </c>
      <c r="AZ37" s="25">
        <f t="shared" si="22"/>
        <v>2</v>
      </c>
      <c r="BA37" s="25">
        <f t="shared" si="23"/>
        <v>2</v>
      </c>
      <c r="BB37" s="339">
        <f t="shared" si="24"/>
        <v>0</v>
      </c>
      <c r="BC37" s="340">
        <f t="shared" si="25"/>
        <v>1</v>
      </c>
      <c r="BD37" s="341">
        <f t="shared" si="26"/>
        <v>1</v>
      </c>
      <c r="BE37" s="25">
        <f t="shared" si="27"/>
        <v>0</v>
      </c>
      <c r="BF37" s="25">
        <f t="shared" si="28"/>
        <v>0</v>
      </c>
      <c r="BG37" s="25">
        <f t="shared" si="29"/>
        <v>0</v>
      </c>
      <c r="BH37" s="25">
        <f t="shared" si="30"/>
        <v>0</v>
      </c>
      <c r="BI37" s="25">
        <f t="shared" si="31"/>
        <v>1</v>
      </c>
      <c r="BJ37" s="25">
        <f t="shared" si="32"/>
        <v>1</v>
      </c>
      <c r="BK37" s="351">
        <f t="shared" si="33"/>
        <v>0</v>
      </c>
      <c r="BL37" s="352">
        <f t="shared" si="34"/>
        <v>0</v>
      </c>
      <c r="BM37" s="353">
        <f t="shared" si="35"/>
        <v>0</v>
      </c>
      <c r="BN37" s="25">
        <f t="shared" si="36"/>
        <v>0</v>
      </c>
      <c r="BO37" s="25">
        <f t="shared" si="37"/>
        <v>0</v>
      </c>
      <c r="BP37" s="25">
        <f t="shared" si="38"/>
        <v>0</v>
      </c>
      <c r="BQ37" s="25">
        <f t="shared" si="39"/>
        <v>0</v>
      </c>
      <c r="BR37" s="25">
        <f t="shared" si="40"/>
        <v>1</v>
      </c>
      <c r="BS37" s="25">
        <f t="shared" si="41"/>
        <v>1</v>
      </c>
      <c r="BT37" s="345">
        <f t="shared" si="42"/>
        <v>0</v>
      </c>
      <c r="BU37" s="346">
        <f t="shared" si="43"/>
        <v>0</v>
      </c>
      <c r="BV37" s="347">
        <f t="shared" si="44"/>
        <v>0</v>
      </c>
      <c r="BX37" s="345">
        <f t="shared" si="45"/>
        <v>1</v>
      </c>
      <c r="BY37" s="345">
        <f t="shared" si="46"/>
        <v>0</v>
      </c>
      <c r="BZ37" s="345">
        <f t="shared" si="47"/>
        <v>0</v>
      </c>
      <c r="CA37" s="382">
        <f t="shared" si="48"/>
        <v>0</v>
      </c>
      <c r="CB37" s="382">
        <f t="shared" si="49"/>
        <v>0</v>
      </c>
      <c r="CC37" s="382">
        <f t="shared" si="50"/>
        <v>0</v>
      </c>
      <c r="CD37" s="385">
        <f t="shared" si="51"/>
        <v>0</v>
      </c>
      <c r="CE37" s="385">
        <f t="shared" si="52"/>
        <v>0</v>
      </c>
      <c r="CF37" s="385">
        <f t="shared" si="53"/>
        <v>0</v>
      </c>
      <c r="CG37" s="377">
        <f t="shared" si="54"/>
        <v>1</v>
      </c>
      <c r="CH37" s="377">
        <f t="shared" si="55"/>
        <v>0</v>
      </c>
      <c r="CI37" s="377">
        <f t="shared" si="56"/>
        <v>0</v>
      </c>
      <c r="CK37">
        <v>0</v>
      </c>
      <c r="CL37">
        <v>95</v>
      </c>
      <c r="CN37" s="25">
        <f t="shared" si="57"/>
        <v>2</v>
      </c>
      <c r="CO37" s="25">
        <f t="shared" si="58"/>
        <v>1</v>
      </c>
      <c r="CP37" s="25">
        <f t="shared" si="59"/>
        <v>1</v>
      </c>
      <c r="CQ37" s="25">
        <f t="shared" si="60"/>
        <v>1</v>
      </c>
      <c r="CR37" s="25">
        <f t="shared" si="61"/>
        <v>0</v>
      </c>
      <c r="CS37" s="25">
        <f t="shared" si="62"/>
        <v>0</v>
      </c>
      <c r="CT37" s="25">
        <f t="shared" si="63"/>
        <v>1</v>
      </c>
      <c r="CU37" s="25">
        <f t="shared" si="64"/>
        <v>0</v>
      </c>
      <c r="CV37" s="25">
        <f t="shared" si="65"/>
        <v>0</v>
      </c>
      <c r="DC37" s="58">
        <v>10</v>
      </c>
      <c r="DD37" s="58">
        <v>38.683174287616993</v>
      </c>
      <c r="DE37" s="58">
        <v>-38.683174287616993</v>
      </c>
      <c r="DF37" s="58">
        <v>-0.13790361536504758</v>
      </c>
      <c r="DH37" s="58">
        <v>3.4050179211469533</v>
      </c>
      <c r="DI37" s="58">
        <v>-312</v>
      </c>
      <c r="DW37" s="58">
        <v>10</v>
      </c>
      <c r="DX37" s="58">
        <v>38.683174287616993</v>
      </c>
      <c r="DY37" s="58">
        <v>-38.683174287616993</v>
      </c>
      <c r="DZ37" s="58">
        <v>-0.13790361536504758</v>
      </c>
    </row>
    <row r="38" spans="1:130">
      <c r="A38" s="63" t="s">
        <v>69</v>
      </c>
      <c r="B38">
        <v>1508</v>
      </c>
      <c r="C38">
        <v>1114</v>
      </c>
      <c r="D38">
        <v>1235</v>
      </c>
      <c r="E38">
        <v>476</v>
      </c>
      <c r="F38">
        <v>96</v>
      </c>
      <c r="G38">
        <v>180</v>
      </c>
      <c r="H38">
        <v>0.3156498673740053</v>
      </c>
      <c r="I38">
        <v>8.6175942549371637E-2</v>
      </c>
      <c r="J38">
        <v>0.145748987854251</v>
      </c>
      <c r="K38">
        <v>190</v>
      </c>
      <c r="L38">
        <v>95</v>
      </c>
      <c r="M38" s="354">
        <f t="shared" si="68"/>
        <v>250.66666666666666</v>
      </c>
      <c r="X38">
        <v>0.3156498673740053</v>
      </c>
      <c r="AB38" s="63">
        <v>0</v>
      </c>
      <c r="AC38" s="156">
        <v>0.11671087533156499</v>
      </c>
      <c r="AD38" s="156">
        <v>3.1830238726790451E-2</v>
      </c>
      <c r="AE38" s="156">
        <v>0.11140583554376658</v>
      </c>
      <c r="AF38" s="156">
        <v>0.42374005305039786</v>
      </c>
      <c r="AG38" s="63">
        <v>-5.9681697612732343E-3</v>
      </c>
      <c r="AM38">
        <v>-784</v>
      </c>
      <c r="AN38">
        <v>-315</v>
      </c>
      <c r="AO38">
        <v>55</v>
      </c>
      <c r="AP38">
        <v>476</v>
      </c>
      <c r="AQ38">
        <v>96</v>
      </c>
      <c r="AR38">
        <v>180</v>
      </c>
      <c r="AS38" s="25">
        <f t="shared" si="17"/>
        <v>1</v>
      </c>
      <c r="AT38" s="25">
        <f t="shared" si="66"/>
        <v>1</v>
      </c>
      <c r="AU38" s="25">
        <f t="shared" si="67"/>
        <v>1</v>
      </c>
      <c r="AV38" s="25">
        <f t="shared" si="18"/>
        <v>0</v>
      </c>
      <c r="AW38" s="25">
        <f t="shared" si="19"/>
        <v>0</v>
      </c>
      <c r="AX38" s="25">
        <f t="shared" si="20"/>
        <v>1</v>
      </c>
      <c r="AY38" s="25">
        <f t="shared" si="21"/>
        <v>1</v>
      </c>
      <c r="AZ38" s="25">
        <f t="shared" si="22"/>
        <v>1</v>
      </c>
      <c r="BA38" s="25">
        <f t="shared" si="23"/>
        <v>2</v>
      </c>
      <c r="BB38" s="339">
        <f t="shared" si="24"/>
        <v>0</v>
      </c>
      <c r="BC38" s="340">
        <f t="shared" si="25"/>
        <v>0</v>
      </c>
      <c r="BD38" s="341">
        <f t="shared" si="26"/>
        <v>1</v>
      </c>
      <c r="BE38" s="25">
        <f t="shared" si="27"/>
        <v>1</v>
      </c>
      <c r="BF38" s="25">
        <f t="shared" si="28"/>
        <v>1</v>
      </c>
      <c r="BG38" s="25">
        <f t="shared" si="29"/>
        <v>0</v>
      </c>
      <c r="BH38" s="25">
        <f t="shared" si="30"/>
        <v>2</v>
      </c>
      <c r="BI38" s="25">
        <f t="shared" si="31"/>
        <v>2</v>
      </c>
      <c r="BJ38" s="25">
        <f t="shared" si="32"/>
        <v>1</v>
      </c>
      <c r="BK38" s="351">
        <f t="shared" si="33"/>
        <v>1</v>
      </c>
      <c r="BL38" s="352">
        <f t="shared" si="34"/>
        <v>1</v>
      </c>
      <c r="BM38" s="353">
        <f t="shared" si="35"/>
        <v>0</v>
      </c>
      <c r="BN38" s="25">
        <f t="shared" si="36"/>
        <v>0</v>
      </c>
      <c r="BO38" s="25">
        <f t="shared" si="37"/>
        <v>0</v>
      </c>
      <c r="BP38" s="25">
        <f t="shared" si="38"/>
        <v>0</v>
      </c>
      <c r="BQ38" s="25">
        <f t="shared" si="39"/>
        <v>1</v>
      </c>
      <c r="BR38" s="25">
        <f t="shared" si="40"/>
        <v>1</v>
      </c>
      <c r="BS38" s="25">
        <f t="shared" si="41"/>
        <v>1</v>
      </c>
      <c r="BT38" s="345">
        <f t="shared" si="42"/>
        <v>0</v>
      </c>
      <c r="BU38" s="346">
        <f t="shared" si="43"/>
        <v>0</v>
      </c>
      <c r="BV38" s="347">
        <f t="shared" si="44"/>
        <v>0</v>
      </c>
      <c r="BX38" s="345">
        <f t="shared" si="45"/>
        <v>0</v>
      </c>
      <c r="BY38" s="345">
        <f t="shared" si="46"/>
        <v>0</v>
      </c>
      <c r="BZ38" s="345">
        <f t="shared" si="47"/>
        <v>0</v>
      </c>
      <c r="CA38" s="382">
        <f t="shared" si="48"/>
        <v>0</v>
      </c>
      <c r="CB38" s="382">
        <f t="shared" si="49"/>
        <v>0</v>
      </c>
      <c r="CC38" s="382">
        <f t="shared" si="50"/>
        <v>0</v>
      </c>
      <c r="CD38" s="385">
        <f t="shared" si="51"/>
        <v>0</v>
      </c>
      <c r="CE38" s="385">
        <f t="shared" si="52"/>
        <v>0</v>
      </c>
      <c r="CF38" s="385">
        <f t="shared" si="53"/>
        <v>0</v>
      </c>
      <c r="CG38" s="377">
        <f t="shared" si="54"/>
        <v>0</v>
      </c>
      <c r="CH38" s="377">
        <f t="shared" si="55"/>
        <v>0</v>
      </c>
      <c r="CI38" s="377">
        <f t="shared" si="56"/>
        <v>0</v>
      </c>
      <c r="CK38">
        <v>476</v>
      </c>
      <c r="CL38">
        <v>-784</v>
      </c>
      <c r="CN38" s="25">
        <f t="shared" si="57"/>
        <v>0</v>
      </c>
      <c r="CO38" s="25">
        <f t="shared" si="58"/>
        <v>0</v>
      </c>
      <c r="CP38" s="25">
        <f t="shared" si="59"/>
        <v>1</v>
      </c>
      <c r="CQ38" s="25">
        <f t="shared" si="60"/>
        <v>1</v>
      </c>
      <c r="CR38" s="25">
        <f t="shared" si="61"/>
        <v>1</v>
      </c>
      <c r="CS38" s="25">
        <f t="shared" si="62"/>
        <v>0</v>
      </c>
      <c r="CT38" s="25">
        <f t="shared" si="63"/>
        <v>0</v>
      </c>
      <c r="CU38" s="25">
        <f t="shared" si="64"/>
        <v>0</v>
      </c>
      <c r="CV38" s="25">
        <f t="shared" si="65"/>
        <v>0</v>
      </c>
      <c r="DC38" s="58">
        <v>11</v>
      </c>
      <c r="DD38" s="58">
        <v>36.145817223701101</v>
      </c>
      <c r="DE38" s="58">
        <v>550.8541827762989</v>
      </c>
      <c r="DF38" s="58">
        <v>1.9637680914962476</v>
      </c>
      <c r="DH38" s="58">
        <v>3.763440860215054</v>
      </c>
      <c r="DI38" s="58">
        <v>-303</v>
      </c>
      <c r="DW38" s="58">
        <v>11</v>
      </c>
      <c r="DX38" s="58">
        <v>36.145817223701101</v>
      </c>
      <c r="DY38" s="58">
        <v>550.8541827762989</v>
      </c>
      <c r="DZ38" s="58">
        <v>1.9637680914962476</v>
      </c>
    </row>
    <row r="39" spans="1:130">
      <c r="A39" s="63" t="s">
        <v>70</v>
      </c>
      <c r="B39">
        <v>247</v>
      </c>
      <c r="C39">
        <v>296</v>
      </c>
      <c r="D39">
        <v>217</v>
      </c>
      <c r="E39">
        <v>110</v>
      </c>
      <c r="F39">
        <v>100</v>
      </c>
      <c r="G39">
        <v>100</v>
      </c>
      <c r="H39">
        <v>0.44534412955465585</v>
      </c>
      <c r="I39">
        <v>0.33783783783783783</v>
      </c>
      <c r="J39">
        <v>0.46082949308755761</v>
      </c>
      <c r="K39">
        <v>169</v>
      </c>
      <c r="L39">
        <v>42.25</v>
      </c>
      <c r="M39" s="354">
        <f t="shared" si="68"/>
        <v>103.33333333333333</v>
      </c>
      <c r="X39">
        <v>0.44534412955465585</v>
      </c>
      <c r="AB39" s="63">
        <v>0</v>
      </c>
      <c r="AC39" s="156">
        <v>0.31578947368421051</v>
      </c>
      <c r="AD39" s="156">
        <v>8.9068825910931168E-2</v>
      </c>
      <c r="AE39" s="156">
        <v>6.8825910931174086E-2</v>
      </c>
      <c r="AF39" s="156">
        <v>8.0971659919028341E-2</v>
      </c>
      <c r="AG39" s="63">
        <v>0</v>
      </c>
      <c r="AM39">
        <v>-26</v>
      </c>
      <c r="AN39">
        <v>42</v>
      </c>
      <c r="AO39">
        <v>4</v>
      </c>
      <c r="AP39">
        <v>110</v>
      </c>
      <c r="AQ39">
        <v>100</v>
      </c>
      <c r="AR39">
        <v>100</v>
      </c>
      <c r="AS39" s="25">
        <f t="shared" si="17"/>
        <v>1</v>
      </c>
      <c r="AT39" s="25">
        <f t="shared" si="66"/>
        <v>1</v>
      </c>
      <c r="AU39" s="25">
        <f t="shared" si="67"/>
        <v>1</v>
      </c>
      <c r="AV39" s="25">
        <f t="shared" si="18"/>
        <v>0</v>
      </c>
      <c r="AW39" s="25">
        <f t="shared" si="19"/>
        <v>1</v>
      </c>
      <c r="AX39" s="25">
        <f t="shared" si="20"/>
        <v>1</v>
      </c>
      <c r="AY39" s="25">
        <f t="shared" si="21"/>
        <v>1</v>
      </c>
      <c r="AZ39" s="25">
        <f t="shared" si="22"/>
        <v>2</v>
      </c>
      <c r="BA39" s="25">
        <f t="shared" si="23"/>
        <v>2</v>
      </c>
      <c r="BB39" s="339">
        <f t="shared" si="24"/>
        <v>0</v>
      </c>
      <c r="BC39" s="340">
        <f t="shared" si="25"/>
        <v>1</v>
      </c>
      <c r="BD39" s="341">
        <f t="shared" si="26"/>
        <v>1</v>
      </c>
      <c r="BE39" s="25">
        <f t="shared" si="27"/>
        <v>1</v>
      </c>
      <c r="BF39" s="25">
        <f t="shared" si="28"/>
        <v>0</v>
      </c>
      <c r="BG39" s="25">
        <f t="shared" si="29"/>
        <v>0</v>
      </c>
      <c r="BH39" s="25">
        <f t="shared" si="30"/>
        <v>2</v>
      </c>
      <c r="BI39" s="25">
        <f t="shared" si="31"/>
        <v>1</v>
      </c>
      <c r="BJ39" s="25">
        <f t="shared" si="32"/>
        <v>1</v>
      </c>
      <c r="BK39" s="351">
        <f t="shared" si="33"/>
        <v>1</v>
      </c>
      <c r="BL39" s="352">
        <f t="shared" si="34"/>
        <v>0</v>
      </c>
      <c r="BM39" s="353">
        <f t="shared" si="35"/>
        <v>0</v>
      </c>
      <c r="BN39" s="25">
        <f t="shared" si="36"/>
        <v>0</v>
      </c>
      <c r="BO39" s="25">
        <f t="shared" si="37"/>
        <v>0</v>
      </c>
      <c r="BP39" s="25">
        <f t="shared" si="38"/>
        <v>0</v>
      </c>
      <c r="BQ39" s="25">
        <f t="shared" si="39"/>
        <v>1</v>
      </c>
      <c r="BR39" s="25">
        <f t="shared" si="40"/>
        <v>1</v>
      </c>
      <c r="BS39" s="25">
        <f t="shared" si="41"/>
        <v>1</v>
      </c>
      <c r="BT39" s="345">
        <f t="shared" si="42"/>
        <v>0</v>
      </c>
      <c r="BU39" s="346">
        <f t="shared" si="43"/>
        <v>0</v>
      </c>
      <c r="BV39" s="347">
        <f t="shared" si="44"/>
        <v>0</v>
      </c>
      <c r="BX39" s="345">
        <f t="shared" si="45"/>
        <v>0</v>
      </c>
      <c r="BY39" s="345">
        <f t="shared" si="46"/>
        <v>0</v>
      </c>
      <c r="BZ39" s="345">
        <f t="shared" si="47"/>
        <v>0</v>
      </c>
      <c r="CA39" s="382">
        <f t="shared" si="48"/>
        <v>0</v>
      </c>
      <c r="CB39" s="382">
        <f t="shared" si="49"/>
        <v>0</v>
      </c>
      <c r="CC39" s="382">
        <f t="shared" si="50"/>
        <v>0</v>
      </c>
      <c r="CD39" s="385">
        <f t="shared" si="51"/>
        <v>0</v>
      </c>
      <c r="CE39" s="385">
        <f t="shared" si="52"/>
        <v>0</v>
      </c>
      <c r="CF39" s="385">
        <f t="shared" si="53"/>
        <v>0</v>
      </c>
      <c r="CG39" s="377">
        <f t="shared" si="54"/>
        <v>0</v>
      </c>
      <c r="CH39" s="377">
        <f t="shared" si="55"/>
        <v>0</v>
      </c>
      <c r="CI39" s="377">
        <f t="shared" si="56"/>
        <v>0</v>
      </c>
      <c r="CK39">
        <v>110</v>
      </c>
      <c r="CL39">
        <v>-26</v>
      </c>
      <c r="CN39" s="25">
        <f t="shared" si="57"/>
        <v>0</v>
      </c>
      <c r="CO39" s="25">
        <f t="shared" si="58"/>
        <v>1</v>
      </c>
      <c r="CP39" s="25">
        <f t="shared" si="59"/>
        <v>1</v>
      </c>
      <c r="CQ39" s="25">
        <f t="shared" si="60"/>
        <v>1</v>
      </c>
      <c r="CR39" s="25">
        <f t="shared" si="61"/>
        <v>0</v>
      </c>
      <c r="CS39" s="25">
        <f t="shared" si="62"/>
        <v>0</v>
      </c>
      <c r="CT39" s="25">
        <f t="shared" si="63"/>
        <v>0</v>
      </c>
      <c r="CU39" s="25">
        <f t="shared" si="64"/>
        <v>0</v>
      </c>
      <c r="CV39" s="25">
        <f t="shared" si="65"/>
        <v>0</v>
      </c>
      <c r="DC39" s="58">
        <v>12</v>
      </c>
      <c r="DD39" s="58">
        <v>39.11508989172512</v>
      </c>
      <c r="DE39" s="58">
        <v>-48.18327170990694</v>
      </c>
      <c r="DF39" s="58">
        <v>-0.17177099582129243</v>
      </c>
      <c r="DH39" s="58">
        <v>4.1218637992831537</v>
      </c>
      <c r="DI39" s="58">
        <v>-302</v>
      </c>
      <c r="DW39" s="58">
        <v>12</v>
      </c>
      <c r="DX39" s="58">
        <v>39.11508989172512</v>
      </c>
      <c r="DY39" s="58">
        <v>-48.18327170990694</v>
      </c>
      <c r="DZ39" s="58">
        <v>-0.17177099582129243</v>
      </c>
    </row>
    <row r="40" spans="1:130">
      <c r="A40" s="63" t="s">
        <v>71</v>
      </c>
      <c r="B40">
        <v>1619</v>
      </c>
      <c r="C40">
        <v>1488</v>
      </c>
      <c r="D40">
        <v>1311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</v>
      </c>
      <c r="L40">
        <v>108</v>
      </c>
      <c r="M40" s="354">
        <f t="shared" si="68"/>
        <v>0</v>
      </c>
      <c r="X40">
        <v>0</v>
      </c>
      <c r="AB40" s="63">
        <v>0</v>
      </c>
      <c r="AC40" s="156">
        <v>0.35824583075972821</v>
      </c>
      <c r="AD40" s="156">
        <v>0</v>
      </c>
      <c r="AE40" s="156">
        <v>0.44471896232242125</v>
      </c>
      <c r="AF40" s="156">
        <v>0.22297714638665844</v>
      </c>
      <c r="AG40" s="63">
        <v>-2.5941939468808073E-2</v>
      </c>
      <c r="AM40">
        <v>-302</v>
      </c>
      <c r="AN40">
        <v>-45</v>
      </c>
      <c r="AO40">
        <v>22</v>
      </c>
      <c r="AP40">
        <v>0</v>
      </c>
      <c r="AQ40">
        <v>0</v>
      </c>
      <c r="AR40">
        <v>0</v>
      </c>
      <c r="AS40" s="25">
        <f t="shared" si="17"/>
        <v>0</v>
      </c>
      <c r="AT40" s="25">
        <f t="shared" si="66"/>
        <v>0</v>
      </c>
      <c r="AU40" s="25">
        <f t="shared" si="67"/>
        <v>0</v>
      </c>
      <c r="AV40" s="25">
        <f t="shared" si="18"/>
        <v>0</v>
      </c>
      <c r="AW40" s="25">
        <f t="shared" si="19"/>
        <v>0</v>
      </c>
      <c r="AX40" s="25">
        <f t="shared" si="20"/>
        <v>1</v>
      </c>
      <c r="AY40" s="25">
        <f t="shared" si="21"/>
        <v>0</v>
      </c>
      <c r="AZ40" s="25">
        <f t="shared" si="22"/>
        <v>0</v>
      </c>
      <c r="BA40" s="25">
        <f t="shared" si="23"/>
        <v>1</v>
      </c>
      <c r="BB40" s="339">
        <f t="shared" si="24"/>
        <v>0</v>
      </c>
      <c r="BC40" s="340">
        <f t="shared" si="25"/>
        <v>0</v>
      </c>
      <c r="BD40" s="341">
        <f t="shared" si="26"/>
        <v>0</v>
      </c>
      <c r="BE40" s="25">
        <f t="shared" si="27"/>
        <v>1</v>
      </c>
      <c r="BF40" s="25">
        <f t="shared" si="28"/>
        <v>1</v>
      </c>
      <c r="BG40" s="25">
        <f t="shared" si="29"/>
        <v>0</v>
      </c>
      <c r="BH40" s="25">
        <f t="shared" si="30"/>
        <v>1</v>
      </c>
      <c r="BI40" s="25">
        <f t="shared" si="31"/>
        <v>1</v>
      </c>
      <c r="BJ40" s="25">
        <f t="shared" si="32"/>
        <v>0</v>
      </c>
      <c r="BK40" s="351">
        <f t="shared" si="33"/>
        <v>0</v>
      </c>
      <c r="BL40" s="352">
        <f t="shared" si="34"/>
        <v>0</v>
      </c>
      <c r="BM40" s="353">
        <f t="shared" si="35"/>
        <v>0</v>
      </c>
      <c r="BN40" s="25">
        <f t="shared" si="36"/>
        <v>0</v>
      </c>
      <c r="BO40" s="25">
        <f t="shared" si="37"/>
        <v>0</v>
      </c>
      <c r="BP40" s="25">
        <f t="shared" si="38"/>
        <v>0</v>
      </c>
      <c r="BQ40" s="25">
        <f t="shared" si="39"/>
        <v>0</v>
      </c>
      <c r="BR40" s="25">
        <f t="shared" si="40"/>
        <v>0</v>
      </c>
      <c r="BS40" s="25">
        <f t="shared" si="41"/>
        <v>0</v>
      </c>
      <c r="BT40" s="345">
        <f t="shared" si="42"/>
        <v>0</v>
      </c>
      <c r="BU40" s="346">
        <f t="shared" si="43"/>
        <v>0</v>
      </c>
      <c r="BV40" s="347">
        <f t="shared" si="44"/>
        <v>0</v>
      </c>
      <c r="BX40" s="345">
        <f t="shared" si="45"/>
        <v>0</v>
      </c>
      <c r="BY40" s="345">
        <f t="shared" si="46"/>
        <v>0</v>
      </c>
      <c r="BZ40" s="345">
        <f t="shared" si="47"/>
        <v>1</v>
      </c>
      <c r="CA40" s="382">
        <f t="shared" si="48"/>
        <v>1</v>
      </c>
      <c r="CB40" s="382">
        <f t="shared" si="49"/>
        <v>1</v>
      </c>
      <c r="CC40" s="382">
        <f t="shared" si="50"/>
        <v>0</v>
      </c>
      <c r="CD40" s="385">
        <f t="shared" si="51"/>
        <v>0</v>
      </c>
      <c r="CE40" s="385">
        <f t="shared" si="52"/>
        <v>0</v>
      </c>
      <c r="CF40" s="385">
        <f t="shared" si="53"/>
        <v>0</v>
      </c>
      <c r="CG40" s="377">
        <f t="shared" si="54"/>
        <v>1</v>
      </c>
      <c r="CH40" s="377">
        <f t="shared" si="55"/>
        <v>1</v>
      </c>
      <c r="CI40" s="377">
        <f t="shared" si="56"/>
        <v>1</v>
      </c>
      <c r="CK40">
        <v>0</v>
      </c>
      <c r="CL40">
        <v>-302</v>
      </c>
      <c r="CN40" s="25">
        <f t="shared" si="57"/>
        <v>1</v>
      </c>
      <c r="CO40" s="25">
        <f t="shared" si="58"/>
        <v>1</v>
      </c>
      <c r="CP40" s="25">
        <f t="shared" si="59"/>
        <v>2</v>
      </c>
      <c r="CQ40" s="25">
        <f t="shared" si="60"/>
        <v>2</v>
      </c>
      <c r="CR40" s="25">
        <f t="shared" si="61"/>
        <v>2</v>
      </c>
      <c r="CS40" s="25">
        <f t="shared" si="62"/>
        <v>1</v>
      </c>
      <c r="CT40" s="25">
        <f t="shared" si="63"/>
        <v>1</v>
      </c>
      <c r="CU40" s="25">
        <f t="shared" si="64"/>
        <v>1</v>
      </c>
      <c r="CV40" s="25">
        <f t="shared" si="65"/>
        <v>1</v>
      </c>
      <c r="DC40" s="58">
        <v>13</v>
      </c>
      <c r="DD40" s="58">
        <v>36.145817223701101</v>
      </c>
      <c r="DE40" s="58">
        <v>550.8541827762989</v>
      </c>
      <c r="DF40" s="58">
        <v>1.9637680914962476</v>
      </c>
      <c r="DH40" s="58">
        <v>4.4802867383512543</v>
      </c>
      <c r="DI40" s="58">
        <v>-291</v>
      </c>
      <c r="DW40" s="58">
        <v>13</v>
      </c>
      <c r="DX40" s="58">
        <v>36.145817223701101</v>
      </c>
      <c r="DY40" s="58">
        <v>550.8541827762989</v>
      </c>
      <c r="DZ40" s="58">
        <v>1.9637680914962476</v>
      </c>
    </row>
    <row r="41" spans="1:130">
      <c r="A41" s="63" t="s">
        <v>72</v>
      </c>
      <c r="B41">
        <v>504</v>
      </c>
      <c r="C41">
        <v>629</v>
      </c>
      <c r="D41">
        <v>674</v>
      </c>
      <c r="E41">
        <v>140</v>
      </c>
      <c r="F41">
        <v>310</v>
      </c>
      <c r="G41">
        <v>344</v>
      </c>
      <c r="H41">
        <v>0.27777777777777779</v>
      </c>
      <c r="I41">
        <v>0.49284578696343401</v>
      </c>
      <c r="J41">
        <v>0.51038575667655783</v>
      </c>
      <c r="K41">
        <v>225</v>
      </c>
      <c r="L41">
        <v>180</v>
      </c>
      <c r="M41" s="354">
        <f t="shared" si="68"/>
        <v>264.66666666666669</v>
      </c>
      <c r="X41">
        <v>0.27777777777777779</v>
      </c>
      <c r="AB41" s="63">
        <v>7.9365079365079361E-2</v>
      </c>
      <c r="AC41" s="156">
        <v>9.9206349206349201E-2</v>
      </c>
      <c r="AD41" s="156">
        <v>0.27777777777777779</v>
      </c>
      <c r="AE41" s="156">
        <v>0</v>
      </c>
      <c r="AF41" s="156">
        <v>0</v>
      </c>
      <c r="AG41" s="63">
        <v>0.26587301587301582</v>
      </c>
      <c r="AM41">
        <v>44</v>
      </c>
      <c r="AN41">
        <v>-35</v>
      </c>
      <c r="AO41">
        <v>-36</v>
      </c>
      <c r="AP41">
        <v>140</v>
      </c>
      <c r="AQ41">
        <v>310</v>
      </c>
      <c r="AR41">
        <v>344</v>
      </c>
      <c r="AS41" s="25">
        <f t="shared" si="17"/>
        <v>1</v>
      </c>
      <c r="AT41" s="25">
        <f t="shared" si="66"/>
        <v>1</v>
      </c>
      <c r="AU41" s="25">
        <f t="shared" si="67"/>
        <v>1</v>
      </c>
      <c r="AV41" s="25">
        <f t="shared" si="18"/>
        <v>1</v>
      </c>
      <c r="AW41" s="25">
        <f t="shared" si="19"/>
        <v>0</v>
      </c>
      <c r="AX41" s="25">
        <f t="shared" si="20"/>
        <v>0</v>
      </c>
      <c r="AY41" s="25">
        <f t="shared" si="21"/>
        <v>2</v>
      </c>
      <c r="AZ41" s="25">
        <f t="shared" si="22"/>
        <v>1</v>
      </c>
      <c r="BA41" s="25">
        <f t="shared" si="23"/>
        <v>1</v>
      </c>
      <c r="BB41" s="339">
        <f t="shared" si="24"/>
        <v>1</v>
      </c>
      <c r="BC41" s="340">
        <f t="shared" si="25"/>
        <v>0</v>
      </c>
      <c r="BD41" s="341">
        <f t="shared" si="26"/>
        <v>0</v>
      </c>
      <c r="BE41" s="25">
        <f t="shared" si="27"/>
        <v>0</v>
      </c>
      <c r="BF41" s="25">
        <f t="shared" si="28"/>
        <v>1</v>
      </c>
      <c r="BG41" s="25">
        <f t="shared" si="29"/>
        <v>1</v>
      </c>
      <c r="BH41" s="25">
        <f t="shared" si="30"/>
        <v>1</v>
      </c>
      <c r="BI41" s="25">
        <f t="shared" si="31"/>
        <v>2</v>
      </c>
      <c r="BJ41" s="25">
        <f t="shared" si="32"/>
        <v>2</v>
      </c>
      <c r="BK41" s="351">
        <f t="shared" si="33"/>
        <v>0</v>
      </c>
      <c r="BL41" s="352">
        <f t="shared" si="34"/>
        <v>1</v>
      </c>
      <c r="BM41" s="353">
        <f t="shared" si="35"/>
        <v>1</v>
      </c>
      <c r="BN41" s="25">
        <f t="shared" si="36"/>
        <v>0</v>
      </c>
      <c r="BO41" s="25">
        <f t="shared" si="37"/>
        <v>0</v>
      </c>
      <c r="BP41" s="25">
        <f t="shared" si="38"/>
        <v>0</v>
      </c>
      <c r="BQ41" s="25">
        <f t="shared" si="39"/>
        <v>1</v>
      </c>
      <c r="BR41" s="25">
        <f t="shared" si="40"/>
        <v>1</v>
      </c>
      <c r="BS41" s="25">
        <f t="shared" si="41"/>
        <v>1</v>
      </c>
      <c r="BT41" s="345">
        <f t="shared" si="42"/>
        <v>0</v>
      </c>
      <c r="BU41" s="346">
        <f t="shared" si="43"/>
        <v>0</v>
      </c>
      <c r="BV41" s="347">
        <f t="shared" si="44"/>
        <v>0</v>
      </c>
      <c r="BX41" s="345">
        <f t="shared" si="45"/>
        <v>0</v>
      </c>
      <c r="BY41" s="345">
        <f t="shared" si="46"/>
        <v>0</v>
      </c>
      <c r="BZ41" s="345">
        <f t="shared" si="47"/>
        <v>0</v>
      </c>
      <c r="CA41" s="382">
        <f t="shared" si="48"/>
        <v>0</v>
      </c>
      <c r="CB41" s="382">
        <f t="shared" si="49"/>
        <v>0</v>
      </c>
      <c r="CC41" s="382">
        <f t="shared" si="50"/>
        <v>0</v>
      </c>
      <c r="CD41" s="385">
        <f t="shared" si="51"/>
        <v>0</v>
      </c>
      <c r="CE41" s="385">
        <f t="shared" si="52"/>
        <v>0</v>
      </c>
      <c r="CF41" s="385">
        <f t="shared" si="53"/>
        <v>0</v>
      </c>
      <c r="CG41" s="377">
        <f t="shared" si="54"/>
        <v>0</v>
      </c>
      <c r="CH41" s="377">
        <f t="shared" si="55"/>
        <v>0</v>
      </c>
      <c r="CI41" s="377">
        <f t="shared" si="56"/>
        <v>0</v>
      </c>
      <c r="CK41">
        <v>140</v>
      </c>
      <c r="CL41">
        <v>44</v>
      </c>
      <c r="CN41" s="25">
        <f t="shared" si="57"/>
        <v>1</v>
      </c>
      <c r="CO41" s="25">
        <f t="shared" si="58"/>
        <v>0</v>
      </c>
      <c r="CP41" s="25">
        <f t="shared" si="59"/>
        <v>0</v>
      </c>
      <c r="CQ41" s="25">
        <f t="shared" si="60"/>
        <v>0</v>
      </c>
      <c r="CR41" s="25">
        <f t="shared" si="61"/>
        <v>1</v>
      </c>
      <c r="CS41" s="25">
        <f t="shared" si="62"/>
        <v>1</v>
      </c>
      <c r="CT41" s="25">
        <f t="shared" si="63"/>
        <v>0</v>
      </c>
      <c r="CU41" s="25">
        <f t="shared" si="64"/>
        <v>0</v>
      </c>
      <c r="CV41" s="25">
        <f t="shared" si="65"/>
        <v>0</v>
      </c>
      <c r="DC41" s="58">
        <v>14</v>
      </c>
      <c r="DD41" s="58">
        <v>36.818993587597156</v>
      </c>
      <c r="DE41" s="58">
        <v>-37.818993587597156</v>
      </c>
      <c r="DF41" s="58">
        <v>-0.13482285363708404</v>
      </c>
      <c r="DH41" s="58">
        <v>4.838709677419355</v>
      </c>
      <c r="DI41" s="58">
        <v>-277</v>
      </c>
      <c r="DW41" s="58">
        <v>14</v>
      </c>
      <c r="DX41" s="58">
        <v>36.818993587597156</v>
      </c>
      <c r="DY41" s="58">
        <v>-37.818993587597156</v>
      </c>
      <c r="DZ41" s="58">
        <v>-0.13482285363708404</v>
      </c>
    </row>
    <row r="42" spans="1:130">
      <c r="A42" s="63" t="s">
        <v>73</v>
      </c>
      <c r="B42">
        <v>2242</v>
      </c>
      <c r="C42">
        <v>2560.44</v>
      </c>
      <c r="D42">
        <v>2568.9899999999998</v>
      </c>
      <c r="E42">
        <v>1087.18</v>
      </c>
      <c r="F42">
        <v>1316.51</v>
      </c>
      <c r="G42">
        <v>1475.3500000000001</v>
      </c>
      <c r="H42">
        <v>0.48491525423728815</v>
      </c>
      <c r="I42">
        <v>0.51417334520629265</v>
      </c>
      <c r="J42">
        <v>0.57429184231935515</v>
      </c>
      <c r="K42">
        <v>285</v>
      </c>
      <c r="L42">
        <v>193.8</v>
      </c>
      <c r="M42" s="354">
        <f t="shared" si="68"/>
        <v>1293.0133333333333</v>
      </c>
      <c r="X42">
        <v>0.48491525423728815</v>
      </c>
      <c r="AB42" s="63">
        <v>3.1440677966101692E-2</v>
      </c>
      <c r="AC42" s="156">
        <v>0.10627118644067796</v>
      </c>
      <c r="AD42" s="156">
        <v>0.10533898305084745</v>
      </c>
      <c r="AE42" s="156">
        <v>9.6949152542372893E-2</v>
      </c>
      <c r="AF42" s="156">
        <v>7.6271186440677971E-2</v>
      </c>
      <c r="AG42" s="63">
        <v>9.8813559322033839E-2</v>
      </c>
      <c r="AM42">
        <v>-18.43</v>
      </c>
      <c r="AN42">
        <v>298.3</v>
      </c>
      <c r="AO42">
        <v>-66.88</v>
      </c>
      <c r="AP42">
        <v>1087.18</v>
      </c>
      <c r="AQ42">
        <v>1316.51</v>
      </c>
      <c r="AR42">
        <v>1475.3500000000001</v>
      </c>
      <c r="AS42" s="25">
        <f t="shared" si="17"/>
        <v>1</v>
      </c>
      <c r="AT42" s="25">
        <f t="shared" si="66"/>
        <v>1</v>
      </c>
      <c r="AU42" s="25">
        <f t="shared" si="67"/>
        <v>1</v>
      </c>
      <c r="AV42" s="25">
        <f t="shared" si="18"/>
        <v>0</v>
      </c>
      <c r="AW42" s="25">
        <f t="shared" si="19"/>
        <v>1</v>
      </c>
      <c r="AX42" s="25">
        <f t="shared" si="20"/>
        <v>0</v>
      </c>
      <c r="AY42" s="25">
        <f t="shared" si="21"/>
        <v>1</v>
      </c>
      <c r="AZ42" s="25">
        <f t="shared" si="22"/>
        <v>2</v>
      </c>
      <c r="BA42" s="25">
        <f t="shared" si="23"/>
        <v>1</v>
      </c>
      <c r="BB42" s="339">
        <f t="shared" si="24"/>
        <v>0</v>
      </c>
      <c r="BC42" s="340">
        <f t="shared" si="25"/>
        <v>1</v>
      </c>
      <c r="BD42" s="341">
        <f t="shared" si="26"/>
        <v>0</v>
      </c>
      <c r="BE42" s="25">
        <f t="shared" si="27"/>
        <v>1</v>
      </c>
      <c r="BF42" s="25">
        <f t="shared" si="28"/>
        <v>0</v>
      </c>
      <c r="BG42" s="25">
        <f t="shared" si="29"/>
        <v>1</v>
      </c>
      <c r="BH42" s="25">
        <f t="shared" si="30"/>
        <v>2</v>
      </c>
      <c r="BI42" s="25">
        <f t="shared" si="31"/>
        <v>1</v>
      </c>
      <c r="BJ42" s="25">
        <f t="shared" si="32"/>
        <v>2</v>
      </c>
      <c r="BK42" s="351">
        <f t="shared" si="33"/>
        <v>1</v>
      </c>
      <c r="BL42" s="352">
        <f t="shared" si="34"/>
        <v>0</v>
      </c>
      <c r="BM42" s="353">
        <f t="shared" si="35"/>
        <v>1</v>
      </c>
      <c r="BN42" s="25">
        <f t="shared" si="36"/>
        <v>0</v>
      </c>
      <c r="BO42" s="25">
        <f t="shared" si="37"/>
        <v>0</v>
      </c>
      <c r="BP42" s="25">
        <f t="shared" si="38"/>
        <v>0</v>
      </c>
      <c r="BQ42" s="25">
        <f t="shared" si="39"/>
        <v>1</v>
      </c>
      <c r="BR42" s="25">
        <f t="shared" si="40"/>
        <v>1</v>
      </c>
      <c r="BS42" s="25">
        <f t="shared" si="41"/>
        <v>1</v>
      </c>
      <c r="BT42" s="345">
        <f t="shared" si="42"/>
        <v>0</v>
      </c>
      <c r="BU42" s="346">
        <f t="shared" si="43"/>
        <v>0</v>
      </c>
      <c r="BV42" s="347">
        <f t="shared" si="44"/>
        <v>0</v>
      </c>
      <c r="BX42" s="345">
        <f t="shared" si="45"/>
        <v>0</v>
      </c>
      <c r="BY42" s="345">
        <f t="shared" si="46"/>
        <v>0</v>
      </c>
      <c r="BZ42" s="345">
        <f t="shared" si="47"/>
        <v>0</v>
      </c>
      <c r="CA42" s="382">
        <f t="shared" si="48"/>
        <v>0</v>
      </c>
      <c r="CB42" s="382">
        <f t="shared" si="49"/>
        <v>0</v>
      </c>
      <c r="CC42" s="382">
        <f t="shared" si="50"/>
        <v>0</v>
      </c>
      <c r="CD42" s="385">
        <f t="shared" si="51"/>
        <v>0</v>
      </c>
      <c r="CE42" s="385">
        <f t="shared" si="52"/>
        <v>0</v>
      </c>
      <c r="CF42" s="385">
        <f t="shared" si="53"/>
        <v>0</v>
      </c>
      <c r="CG42" s="377">
        <f t="shared" si="54"/>
        <v>0</v>
      </c>
      <c r="CH42" s="377">
        <f t="shared" si="55"/>
        <v>0</v>
      </c>
      <c r="CI42" s="377">
        <f t="shared" si="56"/>
        <v>0</v>
      </c>
      <c r="CK42">
        <v>1087.18</v>
      </c>
      <c r="CL42">
        <v>-18.43</v>
      </c>
      <c r="CN42" s="25">
        <f t="shared" si="57"/>
        <v>0</v>
      </c>
      <c r="CO42" s="25">
        <f t="shared" si="58"/>
        <v>1</v>
      </c>
      <c r="CP42" s="25">
        <f t="shared" si="59"/>
        <v>0</v>
      </c>
      <c r="CQ42" s="25">
        <f t="shared" si="60"/>
        <v>1</v>
      </c>
      <c r="CR42" s="25">
        <f t="shared" si="61"/>
        <v>0</v>
      </c>
      <c r="CS42" s="25">
        <f t="shared" si="62"/>
        <v>1</v>
      </c>
      <c r="CT42" s="25">
        <f t="shared" si="63"/>
        <v>0</v>
      </c>
      <c r="CU42" s="25">
        <f t="shared" si="64"/>
        <v>0</v>
      </c>
      <c r="CV42" s="25">
        <f t="shared" si="65"/>
        <v>0</v>
      </c>
      <c r="DC42" s="58">
        <v>15</v>
      </c>
      <c r="DD42" s="58">
        <v>36.145817223701101</v>
      </c>
      <c r="DE42" s="58">
        <v>-750.1458172237011</v>
      </c>
      <c r="DF42" s="58">
        <v>-2.6742329747026892</v>
      </c>
      <c r="DH42" s="58">
        <v>5.1971326164874556</v>
      </c>
      <c r="DI42" s="58">
        <v>-270</v>
      </c>
      <c r="DW42" s="58">
        <v>15</v>
      </c>
      <c r="DX42" s="58">
        <v>36.145817223701101</v>
      </c>
      <c r="DY42" s="58">
        <v>-750.1458172237011</v>
      </c>
      <c r="DZ42" s="58">
        <v>-2.6742329747026892</v>
      </c>
    </row>
    <row r="43" spans="1:130">
      <c r="A43" s="63" t="s">
        <v>74</v>
      </c>
      <c r="B43">
        <v>173</v>
      </c>
      <c r="C43">
        <v>182</v>
      </c>
      <c r="D43">
        <v>152</v>
      </c>
      <c r="E43">
        <v>60</v>
      </c>
      <c r="F43">
        <v>0</v>
      </c>
      <c r="G43">
        <v>0</v>
      </c>
      <c r="H43">
        <v>0.34682080924855491</v>
      </c>
      <c r="I43">
        <v>0</v>
      </c>
      <c r="J43">
        <v>0</v>
      </c>
      <c r="K43">
        <v>100</v>
      </c>
      <c r="L43">
        <v>20</v>
      </c>
      <c r="M43" s="354">
        <f t="shared" si="68"/>
        <v>20</v>
      </c>
      <c r="X43">
        <v>0.34682080924855491</v>
      </c>
      <c r="AB43" s="63">
        <v>0</v>
      </c>
      <c r="AC43" s="156">
        <v>0.32947976878612717</v>
      </c>
      <c r="AD43" s="156">
        <v>1.1560693641618497E-2</v>
      </c>
      <c r="AE43" s="156">
        <v>5.2023121387283239E-2</v>
      </c>
      <c r="AF43" s="156">
        <v>0.26011560693641617</v>
      </c>
      <c r="AG43" s="63">
        <v>0</v>
      </c>
      <c r="AM43">
        <v>33</v>
      </c>
      <c r="AN43">
        <v>2</v>
      </c>
      <c r="AO43">
        <v>-8</v>
      </c>
      <c r="AP43">
        <v>60</v>
      </c>
      <c r="AQ43">
        <v>0</v>
      </c>
      <c r="AR43">
        <v>0</v>
      </c>
      <c r="AS43" s="25">
        <f t="shared" si="17"/>
        <v>1</v>
      </c>
      <c r="AT43" s="25">
        <f t="shared" si="66"/>
        <v>0</v>
      </c>
      <c r="AU43" s="25">
        <f t="shared" si="67"/>
        <v>0</v>
      </c>
      <c r="AV43" s="25">
        <f t="shared" si="18"/>
        <v>1</v>
      </c>
      <c r="AW43" s="25">
        <f t="shared" si="19"/>
        <v>1</v>
      </c>
      <c r="AX43" s="25">
        <f t="shared" si="20"/>
        <v>0</v>
      </c>
      <c r="AY43" s="25">
        <f t="shared" si="21"/>
        <v>2</v>
      </c>
      <c r="AZ43" s="25">
        <f t="shared" si="22"/>
        <v>1</v>
      </c>
      <c r="BA43" s="25">
        <f t="shared" si="23"/>
        <v>0</v>
      </c>
      <c r="BB43" s="339">
        <f t="shared" si="24"/>
        <v>1</v>
      </c>
      <c r="BC43" s="340">
        <f t="shared" si="25"/>
        <v>0</v>
      </c>
      <c r="BD43" s="341">
        <f t="shared" si="26"/>
        <v>0</v>
      </c>
      <c r="BE43" s="25">
        <f t="shared" si="27"/>
        <v>0</v>
      </c>
      <c r="BF43" s="25">
        <f t="shared" si="28"/>
        <v>0</v>
      </c>
      <c r="BG43" s="25">
        <f t="shared" si="29"/>
        <v>1</v>
      </c>
      <c r="BH43" s="25">
        <f t="shared" si="30"/>
        <v>1</v>
      </c>
      <c r="BI43" s="25">
        <f t="shared" si="31"/>
        <v>0</v>
      </c>
      <c r="BJ43" s="25">
        <f t="shared" si="32"/>
        <v>1</v>
      </c>
      <c r="BK43" s="351">
        <f t="shared" si="33"/>
        <v>0</v>
      </c>
      <c r="BL43" s="352">
        <f t="shared" si="34"/>
        <v>0</v>
      </c>
      <c r="BM43" s="353">
        <f t="shared" si="35"/>
        <v>0</v>
      </c>
      <c r="BN43" s="25">
        <f t="shared" si="36"/>
        <v>0</v>
      </c>
      <c r="BO43" s="25">
        <f t="shared" si="37"/>
        <v>0</v>
      </c>
      <c r="BP43" s="25">
        <f t="shared" si="38"/>
        <v>0</v>
      </c>
      <c r="BQ43" s="25">
        <f t="shared" si="39"/>
        <v>1</v>
      </c>
      <c r="BR43" s="25">
        <f t="shared" si="40"/>
        <v>0</v>
      </c>
      <c r="BS43" s="25">
        <f t="shared" si="41"/>
        <v>0</v>
      </c>
      <c r="BT43" s="345">
        <f t="shared" si="42"/>
        <v>0</v>
      </c>
      <c r="BU43" s="346">
        <f t="shared" si="43"/>
        <v>0</v>
      </c>
      <c r="BV43" s="347">
        <f t="shared" si="44"/>
        <v>0</v>
      </c>
      <c r="BX43" s="345">
        <f t="shared" si="45"/>
        <v>0</v>
      </c>
      <c r="BY43" s="345">
        <f t="shared" si="46"/>
        <v>1</v>
      </c>
      <c r="BZ43" s="345">
        <f t="shared" si="47"/>
        <v>0</v>
      </c>
      <c r="CA43" s="382">
        <f t="shared" si="48"/>
        <v>0</v>
      </c>
      <c r="CB43" s="382">
        <f t="shared" si="49"/>
        <v>0</v>
      </c>
      <c r="CC43" s="382">
        <f t="shared" si="50"/>
        <v>1</v>
      </c>
      <c r="CD43" s="385">
        <f t="shared" si="51"/>
        <v>0</v>
      </c>
      <c r="CE43" s="385">
        <f t="shared" si="52"/>
        <v>0</v>
      </c>
      <c r="CF43" s="385">
        <f t="shared" si="53"/>
        <v>0</v>
      </c>
      <c r="CG43" s="377">
        <f t="shared" si="54"/>
        <v>0</v>
      </c>
      <c r="CH43" s="377">
        <f t="shared" si="55"/>
        <v>1</v>
      </c>
      <c r="CI43" s="377">
        <f t="shared" si="56"/>
        <v>1</v>
      </c>
      <c r="CK43">
        <v>60</v>
      </c>
      <c r="CL43">
        <v>33</v>
      </c>
      <c r="CN43" s="25">
        <f t="shared" si="57"/>
        <v>1</v>
      </c>
      <c r="CO43" s="25">
        <f t="shared" si="58"/>
        <v>2</v>
      </c>
      <c r="CP43" s="25">
        <f t="shared" si="59"/>
        <v>1</v>
      </c>
      <c r="CQ43" s="25">
        <f t="shared" si="60"/>
        <v>0</v>
      </c>
      <c r="CR43" s="25">
        <f t="shared" si="61"/>
        <v>1</v>
      </c>
      <c r="CS43" s="25">
        <f t="shared" si="62"/>
        <v>2</v>
      </c>
      <c r="CT43" s="25">
        <f t="shared" si="63"/>
        <v>0</v>
      </c>
      <c r="CU43" s="25">
        <f t="shared" si="64"/>
        <v>1</v>
      </c>
      <c r="CV43" s="25">
        <f t="shared" si="65"/>
        <v>1</v>
      </c>
      <c r="DC43" s="58">
        <v>16</v>
      </c>
      <c r="DD43" s="58">
        <v>36.145817223701101</v>
      </c>
      <c r="DE43" s="58">
        <v>7.8541827762988987</v>
      </c>
      <c r="DF43" s="58">
        <v>2.7999775626899013E-2</v>
      </c>
      <c r="DH43" s="58">
        <v>5.5555555555555554</v>
      </c>
      <c r="DI43" s="58">
        <v>-256</v>
      </c>
      <c r="DW43" s="58">
        <v>16</v>
      </c>
      <c r="DX43" s="58">
        <v>36.145817223701101</v>
      </c>
      <c r="DY43" s="58">
        <v>7.8541827762988987</v>
      </c>
      <c r="DZ43" s="58">
        <v>2.7999775626899013E-2</v>
      </c>
    </row>
    <row r="44" spans="1:130">
      <c r="A44" s="63" t="s">
        <v>83</v>
      </c>
      <c r="B44">
        <v>1251</v>
      </c>
      <c r="C44">
        <v>1323</v>
      </c>
      <c r="D44">
        <v>1157</v>
      </c>
      <c r="E44">
        <v>719</v>
      </c>
      <c r="F44">
        <v>828</v>
      </c>
      <c r="G44">
        <v>662</v>
      </c>
      <c r="H44">
        <v>0.57474020783373303</v>
      </c>
      <c r="I44">
        <v>0.62585034013605445</v>
      </c>
      <c r="J44">
        <v>0.57216940363007773</v>
      </c>
      <c r="K44">
        <v>180</v>
      </c>
      <c r="L44">
        <v>81</v>
      </c>
      <c r="M44" s="354">
        <f t="shared" si="68"/>
        <v>736.33333333333337</v>
      </c>
      <c r="X44">
        <v>0.57474020783373303</v>
      </c>
      <c r="AB44" s="63">
        <v>0</v>
      </c>
      <c r="AC44" s="156">
        <v>1.5987210231814548E-2</v>
      </c>
      <c r="AD44" s="156">
        <v>0.10471622701838529</v>
      </c>
      <c r="AE44" s="156">
        <v>2.2382094324540368E-2</v>
      </c>
      <c r="AF44" s="156">
        <v>0.27258193445243806</v>
      </c>
      <c r="AG44" s="63">
        <v>9.5923261390886694E-3</v>
      </c>
      <c r="AM44">
        <v>-133</v>
      </c>
      <c r="AN44">
        <v>282</v>
      </c>
      <c r="AO44">
        <v>-62</v>
      </c>
      <c r="AP44">
        <v>719</v>
      </c>
      <c r="AQ44">
        <v>828</v>
      </c>
      <c r="AR44">
        <v>662</v>
      </c>
      <c r="AS44" s="25">
        <f t="shared" si="17"/>
        <v>1</v>
      </c>
      <c r="AT44" s="25">
        <f t="shared" si="66"/>
        <v>1</v>
      </c>
      <c r="AU44" s="25">
        <f t="shared" si="67"/>
        <v>1</v>
      </c>
      <c r="AV44" s="25">
        <f t="shared" si="18"/>
        <v>0</v>
      </c>
      <c r="AW44" s="25">
        <f t="shared" si="19"/>
        <v>1</v>
      </c>
      <c r="AX44" s="25">
        <f t="shared" si="20"/>
        <v>0</v>
      </c>
      <c r="AY44" s="25">
        <f t="shared" si="21"/>
        <v>1</v>
      </c>
      <c r="AZ44" s="25">
        <f t="shared" si="22"/>
        <v>2</v>
      </c>
      <c r="BA44" s="25">
        <f t="shared" si="23"/>
        <v>1</v>
      </c>
      <c r="BB44" s="339">
        <f t="shared" si="24"/>
        <v>0</v>
      </c>
      <c r="BC44" s="340">
        <f t="shared" si="25"/>
        <v>1</v>
      </c>
      <c r="BD44" s="341">
        <f t="shared" si="26"/>
        <v>0</v>
      </c>
      <c r="BE44" s="25">
        <f t="shared" si="27"/>
        <v>1</v>
      </c>
      <c r="BF44" s="25">
        <f t="shared" si="28"/>
        <v>0</v>
      </c>
      <c r="BG44" s="25">
        <f t="shared" si="29"/>
        <v>1</v>
      </c>
      <c r="BH44" s="25">
        <f t="shared" si="30"/>
        <v>2</v>
      </c>
      <c r="BI44" s="25">
        <f t="shared" si="31"/>
        <v>1</v>
      </c>
      <c r="BJ44" s="25">
        <f t="shared" si="32"/>
        <v>2</v>
      </c>
      <c r="BK44" s="351">
        <f t="shared" si="33"/>
        <v>1</v>
      </c>
      <c r="BL44" s="352">
        <f t="shared" si="34"/>
        <v>0</v>
      </c>
      <c r="BM44" s="353">
        <f t="shared" si="35"/>
        <v>1</v>
      </c>
      <c r="BN44" s="25">
        <f t="shared" si="36"/>
        <v>0</v>
      </c>
      <c r="BO44" s="25">
        <f t="shared" si="37"/>
        <v>0</v>
      </c>
      <c r="BP44" s="25">
        <f t="shared" si="38"/>
        <v>0</v>
      </c>
      <c r="BQ44" s="25">
        <f t="shared" si="39"/>
        <v>1</v>
      </c>
      <c r="BR44" s="25">
        <f t="shared" si="40"/>
        <v>1</v>
      </c>
      <c r="BS44" s="25">
        <f t="shared" si="41"/>
        <v>1</v>
      </c>
      <c r="BT44" s="345">
        <f t="shared" si="42"/>
        <v>0</v>
      </c>
      <c r="BU44" s="346">
        <f t="shared" si="43"/>
        <v>0</v>
      </c>
      <c r="BV44" s="347">
        <f t="shared" si="44"/>
        <v>0</v>
      </c>
      <c r="BX44" s="345">
        <f t="shared" si="45"/>
        <v>0</v>
      </c>
      <c r="BY44" s="345">
        <f t="shared" si="46"/>
        <v>0</v>
      </c>
      <c r="BZ44" s="345">
        <f t="shared" si="47"/>
        <v>0</v>
      </c>
      <c r="CA44" s="382">
        <f t="shared" si="48"/>
        <v>0</v>
      </c>
      <c r="CB44" s="382">
        <f t="shared" si="49"/>
        <v>0</v>
      </c>
      <c r="CC44" s="382">
        <f t="shared" si="50"/>
        <v>0</v>
      </c>
      <c r="CD44" s="385">
        <f t="shared" si="51"/>
        <v>0</v>
      </c>
      <c r="CE44" s="385">
        <f t="shared" si="52"/>
        <v>0</v>
      </c>
      <c r="CF44" s="385">
        <f t="shared" si="53"/>
        <v>0</v>
      </c>
      <c r="CG44" s="377">
        <f t="shared" si="54"/>
        <v>0</v>
      </c>
      <c r="CH44" s="377">
        <f t="shared" si="55"/>
        <v>0</v>
      </c>
      <c r="CI44" s="377">
        <f t="shared" si="56"/>
        <v>0</v>
      </c>
      <c r="CK44">
        <v>719</v>
      </c>
      <c r="CL44">
        <v>-133</v>
      </c>
      <c r="CN44" s="25">
        <f t="shared" si="57"/>
        <v>0</v>
      </c>
      <c r="CO44" s="25">
        <f t="shared" si="58"/>
        <v>1</v>
      </c>
      <c r="CP44" s="25">
        <f t="shared" si="59"/>
        <v>0</v>
      </c>
      <c r="CQ44" s="25">
        <f t="shared" si="60"/>
        <v>1</v>
      </c>
      <c r="CR44" s="25">
        <f t="shared" si="61"/>
        <v>0</v>
      </c>
      <c r="CS44" s="25">
        <f t="shared" si="62"/>
        <v>1</v>
      </c>
      <c r="CT44" s="25">
        <f t="shared" si="63"/>
        <v>0</v>
      </c>
      <c r="CU44" s="25">
        <f t="shared" si="64"/>
        <v>0</v>
      </c>
      <c r="CV44" s="25">
        <f t="shared" si="65"/>
        <v>0</v>
      </c>
      <c r="DC44" s="58">
        <v>17</v>
      </c>
      <c r="DD44" s="58">
        <v>36.145817223701101</v>
      </c>
      <c r="DE44" s="58">
        <v>-120.1458172237011</v>
      </c>
      <c r="DF44" s="58">
        <v>-0.42831393419128999</v>
      </c>
      <c r="DH44" s="58">
        <v>5.913978494623656</v>
      </c>
      <c r="DI44" s="58">
        <v>-253</v>
      </c>
      <c r="DW44" s="58">
        <v>17</v>
      </c>
      <c r="DX44" s="58">
        <v>36.145817223701101</v>
      </c>
      <c r="DY44" s="58">
        <v>-120.1458172237011</v>
      </c>
      <c r="DZ44" s="58">
        <v>-0.42831393419128999</v>
      </c>
    </row>
    <row r="45" spans="1:130">
      <c r="A45" s="63" t="s">
        <v>84</v>
      </c>
      <c r="B45">
        <v>618</v>
      </c>
      <c r="C45">
        <v>558</v>
      </c>
      <c r="D45">
        <v>584</v>
      </c>
      <c r="E45">
        <v>0</v>
      </c>
      <c r="F45">
        <v>258</v>
      </c>
      <c r="G45">
        <v>106</v>
      </c>
      <c r="H45">
        <v>0</v>
      </c>
      <c r="I45">
        <v>0.46236559139784944</v>
      </c>
      <c r="J45">
        <v>0.1815068493150685</v>
      </c>
      <c r="K45">
        <v>90</v>
      </c>
      <c r="L45">
        <v>36</v>
      </c>
      <c r="M45" s="354">
        <f t="shared" si="68"/>
        <v>121.33333333333333</v>
      </c>
      <c r="X45">
        <v>0</v>
      </c>
      <c r="AB45" s="63">
        <v>0</v>
      </c>
      <c r="AC45" s="156">
        <v>0</v>
      </c>
      <c r="AD45" s="156">
        <v>0</v>
      </c>
      <c r="AE45" s="156">
        <v>0.42718446601941745</v>
      </c>
      <c r="AF45" s="156">
        <v>0.11003236245954692</v>
      </c>
      <c r="AG45" s="63">
        <v>0.46278317152103565</v>
      </c>
      <c r="AM45">
        <v>1</v>
      </c>
      <c r="AN45">
        <v>-92</v>
      </c>
      <c r="AO45">
        <v>59</v>
      </c>
      <c r="AP45">
        <v>0</v>
      </c>
      <c r="AQ45">
        <v>258</v>
      </c>
      <c r="AR45">
        <v>106</v>
      </c>
      <c r="AS45" s="25">
        <f t="shared" si="17"/>
        <v>0</v>
      </c>
      <c r="AT45" s="25">
        <f t="shared" si="66"/>
        <v>1</v>
      </c>
      <c r="AU45" s="25">
        <f t="shared" si="67"/>
        <v>1</v>
      </c>
      <c r="AV45" s="25">
        <f t="shared" si="18"/>
        <v>1</v>
      </c>
      <c r="AW45" s="25">
        <f t="shared" si="19"/>
        <v>0</v>
      </c>
      <c r="AX45" s="25">
        <f t="shared" si="20"/>
        <v>1</v>
      </c>
      <c r="AY45" s="25">
        <f t="shared" si="21"/>
        <v>1</v>
      </c>
      <c r="AZ45" s="25">
        <f t="shared" si="22"/>
        <v>1</v>
      </c>
      <c r="BA45" s="25">
        <f t="shared" si="23"/>
        <v>2</v>
      </c>
      <c r="BB45" s="339">
        <f t="shared" si="24"/>
        <v>0</v>
      </c>
      <c r="BC45" s="340">
        <f t="shared" si="25"/>
        <v>0</v>
      </c>
      <c r="BD45" s="341">
        <f t="shared" si="26"/>
        <v>1</v>
      </c>
      <c r="BE45" s="25">
        <f t="shared" si="27"/>
        <v>0</v>
      </c>
      <c r="BF45" s="25">
        <f t="shared" si="28"/>
        <v>1</v>
      </c>
      <c r="BG45" s="25">
        <f t="shared" si="29"/>
        <v>0</v>
      </c>
      <c r="BH45" s="25">
        <f t="shared" si="30"/>
        <v>0</v>
      </c>
      <c r="BI45" s="25">
        <f t="shared" si="31"/>
        <v>2</v>
      </c>
      <c r="BJ45" s="25">
        <f t="shared" si="32"/>
        <v>1</v>
      </c>
      <c r="BK45" s="351">
        <f t="shared" si="33"/>
        <v>0</v>
      </c>
      <c r="BL45" s="352">
        <f t="shared" si="34"/>
        <v>1</v>
      </c>
      <c r="BM45" s="353">
        <f t="shared" si="35"/>
        <v>0</v>
      </c>
      <c r="BN45" s="25">
        <f t="shared" si="36"/>
        <v>0</v>
      </c>
      <c r="BO45" s="25">
        <f t="shared" si="37"/>
        <v>0</v>
      </c>
      <c r="BP45" s="25">
        <f t="shared" si="38"/>
        <v>0</v>
      </c>
      <c r="BQ45" s="25">
        <f t="shared" si="39"/>
        <v>0</v>
      </c>
      <c r="BR45" s="25">
        <f t="shared" si="40"/>
        <v>1</v>
      </c>
      <c r="BS45" s="25">
        <f t="shared" si="41"/>
        <v>1</v>
      </c>
      <c r="BT45" s="345">
        <f t="shared" si="42"/>
        <v>0</v>
      </c>
      <c r="BU45" s="346">
        <f t="shared" si="43"/>
        <v>0</v>
      </c>
      <c r="BV45" s="347">
        <f t="shared" si="44"/>
        <v>0</v>
      </c>
      <c r="BX45" s="345">
        <f t="shared" si="45"/>
        <v>1</v>
      </c>
      <c r="BY45" s="345">
        <f t="shared" si="46"/>
        <v>0</v>
      </c>
      <c r="BZ45" s="345">
        <f t="shared" si="47"/>
        <v>0</v>
      </c>
      <c r="CA45" s="382">
        <f t="shared" si="48"/>
        <v>0</v>
      </c>
      <c r="CB45" s="382">
        <f t="shared" si="49"/>
        <v>0</v>
      </c>
      <c r="CC45" s="382">
        <f t="shared" si="50"/>
        <v>0</v>
      </c>
      <c r="CD45" s="385">
        <f t="shared" si="51"/>
        <v>0</v>
      </c>
      <c r="CE45" s="385">
        <f t="shared" si="52"/>
        <v>0</v>
      </c>
      <c r="CF45" s="385">
        <f t="shared" si="53"/>
        <v>0</v>
      </c>
      <c r="CG45" s="377">
        <f t="shared" si="54"/>
        <v>1</v>
      </c>
      <c r="CH45" s="377">
        <f t="shared" si="55"/>
        <v>0</v>
      </c>
      <c r="CI45" s="377">
        <f t="shared" si="56"/>
        <v>0</v>
      </c>
      <c r="CK45">
        <v>0</v>
      </c>
      <c r="CL45">
        <v>1</v>
      </c>
      <c r="CN45" s="25">
        <f t="shared" si="57"/>
        <v>2</v>
      </c>
      <c r="CO45" s="25">
        <f t="shared" si="58"/>
        <v>0</v>
      </c>
      <c r="CP45" s="25">
        <f t="shared" si="59"/>
        <v>1</v>
      </c>
      <c r="CQ45" s="25">
        <f t="shared" si="60"/>
        <v>1</v>
      </c>
      <c r="CR45" s="25">
        <f t="shared" si="61"/>
        <v>1</v>
      </c>
      <c r="CS45" s="25">
        <f t="shared" si="62"/>
        <v>0</v>
      </c>
      <c r="CT45" s="25">
        <f t="shared" si="63"/>
        <v>1</v>
      </c>
      <c r="CU45" s="25">
        <f t="shared" si="64"/>
        <v>0</v>
      </c>
      <c r="CV45" s="25">
        <f t="shared" si="65"/>
        <v>0</v>
      </c>
      <c r="DC45" s="58">
        <v>18</v>
      </c>
      <c r="DD45" s="58">
        <v>46.723058495672433</v>
      </c>
      <c r="DE45" s="58">
        <v>-32.367918308756543</v>
      </c>
      <c r="DF45" s="58">
        <v>-0.11539003814500609</v>
      </c>
      <c r="DH45" s="58">
        <v>6.2724014336917566</v>
      </c>
      <c r="DI45" s="58">
        <v>-244</v>
      </c>
      <c r="DW45" s="58">
        <v>18</v>
      </c>
      <c r="DX45" s="58">
        <v>46.723058495672433</v>
      </c>
      <c r="DY45" s="58">
        <v>-32.367918308756543</v>
      </c>
      <c r="DZ45" s="58">
        <v>-0.11539003814500609</v>
      </c>
    </row>
    <row r="46" spans="1:130">
      <c r="A46" s="63" t="s">
        <v>85</v>
      </c>
      <c r="B46">
        <v>386</v>
      </c>
      <c r="C46">
        <v>448</v>
      </c>
      <c r="D46">
        <v>540</v>
      </c>
      <c r="E46">
        <v>145</v>
      </c>
      <c r="F46">
        <v>216</v>
      </c>
      <c r="G46">
        <v>296</v>
      </c>
      <c r="H46">
        <v>0.37564766839378239</v>
      </c>
      <c r="I46">
        <v>0.48214285714285715</v>
      </c>
      <c r="J46">
        <v>0.54814814814814816</v>
      </c>
      <c r="K46">
        <v>80</v>
      </c>
      <c r="L46">
        <v>40</v>
      </c>
      <c r="M46" s="354">
        <f t="shared" si="68"/>
        <v>219</v>
      </c>
      <c r="X46">
        <v>0.37564766839378239</v>
      </c>
      <c r="AB46" s="63">
        <v>5.4404145077720206E-2</v>
      </c>
      <c r="AC46" s="156">
        <v>0.26424870466321243</v>
      </c>
      <c r="AD46" s="156">
        <v>7.512953367875648E-2</v>
      </c>
      <c r="AE46" s="156">
        <v>0.22538860103626943</v>
      </c>
      <c r="AF46" s="156">
        <v>0</v>
      </c>
      <c r="AG46" s="63">
        <v>5.1813471502589747E-3</v>
      </c>
      <c r="AM46">
        <v>-22</v>
      </c>
      <c r="AN46">
        <v>-1</v>
      </c>
      <c r="AO46">
        <v>-17</v>
      </c>
      <c r="AP46">
        <v>145</v>
      </c>
      <c r="AQ46">
        <v>216</v>
      </c>
      <c r="AR46">
        <v>296</v>
      </c>
      <c r="AS46" s="25">
        <f t="shared" si="17"/>
        <v>1</v>
      </c>
      <c r="AT46" s="25">
        <f t="shared" si="66"/>
        <v>1</v>
      </c>
      <c r="AU46" s="25">
        <f t="shared" si="67"/>
        <v>1</v>
      </c>
      <c r="AV46" s="25">
        <f t="shared" si="18"/>
        <v>0</v>
      </c>
      <c r="AW46" s="25">
        <f t="shared" si="19"/>
        <v>0</v>
      </c>
      <c r="AX46" s="25">
        <f t="shared" si="20"/>
        <v>0</v>
      </c>
      <c r="AY46" s="25">
        <f t="shared" si="21"/>
        <v>1</v>
      </c>
      <c r="AZ46" s="25">
        <f t="shared" si="22"/>
        <v>1</v>
      </c>
      <c r="BA46" s="25">
        <f t="shared" si="23"/>
        <v>1</v>
      </c>
      <c r="BB46" s="339">
        <f t="shared" si="24"/>
        <v>0</v>
      </c>
      <c r="BC46" s="340">
        <f t="shared" si="25"/>
        <v>0</v>
      </c>
      <c r="BD46" s="341">
        <f t="shared" si="26"/>
        <v>0</v>
      </c>
      <c r="BE46" s="25">
        <f t="shared" si="27"/>
        <v>1</v>
      </c>
      <c r="BF46" s="25">
        <f t="shared" si="28"/>
        <v>1</v>
      </c>
      <c r="BG46" s="25">
        <f t="shared" si="29"/>
        <v>1</v>
      </c>
      <c r="BH46" s="25">
        <f t="shared" si="30"/>
        <v>2</v>
      </c>
      <c r="BI46" s="25">
        <f t="shared" si="31"/>
        <v>2</v>
      </c>
      <c r="BJ46" s="25">
        <f t="shared" si="32"/>
        <v>2</v>
      </c>
      <c r="BK46" s="351">
        <f t="shared" si="33"/>
        <v>1</v>
      </c>
      <c r="BL46" s="352">
        <f t="shared" si="34"/>
        <v>1</v>
      </c>
      <c r="BM46" s="353">
        <f t="shared" si="35"/>
        <v>1</v>
      </c>
      <c r="BN46" s="25">
        <f t="shared" si="36"/>
        <v>0</v>
      </c>
      <c r="BO46" s="25">
        <f t="shared" si="37"/>
        <v>0</v>
      </c>
      <c r="BP46" s="25">
        <f t="shared" si="38"/>
        <v>0</v>
      </c>
      <c r="BQ46" s="25">
        <f t="shared" si="39"/>
        <v>1</v>
      </c>
      <c r="BR46" s="25">
        <f t="shared" si="40"/>
        <v>1</v>
      </c>
      <c r="BS46" s="25">
        <f t="shared" si="41"/>
        <v>1</v>
      </c>
      <c r="BT46" s="345">
        <f t="shared" si="42"/>
        <v>0</v>
      </c>
      <c r="BU46" s="346">
        <f t="shared" si="43"/>
        <v>0</v>
      </c>
      <c r="BV46" s="347">
        <f t="shared" si="44"/>
        <v>0</v>
      </c>
      <c r="BX46" s="345">
        <f t="shared" si="45"/>
        <v>0</v>
      </c>
      <c r="BY46" s="345">
        <f t="shared" si="46"/>
        <v>0</v>
      </c>
      <c r="BZ46" s="345">
        <f t="shared" si="47"/>
        <v>0</v>
      </c>
      <c r="CA46" s="382">
        <f t="shared" si="48"/>
        <v>0</v>
      </c>
      <c r="CB46" s="382">
        <f t="shared" si="49"/>
        <v>0</v>
      </c>
      <c r="CC46" s="382">
        <f t="shared" si="50"/>
        <v>0</v>
      </c>
      <c r="CD46" s="385">
        <f t="shared" si="51"/>
        <v>0</v>
      </c>
      <c r="CE46" s="385">
        <f t="shared" si="52"/>
        <v>0</v>
      </c>
      <c r="CF46" s="385">
        <f t="shared" si="53"/>
        <v>0</v>
      </c>
      <c r="CG46" s="377">
        <f t="shared" si="54"/>
        <v>0</v>
      </c>
      <c r="CH46" s="377">
        <f t="shared" si="55"/>
        <v>0</v>
      </c>
      <c r="CI46" s="377">
        <f t="shared" si="56"/>
        <v>0</v>
      </c>
      <c r="CK46">
        <v>145</v>
      </c>
      <c r="CL46">
        <v>-22</v>
      </c>
      <c r="CN46" s="25">
        <f t="shared" si="57"/>
        <v>0</v>
      </c>
      <c r="CO46" s="25">
        <f t="shared" si="58"/>
        <v>0</v>
      </c>
      <c r="CP46" s="25">
        <f t="shared" si="59"/>
        <v>0</v>
      </c>
      <c r="CQ46" s="25">
        <f t="shared" si="60"/>
        <v>1</v>
      </c>
      <c r="CR46" s="25">
        <f t="shared" si="61"/>
        <v>1</v>
      </c>
      <c r="CS46" s="25">
        <f t="shared" si="62"/>
        <v>1</v>
      </c>
      <c r="CT46" s="25">
        <f t="shared" si="63"/>
        <v>0</v>
      </c>
      <c r="CU46" s="25">
        <f t="shared" si="64"/>
        <v>0</v>
      </c>
      <c r="CV46" s="25">
        <f t="shared" si="65"/>
        <v>0</v>
      </c>
      <c r="DC46" s="58">
        <v>19</v>
      </c>
      <c r="DD46" s="58">
        <v>55.460800587795525</v>
      </c>
      <c r="DE46" s="58">
        <v>-413.46080058779552</v>
      </c>
      <c r="DF46" s="58">
        <v>-1.4739674357860582</v>
      </c>
      <c r="DH46" s="58">
        <v>6.6308243727598564</v>
      </c>
      <c r="DI46" s="58">
        <v>-232</v>
      </c>
      <c r="DW46" s="58">
        <v>19</v>
      </c>
      <c r="DX46" s="58">
        <v>55.460800587795525</v>
      </c>
      <c r="DY46" s="58">
        <v>-413.46080058779552</v>
      </c>
      <c r="DZ46" s="58">
        <v>-1.4739674357860582</v>
      </c>
    </row>
    <row r="47" spans="1:130">
      <c r="A47" s="63" t="s">
        <v>86</v>
      </c>
      <c r="B47">
        <v>234</v>
      </c>
      <c r="C47">
        <v>274</v>
      </c>
      <c r="D47">
        <v>279</v>
      </c>
      <c r="E47">
        <v>45</v>
      </c>
      <c r="F47">
        <v>100</v>
      </c>
      <c r="G47">
        <v>100</v>
      </c>
      <c r="H47">
        <v>0.19230769230769232</v>
      </c>
      <c r="I47">
        <v>0.36496350364963503</v>
      </c>
      <c r="J47">
        <v>0.35842293906810035</v>
      </c>
      <c r="K47">
        <v>50</v>
      </c>
      <c r="L47">
        <v>12.5</v>
      </c>
      <c r="M47" s="354">
        <f t="shared" si="68"/>
        <v>81.666666666666671</v>
      </c>
      <c r="X47">
        <v>0.19230769230769232</v>
      </c>
      <c r="AB47" s="63">
        <v>0</v>
      </c>
      <c r="AC47" s="156">
        <v>8.9743589743589744E-2</v>
      </c>
      <c r="AD47" s="156">
        <v>1.282051282051282E-2</v>
      </c>
      <c r="AE47" s="156">
        <v>0</v>
      </c>
      <c r="AF47" s="156">
        <v>0.41025641025641024</v>
      </c>
      <c r="AG47" s="63">
        <v>0.29487179487179493</v>
      </c>
      <c r="AM47">
        <v>0</v>
      </c>
      <c r="AN47">
        <v>68</v>
      </c>
      <c r="AO47">
        <v>-62</v>
      </c>
      <c r="AP47">
        <v>45</v>
      </c>
      <c r="AQ47">
        <v>100</v>
      </c>
      <c r="AR47">
        <v>100</v>
      </c>
      <c r="AS47" s="25">
        <f t="shared" si="17"/>
        <v>1</v>
      </c>
      <c r="AT47" s="25">
        <f t="shared" si="66"/>
        <v>1</v>
      </c>
      <c r="AU47" s="25">
        <f t="shared" si="67"/>
        <v>1</v>
      </c>
      <c r="AV47" s="25">
        <f t="shared" si="18"/>
        <v>0</v>
      </c>
      <c r="AW47" s="25">
        <f t="shared" si="19"/>
        <v>1</v>
      </c>
      <c r="AX47" s="25">
        <f t="shared" si="20"/>
        <v>0</v>
      </c>
      <c r="AY47" s="25">
        <f t="shared" si="21"/>
        <v>1</v>
      </c>
      <c r="AZ47" s="25">
        <f t="shared" si="22"/>
        <v>2</v>
      </c>
      <c r="BA47" s="25">
        <f t="shared" si="23"/>
        <v>1</v>
      </c>
      <c r="BB47" s="339">
        <f t="shared" si="24"/>
        <v>0</v>
      </c>
      <c r="BC47" s="340">
        <f t="shared" si="25"/>
        <v>1</v>
      </c>
      <c r="BD47" s="341">
        <f t="shared" si="26"/>
        <v>0</v>
      </c>
      <c r="BE47" s="25">
        <f t="shared" si="27"/>
        <v>0</v>
      </c>
      <c r="BF47" s="25">
        <f t="shared" si="28"/>
        <v>0</v>
      </c>
      <c r="BG47" s="25">
        <f t="shared" si="29"/>
        <v>1</v>
      </c>
      <c r="BH47" s="25">
        <f t="shared" si="30"/>
        <v>1</v>
      </c>
      <c r="BI47" s="25">
        <f t="shared" si="31"/>
        <v>1</v>
      </c>
      <c r="BJ47" s="25">
        <f t="shared" si="32"/>
        <v>2</v>
      </c>
      <c r="BK47" s="351">
        <f t="shared" si="33"/>
        <v>0</v>
      </c>
      <c r="BL47" s="352">
        <f t="shared" si="34"/>
        <v>0</v>
      </c>
      <c r="BM47" s="353">
        <f t="shared" si="35"/>
        <v>1</v>
      </c>
      <c r="BN47" s="25">
        <f t="shared" si="36"/>
        <v>1</v>
      </c>
      <c r="BO47" s="25">
        <f t="shared" si="37"/>
        <v>0</v>
      </c>
      <c r="BP47" s="25">
        <f t="shared" si="38"/>
        <v>0</v>
      </c>
      <c r="BQ47" s="25">
        <f t="shared" si="39"/>
        <v>2</v>
      </c>
      <c r="BR47" s="25">
        <f t="shared" si="40"/>
        <v>1</v>
      </c>
      <c r="BS47" s="25">
        <f t="shared" si="41"/>
        <v>1</v>
      </c>
      <c r="BT47" s="345">
        <f t="shared" si="42"/>
        <v>1</v>
      </c>
      <c r="BU47" s="346">
        <f t="shared" si="43"/>
        <v>0</v>
      </c>
      <c r="BV47" s="347">
        <f t="shared" si="44"/>
        <v>0</v>
      </c>
      <c r="BX47" s="345">
        <f t="shared" si="45"/>
        <v>0</v>
      </c>
      <c r="BY47" s="345">
        <f t="shared" si="46"/>
        <v>0</v>
      </c>
      <c r="BZ47" s="345">
        <f t="shared" si="47"/>
        <v>0</v>
      </c>
      <c r="CA47" s="382">
        <f t="shared" si="48"/>
        <v>0</v>
      </c>
      <c r="CB47" s="382">
        <f t="shared" si="49"/>
        <v>0</v>
      </c>
      <c r="CC47" s="382">
        <f t="shared" si="50"/>
        <v>0</v>
      </c>
      <c r="CD47" s="385">
        <f t="shared" si="51"/>
        <v>0</v>
      </c>
      <c r="CE47" s="385">
        <f t="shared" si="52"/>
        <v>0</v>
      </c>
      <c r="CF47" s="385">
        <f t="shared" si="53"/>
        <v>0</v>
      </c>
      <c r="CG47" s="377">
        <f t="shared" si="54"/>
        <v>0</v>
      </c>
      <c r="CH47" s="377">
        <f t="shared" si="55"/>
        <v>0</v>
      </c>
      <c r="CI47" s="377">
        <f t="shared" si="56"/>
        <v>0</v>
      </c>
      <c r="CK47">
        <v>45</v>
      </c>
      <c r="CL47">
        <v>0</v>
      </c>
      <c r="CN47" s="25">
        <f t="shared" si="57"/>
        <v>0</v>
      </c>
      <c r="CO47" s="25">
        <f t="shared" si="58"/>
        <v>1</v>
      </c>
      <c r="CP47" s="25">
        <f t="shared" si="59"/>
        <v>0</v>
      </c>
      <c r="CQ47" s="25">
        <f t="shared" si="60"/>
        <v>0</v>
      </c>
      <c r="CR47" s="25">
        <f t="shared" si="61"/>
        <v>0</v>
      </c>
      <c r="CS47" s="25">
        <f t="shared" si="62"/>
        <v>1</v>
      </c>
      <c r="CT47" s="25">
        <f t="shared" si="63"/>
        <v>1</v>
      </c>
      <c r="CU47" s="25">
        <f t="shared" si="64"/>
        <v>0</v>
      </c>
      <c r="CV47" s="25">
        <f t="shared" si="65"/>
        <v>0</v>
      </c>
      <c r="DC47" s="58">
        <v>20</v>
      </c>
      <c r="DD47" s="58">
        <v>52.198484362760809</v>
      </c>
      <c r="DE47" s="58">
        <v>-77.198484362760809</v>
      </c>
      <c r="DF47" s="58">
        <v>-0.27520880306181905</v>
      </c>
      <c r="DH47" s="58">
        <v>6.989247311827957</v>
      </c>
      <c r="DI47" s="58">
        <v>-228</v>
      </c>
      <c r="DW47" s="58">
        <v>20</v>
      </c>
      <c r="DX47" s="58">
        <v>52.198484362760809</v>
      </c>
      <c r="DY47" s="58">
        <v>-77.198484362760809</v>
      </c>
      <c r="DZ47" s="58">
        <v>-0.27520880306181905</v>
      </c>
    </row>
    <row r="48" spans="1:130">
      <c r="A48" s="63" t="s">
        <v>91</v>
      </c>
      <c r="B48">
        <v>310</v>
      </c>
      <c r="C48">
        <v>160</v>
      </c>
      <c r="D48">
        <v>427</v>
      </c>
      <c r="E48">
        <v>200</v>
      </c>
      <c r="F48">
        <v>77</v>
      </c>
      <c r="G48">
        <v>141</v>
      </c>
      <c r="H48">
        <v>0.64516129032258063</v>
      </c>
      <c r="I48">
        <v>0.48125000000000001</v>
      </c>
      <c r="J48">
        <v>0.33021077283372363</v>
      </c>
      <c r="K48">
        <v>70</v>
      </c>
      <c r="L48">
        <v>17.5</v>
      </c>
      <c r="M48" s="354">
        <f t="shared" si="68"/>
        <v>139.33333333333334</v>
      </c>
      <c r="X48">
        <v>0.64516129032258063</v>
      </c>
      <c r="AB48" s="63">
        <v>6.7741935483870974E-2</v>
      </c>
      <c r="AC48" s="156">
        <v>0.16774193548387098</v>
      </c>
      <c r="AD48" s="156">
        <v>4.5161290322580643E-2</v>
      </c>
      <c r="AE48" s="156">
        <v>0</v>
      </c>
      <c r="AF48" s="156">
        <v>0</v>
      </c>
      <c r="AG48" s="63">
        <v>7.4193548387096797E-2</v>
      </c>
      <c r="AM48">
        <v>109</v>
      </c>
      <c r="AN48">
        <v>-97</v>
      </c>
      <c r="AO48">
        <v>216</v>
      </c>
      <c r="AP48">
        <v>200</v>
      </c>
      <c r="AQ48">
        <v>77</v>
      </c>
      <c r="AR48">
        <v>141</v>
      </c>
      <c r="AS48" s="25">
        <f t="shared" si="17"/>
        <v>1</v>
      </c>
      <c r="AT48" s="25">
        <f t="shared" si="66"/>
        <v>1</v>
      </c>
      <c r="AU48" s="25">
        <f t="shared" si="67"/>
        <v>1</v>
      </c>
      <c r="AV48" s="25">
        <f t="shared" si="18"/>
        <v>1</v>
      </c>
      <c r="AW48" s="25">
        <f t="shared" si="19"/>
        <v>0</v>
      </c>
      <c r="AX48" s="25">
        <f t="shared" si="20"/>
        <v>1</v>
      </c>
      <c r="AY48" s="25">
        <f t="shared" si="21"/>
        <v>2</v>
      </c>
      <c r="AZ48" s="25">
        <f t="shared" si="22"/>
        <v>1</v>
      </c>
      <c r="BA48" s="25">
        <f t="shared" si="23"/>
        <v>2</v>
      </c>
      <c r="BB48" s="339">
        <f t="shared" si="24"/>
        <v>1</v>
      </c>
      <c r="BC48" s="340">
        <f t="shared" si="25"/>
        <v>0</v>
      </c>
      <c r="BD48" s="341">
        <f t="shared" si="26"/>
        <v>1</v>
      </c>
      <c r="BE48" s="25">
        <f t="shared" si="27"/>
        <v>0</v>
      </c>
      <c r="BF48" s="25">
        <f t="shared" si="28"/>
        <v>1</v>
      </c>
      <c r="BG48" s="25">
        <f t="shared" si="29"/>
        <v>0</v>
      </c>
      <c r="BH48" s="25">
        <f t="shared" si="30"/>
        <v>1</v>
      </c>
      <c r="BI48" s="25">
        <f t="shared" si="31"/>
        <v>2</v>
      </c>
      <c r="BJ48" s="25">
        <f t="shared" si="32"/>
        <v>1</v>
      </c>
      <c r="BK48" s="351">
        <f t="shared" si="33"/>
        <v>0</v>
      </c>
      <c r="BL48" s="352">
        <f t="shared" si="34"/>
        <v>1</v>
      </c>
      <c r="BM48" s="353">
        <f t="shared" si="35"/>
        <v>0</v>
      </c>
      <c r="BN48" s="25">
        <f t="shared" si="36"/>
        <v>0</v>
      </c>
      <c r="BO48" s="25">
        <f t="shared" si="37"/>
        <v>0</v>
      </c>
      <c r="BP48" s="25">
        <f t="shared" si="38"/>
        <v>0</v>
      </c>
      <c r="BQ48" s="25">
        <f t="shared" si="39"/>
        <v>1</v>
      </c>
      <c r="BR48" s="25">
        <f t="shared" si="40"/>
        <v>1</v>
      </c>
      <c r="BS48" s="25">
        <f t="shared" si="41"/>
        <v>1</v>
      </c>
      <c r="BT48" s="345">
        <f t="shared" si="42"/>
        <v>0</v>
      </c>
      <c r="BU48" s="346">
        <f t="shared" si="43"/>
        <v>0</v>
      </c>
      <c r="BV48" s="347">
        <f t="shared" si="44"/>
        <v>0</v>
      </c>
      <c r="BX48" s="345">
        <f t="shared" si="45"/>
        <v>0</v>
      </c>
      <c r="BY48" s="345">
        <f t="shared" si="46"/>
        <v>0</v>
      </c>
      <c r="BZ48" s="345">
        <f t="shared" si="47"/>
        <v>0</v>
      </c>
      <c r="CA48" s="382">
        <f t="shared" si="48"/>
        <v>0</v>
      </c>
      <c r="CB48" s="382">
        <f t="shared" si="49"/>
        <v>0</v>
      </c>
      <c r="CC48" s="382">
        <f t="shared" si="50"/>
        <v>0</v>
      </c>
      <c r="CD48" s="385">
        <f t="shared" si="51"/>
        <v>0</v>
      </c>
      <c r="CE48" s="385">
        <f t="shared" si="52"/>
        <v>0</v>
      </c>
      <c r="CF48" s="385">
        <f t="shared" si="53"/>
        <v>0</v>
      </c>
      <c r="CG48" s="377">
        <f t="shared" si="54"/>
        <v>0</v>
      </c>
      <c r="CH48" s="377">
        <f t="shared" si="55"/>
        <v>0</v>
      </c>
      <c r="CI48" s="377">
        <f t="shared" si="56"/>
        <v>0</v>
      </c>
      <c r="CK48">
        <v>200</v>
      </c>
      <c r="CL48">
        <v>109</v>
      </c>
      <c r="CN48" s="25">
        <f t="shared" si="57"/>
        <v>1</v>
      </c>
      <c r="CO48" s="25">
        <f t="shared" si="58"/>
        <v>0</v>
      </c>
      <c r="CP48" s="25">
        <f t="shared" si="59"/>
        <v>1</v>
      </c>
      <c r="CQ48" s="25">
        <f t="shared" si="60"/>
        <v>0</v>
      </c>
      <c r="CR48" s="25">
        <f t="shared" si="61"/>
        <v>1</v>
      </c>
      <c r="CS48" s="25">
        <f t="shared" si="62"/>
        <v>0</v>
      </c>
      <c r="CT48" s="25">
        <f t="shared" si="63"/>
        <v>0</v>
      </c>
      <c r="CU48" s="25">
        <f t="shared" si="64"/>
        <v>0</v>
      </c>
      <c r="CV48" s="25">
        <f t="shared" si="65"/>
        <v>0</v>
      </c>
      <c r="DC48" s="58">
        <v>21</v>
      </c>
      <c r="DD48" s="58">
        <v>37.6993011403843</v>
      </c>
      <c r="DE48" s="58">
        <v>-2.6993011403842999</v>
      </c>
      <c r="DF48" s="58">
        <v>-9.6228759162908448E-3</v>
      </c>
      <c r="DH48" s="58">
        <v>7.3476702508960576</v>
      </c>
      <c r="DI48" s="58">
        <v>-195</v>
      </c>
      <c r="DW48" s="58">
        <v>21</v>
      </c>
      <c r="DX48" s="58">
        <v>37.6993011403843</v>
      </c>
      <c r="DY48" s="58">
        <v>-2.6993011403842999</v>
      </c>
      <c r="DZ48" s="58">
        <v>-9.6228759162908448E-3</v>
      </c>
    </row>
    <row r="49" spans="1:130">
      <c r="A49" s="63" t="s">
        <v>95</v>
      </c>
      <c r="B49">
        <v>3680</v>
      </c>
      <c r="C49">
        <v>4670</v>
      </c>
      <c r="D49">
        <v>5024</v>
      </c>
      <c r="E49">
        <v>416</v>
      </c>
      <c r="F49">
        <v>473</v>
      </c>
      <c r="G49">
        <v>947</v>
      </c>
      <c r="H49">
        <v>0.11304347826086956</v>
      </c>
      <c r="I49">
        <v>0.1012847965738758</v>
      </c>
      <c r="J49">
        <v>0.18849522292993631</v>
      </c>
      <c r="K49">
        <v>255</v>
      </c>
      <c r="L49">
        <v>153</v>
      </c>
      <c r="M49" s="354">
        <f t="shared" si="68"/>
        <v>612</v>
      </c>
      <c r="X49">
        <v>0.11304347826086956</v>
      </c>
      <c r="AB49" s="63">
        <v>0</v>
      </c>
      <c r="AC49" s="156">
        <v>2.8260869565217391E-2</v>
      </c>
      <c r="AD49" s="156">
        <v>0</v>
      </c>
      <c r="AE49" s="156">
        <v>0.25597826086956521</v>
      </c>
      <c r="AF49" s="156">
        <v>0.60271739130434787</v>
      </c>
      <c r="AG49" s="63">
        <v>0</v>
      </c>
      <c r="AM49">
        <v>572</v>
      </c>
      <c r="AN49">
        <v>714</v>
      </c>
      <c r="AO49">
        <v>287</v>
      </c>
      <c r="AP49">
        <v>416</v>
      </c>
      <c r="AQ49">
        <v>473</v>
      </c>
      <c r="AR49">
        <v>947</v>
      </c>
      <c r="AS49" s="25">
        <f t="shared" si="17"/>
        <v>1</v>
      </c>
      <c r="AT49" s="25">
        <f t="shared" si="66"/>
        <v>1</v>
      </c>
      <c r="AU49" s="25">
        <f t="shared" si="67"/>
        <v>1</v>
      </c>
      <c r="AV49" s="25">
        <f t="shared" si="18"/>
        <v>1</v>
      </c>
      <c r="AW49" s="25">
        <f t="shared" si="19"/>
        <v>1</v>
      </c>
      <c r="AX49" s="25">
        <f t="shared" si="20"/>
        <v>1</v>
      </c>
      <c r="AY49" s="25">
        <f t="shared" si="21"/>
        <v>2</v>
      </c>
      <c r="AZ49" s="25">
        <f t="shared" si="22"/>
        <v>2</v>
      </c>
      <c r="BA49" s="25">
        <f t="shared" si="23"/>
        <v>2</v>
      </c>
      <c r="BB49" s="339">
        <f t="shared" si="24"/>
        <v>1</v>
      </c>
      <c r="BC49" s="340">
        <f t="shared" si="25"/>
        <v>1</v>
      </c>
      <c r="BD49" s="341">
        <f t="shared" si="26"/>
        <v>1</v>
      </c>
      <c r="BE49" s="25">
        <f t="shared" si="27"/>
        <v>0</v>
      </c>
      <c r="BF49" s="25">
        <f t="shared" si="28"/>
        <v>0</v>
      </c>
      <c r="BG49" s="25">
        <f t="shared" si="29"/>
        <v>0</v>
      </c>
      <c r="BH49" s="25">
        <f t="shared" si="30"/>
        <v>1</v>
      </c>
      <c r="BI49" s="25">
        <f t="shared" si="31"/>
        <v>1</v>
      </c>
      <c r="BJ49" s="25">
        <f t="shared" si="32"/>
        <v>1</v>
      </c>
      <c r="BK49" s="351">
        <f t="shared" si="33"/>
        <v>0</v>
      </c>
      <c r="BL49" s="352">
        <f t="shared" si="34"/>
        <v>0</v>
      </c>
      <c r="BM49" s="353">
        <f t="shared" si="35"/>
        <v>0</v>
      </c>
      <c r="BN49" s="25">
        <f t="shared" si="36"/>
        <v>0</v>
      </c>
      <c r="BO49" s="25">
        <f t="shared" si="37"/>
        <v>0</v>
      </c>
      <c r="BP49" s="25">
        <f t="shared" si="38"/>
        <v>0</v>
      </c>
      <c r="BQ49" s="25">
        <f t="shared" si="39"/>
        <v>1</v>
      </c>
      <c r="BR49" s="25">
        <f t="shared" si="40"/>
        <v>1</v>
      </c>
      <c r="BS49" s="25">
        <f t="shared" si="41"/>
        <v>1</v>
      </c>
      <c r="BT49" s="345">
        <f t="shared" si="42"/>
        <v>0</v>
      </c>
      <c r="BU49" s="346">
        <f t="shared" si="43"/>
        <v>0</v>
      </c>
      <c r="BV49" s="347">
        <f t="shared" si="44"/>
        <v>0</v>
      </c>
      <c r="BX49" s="345">
        <f t="shared" si="45"/>
        <v>0</v>
      </c>
      <c r="BY49" s="345">
        <f t="shared" si="46"/>
        <v>0</v>
      </c>
      <c r="BZ49" s="345">
        <f t="shared" si="47"/>
        <v>0</v>
      </c>
      <c r="CA49" s="382">
        <f t="shared" si="48"/>
        <v>0</v>
      </c>
      <c r="CB49" s="382">
        <f t="shared" si="49"/>
        <v>0</v>
      </c>
      <c r="CC49" s="382">
        <f t="shared" si="50"/>
        <v>0</v>
      </c>
      <c r="CD49" s="385">
        <f t="shared" si="51"/>
        <v>0</v>
      </c>
      <c r="CE49" s="385">
        <f t="shared" si="52"/>
        <v>0</v>
      </c>
      <c r="CF49" s="385">
        <f t="shared" si="53"/>
        <v>0</v>
      </c>
      <c r="CG49" s="377">
        <f t="shared" si="54"/>
        <v>0</v>
      </c>
      <c r="CH49" s="377">
        <f t="shared" si="55"/>
        <v>0</v>
      </c>
      <c r="CI49" s="377">
        <f t="shared" si="56"/>
        <v>0</v>
      </c>
      <c r="CK49">
        <v>416</v>
      </c>
      <c r="CL49">
        <v>572</v>
      </c>
      <c r="CN49" s="25">
        <f t="shared" si="57"/>
        <v>1</v>
      </c>
      <c r="CO49" s="25">
        <f t="shared" si="58"/>
        <v>1</v>
      </c>
      <c r="CP49" s="25">
        <f t="shared" si="59"/>
        <v>1</v>
      </c>
      <c r="CQ49" s="25">
        <f t="shared" si="60"/>
        <v>0</v>
      </c>
      <c r="CR49" s="25">
        <f t="shared" si="61"/>
        <v>0</v>
      </c>
      <c r="CS49" s="25">
        <f t="shared" si="62"/>
        <v>0</v>
      </c>
      <c r="CT49" s="25">
        <f t="shared" si="63"/>
        <v>0</v>
      </c>
      <c r="CU49" s="25">
        <f t="shared" si="64"/>
        <v>0</v>
      </c>
      <c r="CV49" s="25">
        <f t="shared" si="65"/>
        <v>0</v>
      </c>
      <c r="DC49" s="58">
        <v>22</v>
      </c>
      <c r="DD49" s="58">
        <v>36.770546492035969</v>
      </c>
      <c r="DE49" s="58">
        <v>-34.90551581718934</v>
      </c>
      <c r="DF49" s="58">
        <v>-0.12443644855983706</v>
      </c>
      <c r="DH49" s="58">
        <v>7.7060931899641574</v>
      </c>
      <c r="DI49" s="58">
        <v>-181</v>
      </c>
      <c r="DW49" s="58">
        <v>22</v>
      </c>
      <c r="DX49" s="58">
        <v>36.770546492035969</v>
      </c>
      <c r="DY49" s="58">
        <v>-34.90551581718934</v>
      </c>
      <c r="DZ49" s="58">
        <v>-0.12443644855983706</v>
      </c>
    </row>
    <row r="50" spans="1:130">
      <c r="A50" s="63" t="s">
        <v>110</v>
      </c>
      <c r="B50">
        <v>426</v>
      </c>
      <c r="C50">
        <v>588</v>
      </c>
      <c r="D50">
        <v>765</v>
      </c>
      <c r="E50">
        <v>169</v>
      </c>
      <c r="F50">
        <v>190</v>
      </c>
      <c r="G50">
        <v>335</v>
      </c>
      <c r="H50">
        <v>0.39671361502347419</v>
      </c>
      <c r="I50">
        <v>0.3231292517006803</v>
      </c>
      <c r="J50">
        <v>0.43790849673202614</v>
      </c>
      <c r="K50">
        <v>230</v>
      </c>
      <c r="L50">
        <v>115</v>
      </c>
      <c r="M50" s="354">
        <f t="shared" si="68"/>
        <v>231.33333333333334</v>
      </c>
      <c r="X50">
        <v>0.39671361502347419</v>
      </c>
      <c r="AB50" s="63">
        <v>0</v>
      </c>
      <c r="AC50" s="156">
        <v>0.37089201877934275</v>
      </c>
      <c r="AD50" s="156">
        <v>7.5117370892018781E-2</v>
      </c>
      <c r="AE50" s="156">
        <v>0.15727699530516431</v>
      </c>
      <c r="AF50" s="156">
        <v>0</v>
      </c>
      <c r="AG50" s="63">
        <v>0</v>
      </c>
      <c r="AM50">
        <v>0</v>
      </c>
      <c r="AN50">
        <v>0</v>
      </c>
      <c r="AO50">
        <v>-253</v>
      </c>
      <c r="AP50">
        <v>169</v>
      </c>
      <c r="AQ50">
        <v>190</v>
      </c>
      <c r="AR50">
        <v>335</v>
      </c>
      <c r="AS50" s="25">
        <f t="shared" si="17"/>
        <v>1</v>
      </c>
      <c r="AT50" s="25">
        <f t="shared" si="66"/>
        <v>1</v>
      </c>
      <c r="AU50" s="25">
        <f t="shared" si="67"/>
        <v>1</v>
      </c>
      <c r="AV50" s="25">
        <f t="shared" si="18"/>
        <v>0</v>
      </c>
      <c r="AW50" s="25">
        <f t="shared" si="19"/>
        <v>0</v>
      </c>
      <c r="AX50" s="25">
        <f t="shared" si="20"/>
        <v>0</v>
      </c>
      <c r="AY50" s="25">
        <f t="shared" si="21"/>
        <v>1</v>
      </c>
      <c r="AZ50" s="25">
        <f t="shared" si="22"/>
        <v>1</v>
      </c>
      <c r="BA50" s="25">
        <f t="shared" si="23"/>
        <v>1</v>
      </c>
      <c r="BB50" s="339">
        <f t="shared" si="24"/>
        <v>0</v>
      </c>
      <c r="BC50" s="340">
        <f t="shared" si="25"/>
        <v>0</v>
      </c>
      <c r="BD50" s="341">
        <f t="shared" si="26"/>
        <v>0</v>
      </c>
      <c r="BE50" s="25">
        <f t="shared" si="27"/>
        <v>0</v>
      </c>
      <c r="BF50" s="25">
        <f t="shared" si="28"/>
        <v>0</v>
      </c>
      <c r="BG50" s="25">
        <f t="shared" si="29"/>
        <v>1</v>
      </c>
      <c r="BH50" s="25">
        <f t="shared" si="30"/>
        <v>1</v>
      </c>
      <c r="BI50" s="25">
        <f t="shared" si="31"/>
        <v>1</v>
      </c>
      <c r="BJ50" s="25">
        <f t="shared" si="32"/>
        <v>2</v>
      </c>
      <c r="BK50" s="351">
        <f t="shared" si="33"/>
        <v>0</v>
      </c>
      <c r="BL50" s="352">
        <f t="shared" si="34"/>
        <v>0</v>
      </c>
      <c r="BM50" s="353">
        <f t="shared" si="35"/>
        <v>1</v>
      </c>
      <c r="BN50" s="25">
        <f t="shared" si="36"/>
        <v>1</v>
      </c>
      <c r="BO50" s="25">
        <f t="shared" si="37"/>
        <v>1</v>
      </c>
      <c r="BP50" s="25">
        <f t="shared" si="38"/>
        <v>0</v>
      </c>
      <c r="BQ50" s="25">
        <f t="shared" si="39"/>
        <v>2</v>
      </c>
      <c r="BR50" s="25">
        <f t="shared" si="40"/>
        <v>2</v>
      </c>
      <c r="BS50" s="25">
        <f t="shared" si="41"/>
        <v>1</v>
      </c>
      <c r="BT50" s="345">
        <f t="shared" si="42"/>
        <v>1</v>
      </c>
      <c r="BU50" s="346">
        <f t="shared" si="43"/>
        <v>1</v>
      </c>
      <c r="BV50" s="347">
        <f t="shared" si="44"/>
        <v>0</v>
      </c>
      <c r="BX50" s="345">
        <f t="shared" si="45"/>
        <v>0</v>
      </c>
      <c r="BY50" s="345">
        <f t="shared" si="46"/>
        <v>0</v>
      </c>
      <c r="BZ50" s="345">
        <f t="shared" si="47"/>
        <v>0</v>
      </c>
      <c r="CA50" s="382">
        <f t="shared" si="48"/>
        <v>0</v>
      </c>
      <c r="CB50" s="382">
        <f t="shared" si="49"/>
        <v>0</v>
      </c>
      <c r="CC50" s="382">
        <f t="shared" si="50"/>
        <v>0</v>
      </c>
      <c r="CD50" s="385">
        <f t="shared" si="51"/>
        <v>0</v>
      </c>
      <c r="CE50" s="385">
        <f t="shared" si="52"/>
        <v>0</v>
      </c>
      <c r="CF50" s="385">
        <f t="shared" si="53"/>
        <v>0</v>
      </c>
      <c r="CG50" s="377">
        <f t="shared" si="54"/>
        <v>0</v>
      </c>
      <c r="CH50" s="377">
        <f t="shared" si="55"/>
        <v>0</v>
      </c>
      <c r="CI50" s="377">
        <f t="shared" si="56"/>
        <v>0</v>
      </c>
      <c r="CK50">
        <v>169</v>
      </c>
      <c r="CL50">
        <v>0</v>
      </c>
      <c r="CN50" s="25">
        <f t="shared" si="57"/>
        <v>0</v>
      </c>
      <c r="CO50" s="25">
        <f t="shared" si="58"/>
        <v>0</v>
      </c>
      <c r="CP50" s="25">
        <f t="shared" si="59"/>
        <v>0</v>
      </c>
      <c r="CQ50" s="25">
        <f t="shared" si="60"/>
        <v>0</v>
      </c>
      <c r="CR50" s="25">
        <f t="shared" si="61"/>
        <v>0</v>
      </c>
      <c r="CS50" s="25">
        <f t="shared" si="62"/>
        <v>1</v>
      </c>
      <c r="CT50" s="25">
        <f t="shared" si="63"/>
        <v>1</v>
      </c>
      <c r="CU50" s="25">
        <f t="shared" si="64"/>
        <v>1</v>
      </c>
      <c r="CV50" s="25">
        <f t="shared" si="65"/>
        <v>0</v>
      </c>
      <c r="DC50" s="58">
        <v>23</v>
      </c>
      <c r="DD50" s="58">
        <v>36.145817223701101</v>
      </c>
      <c r="DE50" s="58">
        <v>-154.1458172237011</v>
      </c>
      <c r="DF50" s="58">
        <v>-0.54952226336174648</v>
      </c>
      <c r="DH50" s="58">
        <v>8.064516129032258</v>
      </c>
      <c r="DI50" s="58">
        <v>-180</v>
      </c>
      <c r="DW50" s="58">
        <v>23</v>
      </c>
      <c r="DX50" s="58">
        <v>36.145817223701101</v>
      </c>
      <c r="DY50" s="58">
        <v>-154.1458172237011</v>
      </c>
      <c r="DZ50" s="58">
        <v>-0.54952226336174648</v>
      </c>
    </row>
    <row r="51" spans="1:130">
      <c r="A51" s="63" t="s">
        <v>111</v>
      </c>
      <c r="B51">
        <v>90</v>
      </c>
      <c r="C51">
        <v>159</v>
      </c>
      <c r="D51">
        <v>145</v>
      </c>
      <c r="E51">
        <v>0</v>
      </c>
      <c r="F51">
        <v>0</v>
      </c>
      <c r="G51">
        <v>56</v>
      </c>
      <c r="H51">
        <v>0</v>
      </c>
      <c r="I51">
        <v>0</v>
      </c>
      <c r="J51">
        <v>0.38620689655172413</v>
      </c>
      <c r="K51">
        <v>420</v>
      </c>
      <c r="L51">
        <v>147</v>
      </c>
      <c r="M51" s="354">
        <f t="shared" si="68"/>
        <v>18.666666666666668</v>
      </c>
      <c r="X51">
        <v>0</v>
      </c>
      <c r="AB51" s="63">
        <v>0</v>
      </c>
      <c r="AC51" s="156">
        <v>0.18888888888888888</v>
      </c>
      <c r="AD51" s="156">
        <v>0.27777777777777779</v>
      </c>
      <c r="AE51" s="156">
        <v>0.33333333333333331</v>
      </c>
      <c r="AF51" s="156">
        <v>0.2</v>
      </c>
      <c r="AG51" s="63">
        <v>0</v>
      </c>
      <c r="AM51">
        <v>32</v>
      </c>
      <c r="AN51">
        <v>48</v>
      </c>
      <c r="AO51">
        <v>48</v>
      </c>
      <c r="AP51">
        <v>0</v>
      </c>
      <c r="AQ51">
        <v>0</v>
      </c>
      <c r="AR51">
        <v>56</v>
      </c>
      <c r="AS51" s="25">
        <f t="shared" si="17"/>
        <v>0</v>
      </c>
      <c r="AT51" s="25">
        <f t="shared" si="66"/>
        <v>0</v>
      </c>
      <c r="AU51" s="25">
        <f t="shared" si="67"/>
        <v>1</v>
      </c>
      <c r="AV51" s="25">
        <f t="shared" si="18"/>
        <v>1</v>
      </c>
      <c r="AW51" s="25">
        <f t="shared" si="19"/>
        <v>1</v>
      </c>
      <c r="AX51" s="25">
        <f t="shared" si="20"/>
        <v>1</v>
      </c>
      <c r="AY51" s="25">
        <f t="shared" si="21"/>
        <v>1</v>
      </c>
      <c r="AZ51" s="25">
        <f t="shared" si="22"/>
        <v>1</v>
      </c>
      <c r="BA51" s="25">
        <f t="shared" si="23"/>
        <v>2</v>
      </c>
      <c r="BB51" s="339">
        <f t="shared" si="24"/>
        <v>0</v>
      </c>
      <c r="BC51" s="340">
        <f t="shared" si="25"/>
        <v>0</v>
      </c>
      <c r="BD51" s="341">
        <f t="shared" si="26"/>
        <v>1</v>
      </c>
      <c r="BE51" s="25">
        <f t="shared" si="27"/>
        <v>0</v>
      </c>
      <c r="BF51" s="25">
        <f t="shared" si="28"/>
        <v>0</v>
      </c>
      <c r="BG51" s="25">
        <f t="shared" si="29"/>
        <v>0</v>
      </c>
      <c r="BH51" s="25">
        <f t="shared" si="30"/>
        <v>0</v>
      </c>
      <c r="BI51" s="25">
        <f t="shared" si="31"/>
        <v>0</v>
      </c>
      <c r="BJ51" s="25">
        <f t="shared" si="32"/>
        <v>1</v>
      </c>
      <c r="BK51" s="351">
        <f t="shared" si="33"/>
        <v>0</v>
      </c>
      <c r="BL51" s="352">
        <f t="shared" si="34"/>
        <v>0</v>
      </c>
      <c r="BM51" s="353">
        <f t="shared" si="35"/>
        <v>0</v>
      </c>
      <c r="BN51" s="25">
        <f t="shared" si="36"/>
        <v>0</v>
      </c>
      <c r="BO51" s="25">
        <f t="shared" si="37"/>
        <v>0</v>
      </c>
      <c r="BP51" s="25">
        <f t="shared" si="38"/>
        <v>0</v>
      </c>
      <c r="BQ51" s="25">
        <f t="shared" si="39"/>
        <v>0</v>
      </c>
      <c r="BR51" s="25">
        <f t="shared" si="40"/>
        <v>0</v>
      </c>
      <c r="BS51" s="25">
        <f t="shared" si="41"/>
        <v>1</v>
      </c>
      <c r="BT51" s="345">
        <f t="shared" si="42"/>
        <v>0</v>
      </c>
      <c r="BU51" s="346">
        <f t="shared" si="43"/>
        <v>0</v>
      </c>
      <c r="BV51" s="347">
        <f t="shared" si="44"/>
        <v>0</v>
      </c>
      <c r="BX51" s="345">
        <f t="shared" si="45"/>
        <v>1</v>
      </c>
      <c r="BY51" s="345">
        <f t="shared" si="46"/>
        <v>1</v>
      </c>
      <c r="BZ51" s="345">
        <f t="shared" si="47"/>
        <v>0</v>
      </c>
      <c r="CA51" s="382">
        <f t="shared" si="48"/>
        <v>0</v>
      </c>
      <c r="CB51" s="382">
        <f t="shared" si="49"/>
        <v>0</v>
      </c>
      <c r="CC51" s="382">
        <f t="shared" si="50"/>
        <v>0</v>
      </c>
      <c r="CD51" s="385">
        <f t="shared" si="51"/>
        <v>0</v>
      </c>
      <c r="CE51" s="385">
        <f t="shared" si="52"/>
        <v>0</v>
      </c>
      <c r="CF51" s="385">
        <f t="shared" si="53"/>
        <v>0</v>
      </c>
      <c r="CG51" s="377">
        <f t="shared" si="54"/>
        <v>1</v>
      </c>
      <c r="CH51" s="377">
        <f t="shared" si="55"/>
        <v>1</v>
      </c>
      <c r="CI51" s="377">
        <f t="shared" si="56"/>
        <v>0</v>
      </c>
      <c r="CK51">
        <v>0</v>
      </c>
      <c r="CL51">
        <v>32</v>
      </c>
      <c r="CN51" s="25">
        <f t="shared" si="57"/>
        <v>2</v>
      </c>
      <c r="CO51" s="25">
        <f t="shared" si="58"/>
        <v>2</v>
      </c>
      <c r="CP51" s="25">
        <f t="shared" si="59"/>
        <v>1</v>
      </c>
      <c r="CQ51" s="25">
        <f t="shared" si="60"/>
        <v>1</v>
      </c>
      <c r="CR51" s="25">
        <f t="shared" si="61"/>
        <v>1</v>
      </c>
      <c r="CS51" s="25">
        <f t="shared" si="62"/>
        <v>0</v>
      </c>
      <c r="CT51" s="25">
        <f t="shared" si="63"/>
        <v>1</v>
      </c>
      <c r="CU51" s="25">
        <f t="shared" si="64"/>
        <v>1</v>
      </c>
      <c r="CV51" s="25">
        <f t="shared" si="65"/>
        <v>0</v>
      </c>
      <c r="DC51" s="58">
        <v>24</v>
      </c>
      <c r="DD51" s="58">
        <v>44.068585198785406</v>
      </c>
      <c r="DE51" s="58">
        <v>33.931414801214594</v>
      </c>
      <c r="DF51" s="58">
        <v>0.12096382630720344</v>
      </c>
      <c r="DH51" s="58">
        <v>8.4229390681003569</v>
      </c>
      <c r="DI51" s="58">
        <v>-175</v>
      </c>
      <c r="DW51" s="58">
        <v>24</v>
      </c>
      <c r="DX51" s="58">
        <v>44.068585198785406</v>
      </c>
      <c r="DY51" s="58">
        <v>33.931414801214594</v>
      </c>
      <c r="DZ51" s="58">
        <v>0.12096382630720344</v>
      </c>
    </row>
    <row r="52" spans="1:130">
      <c r="A52" s="63" t="s">
        <v>112</v>
      </c>
      <c r="B52">
        <v>2097.5555555555557</v>
      </c>
      <c r="C52">
        <v>2138.2222222222222</v>
      </c>
      <c r="D52">
        <v>323.88888888888891</v>
      </c>
      <c r="E52">
        <v>0</v>
      </c>
      <c r="F52">
        <v>279.11111111111109</v>
      </c>
      <c r="G52">
        <v>42.333333333333336</v>
      </c>
      <c r="H52">
        <v>0</v>
      </c>
      <c r="I52">
        <v>0.13053419247557679</v>
      </c>
      <c r="J52">
        <v>0.13070325900514579</v>
      </c>
      <c r="K52">
        <v>125</v>
      </c>
      <c r="L52">
        <v>37.5</v>
      </c>
      <c r="M52" s="354">
        <f t="shared" si="68"/>
        <v>107.14814814814814</v>
      </c>
      <c r="X52">
        <v>0</v>
      </c>
      <c r="AB52" s="63">
        <v>0</v>
      </c>
      <c r="AC52" s="156">
        <v>0.32593495073630679</v>
      </c>
      <c r="AD52" s="156">
        <v>0.16177561182328634</v>
      </c>
      <c r="AE52" s="156">
        <v>0.16045131899565632</v>
      </c>
      <c r="AF52" s="156">
        <v>0.30554084119080405</v>
      </c>
      <c r="AG52" s="63">
        <v>4.6297277253946501E-2</v>
      </c>
      <c r="AM52">
        <v>144.22222222222223</v>
      </c>
      <c r="AN52">
        <v>208</v>
      </c>
      <c r="AO52">
        <v>-23.555555555555554</v>
      </c>
      <c r="AP52">
        <v>0</v>
      </c>
      <c r="AQ52">
        <v>279.11111111111109</v>
      </c>
      <c r="AR52">
        <v>42.333333333333336</v>
      </c>
      <c r="AS52" s="25">
        <f t="shared" si="17"/>
        <v>0</v>
      </c>
      <c r="AT52" s="25">
        <f t="shared" si="66"/>
        <v>1</v>
      </c>
      <c r="AU52" s="25">
        <f t="shared" si="67"/>
        <v>1</v>
      </c>
      <c r="AV52" s="25">
        <f t="shared" si="18"/>
        <v>1</v>
      </c>
      <c r="AW52" s="25">
        <f t="shared" si="19"/>
        <v>1</v>
      </c>
      <c r="AX52" s="25">
        <f t="shared" si="20"/>
        <v>0</v>
      </c>
      <c r="AY52" s="25">
        <f t="shared" si="21"/>
        <v>1</v>
      </c>
      <c r="AZ52" s="25">
        <f t="shared" si="22"/>
        <v>2</v>
      </c>
      <c r="BA52" s="25">
        <f t="shared" si="23"/>
        <v>1</v>
      </c>
      <c r="BB52" s="339">
        <f t="shared" si="24"/>
        <v>0</v>
      </c>
      <c r="BC52" s="340">
        <f t="shared" si="25"/>
        <v>1</v>
      </c>
      <c r="BD52" s="341">
        <f t="shared" si="26"/>
        <v>0</v>
      </c>
      <c r="BE52" s="25">
        <f t="shared" si="27"/>
        <v>0</v>
      </c>
      <c r="BF52" s="25">
        <f t="shared" si="28"/>
        <v>0</v>
      </c>
      <c r="BG52" s="25">
        <f t="shared" si="29"/>
        <v>1</v>
      </c>
      <c r="BH52" s="25">
        <f t="shared" si="30"/>
        <v>0</v>
      </c>
      <c r="BI52" s="25">
        <f t="shared" si="31"/>
        <v>1</v>
      </c>
      <c r="BJ52" s="25">
        <f t="shared" si="32"/>
        <v>2</v>
      </c>
      <c r="BK52" s="351">
        <f t="shared" si="33"/>
        <v>0</v>
      </c>
      <c r="BL52" s="352">
        <f t="shared" si="34"/>
        <v>0</v>
      </c>
      <c r="BM52" s="353">
        <f t="shared" si="35"/>
        <v>1</v>
      </c>
      <c r="BN52" s="25">
        <f t="shared" si="36"/>
        <v>0</v>
      </c>
      <c r="BO52" s="25">
        <f t="shared" si="37"/>
        <v>0</v>
      </c>
      <c r="BP52" s="25">
        <f t="shared" si="38"/>
        <v>0</v>
      </c>
      <c r="BQ52" s="25">
        <f t="shared" si="39"/>
        <v>0</v>
      </c>
      <c r="BR52" s="25">
        <f t="shared" si="40"/>
        <v>1</v>
      </c>
      <c r="BS52" s="25">
        <f t="shared" si="41"/>
        <v>1</v>
      </c>
      <c r="BT52" s="345">
        <f t="shared" si="42"/>
        <v>0</v>
      </c>
      <c r="BU52" s="346">
        <f t="shared" si="43"/>
        <v>0</v>
      </c>
      <c r="BV52" s="347">
        <f t="shared" si="44"/>
        <v>0</v>
      </c>
      <c r="BX52" s="345">
        <f t="shared" si="45"/>
        <v>1</v>
      </c>
      <c r="BY52" s="345">
        <f t="shared" si="46"/>
        <v>0</v>
      </c>
      <c r="BZ52" s="345">
        <f t="shared" si="47"/>
        <v>0</v>
      </c>
      <c r="CA52" s="382">
        <f t="shared" si="48"/>
        <v>0</v>
      </c>
      <c r="CB52" s="382">
        <f t="shared" si="49"/>
        <v>0</v>
      </c>
      <c r="CC52" s="382">
        <f t="shared" si="50"/>
        <v>0</v>
      </c>
      <c r="CD52" s="385">
        <f t="shared" si="51"/>
        <v>0</v>
      </c>
      <c r="CE52" s="385">
        <f t="shared" si="52"/>
        <v>0</v>
      </c>
      <c r="CF52" s="385">
        <f t="shared" si="53"/>
        <v>0</v>
      </c>
      <c r="CG52" s="377">
        <f t="shared" si="54"/>
        <v>1</v>
      </c>
      <c r="CH52" s="377">
        <f t="shared" si="55"/>
        <v>0</v>
      </c>
      <c r="CI52" s="377">
        <f t="shared" si="56"/>
        <v>0</v>
      </c>
      <c r="CK52">
        <v>0</v>
      </c>
      <c r="CL52">
        <v>144.22222222222223</v>
      </c>
      <c r="CN52" s="25">
        <f t="shared" si="57"/>
        <v>2</v>
      </c>
      <c r="CO52" s="25">
        <f t="shared" si="58"/>
        <v>1</v>
      </c>
      <c r="CP52" s="25">
        <f t="shared" si="59"/>
        <v>0</v>
      </c>
      <c r="CQ52" s="25">
        <f t="shared" si="60"/>
        <v>1</v>
      </c>
      <c r="CR52" s="25">
        <f t="shared" si="61"/>
        <v>0</v>
      </c>
      <c r="CS52" s="25">
        <f t="shared" si="62"/>
        <v>1</v>
      </c>
      <c r="CT52" s="25">
        <f t="shared" si="63"/>
        <v>1</v>
      </c>
      <c r="CU52" s="25">
        <f t="shared" si="64"/>
        <v>0</v>
      </c>
      <c r="CV52" s="25">
        <f t="shared" si="65"/>
        <v>0</v>
      </c>
      <c r="DC52" s="58">
        <v>25</v>
      </c>
      <c r="DD52" s="58">
        <v>47.020204640483485</v>
      </c>
      <c r="DE52" s="58">
        <v>57.979795359516515</v>
      </c>
      <c r="DF52" s="58">
        <v>0.20669512121094064</v>
      </c>
      <c r="DH52" s="58">
        <v>8.7813620071684575</v>
      </c>
      <c r="DI52" s="58">
        <v>-133</v>
      </c>
      <c r="DW52" s="58">
        <v>25</v>
      </c>
      <c r="DX52" s="58">
        <v>47.020204640483485</v>
      </c>
      <c r="DY52" s="58">
        <v>57.979795359516515</v>
      </c>
      <c r="DZ52" s="58">
        <v>0.20669512121094064</v>
      </c>
    </row>
    <row r="53" spans="1:130">
      <c r="A53" s="63" t="s">
        <v>113</v>
      </c>
      <c r="B53">
        <v>483</v>
      </c>
      <c r="C53">
        <v>298</v>
      </c>
      <c r="D53">
        <v>373</v>
      </c>
      <c r="E53">
        <v>72</v>
      </c>
      <c r="F53">
        <v>50</v>
      </c>
      <c r="G53">
        <v>124</v>
      </c>
      <c r="H53">
        <v>0.14906832298136646</v>
      </c>
      <c r="I53">
        <v>0.16778523489932887</v>
      </c>
      <c r="J53">
        <v>0.33243967828418231</v>
      </c>
      <c r="K53">
        <v>100</v>
      </c>
      <c r="L53">
        <v>47</v>
      </c>
      <c r="M53" s="354">
        <f t="shared" si="68"/>
        <v>82</v>
      </c>
      <c r="X53">
        <v>0.14906832298136646</v>
      </c>
      <c r="AB53" s="63">
        <v>0</v>
      </c>
      <c r="AC53" s="156">
        <v>2.6915113871635612E-2</v>
      </c>
      <c r="AD53" s="156">
        <v>0.21739130434782608</v>
      </c>
      <c r="AE53" s="156">
        <v>0.2401656314699793</v>
      </c>
      <c r="AF53" s="156">
        <v>0.30641821946169773</v>
      </c>
      <c r="AG53" s="63">
        <v>6.00414078674949E-2</v>
      </c>
      <c r="AM53">
        <v>100</v>
      </c>
      <c r="AN53">
        <v>-15</v>
      </c>
      <c r="AO53">
        <v>76</v>
      </c>
      <c r="AP53">
        <v>72</v>
      </c>
      <c r="AQ53">
        <v>50</v>
      </c>
      <c r="AR53">
        <v>124</v>
      </c>
      <c r="AS53" s="25">
        <f t="shared" si="17"/>
        <v>1</v>
      </c>
      <c r="AT53" s="25">
        <f t="shared" si="66"/>
        <v>1</v>
      </c>
      <c r="AU53" s="25">
        <f t="shared" si="67"/>
        <v>1</v>
      </c>
      <c r="AV53" s="25">
        <f t="shared" si="18"/>
        <v>1</v>
      </c>
      <c r="AW53" s="25">
        <f t="shared" si="19"/>
        <v>0</v>
      </c>
      <c r="AX53" s="25">
        <f t="shared" si="20"/>
        <v>1</v>
      </c>
      <c r="AY53" s="25">
        <f t="shared" si="21"/>
        <v>2</v>
      </c>
      <c r="AZ53" s="25">
        <f t="shared" si="22"/>
        <v>1</v>
      </c>
      <c r="BA53" s="25">
        <f t="shared" si="23"/>
        <v>2</v>
      </c>
      <c r="BB53" s="339">
        <f t="shared" si="24"/>
        <v>1</v>
      </c>
      <c r="BC53" s="340">
        <f t="shared" si="25"/>
        <v>0</v>
      </c>
      <c r="BD53" s="341">
        <f t="shared" si="26"/>
        <v>1</v>
      </c>
      <c r="BE53" s="25">
        <f t="shared" si="27"/>
        <v>0</v>
      </c>
      <c r="BF53" s="25">
        <f t="shared" si="28"/>
        <v>1</v>
      </c>
      <c r="BG53" s="25">
        <f t="shared" si="29"/>
        <v>0</v>
      </c>
      <c r="BH53" s="25">
        <f t="shared" si="30"/>
        <v>1</v>
      </c>
      <c r="BI53" s="25">
        <f t="shared" si="31"/>
        <v>2</v>
      </c>
      <c r="BJ53" s="25">
        <f t="shared" si="32"/>
        <v>1</v>
      </c>
      <c r="BK53" s="351">
        <f t="shared" si="33"/>
        <v>0</v>
      </c>
      <c r="BL53" s="352">
        <f t="shared" si="34"/>
        <v>1</v>
      </c>
      <c r="BM53" s="353">
        <f t="shared" si="35"/>
        <v>0</v>
      </c>
      <c r="BN53" s="25">
        <f t="shared" si="36"/>
        <v>0</v>
      </c>
      <c r="BO53" s="25">
        <f t="shared" si="37"/>
        <v>0</v>
      </c>
      <c r="BP53" s="25">
        <f t="shared" si="38"/>
        <v>0</v>
      </c>
      <c r="BQ53" s="25">
        <f t="shared" si="39"/>
        <v>1</v>
      </c>
      <c r="BR53" s="25">
        <f t="shared" si="40"/>
        <v>1</v>
      </c>
      <c r="BS53" s="25">
        <f t="shared" si="41"/>
        <v>1</v>
      </c>
      <c r="BT53" s="345">
        <f t="shared" si="42"/>
        <v>0</v>
      </c>
      <c r="BU53" s="346">
        <f t="shared" si="43"/>
        <v>0</v>
      </c>
      <c r="BV53" s="347">
        <f t="shared" si="44"/>
        <v>0</v>
      </c>
      <c r="BX53" s="345">
        <f t="shared" si="45"/>
        <v>0</v>
      </c>
      <c r="BY53" s="345">
        <f t="shared" si="46"/>
        <v>0</v>
      </c>
      <c r="BZ53" s="345">
        <f t="shared" si="47"/>
        <v>0</v>
      </c>
      <c r="CA53" s="382">
        <f t="shared" si="48"/>
        <v>0</v>
      </c>
      <c r="CB53" s="382">
        <f t="shared" si="49"/>
        <v>0</v>
      </c>
      <c r="CC53" s="382">
        <f t="shared" si="50"/>
        <v>0</v>
      </c>
      <c r="CD53" s="385">
        <f t="shared" si="51"/>
        <v>0</v>
      </c>
      <c r="CE53" s="385">
        <f t="shared" si="52"/>
        <v>0</v>
      </c>
      <c r="CF53" s="385">
        <f t="shared" si="53"/>
        <v>0</v>
      </c>
      <c r="CG53" s="377">
        <f t="shared" si="54"/>
        <v>0</v>
      </c>
      <c r="CH53" s="377">
        <f t="shared" si="55"/>
        <v>0</v>
      </c>
      <c r="CI53" s="377">
        <f t="shared" si="56"/>
        <v>0</v>
      </c>
      <c r="CK53">
        <v>72</v>
      </c>
      <c r="CL53">
        <v>100</v>
      </c>
      <c r="CN53" s="25">
        <f t="shared" si="57"/>
        <v>1</v>
      </c>
      <c r="CO53" s="25">
        <f t="shared" si="58"/>
        <v>0</v>
      </c>
      <c r="CP53" s="25">
        <f t="shared" si="59"/>
        <v>1</v>
      </c>
      <c r="CQ53" s="25">
        <f t="shared" si="60"/>
        <v>0</v>
      </c>
      <c r="CR53" s="25">
        <f t="shared" si="61"/>
        <v>1</v>
      </c>
      <c r="CS53" s="25">
        <f t="shared" si="62"/>
        <v>0</v>
      </c>
      <c r="CT53" s="25">
        <f t="shared" si="63"/>
        <v>0</v>
      </c>
      <c r="CU53" s="25">
        <f t="shared" si="64"/>
        <v>0</v>
      </c>
      <c r="CV53" s="25">
        <f t="shared" si="65"/>
        <v>0</v>
      </c>
      <c r="DC53" s="58">
        <v>26</v>
      </c>
      <c r="DD53" s="58">
        <v>68.199368704597745</v>
      </c>
      <c r="DE53" s="58">
        <v>-324.19936870459776</v>
      </c>
      <c r="DF53" s="58">
        <v>-1.155754817611796</v>
      </c>
      <c r="DH53" s="58">
        <v>9.1397849462365581</v>
      </c>
      <c r="DI53" s="58">
        <v>-130.16216216216216</v>
      </c>
      <c r="DW53" s="58">
        <v>26</v>
      </c>
      <c r="DX53" s="58">
        <v>68.199368704597745</v>
      </c>
      <c r="DY53" s="58">
        <v>-324.19936870459776</v>
      </c>
      <c r="DZ53" s="58">
        <v>-1.155754817611796</v>
      </c>
    </row>
    <row r="54" spans="1:130">
      <c r="A54" s="63" t="s">
        <v>114</v>
      </c>
      <c r="B54">
        <v>972</v>
      </c>
      <c r="C54">
        <v>2031</v>
      </c>
      <c r="D54">
        <v>1243</v>
      </c>
      <c r="E54">
        <v>0</v>
      </c>
      <c r="F54">
        <v>0</v>
      </c>
      <c r="G54">
        <v>464</v>
      </c>
      <c r="H54">
        <v>0</v>
      </c>
      <c r="I54">
        <v>0</v>
      </c>
      <c r="J54">
        <v>0.37329042638777155</v>
      </c>
      <c r="K54">
        <v>195</v>
      </c>
      <c r="L54">
        <v>52.65</v>
      </c>
      <c r="M54" s="354">
        <f t="shared" si="68"/>
        <v>154.66666666666666</v>
      </c>
      <c r="X54">
        <v>0</v>
      </c>
      <c r="AB54" s="63">
        <v>0</v>
      </c>
      <c r="AC54" s="156">
        <v>0</v>
      </c>
      <c r="AD54" s="156">
        <v>0.48765432098765432</v>
      </c>
      <c r="AE54" s="156">
        <v>0.40329218106995884</v>
      </c>
      <c r="AF54" s="156">
        <v>0.10802469135802469</v>
      </c>
      <c r="AG54" s="63">
        <v>1.0288065843621075E-3</v>
      </c>
      <c r="AM54">
        <v>55</v>
      </c>
      <c r="AN54">
        <v>-10</v>
      </c>
      <c r="AO54">
        <v>-5</v>
      </c>
      <c r="AP54">
        <v>0</v>
      </c>
      <c r="AQ54">
        <v>0</v>
      </c>
      <c r="AR54">
        <v>464</v>
      </c>
      <c r="AS54" s="25">
        <f t="shared" si="17"/>
        <v>0</v>
      </c>
      <c r="AT54" s="25">
        <f t="shared" si="66"/>
        <v>0</v>
      </c>
      <c r="AU54" s="25">
        <f t="shared" si="67"/>
        <v>1</v>
      </c>
      <c r="AV54" s="25">
        <f t="shared" si="18"/>
        <v>1</v>
      </c>
      <c r="AW54" s="25">
        <f t="shared" si="19"/>
        <v>0</v>
      </c>
      <c r="AX54" s="25">
        <f t="shared" si="20"/>
        <v>0</v>
      </c>
      <c r="AY54" s="25">
        <f t="shared" si="21"/>
        <v>1</v>
      </c>
      <c r="AZ54" s="25">
        <f t="shared" si="22"/>
        <v>0</v>
      </c>
      <c r="BA54" s="25">
        <f t="shared" si="23"/>
        <v>1</v>
      </c>
      <c r="BB54" s="339">
        <f t="shared" si="24"/>
        <v>0</v>
      </c>
      <c r="BC54" s="340">
        <f t="shared" si="25"/>
        <v>0</v>
      </c>
      <c r="BD54" s="341">
        <f t="shared" si="26"/>
        <v>0</v>
      </c>
      <c r="BE54" s="25">
        <f t="shared" si="27"/>
        <v>0</v>
      </c>
      <c r="BF54" s="25">
        <f t="shared" si="28"/>
        <v>1</v>
      </c>
      <c r="BG54" s="25">
        <f t="shared" si="29"/>
        <v>1</v>
      </c>
      <c r="BH54" s="25">
        <f t="shared" si="30"/>
        <v>0</v>
      </c>
      <c r="BI54" s="25">
        <f t="shared" si="31"/>
        <v>1</v>
      </c>
      <c r="BJ54" s="25">
        <f t="shared" si="32"/>
        <v>2</v>
      </c>
      <c r="BK54" s="351">
        <f t="shared" si="33"/>
        <v>0</v>
      </c>
      <c r="BL54" s="352">
        <f t="shared" si="34"/>
        <v>0</v>
      </c>
      <c r="BM54" s="353">
        <f t="shared" si="35"/>
        <v>1</v>
      </c>
      <c r="BN54" s="25">
        <f t="shared" si="36"/>
        <v>0</v>
      </c>
      <c r="BO54" s="25">
        <f t="shared" si="37"/>
        <v>0</v>
      </c>
      <c r="BP54" s="25">
        <f t="shared" si="38"/>
        <v>0</v>
      </c>
      <c r="BQ54" s="25">
        <f t="shared" si="39"/>
        <v>0</v>
      </c>
      <c r="BR54" s="25">
        <f t="shared" si="40"/>
        <v>0</v>
      </c>
      <c r="BS54" s="25">
        <f t="shared" si="41"/>
        <v>1</v>
      </c>
      <c r="BT54" s="345">
        <f t="shared" si="42"/>
        <v>0</v>
      </c>
      <c r="BU54" s="346">
        <f t="shared" si="43"/>
        <v>0</v>
      </c>
      <c r="BV54" s="347">
        <f t="shared" si="44"/>
        <v>0</v>
      </c>
      <c r="BX54" s="345">
        <f t="shared" si="45"/>
        <v>1</v>
      </c>
      <c r="BY54" s="345">
        <f t="shared" si="46"/>
        <v>0</v>
      </c>
      <c r="BZ54" s="345">
        <f t="shared" si="47"/>
        <v>0</v>
      </c>
      <c r="CA54" s="382">
        <f t="shared" si="48"/>
        <v>0</v>
      </c>
      <c r="CB54" s="382">
        <f t="shared" si="49"/>
        <v>1</v>
      </c>
      <c r="CC54" s="382">
        <f t="shared" si="50"/>
        <v>0</v>
      </c>
      <c r="CD54" s="385">
        <f t="shared" si="51"/>
        <v>0</v>
      </c>
      <c r="CE54" s="385">
        <f t="shared" si="52"/>
        <v>0</v>
      </c>
      <c r="CF54" s="385">
        <f t="shared" si="53"/>
        <v>0</v>
      </c>
      <c r="CG54" s="377">
        <f t="shared" si="54"/>
        <v>1</v>
      </c>
      <c r="CH54" s="377">
        <f t="shared" si="55"/>
        <v>1</v>
      </c>
      <c r="CI54" s="377">
        <f t="shared" si="56"/>
        <v>0</v>
      </c>
      <c r="CK54">
        <v>0</v>
      </c>
      <c r="CL54">
        <v>55</v>
      </c>
      <c r="CN54" s="25">
        <f t="shared" si="57"/>
        <v>2</v>
      </c>
      <c r="CO54" s="25">
        <f t="shared" si="58"/>
        <v>1</v>
      </c>
      <c r="CP54" s="25">
        <f t="shared" si="59"/>
        <v>0</v>
      </c>
      <c r="CQ54" s="25">
        <f t="shared" si="60"/>
        <v>1</v>
      </c>
      <c r="CR54" s="25">
        <f t="shared" si="61"/>
        <v>2</v>
      </c>
      <c r="CS54" s="25">
        <f t="shared" si="62"/>
        <v>1</v>
      </c>
      <c r="CT54" s="25">
        <f t="shared" si="63"/>
        <v>1</v>
      </c>
      <c r="CU54" s="25">
        <f t="shared" si="64"/>
        <v>1</v>
      </c>
      <c r="CV54" s="25">
        <f t="shared" si="65"/>
        <v>0</v>
      </c>
      <c r="DC54" s="58">
        <v>27</v>
      </c>
      <c r="DD54" s="58">
        <v>46.554159465478527</v>
      </c>
      <c r="DE54" s="58">
        <v>-100.55415946547853</v>
      </c>
      <c r="DF54" s="58">
        <v>-0.35847063705736154</v>
      </c>
      <c r="DH54" s="58">
        <v>9.4982078853046588</v>
      </c>
      <c r="DI54" s="58">
        <v>-118</v>
      </c>
      <c r="DW54" s="58">
        <v>27</v>
      </c>
      <c r="DX54" s="58">
        <v>46.554159465478527</v>
      </c>
      <c r="DY54" s="58">
        <v>-100.55415946547853</v>
      </c>
      <c r="DZ54" s="58">
        <v>-0.35847063705736154</v>
      </c>
    </row>
    <row r="55" spans="1:130">
      <c r="A55" s="63" t="s">
        <v>115</v>
      </c>
      <c r="B55">
        <v>80</v>
      </c>
      <c r="C55">
        <v>76</v>
      </c>
      <c r="D55">
        <v>69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112</v>
      </c>
      <c r="L55">
        <v>6.7200000000000006</v>
      </c>
      <c r="M55" s="354">
        <f t="shared" si="68"/>
        <v>0</v>
      </c>
      <c r="X55">
        <v>0</v>
      </c>
      <c r="AB55" s="63">
        <v>0</v>
      </c>
      <c r="AC55" s="156">
        <v>0.6875</v>
      </c>
      <c r="AD55" s="156">
        <v>0.27500000000000002</v>
      </c>
      <c r="AE55" s="156">
        <v>0</v>
      </c>
      <c r="AF55" s="156">
        <v>3.7499999999999999E-2</v>
      </c>
      <c r="AG55" s="63">
        <v>0</v>
      </c>
      <c r="AM55">
        <v>6</v>
      </c>
      <c r="AN55">
        <v>0</v>
      </c>
      <c r="AO55">
        <v>0</v>
      </c>
      <c r="AP55">
        <v>0</v>
      </c>
      <c r="AQ55">
        <v>0</v>
      </c>
      <c r="AR55">
        <v>0</v>
      </c>
      <c r="AS55" s="25">
        <f t="shared" si="17"/>
        <v>0</v>
      </c>
      <c r="AT55" s="25">
        <f t="shared" si="66"/>
        <v>0</v>
      </c>
      <c r="AU55" s="25">
        <f t="shared" si="67"/>
        <v>0</v>
      </c>
      <c r="AV55" s="25">
        <f t="shared" si="18"/>
        <v>1</v>
      </c>
      <c r="AW55" s="25">
        <f t="shared" si="19"/>
        <v>0</v>
      </c>
      <c r="AX55" s="25">
        <f t="shared" si="20"/>
        <v>0</v>
      </c>
      <c r="AY55" s="25">
        <f t="shared" si="21"/>
        <v>1</v>
      </c>
      <c r="AZ55" s="25">
        <f t="shared" si="22"/>
        <v>0</v>
      </c>
      <c r="BA55" s="25">
        <f t="shared" si="23"/>
        <v>0</v>
      </c>
      <c r="BB55" s="339">
        <f t="shared" si="24"/>
        <v>0</v>
      </c>
      <c r="BC55" s="340">
        <f t="shared" si="25"/>
        <v>0</v>
      </c>
      <c r="BD55" s="341">
        <f t="shared" si="26"/>
        <v>0</v>
      </c>
      <c r="BE55" s="25">
        <f t="shared" si="27"/>
        <v>0</v>
      </c>
      <c r="BF55" s="25">
        <f t="shared" si="28"/>
        <v>0</v>
      </c>
      <c r="BG55" s="25">
        <f t="shared" si="29"/>
        <v>0</v>
      </c>
      <c r="BH55" s="25">
        <f t="shared" si="30"/>
        <v>0</v>
      </c>
      <c r="BI55" s="25">
        <f t="shared" si="31"/>
        <v>0</v>
      </c>
      <c r="BJ55" s="25">
        <f t="shared" si="32"/>
        <v>0</v>
      </c>
      <c r="BK55" s="351">
        <f t="shared" si="33"/>
        <v>0</v>
      </c>
      <c r="BL55" s="352">
        <f t="shared" si="34"/>
        <v>0</v>
      </c>
      <c r="BM55" s="353">
        <f t="shared" si="35"/>
        <v>0</v>
      </c>
      <c r="BN55" s="25">
        <f t="shared" si="36"/>
        <v>0</v>
      </c>
      <c r="BO55" s="25">
        <f t="shared" si="37"/>
        <v>1</v>
      </c>
      <c r="BP55" s="25">
        <f t="shared" si="38"/>
        <v>1</v>
      </c>
      <c r="BQ55" s="25">
        <f t="shared" si="39"/>
        <v>0</v>
      </c>
      <c r="BR55" s="25">
        <f t="shared" si="40"/>
        <v>1</v>
      </c>
      <c r="BS55" s="25">
        <f t="shared" si="41"/>
        <v>1</v>
      </c>
      <c r="BT55" s="345">
        <f t="shared" si="42"/>
        <v>0</v>
      </c>
      <c r="BU55" s="346">
        <f t="shared" si="43"/>
        <v>0</v>
      </c>
      <c r="BV55" s="347">
        <f t="shared" si="44"/>
        <v>0</v>
      </c>
      <c r="BX55" s="345">
        <f t="shared" si="45"/>
        <v>1</v>
      </c>
      <c r="BY55" s="345">
        <f t="shared" si="46"/>
        <v>0</v>
      </c>
      <c r="BZ55" s="345">
        <f t="shared" si="47"/>
        <v>0</v>
      </c>
      <c r="CA55" s="382">
        <f t="shared" si="48"/>
        <v>0</v>
      </c>
      <c r="CB55" s="382">
        <f t="shared" si="49"/>
        <v>0</v>
      </c>
      <c r="CC55" s="382">
        <f t="shared" si="50"/>
        <v>0</v>
      </c>
      <c r="CD55" s="385">
        <f t="shared" si="51"/>
        <v>0</v>
      </c>
      <c r="CE55" s="385">
        <f t="shared" si="52"/>
        <v>1</v>
      </c>
      <c r="CF55" s="385">
        <f t="shared" si="53"/>
        <v>1</v>
      </c>
      <c r="CG55" s="377">
        <f t="shared" si="54"/>
        <v>1</v>
      </c>
      <c r="CH55" s="377">
        <f t="shared" si="55"/>
        <v>1</v>
      </c>
      <c r="CI55" s="377">
        <f t="shared" si="56"/>
        <v>1</v>
      </c>
      <c r="CK55">
        <v>0</v>
      </c>
      <c r="CL55">
        <v>6</v>
      </c>
      <c r="CN55" s="25">
        <f t="shared" si="57"/>
        <v>2</v>
      </c>
      <c r="CO55" s="25">
        <f t="shared" si="58"/>
        <v>1</v>
      </c>
      <c r="CP55" s="25">
        <f t="shared" si="59"/>
        <v>1</v>
      </c>
      <c r="CQ55" s="25">
        <f t="shared" si="60"/>
        <v>1</v>
      </c>
      <c r="CR55" s="25">
        <f t="shared" si="61"/>
        <v>1</v>
      </c>
      <c r="CS55" s="25">
        <f t="shared" si="62"/>
        <v>1</v>
      </c>
      <c r="CT55" s="25">
        <f t="shared" si="63"/>
        <v>1</v>
      </c>
      <c r="CU55" s="25">
        <f t="shared" si="64"/>
        <v>2</v>
      </c>
      <c r="CV55" s="25">
        <f t="shared" si="65"/>
        <v>2</v>
      </c>
      <c r="DC55" s="58">
        <v>28</v>
      </c>
      <c r="DD55" s="58">
        <v>38.165346315389257</v>
      </c>
      <c r="DE55" s="58">
        <v>53.834653684610743</v>
      </c>
      <c r="DF55" s="58">
        <v>0.19191789484064192</v>
      </c>
      <c r="DH55" s="58">
        <v>9.8566308243727594</v>
      </c>
      <c r="DI55" s="58">
        <v>-105.3</v>
      </c>
      <c r="DW55" s="58">
        <v>28</v>
      </c>
      <c r="DX55" s="58">
        <v>38.165346315389257</v>
      </c>
      <c r="DY55" s="58">
        <v>53.834653684610743</v>
      </c>
      <c r="DZ55" s="58">
        <v>0.19191789484064192</v>
      </c>
    </row>
    <row r="56" spans="1:130">
      <c r="A56" s="63" t="s">
        <v>116</v>
      </c>
      <c r="B56">
        <v>364</v>
      </c>
      <c r="C56">
        <v>481</v>
      </c>
      <c r="D56">
        <v>489</v>
      </c>
      <c r="E56">
        <v>150</v>
      </c>
      <c r="F56">
        <v>252</v>
      </c>
      <c r="G56">
        <v>150</v>
      </c>
      <c r="H56">
        <v>0.41208791208791207</v>
      </c>
      <c r="I56">
        <v>0.52390852390852394</v>
      </c>
      <c r="J56">
        <v>0.30674846625766872</v>
      </c>
      <c r="K56">
        <v>130</v>
      </c>
      <c r="L56">
        <v>71.5</v>
      </c>
      <c r="M56" s="354">
        <f t="shared" si="68"/>
        <v>184</v>
      </c>
      <c r="X56">
        <v>0.41208791208791207</v>
      </c>
      <c r="AB56" s="63">
        <v>0</v>
      </c>
      <c r="AC56" s="156">
        <v>0.19780219780219779</v>
      </c>
      <c r="AD56" s="156">
        <v>9.8901098901098897E-2</v>
      </c>
      <c r="AE56" s="156">
        <v>0.14560439560439561</v>
      </c>
      <c r="AF56" s="156">
        <v>0.14560439560439561</v>
      </c>
      <c r="AG56" s="63">
        <v>0</v>
      </c>
      <c r="AM56">
        <v>-277</v>
      </c>
      <c r="AN56">
        <v>39</v>
      </c>
      <c r="AO56">
        <v>85</v>
      </c>
      <c r="AP56">
        <v>150</v>
      </c>
      <c r="AQ56">
        <v>252</v>
      </c>
      <c r="AR56">
        <v>150</v>
      </c>
      <c r="AS56" s="25">
        <f t="shared" si="17"/>
        <v>1</v>
      </c>
      <c r="AT56" s="25">
        <f t="shared" si="66"/>
        <v>1</v>
      </c>
      <c r="AU56" s="25">
        <f t="shared" si="67"/>
        <v>1</v>
      </c>
      <c r="AV56" s="25">
        <f t="shared" si="18"/>
        <v>0</v>
      </c>
      <c r="AW56" s="25">
        <f t="shared" si="19"/>
        <v>1</v>
      </c>
      <c r="AX56" s="25">
        <f t="shared" si="20"/>
        <v>1</v>
      </c>
      <c r="AY56" s="25">
        <f t="shared" si="21"/>
        <v>1</v>
      </c>
      <c r="AZ56" s="25">
        <f t="shared" si="22"/>
        <v>2</v>
      </c>
      <c r="BA56" s="25">
        <f t="shared" si="23"/>
        <v>2</v>
      </c>
      <c r="BB56" s="339">
        <f t="shared" si="24"/>
        <v>0</v>
      </c>
      <c r="BC56" s="340">
        <f t="shared" si="25"/>
        <v>1</v>
      </c>
      <c r="BD56" s="341">
        <f t="shared" si="26"/>
        <v>1</v>
      </c>
      <c r="BE56" s="25">
        <f t="shared" si="27"/>
        <v>1</v>
      </c>
      <c r="BF56" s="25">
        <f t="shared" si="28"/>
        <v>0</v>
      </c>
      <c r="BG56" s="25">
        <f t="shared" si="29"/>
        <v>0</v>
      </c>
      <c r="BH56" s="25">
        <f t="shared" si="30"/>
        <v>2</v>
      </c>
      <c r="BI56" s="25">
        <f t="shared" si="31"/>
        <v>1</v>
      </c>
      <c r="BJ56" s="25">
        <f t="shared" si="32"/>
        <v>1</v>
      </c>
      <c r="BK56" s="351">
        <f t="shared" si="33"/>
        <v>1</v>
      </c>
      <c r="BL56" s="352">
        <f t="shared" si="34"/>
        <v>0</v>
      </c>
      <c r="BM56" s="353">
        <f t="shared" si="35"/>
        <v>0</v>
      </c>
      <c r="BN56" s="25">
        <f t="shared" si="36"/>
        <v>0</v>
      </c>
      <c r="BO56" s="25">
        <f t="shared" si="37"/>
        <v>0</v>
      </c>
      <c r="BP56" s="25">
        <f t="shared" si="38"/>
        <v>0</v>
      </c>
      <c r="BQ56" s="25">
        <f t="shared" si="39"/>
        <v>1</v>
      </c>
      <c r="BR56" s="25">
        <f t="shared" si="40"/>
        <v>1</v>
      </c>
      <c r="BS56" s="25">
        <f t="shared" si="41"/>
        <v>1</v>
      </c>
      <c r="BT56" s="345">
        <f t="shared" si="42"/>
        <v>0</v>
      </c>
      <c r="BU56" s="346">
        <f t="shared" si="43"/>
        <v>0</v>
      </c>
      <c r="BV56" s="347">
        <f t="shared" si="44"/>
        <v>0</v>
      </c>
      <c r="BX56" s="345">
        <f t="shared" si="45"/>
        <v>0</v>
      </c>
      <c r="BY56" s="345">
        <f t="shared" si="46"/>
        <v>0</v>
      </c>
      <c r="BZ56" s="345">
        <f t="shared" si="47"/>
        <v>0</v>
      </c>
      <c r="CA56" s="382">
        <f t="shared" si="48"/>
        <v>0</v>
      </c>
      <c r="CB56" s="382">
        <f t="shared" si="49"/>
        <v>0</v>
      </c>
      <c r="CC56" s="382">
        <f t="shared" si="50"/>
        <v>0</v>
      </c>
      <c r="CD56" s="385">
        <f t="shared" si="51"/>
        <v>0</v>
      </c>
      <c r="CE56" s="385">
        <f t="shared" si="52"/>
        <v>0</v>
      </c>
      <c r="CF56" s="385">
        <f t="shared" si="53"/>
        <v>0</v>
      </c>
      <c r="CG56" s="377">
        <f t="shared" si="54"/>
        <v>0</v>
      </c>
      <c r="CH56" s="377">
        <f t="shared" si="55"/>
        <v>0</v>
      </c>
      <c r="CI56" s="377">
        <f t="shared" si="56"/>
        <v>0</v>
      </c>
      <c r="CK56">
        <v>150</v>
      </c>
      <c r="CL56">
        <v>-277</v>
      </c>
      <c r="CN56" s="25">
        <f t="shared" si="57"/>
        <v>0</v>
      </c>
      <c r="CO56" s="25">
        <f t="shared" si="58"/>
        <v>1</v>
      </c>
      <c r="CP56" s="25">
        <f t="shared" si="59"/>
        <v>1</v>
      </c>
      <c r="CQ56" s="25">
        <f t="shared" si="60"/>
        <v>1</v>
      </c>
      <c r="CR56" s="25">
        <f t="shared" si="61"/>
        <v>0</v>
      </c>
      <c r="CS56" s="25">
        <f t="shared" si="62"/>
        <v>0</v>
      </c>
      <c r="CT56" s="25">
        <f t="shared" si="63"/>
        <v>0</v>
      </c>
      <c r="CU56" s="25">
        <f t="shared" si="64"/>
        <v>0</v>
      </c>
      <c r="CV56" s="25">
        <f t="shared" si="65"/>
        <v>0</v>
      </c>
      <c r="DC56" s="58">
        <v>29</v>
      </c>
      <c r="DD56" s="58">
        <v>45.673851912691376</v>
      </c>
      <c r="DE56" s="58">
        <v>-31.673851912691376</v>
      </c>
      <c r="DF56" s="58">
        <v>-0.11291572555087612</v>
      </c>
      <c r="DH56" s="58">
        <v>10.21505376344086</v>
      </c>
      <c r="DI56" s="58">
        <v>-97</v>
      </c>
      <c r="DW56" s="58">
        <v>29</v>
      </c>
      <c r="DX56" s="58">
        <v>45.673851912691376</v>
      </c>
      <c r="DY56" s="58">
        <v>-31.673851912691376</v>
      </c>
      <c r="DZ56" s="58">
        <v>-0.11291572555087612</v>
      </c>
    </row>
    <row r="57" spans="1:130">
      <c r="A57" s="63" t="s">
        <v>117</v>
      </c>
      <c r="B57">
        <v>576</v>
      </c>
      <c r="C57">
        <v>677</v>
      </c>
      <c r="D57">
        <v>704</v>
      </c>
      <c r="E57">
        <v>200</v>
      </c>
      <c r="F57">
        <v>301</v>
      </c>
      <c r="G57">
        <v>425</v>
      </c>
      <c r="H57">
        <v>0.34722222222222221</v>
      </c>
      <c r="I57">
        <v>0.4446085672082718</v>
      </c>
      <c r="J57">
        <v>0.60369318181818177</v>
      </c>
      <c r="K57">
        <v>187</v>
      </c>
      <c r="L57">
        <v>87.89</v>
      </c>
      <c r="M57" s="354">
        <f t="shared" si="68"/>
        <v>308.66666666666669</v>
      </c>
      <c r="X57">
        <v>0.34722222222222221</v>
      </c>
      <c r="AB57" s="63">
        <v>0</v>
      </c>
      <c r="AC57" s="156">
        <v>0.19444444444444445</v>
      </c>
      <c r="AD57" s="156">
        <v>5.7291666666666664E-2</v>
      </c>
      <c r="AE57" s="156">
        <v>6.0763888888888888E-2</v>
      </c>
      <c r="AF57" s="156">
        <v>0.3263888888888889</v>
      </c>
      <c r="AG57" s="63">
        <v>1.3888888888889062E-2</v>
      </c>
      <c r="AM57">
        <v>64</v>
      </c>
      <c r="AN57">
        <v>54</v>
      </c>
      <c r="AO57">
        <v>60</v>
      </c>
      <c r="AP57">
        <v>200</v>
      </c>
      <c r="AQ57">
        <v>301</v>
      </c>
      <c r="AR57">
        <v>425</v>
      </c>
      <c r="AS57" s="25">
        <f t="shared" si="17"/>
        <v>1</v>
      </c>
      <c r="AT57" s="25">
        <f t="shared" si="66"/>
        <v>1</v>
      </c>
      <c r="AU57" s="25">
        <f t="shared" si="67"/>
        <v>1</v>
      </c>
      <c r="AV57" s="25">
        <f t="shared" si="18"/>
        <v>1</v>
      </c>
      <c r="AW57" s="25">
        <f t="shared" si="19"/>
        <v>1</v>
      </c>
      <c r="AX57" s="25">
        <f t="shared" si="20"/>
        <v>1</v>
      </c>
      <c r="AY57" s="25">
        <f t="shared" si="21"/>
        <v>2</v>
      </c>
      <c r="AZ57" s="25">
        <f t="shared" si="22"/>
        <v>2</v>
      </c>
      <c r="BA57" s="25">
        <f t="shared" si="23"/>
        <v>2</v>
      </c>
      <c r="BB57" s="339">
        <f t="shared" si="24"/>
        <v>1</v>
      </c>
      <c r="BC57" s="340">
        <f t="shared" si="25"/>
        <v>1</v>
      </c>
      <c r="BD57" s="341">
        <f t="shared" si="26"/>
        <v>1</v>
      </c>
      <c r="BE57" s="25">
        <f t="shared" si="27"/>
        <v>0</v>
      </c>
      <c r="BF57" s="25">
        <f t="shared" si="28"/>
        <v>0</v>
      </c>
      <c r="BG57" s="25">
        <f t="shared" si="29"/>
        <v>0</v>
      </c>
      <c r="BH57" s="25">
        <f t="shared" si="30"/>
        <v>1</v>
      </c>
      <c r="BI57" s="25">
        <f t="shared" si="31"/>
        <v>1</v>
      </c>
      <c r="BJ57" s="25">
        <f t="shared" si="32"/>
        <v>1</v>
      </c>
      <c r="BK57" s="351">
        <f t="shared" si="33"/>
        <v>0</v>
      </c>
      <c r="BL57" s="352">
        <f t="shared" si="34"/>
        <v>0</v>
      </c>
      <c r="BM57" s="353">
        <f t="shared" si="35"/>
        <v>0</v>
      </c>
      <c r="BN57" s="25">
        <f t="shared" si="36"/>
        <v>0</v>
      </c>
      <c r="BO57" s="25">
        <f t="shared" si="37"/>
        <v>0</v>
      </c>
      <c r="BP57" s="25">
        <f t="shared" si="38"/>
        <v>0</v>
      </c>
      <c r="BQ57" s="25">
        <f t="shared" si="39"/>
        <v>1</v>
      </c>
      <c r="BR57" s="25">
        <f t="shared" si="40"/>
        <v>1</v>
      </c>
      <c r="BS57" s="25">
        <f t="shared" si="41"/>
        <v>1</v>
      </c>
      <c r="BT57" s="345">
        <f t="shared" si="42"/>
        <v>0</v>
      </c>
      <c r="BU57" s="346">
        <f t="shared" si="43"/>
        <v>0</v>
      </c>
      <c r="BV57" s="347">
        <f t="shared" si="44"/>
        <v>0</v>
      </c>
      <c r="BX57" s="345">
        <f t="shared" si="45"/>
        <v>0</v>
      </c>
      <c r="BY57" s="345">
        <f t="shared" si="46"/>
        <v>0</v>
      </c>
      <c r="BZ57" s="345">
        <f t="shared" si="47"/>
        <v>0</v>
      </c>
      <c r="CA57" s="382">
        <f t="shared" si="48"/>
        <v>0</v>
      </c>
      <c r="CB57" s="382">
        <f t="shared" si="49"/>
        <v>0</v>
      </c>
      <c r="CC57" s="382">
        <f t="shared" si="50"/>
        <v>0</v>
      </c>
      <c r="CD57" s="385">
        <f t="shared" si="51"/>
        <v>0</v>
      </c>
      <c r="CE57" s="385">
        <f t="shared" si="52"/>
        <v>0</v>
      </c>
      <c r="CF57" s="385">
        <f t="shared" si="53"/>
        <v>0</v>
      </c>
      <c r="CG57" s="377">
        <f t="shared" si="54"/>
        <v>0</v>
      </c>
      <c r="CH57" s="377">
        <f t="shared" si="55"/>
        <v>0</v>
      </c>
      <c r="CI57" s="377">
        <f t="shared" si="56"/>
        <v>0</v>
      </c>
      <c r="CK57">
        <v>200</v>
      </c>
      <c r="CL57">
        <v>64</v>
      </c>
      <c r="CN57" s="25">
        <f t="shared" si="57"/>
        <v>1</v>
      </c>
      <c r="CO57" s="25">
        <f t="shared" si="58"/>
        <v>1</v>
      </c>
      <c r="CP57" s="25">
        <f t="shared" si="59"/>
        <v>1</v>
      </c>
      <c r="CQ57" s="25">
        <f t="shared" si="60"/>
        <v>0</v>
      </c>
      <c r="CR57" s="25">
        <f t="shared" si="61"/>
        <v>0</v>
      </c>
      <c r="CS57" s="25">
        <f t="shared" si="62"/>
        <v>0</v>
      </c>
      <c r="CT57" s="25">
        <f t="shared" si="63"/>
        <v>0</v>
      </c>
      <c r="CU57" s="25">
        <f t="shared" si="64"/>
        <v>0</v>
      </c>
      <c r="CV57" s="25">
        <f t="shared" si="65"/>
        <v>0</v>
      </c>
      <c r="DC57" s="58">
        <v>30</v>
      </c>
      <c r="DD57" s="58">
        <v>53.182357509993501</v>
      </c>
      <c r="DE57" s="58">
        <v>-42.182357509993501</v>
      </c>
      <c r="DF57" s="58">
        <v>-0.15037803159579907</v>
      </c>
      <c r="DH57" s="58">
        <v>10.573476702508959</v>
      </c>
      <c r="DI57" s="58">
        <v>-92</v>
      </c>
      <c r="DW57" s="58">
        <v>30</v>
      </c>
      <c r="DX57" s="58">
        <v>53.182357509993501</v>
      </c>
      <c r="DY57" s="58">
        <v>-42.182357509993501</v>
      </c>
      <c r="DZ57" s="58">
        <v>-0.15037803159579907</v>
      </c>
    </row>
    <row r="58" spans="1:130">
      <c r="A58" s="63" t="s">
        <v>118</v>
      </c>
      <c r="B58">
        <v>229</v>
      </c>
      <c r="C58">
        <v>240</v>
      </c>
      <c r="D58">
        <v>352</v>
      </c>
      <c r="E58">
        <v>0</v>
      </c>
      <c r="F58">
        <v>189</v>
      </c>
      <c r="G58">
        <v>231</v>
      </c>
      <c r="H58">
        <v>0</v>
      </c>
      <c r="I58">
        <v>0.78749999999999998</v>
      </c>
      <c r="J58">
        <v>0.65625</v>
      </c>
      <c r="K58">
        <v>55</v>
      </c>
      <c r="L58">
        <v>24.75</v>
      </c>
      <c r="M58" s="354">
        <f t="shared" si="68"/>
        <v>140</v>
      </c>
      <c r="X58">
        <v>0</v>
      </c>
      <c r="AB58" s="63">
        <v>0</v>
      </c>
      <c r="AC58" s="156">
        <v>0</v>
      </c>
      <c r="AD58" s="156">
        <v>0</v>
      </c>
      <c r="AE58" s="156">
        <v>1</v>
      </c>
      <c r="AF58" s="156">
        <v>0</v>
      </c>
      <c r="AG58" s="63">
        <v>0</v>
      </c>
      <c r="AM58">
        <v>0</v>
      </c>
      <c r="AN58">
        <v>0</v>
      </c>
      <c r="AO58">
        <v>18</v>
      </c>
      <c r="AP58">
        <v>0</v>
      </c>
      <c r="AQ58">
        <v>189</v>
      </c>
      <c r="AR58">
        <v>231</v>
      </c>
      <c r="AS58" s="25">
        <f t="shared" si="17"/>
        <v>0</v>
      </c>
      <c r="AT58" s="25">
        <f t="shared" si="66"/>
        <v>1</v>
      </c>
      <c r="AU58" s="25">
        <f t="shared" si="67"/>
        <v>1</v>
      </c>
      <c r="AV58" s="25">
        <f t="shared" si="18"/>
        <v>0</v>
      </c>
      <c r="AW58" s="25">
        <f t="shared" si="19"/>
        <v>0</v>
      </c>
      <c r="AX58" s="25">
        <f t="shared" si="20"/>
        <v>1</v>
      </c>
      <c r="AY58" s="25">
        <f t="shared" si="21"/>
        <v>0</v>
      </c>
      <c r="AZ58" s="25">
        <f t="shared" si="22"/>
        <v>1</v>
      </c>
      <c r="BA58" s="25">
        <f t="shared" si="23"/>
        <v>2</v>
      </c>
      <c r="BB58" s="339">
        <f t="shared" si="24"/>
        <v>0</v>
      </c>
      <c r="BC58" s="340">
        <f t="shared" si="25"/>
        <v>0</v>
      </c>
      <c r="BD58" s="341">
        <f t="shared" si="26"/>
        <v>1</v>
      </c>
      <c r="BE58" s="25">
        <f t="shared" si="27"/>
        <v>0</v>
      </c>
      <c r="BF58" s="25">
        <f t="shared" si="28"/>
        <v>0</v>
      </c>
      <c r="BG58" s="25">
        <f t="shared" si="29"/>
        <v>0</v>
      </c>
      <c r="BH58" s="25">
        <f t="shared" si="30"/>
        <v>0</v>
      </c>
      <c r="BI58" s="25">
        <f t="shared" si="31"/>
        <v>1</v>
      </c>
      <c r="BJ58" s="25">
        <f t="shared" si="32"/>
        <v>1</v>
      </c>
      <c r="BK58" s="351">
        <f t="shared" si="33"/>
        <v>0</v>
      </c>
      <c r="BL58" s="352">
        <f t="shared" si="34"/>
        <v>0</v>
      </c>
      <c r="BM58" s="353">
        <f t="shared" si="35"/>
        <v>0</v>
      </c>
      <c r="BN58" s="25">
        <f t="shared" si="36"/>
        <v>1</v>
      </c>
      <c r="BO58" s="25">
        <f t="shared" si="37"/>
        <v>1</v>
      </c>
      <c r="BP58" s="25">
        <f t="shared" si="38"/>
        <v>0</v>
      </c>
      <c r="BQ58" s="25">
        <f t="shared" si="39"/>
        <v>1</v>
      </c>
      <c r="BR58" s="25">
        <f t="shared" si="40"/>
        <v>2</v>
      </c>
      <c r="BS58" s="25">
        <f t="shared" si="41"/>
        <v>1</v>
      </c>
      <c r="BT58" s="345">
        <f t="shared" si="42"/>
        <v>0</v>
      </c>
      <c r="BU58" s="346">
        <f t="shared" si="43"/>
        <v>1</v>
      </c>
      <c r="BV58" s="347">
        <f t="shared" si="44"/>
        <v>0</v>
      </c>
      <c r="BX58" s="345">
        <f t="shared" si="45"/>
        <v>0</v>
      </c>
      <c r="BY58" s="345">
        <f t="shared" si="46"/>
        <v>0</v>
      </c>
      <c r="BZ58" s="345">
        <f t="shared" si="47"/>
        <v>0</v>
      </c>
      <c r="CA58" s="382">
        <f t="shared" si="48"/>
        <v>0</v>
      </c>
      <c r="CB58" s="382">
        <f t="shared" si="49"/>
        <v>0</v>
      </c>
      <c r="CC58" s="382">
        <f t="shared" si="50"/>
        <v>0</v>
      </c>
      <c r="CD58" s="385">
        <f t="shared" si="51"/>
        <v>1</v>
      </c>
      <c r="CE58" s="385">
        <f t="shared" si="52"/>
        <v>0</v>
      </c>
      <c r="CF58" s="385">
        <f t="shared" si="53"/>
        <v>0</v>
      </c>
      <c r="CG58" s="377">
        <f t="shared" si="54"/>
        <v>1</v>
      </c>
      <c r="CH58" s="377">
        <f t="shared" si="55"/>
        <v>0</v>
      </c>
      <c r="CI58" s="377">
        <f t="shared" si="56"/>
        <v>0</v>
      </c>
      <c r="CK58">
        <v>0</v>
      </c>
      <c r="CL58">
        <v>0</v>
      </c>
      <c r="CN58" s="25">
        <f t="shared" si="57"/>
        <v>1</v>
      </c>
      <c r="CO58" s="25">
        <f t="shared" si="58"/>
        <v>0</v>
      </c>
      <c r="CP58" s="25">
        <f t="shared" si="59"/>
        <v>1</v>
      </c>
      <c r="CQ58" s="25">
        <f t="shared" si="60"/>
        <v>1</v>
      </c>
      <c r="CR58" s="25">
        <f t="shared" si="61"/>
        <v>0</v>
      </c>
      <c r="CS58" s="25">
        <f t="shared" si="62"/>
        <v>0</v>
      </c>
      <c r="CT58" s="25">
        <f t="shared" si="63"/>
        <v>2</v>
      </c>
      <c r="CU58" s="25">
        <f t="shared" si="64"/>
        <v>1</v>
      </c>
      <c r="CV58" s="25">
        <f t="shared" si="65"/>
        <v>0</v>
      </c>
      <c r="DC58" s="58">
        <v>31</v>
      </c>
      <c r="DD58" s="58">
        <v>47.227335829374574</v>
      </c>
      <c r="DE58" s="58">
        <v>47.772664170625426</v>
      </c>
      <c r="DF58" s="58">
        <v>0.17030720012184816</v>
      </c>
      <c r="DH58" s="58">
        <v>10.93189964157706</v>
      </c>
      <c r="DI58" s="58">
        <v>-91</v>
      </c>
      <c r="DW58" s="58">
        <v>31</v>
      </c>
      <c r="DX58" s="58">
        <v>47.227335829374574</v>
      </c>
      <c r="DY58" s="58">
        <v>47.772664170625426</v>
      </c>
      <c r="DZ58" s="58">
        <v>0.17030720012184816</v>
      </c>
    </row>
    <row r="59" spans="1:130">
      <c r="A59" s="63" t="s">
        <v>119</v>
      </c>
      <c r="B59">
        <v>2935</v>
      </c>
      <c r="C59">
        <v>3383</v>
      </c>
      <c r="D59">
        <v>3154</v>
      </c>
      <c r="E59">
        <v>1932</v>
      </c>
      <c r="F59">
        <v>2176</v>
      </c>
      <c r="G59">
        <v>2418</v>
      </c>
      <c r="H59">
        <v>0.65826235093696761</v>
      </c>
      <c r="I59">
        <v>0.64321608040201006</v>
      </c>
      <c r="J59">
        <v>0.76664552948636655</v>
      </c>
      <c r="K59">
        <v>336</v>
      </c>
      <c r="L59">
        <v>159.6</v>
      </c>
      <c r="M59" s="354">
        <f t="shared" si="68"/>
        <v>2175.3333333333335</v>
      </c>
      <c r="X59">
        <v>0.65826235093696761</v>
      </c>
      <c r="AB59" s="63">
        <v>2.6235093696763204E-2</v>
      </c>
      <c r="AC59" s="156">
        <v>3.7478705281090291E-2</v>
      </c>
      <c r="AD59" s="156">
        <v>0.15775127768313457</v>
      </c>
      <c r="AE59" s="156">
        <v>4.361158432708688E-2</v>
      </c>
      <c r="AF59" s="156">
        <v>6.9846678023850084E-2</v>
      </c>
      <c r="AG59" s="63">
        <v>6.8143100511073307E-3</v>
      </c>
      <c r="AM59">
        <v>23</v>
      </c>
      <c r="AN59">
        <v>5</v>
      </c>
      <c r="AO59">
        <v>4</v>
      </c>
      <c r="AP59">
        <v>1932</v>
      </c>
      <c r="AQ59">
        <v>2176</v>
      </c>
      <c r="AR59">
        <v>2418</v>
      </c>
      <c r="AS59" s="25">
        <f t="shared" si="17"/>
        <v>1</v>
      </c>
      <c r="AT59" s="25">
        <f t="shared" si="66"/>
        <v>1</v>
      </c>
      <c r="AU59" s="25">
        <f t="shared" si="67"/>
        <v>1</v>
      </c>
      <c r="AV59" s="25">
        <f t="shared" si="18"/>
        <v>1</v>
      </c>
      <c r="AW59" s="25">
        <f t="shared" si="19"/>
        <v>1</v>
      </c>
      <c r="AX59" s="25">
        <f t="shared" si="20"/>
        <v>1</v>
      </c>
      <c r="AY59" s="25">
        <f t="shared" si="21"/>
        <v>2</v>
      </c>
      <c r="AZ59" s="25">
        <f t="shared" si="22"/>
        <v>2</v>
      </c>
      <c r="BA59" s="25">
        <f t="shared" si="23"/>
        <v>2</v>
      </c>
      <c r="BB59" s="339">
        <f t="shared" si="24"/>
        <v>1</v>
      </c>
      <c r="BC59" s="340">
        <f t="shared" si="25"/>
        <v>1</v>
      </c>
      <c r="BD59" s="341">
        <f t="shared" si="26"/>
        <v>1</v>
      </c>
      <c r="BE59" s="25">
        <f t="shared" si="27"/>
        <v>0</v>
      </c>
      <c r="BF59" s="25">
        <f t="shared" si="28"/>
        <v>0</v>
      </c>
      <c r="BG59" s="25">
        <f t="shared" si="29"/>
        <v>0</v>
      </c>
      <c r="BH59" s="25">
        <f t="shared" si="30"/>
        <v>1</v>
      </c>
      <c r="BI59" s="25">
        <f t="shared" si="31"/>
        <v>1</v>
      </c>
      <c r="BJ59" s="25">
        <f t="shared" si="32"/>
        <v>1</v>
      </c>
      <c r="BK59" s="351">
        <f t="shared" si="33"/>
        <v>0</v>
      </c>
      <c r="BL59" s="352">
        <f t="shared" si="34"/>
        <v>0</v>
      </c>
      <c r="BM59" s="353">
        <f t="shared" si="35"/>
        <v>0</v>
      </c>
      <c r="BN59" s="25">
        <f t="shared" si="36"/>
        <v>0</v>
      </c>
      <c r="BO59" s="25">
        <f t="shared" si="37"/>
        <v>0</v>
      </c>
      <c r="BP59" s="25">
        <f t="shared" si="38"/>
        <v>0</v>
      </c>
      <c r="BQ59" s="25">
        <f t="shared" si="39"/>
        <v>1</v>
      </c>
      <c r="BR59" s="25">
        <f t="shared" si="40"/>
        <v>1</v>
      </c>
      <c r="BS59" s="25">
        <f t="shared" si="41"/>
        <v>1</v>
      </c>
      <c r="BT59" s="345">
        <f t="shared" si="42"/>
        <v>0</v>
      </c>
      <c r="BU59" s="346">
        <f t="shared" si="43"/>
        <v>0</v>
      </c>
      <c r="BV59" s="347">
        <f t="shared" si="44"/>
        <v>0</v>
      </c>
      <c r="BX59" s="345">
        <f t="shared" si="45"/>
        <v>0</v>
      </c>
      <c r="BY59" s="345">
        <f t="shared" si="46"/>
        <v>0</v>
      </c>
      <c r="BZ59" s="345">
        <f t="shared" si="47"/>
        <v>0</v>
      </c>
      <c r="CA59" s="382">
        <f t="shared" si="48"/>
        <v>0</v>
      </c>
      <c r="CB59" s="382">
        <f t="shared" si="49"/>
        <v>0</v>
      </c>
      <c r="CC59" s="382">
        <f t="shared" si="50"/>
        <v>0</v>
      </c>
      <c r="CD59" s="385">
        <f t="shared" si="51"/>
        <v>0</v>
      </c>
      <c r="CE59" s="385">
        <f t="shared" si="52"/>
        <v>0</v>
      </c>
      <c r="CF59" s="385">
        <f t="shared" si="53"/>
        <v>0</v>
      </c>
      <c r="CG59" s="377">
        <f t="shared" si="54"/>
        <v>0</v>
      </c>
      <c r="CH59" s="377">
        <f t="shared" si="55"/>
        <v>0</v>
      </c>
      <c r="CI59" s="377">
        <f t="shared" si="56"/>
        <v>0</v>
      </c>
      <c r="CK59">
        <v>1932</v>
      </c>
      <c r="CL59">
        <v>23</v>
      </c>
      <c r="CN59" s="25">
        <f t="shared" si="57"/>
        <v>1</v>
      </c>
      <c r="CO59" s="25">
        <f t="shared" si="58"/>
        <v>1</v>
      </c>
      <c r="CP59" s="25">
        <f t="shared" si="59"/>
        <v>1</v>
      </c>
      <c r="CQ59" s="25">
        <f t="shared" si="60"/>
        <v>0</v>
      </c>
      <c r="CR59" s="25">
        <f t="shared" si="61"/>
        <v>0</v>
      </c>
      <c r="CS59" s="25">
        <f t="shared" si="62"/>
        <v>0</v>
      </c>
      <c r="CT59" s="25">
        <f t="shared" si="63"/>
        <v>0</v>
      </c>
      <c r="CU59" s="25">
        <f t="shared" si="64"/>
        <v>0</v>
      </c>
      <c r="CV59" s="25">
        <f t="shared" si="65"/>
        <v>0</v>
      </c>
      <c r="DC59" s="58">
        <v>32</v>
      </c>
      <c r="DD59" s="58">
        <v>71.461684929632455</v>
      </c>
      <c r="DE59" s="58">
        <v>-246.46168492963244</v>
      </c>
      <c r="DF59" s="58">
        <v>-0.87862379514282984</v>
      </c>
      <c r="DH59" s="58">
        <v>11.29032258064516</v>
      </c>
      <c r="DI59" s="58">
        <v>-85</v>
      </c>
      <c r="DW59" s="58">
        <v>32</v>
      </c>
      <c r="DX59" s="58">
        <v>71.461684929632455</v>
      </c>
      <c r="DY59" s="58">
        <v>-246.46168492963244</v>
      </c>
      <c r="DZ59" s="58">
        <v>-0.87862379514282984</v>
      </c>
    </row>
    <row r="60" spans="1:130">
      <c r="A60" s="63" t="s">
        <v>120</v>
      </c>
      <c r="B60">
        <v>479</v>
      </c>
      <c r="C60">
        <v>764</v>
      </c>
      <c r="D60">
        <v>934</v>
      </c>
      <c r="E60">
        <v>136</v>
      </c>
      <c r="F60">
        <v>0</v>
      </c>
      <c r="G60">
        <v>424</v>
      </c>
      <c r="H60">
        <v>0.28392484342379959</v>
      </c>
      <c r="I60">
        <v>0</v>
      </c>
      <c r="J60">
        <v>0.45396145610278371</v>
      </c>
      <c r="K60">
        <v>104</v>
      </c>
      <c r="L60">
        <v>57.2</v>
      </c>
      <c r="M60" s="354">
        <f t="shared" si="68"/>
        <v>186.66666666666666</v>
      </c>
      <c r="X60">
        <v>0.28392484342379959</v>
      </c>
      <c r="AB60" s="63">
        <v>0</v>
      </c>
      <c r="AC60" s="156">
        <v>0.19832985386221294</v>
      </c>
      <c r="AD60" s="156">
        <v>5.0104384133611693E-2</v>
      </c>
      <c r="AE60" s="156">
        <v>2.0876826722338204E-2</v>
      </c>
      <c r="AF60" s="156">
        <v>0.44050104384133609</v>
      </c>
      <c r="AG60" s="63">
        <v>0</v>
      </c>
      <c r="AM60">
        <v>53</v>
      </c>
      <c r="AN60">
        <v>118</v>
      </c>
      <c r="AO60">
        <v>177</v>
      </c>
      <c r="AP60">
        <v>136</v>
      </c>
      <c r="AQ60">
        <v>0</v>
      </c>
      <c r="AR60">
        <v>424</v>
      </c>
      <c r="AS60" s="25">
        <f t="shared" si="17"/>
        <v>1</v>
      </c>
      <c r="AT60" s="25">
        <f t="shared" si="66"/>
        <v>0</v>
      </c>
      <c r="AU60" s="25">
        <f t="shared" si="67"/>
        <v>1</v>
      </c>
      <c r="AV60" s="25">
        <f t="shared" si="18"/>
        <v>1</v>
      </c>
      <c r="AW60" s="25">
        <f t="shared" si="19"/>
        <v>1</v>
      </c>
      <c r="AX60" s="25">
        <f t="shared" si="20"/>
        <v>1</v>
      </c>
      <c r="AY60" s="25">
        <f t="shared" si="21"/>
        <v>2</v>
      </c>
      <c r="AZ60" s="25">
        <f t="shared" si="22"/>
        <v>1</v>
      </c>
      <c r="BA60" s="25">
        <f t="shared" si="23"/>
        <v>2</v>
      </c>
      <c r="BB60" s="339">
        <f t="shared" si="24"/>
        <v>1</v>
      </c>
      <c r="BC60" s="340">
        <f t="shared" si="25"/>
        <v>0</v>
      </c>
      <c r="BD60" s="341">
        <f t="shared" si="26"/>
        <v>1</v>
      </c>
      <c r="BE60" s="25">
        <f t="shared" si="27"/>
        <v>0</v>
      </c>
      <c r="BF60" s="25">
        <f t="shared" si="28"/>
        <v>0</v>
      </c>
      <c r="BG60" s="25">
        <f t="shared" si="29"/>
        <v>0</v>
      </c>
      <c r="BH60" s="25">
        <f t="shared" si="30"/>
        <v>1</v>
      </c>
      <c r="BI60" s="25">
        <f t="shared" si="31"/>
        <v>0</v>
      </c>
      <c r="BJ60" s="25">
        <f t="shared" si="32"/>
        <v>1</v>
      </c>
      <c r="BK60" s="351">
        <f t="shared" si="33"/>
        <v>0</v>
      </c>
      <c r="BL60" s="352">
        <f t="shared" si="34"/>
        <v>0</v>
      </c>
      <c r="BM60" s="353">
        <f t="shared" si="35"/>
        <v>0</v>
      </c>
      <c r="BN60" s="25">
        <f t="shared" si="36"/>
        <v>0</v>
      </c>
      <c r="BO60" s="25">
        <f t="shared" si="37"/>
        <v>0</v>
      </c>
      <c r="BP60" s="25">
        <f t="shared" si="38"/>
        <v>0</v>
      </c>
      <c r="BQ60" s="25">
        <f t="shared" si="39"/>
        <v>1</v>
      </c>
      <c r="BR60" s="25">
        <f t="shared" si="40"/>
        <v>0</v>
      </c>
      <c r="BS60" s="25">
        <f t="shared" si="41"/>
        <v>1</v>
      </c>
      <c r="BT60" s="345">
        <f t="shared" si="42"/>
        <v>0</v>
      </c>
      <c r="BU60" s="346">
        <f t="shared" si="43"/>
        <v>0</v>
      </c>
      <c r="BV60" s="347">
        <f t="shared" si="44"/>
        <v>0</v>
      </c>
      <c r="BX60" s="345">
        <f t="shared" si="45"/>
        <v>0</v>
      </c>
      <c r="BY60" s="345">
        <f t="shared" si="46"/>
        <v>1</v>
      </c>
      <c r="BZ60" s="345">
        <f t="shared" si="47"/>
        <v>0</v>
      </c>
      <c r="CA60" s="382">
        <f t="shared" si="48"/>
        <v>0</v>
      </c>
      <c r="CB60" s="382">
        <f t="shared" si="49"/>
        <v>0</v>
      </c>
      <c r="CC60" s="382">
        <f t="shared" si="50"/>
        <v>0</v>
      </c>
      <c r="CD60" s="385">
        <f t="shared" si="51"/>
        <v>0</v>
      </c>
      <c r="CE60" s="385">
        <f t="shared" si="52"/>
        <v>0</v>
      </c>
      <c r="CF60" s="385">
        <f t="shared" si="53"/>
        <v>0</v>
      </c>
      <c r="CG60" s="377">
        <f t="shared" si="54"/>
        <v>0</v>
      </c>
      <c r="CH60" s="377">
        <f t="shared" si="55"/>
        <v>1</v>
      </c>
      <c r="CI60" s="377">
        <f t="shared" si="56"/>
        <v>0</v>
      </c>
      <c r="CK60">
        <v>136</v>
      </c>
      <c r="CL60">
        <v>53</v>
      </c>
      <c r="CN60" s="25">
        <f t="shared" si="57"/>
        <v>1</v>
      </c>
      <c r="CO60" s="25">
        <f t="shared" si="58"/>
        <v>2</v>
      </c>
      <c r="CP60" s="25">
        <f t="shared" si="59"/>
        <v>1</v>
      </c>
      <c r="CQ60" s="25">
        <f t="shared" si="60"/>
        <v>0</v>
      </c>
      <c r="CR60" s="25">
        <f t="shared" si="61"/>
        <v>1</v>
      </c>
      <c r="CS60" s="25">
        <f t="shared" si="62"/>
        <v>0</v>
      </c>
      <c r="CT60" s="25">
        <f t="shared" si="63"/>
        <v>0</v>
      </c>
      <c r="CU60" s="25">
        <f t="shared" si="64"/>
        <v>1</v>
      </c>
      <c r="CV60" s="25">
        <f t="shared" si="65"/>
        <v>0</v>
      </c>
      <c r="DC60" s="58">
        <v>33</v>
      </c>
      <c r="DD60" s="58">
        <v>61.519387862859993</v>
      </c>
      <c r="DE60" s="58">
        <v>15.480612137140007</v>
      </c>
      <c r="DF60" s="58">
        <v>5.5187621519959686E-2</v>
      </c>
      <c r="DH60" s="58">
        <v>11.648745519713261</v>
      </c>
      <c r="DI60" s="58">
        <v>-84.530218384966986</v>
      </c>
      <c r="DW60" s="58">
        <v>33</v>
      </c>
      <c r="DX60" s="58">
        <v>61.519387862859993</v>
      </c>
      <c r="DY60" s="58">
        <v>15.480612137140007</v>
      </c>
      <c r="DZ60" s="58">
        <v>5.5187621519959686E-2</v>
      </c>
    </row>
    <row r="61" spans="1:130">
      <c r="A61" s="63" t="s">
        <v>121</v>
      </c>
      <c r="B61">
        <v>481</v>
      </c>
      <c r="C61">
        <v>610</v>
      </c>
      <c r="D61">
        <v>761</v>
      </c>
      <c r="E61">
        <v>70</v>
      </c>
      <c r="F61">
        <v>115</v>
      </c>
      <c r="G61">
        <v>90</v>
      </c>
      <c r="H61">
        <v>0.14553014553014554</v>
      </c>
      <c r="I61">
        <v>0.18852459016393441</v>
      </c>
      <c r="J61">
        <v>0.11826544021024968</v>
      </c>
      <c r="K61">
        <v>127</v>
      </c>
      <c r="L61">
        <v>31.749999999999996</v>
      </c>
      <c r="M61" s="354">
        <f t="shared" si="68"/>
        <v>91.666666666666671</v>
      </c>
      <c r="X61">
        <v>0.14553014553014554</v>
      </c>
      <c r="AB61" s="63">
        <v>0</v>
      </c>
      <c r="AC61" s="156">
        <v>9.7713097713097719E-2</v>
      </c>
      <c r="AD61" s="156">
        <v>4.3659043659043661E-2</v>
      </c>
      <c r="AE61" s="156">
        <v>6.8607068607068611E-2</v>
      </c>
      <c r="AF61" s="156">
        <v>0.60914760914760913</v>
      </c>
      <c r="AG61" s="63">
        <v>3.5343035343035289E-2</v>
      </c>
      <c r="AM61">
        <v>-5</v>
      </c>
      <c r="AN61">
        <v>91</v>
      </c>
      <c r="AO61">
        <v>163</v>
      </c>
      <c r="AP61">
        <v>70</v>
      </c>
      <c r="AQ61">
        <v>115</v>
      </c>
      <c r="AR61">
        <v>90</v>
      </c>
      <c r="AS61" s="25">
        <f t="shared" si="17"/>
        <v>1</v>
      </c>
      <c r="AT61" s="25">
        <f t="shared" si="66"/>
        <v>1</v>
      </c>
      <c r="AU61" s="25">
        <f t="shared" si="67"/>
        <v>1</v>
      </c>
      <c r="AV61" s="25">
        <f t="shared" si="18"/>
        <v>0</v>
      </c>
      <c r="AW61" s="25">
        <f t="shared" si="19"/>
        <v>1</v>
      </c>
      <c r="AX61" s="25">
        <f t="shared" si="20"/>
        <v>1</v>
      </c>
      <c r="AY61" s="25">
        <f t="shared" si="21"/>
        <v>1</v>
      </c>
      <c r="AZ61" s="25">
        <f t="shared" si="22"/>
        <v>2</v>
      </c>
      <c r="BA61" s="25">
        <f t="shared" si="23"/>
        <v>2</v>
      </c>
      <c r="BB61" s="339">
        <f t="shared" si="24"/>
        <v>0</v>
      </c>
      <c r="BC61" s="340">
        <f t="shared" si="25"/>
        <v>1</v>
      </c>
      <c r="BD61" s="341">
        <f t="shared" si="26"/>
        <v>1</v>
      </c>
      <c r="BE61" s="25">
        <f t="shared" si="27"/>
        <v>1</v>
      </c>
      <c r="BF61" s="25">
        <f t="shared" si="28"/>
        <v>0</v>
      </c>
      <c r="BG61" s="25">
        <f t="shared" si="29"/>
        <v>0</v>
      </c>
      <c r="BH61" s="25">
        <f t="shared" si="30"/>
        <v>2</v>
      </c>
      <c r="BI61" s="25">
        <f t="shared" si="31"/>
        <v>1</v>
      </c>
      <c r="BJ61" s="25">
        <f t="shared" si="32"/>
        <v>1</v>
      </c>
      <c r="BK61" s="351">
        <f t="shared" si="33"/>
        <v>1</v>
      </c>
      <c r="BL61" s="352">
        <f t="shared" si="34"/>
        <v>0</v>
      </c>
      <c r="BM61" s="353">
        <f t="shared" si="35"/>
        <v>0</v>
      </c>
      <c r="BN61" s="25">
        <f t="shared" si="36"/>
        <v>0</v>
      </c>
      <c r="BO61" s="25">
        <f t="shared" si="37"/>
        <v>0</v>
      </c>
      <c r="BP61" s="25">
        <f t="shared" si="38"/>
        <v>0</v>
      </c>
      <c r="BQ61" s="25">
        <f t="shared" si="39"/>
        <v>1</v>
      </c>
      <c r="BR61" s="25">
        <f t="shared" si="40"/>
        <v>1</v>
      </c>
      <c r="BS61" s="25">
        <f t="shared" si="41"/>
        <v>1</v>
      </c>
      <c r="BT61" s="345">
        <f t="shared" si="42"/>
        <v>0</v>
      </c>
      <c r="BU61" s="346">
        <f t="shared" si="43"/>
        <v>0</v>
      </c>
      <c r="BV61" s="347">
        <f t="shared" si="44"/>
        <v>0</v>
      </c>
      <c r="BX61" s="345">
        <f t="shared" si="45"/>
        <v>0</v>
      </c>
      <c r="BY61" s="345">
        <f t="shared" si="46"/>
        <v>0</v>
      </c>
      <c r="BZ61" s="345">
        <f t="shared" si="47"/>
        <v>0</v>
      </c>
      <c r="CA61" s="382">
        <f t="shared" si="48"/>
        <v>0</v>
      </c>
      <c r="CB61" s="382">
        <f t="shared" si="49"/>
        <v>0</v>
      </c>
      <c r="CC61" s="382">
        <f t="shared" si="50"/>
        <v>0</v>
      </c>
      <c r="CD61" s="385">
        <f t="shared" si="51"/>
        <v>0</v>
      </c>
      <c r="CE61" s="385">
        <f t="shared" si="52"/>
        <v>0</v>
      </c>
      <c r="CF61" s="385">
        <f t="shared" si="53"/>
        <v>0</v>
      </c>
      <c r="CG61" s="377">
        <f t="shared" si="54"/>
        <v>0</v>
      </c>
      <c r="CH61" s="377">
        <f t="shared" si="55"/>
        <v>0</v>
      </c>
      <c r="CI61" s="377">
        <f t="shared" si="56"/>
        <v>0</v>
      </c>
      <c r="CK61">
        <v>70</v>
      </c>
      <c r="CL61">
        <v>-5</v>
      </c>
      <c r="CN61" s="25">
        <f t="shared" si="57"/>
        <v>0</v>
      </c>
      <c r="CO61" s="25">
        <f t="shared" si="58"/>
        <v>1</v>
      </c>
      <c r="CP61" s="25">
        <f t="shared" si="59"/>
        <v>1</v>
      </c>
      <c r="CQ61" s="25">
        <f t="shared" si="60"/>
        <v>1</v>
      </c>
      <c r="CR61" s="25">
        <f t="shared" si="61"/>
        <v>0</v>
      </c>
      <c r="CS61" s="25">
        <f t="shared" si="62"/>
        <v>0</v>
      </c>
      <c r="CT61" s="25">
        <f t="shared" si="63"/>
        <v>0</v>
      </c>
      <c r="CU61" s="25">
        <f t="shared" si="64"/>
        <v>0</v>
      </c>
      <c r="CV61" s="25">
        <f t="shared" si="65"/>
        <v>0</v>
      </c>
      <c r="DC61" s="58">
        <v>34</v>
      </c>
      <c r="DD61" s="58">
        <v>36.145817223701101</v>
      </c>
      <c r="DE61" s="58">
        <v>-17.145817223701101</v>
      </c>
      <c r="DF61" s="58">
        <v>-6.1123995821966023E-2</v>
      </c>
      <c r="DH61" s="58">
        <v>12.007168458781361</v>
      </c>
      <c r="DI61" s="58">
        <v>-84</v>
      </c>
      <c r="DW61" s="58">
        <v>34</v>
      </c>
      <c r="DX61" s="58">
        <v>36.145817223701101</v>
      </c>
      <c r="DY61" s="58">
        <v>-17.145817223701101</v>
      </c>
      <c r="DZ61" s="58">
        <v>-6.1123995821966023E-2</v>
      </c>
    </row>
    <row r="62" spans="1:130">
      <c r="A62" s="63" t="s">
        <v>122</v>
      </c>
      <c r="B62">
        <v>440</v>
      </c>
      <c r="C62">
        <v>635</v>
      </c>
      <c r="D62">
        <v>628</v>
      </c>
      <c r="E62">
        <v>53</v>
      </c>
      <c r="F62">
        <v>185</v>
      </c>
      <c r="G62">
        <v>231</v>
      </c>
      <c r="H62">
        <v>0.12045454545454545</v>
      </c>
      <c r="I62">
        <v>0.29133858267716534</v>
      </c>
      <c r="J62">
        <v>0.36783439490445857</v>
      </c>
      <c r="K62">
        <v>147</v>
      </c>
      <c r="L62">
        <v>67.61999999999999</v>
      </c>
      <c r="M62" s="354">
        <f t="shared" si="68"/>
        <v>156.33333333333334</v>
      </c>
      <c r="X62">
        <v>0.12045454545454545</v>
      </c>
      <c r="AB62" s="63">
        <v>0</v>
      </c>
      <c r="AC62" s="156">
        <v>9.7727272727272732E-2</v>
      </c>
      <c r="AD62" s="156">
        <v>3.4090909090909088E-2</v>
      </c>
      <c r="AE62" s="156">
        <v>2.2727272727272728E-2</v>
      </c>
      <c r="AF62" s="156">
        <v>0.72499999999999998</v>
      </c>
      <c r="AG62" s="63">
        <v>0</v>
      </c>
      <c r="AM62">
        <v>59</v>
      </c>
      <c r="AN62">
        <v>147</v>
      </c>
      <c r="AO62">
        <v>87</v>
      </c>
      <c r="AP62">
        <v>53</v>
      </c>
      <c r="AQ62">
        <v>185</v>
      </c>
      <c r="AR62">
        <v>231</v>
      </c>
      <c r="AS62" s="25">
        <f t="shared" si="17"/>
        <v>1</v>
      </c>
      <c r="AT62" s="25">
        <f t="shared" si="66"/>
        <v>1</v>
      </c>
      <c r="AU62" s="25">
        <f t="shared" si="67"/>
        <v>1</v>
      </c>
      <c r="AV62" s="25">
        <f t="shared" si="18"/>
        <v>1</v>
      </c>
      <c r="AW62" s="25">
        <f t="shared" si="19"/>
        <v>1</v>
      </c>
      <c r="AX62" s="25">
        <f t="shared" si="20"/>
        <v>1</v>
      </c>
      <c r="AY62" s="25">
        <f t="shared" si="21"/>
        <v>2</v>
      </c>
      <c r="AZ62" s="25">
        <f t="shared" si="22"/>
        <v>2</v>
      </c>
      <c r="BA62" s="25">
        <f t="shared" si="23"/>
        <v>2</v>
      </c>
      <c r="BB62" s="339">
        <f t="shared" si="24"/>
        <v>1</v>
      </c>
      <c r="BC62" s="340">
        <f t="shared" si="25"/>
        <v>1</v>
      </c>
      <c r="BD62" s="341">
        <f t="shared" si="26"/>
        <v>1</v>
      </c>
      <c r="BE62" s="25">
        <f t="shared" si="27"/>
        <v>0</v>
      </c>
      <c r="BF62" s="25">
        <f t="shared" si="28"/>
        <v>0</v>
      </c>
      <c r="BG62" s="25">
        <f t="shared" si="29"/>
        <v>0</v>
      </c>
      <c r="BH62" s="25">
        <f t="shared" si="30"/>
        <v>1</v>
      </c>
      <c r="BI62" s="25">
        <f t="shared" si="31"/>
        <v>1</v>
      </c>
      <c r="BJ62" s="25">
        <f t="shared" si="32"/>
        <v>1</v>
      </c>
      <c r="BK62" s="351">
        <f t="shared" si="33"/>
        <v>0</v>
      </c>
      <c r="BL62" s="352">
        <f t="shared" si="34"/>
        <v>0</v>
      </c>
      <c r="BM62" s="353">
        <f t="shared" si="35"/>
        <v>0</v>
      </c>
      <c r="BN62" s="25">
        <f t="shared" si="36"/>
        <v>0</v>
      </c>
      <c r="BO62" s="25">
        <f t="shared" si="37"/>
        <v>0</v>
      </c>
      <c r="BP62" s="25">
        <f t="shared" si="38"/>
        <v>0</v>
      </c>
      <c r="BQ62" s="25">
        <f t="shared" si="39"/>
        <v>1</v>
      </c>
      <c r="BR62" s="25">
        <f t="shared" si="40"/>
        <v>1</v>
      </c>
      <c r="BS62" s="25">
        <f t="shared" si="41"/>
        <v>1</v>
      </c>
      <c r="BT62" s="345">
        <f t="shared" si="42"/>
        <v>0</v>
      </c>
      <c r="BU62" s="346">
        <f t="shared" si="43"/>
        <v>0</v>
      </c>
      <c r="BV62" s="347">
        <f t="shared" si="44"/>
        <v>0</v>
      </c>
      <c r="BX62" s="345">
        <f t="shared" si="45"/>
        <v>0</v>
      </c>
      <c r="BY62" s="345">
        <f t="shared" si="46"/>
        <v>0</v>
      </c>
      <c r="BZ62" s="345">
        <f t="shared" si="47"/>
        <v>0</v>
      </c>
      <c r="CA62" s="382">
        <f t="shared" si="48"/>
        <v>0</v>
      </c>
      <c r="CB62" s="382">
        <f t="shared" si="49"/>
        <v>0</v>
      </c>
      <c r="CC62" s="382">
        <f t="shared" si="50"/>
        <v>0</v>
      </c>
      <c r="CD62" s="385">
        <f t="shared" si="51"/>
        <v>0</v>
      </c>
      <c r="CE62" s="385">
        <f t="shared" si="52"/>
        <v>0</v>
      </c>
      <c r="CF62" s="385">
        <f t="shared" si="53"/>
        <v>0</v>
      </c>
      <c r="CG62" s="377">
        <f t="shared" si="54"/>
        <v>0</v>
      </c>
      <c r="CH62" s="377">
        <f t="shared" si="55"/>
        <v>0</v>
      </c>
      <c r="CI62" s="377">
        <f t="shared" si="56"/>
        <v>0</v>
      </c>
      <c r="CK62">
        <v>53</v>
      </c>
      <c r="CL62">
        <v>59</v>
      </c>
      <c r="CN62" s="25">
        <f t="shared" si="57"/>
        <v>1</v>
      </c>
      <c r="CO62" s="25">
        <f t="shared" si="58"/>
        <v>1</v>
      </c>
      <c r="CP62" s="25">
        <f t="shared" si="59"/>
        <v>1</v>
      </c>
      <c r="CQ62" s="25">
        <f t="shared" si="60"/>
        <v>0</v>
      </c>
      <c r="CR62" s="25">
        <f t="shared" si="61"/>
        <v>0</v>
      </c>
      <c r="CS62" s="25">
        <f t="shared" si="62"/>
        <v>0</v>
      </c>
      <c r="CT62" s="25">
        <f t="shared" si="63"/>
        <v>0</v>
      </c>
      <c r="CU62" s="25">
        <f t="shared" si="64"/>
        <v>0</v>
      </c>
      <c r="CV62" s="25">
        <f t="shared" si="65"/>
        <v>0</v>
      </c>
      <c r="DC62" s="58">
        <v>35</v>
      </c>
      <c r="DD62" s="58">
        <v>76.484616260241467</v>
      </c>
      <c r="DE62" s="58">
        <v>-451.48461626024147</v>
      </c>
      <c r="DF62" s="58">
        <v>-1.6095204700902519</v>
      </c>
      <c r="DH62" s="58">
        <v>12.365591397849462</v>
      </c>
      <c r="DI62" s="58">
        <v>-82</v>
      </c>
      <c r="DW62" s="58">
        <v>35</v>
      </c>
      <c r="DX62" s="58">
        <v>76.484616260241467</v>
      </c>
      <c r="DY62" s="58">
        <v>-451.48461626024147</v>
      </c>
      <c r="DZ62" s="58">
        <v>-1.6095204700902519</v>
      </c>
    </row>
    <row r="63" spans="1:130">
      <c r="A63" s="63" t="s">
        <v>123</v>
      </c>
      <c r="B63">
        <v>95</v>
      </c>
      <c r="C63">
        <v>430</v>
      </c>
      <c r="D63">
        <v>259</v>
      </c>
      <c r="E63">
        <v>24</v>
      </c>
      <c r="F63">
        <v>146</v>
      </c>
      <c r="G63">
        <v>142</v>
      </c>
      <c r="H63">
        <v>0.25263157894736843</v>
      </c>
      <c r="I63">
        <v>0.33953488372093021</v>
      </c>
      <c r="J63">
        <v>0.54826254826254828</v>
      </c>
      <c r="K63">
        <v>45</v>
      </c>
      <c r="L63">
        <v>17.001000000000001</v>
      </c>
      <c r="M63" s="354">
        <f t="shared" si="68"/>
        <v>104</v>
      </c>
      <c r="X63">
        <v>0.25263157894736843</v>
      </c>
      <c r="AB63" s="63">
        <v>0</v>
      </c>
      <c r="AC63" s="156">
        <v>0.14736842105263157</v>
      </c>
      <c r="AD63" s="156">
        <v>0.22105263157894736</v>
      </c>
      <c r="AE63" s="156">
        <v>3.1578947368421054E-2</v>
      </c>
      <c r="AF63" s="156">
        <v>0</v>
      </c>
      <c r="AG63" s="63">
        <v>0.34736842105263166</v>
      </c>
      <c r="AM63">
        <v>-20</v>
      </c>
      <c r="AN63">
        <v>121</v>
      </c>
      <c r="AO63">
        <v>-15</v>
      </c>
      <c r="AP63">
        <v>24</v>
      </c>
      <c r="AQ63">
        <v>146</v>
      </c>
      <c r="AR63">
        <v>142</v>
      </c>
      <c r="AS63" s="25">
        <f t="shared" si="17"/>
        <v>1</v>
      </c>
      <c r="AT63" s="25">
        <f t="shared" si="66"/>
        <v>1</v>
      </c>
      <c r="AU63" s="25">
        <f t="shared" si="67"/>
        <v>1</v>
      </c>
      <c r="AV63" s="25">
        <f t="shared" si="18"/>
        <v>0</v>
      </c>
      <c r="AW63" s="25">
        <f t="shared" si="19"/>
        <v>1</v>
      </c>
      <c r="AX63" s="25">
        <f t="shared" si="20"/>
        <v>0</v>
      </c>
      <c r="AY63" s="25">
        <f t="shared" si="21"/>
        <v>1</v>
      </c>
      <c r="AZ63" s="25">
        <f t="shared" si="22"/>
        <v>2</v>
      </c>
      <c r="BA63" s="25">
        <f t="shared" si="23"/>
        <v>1</v>
      </c>
      <c r="BB63" s="339">
        <f t="shared" si="24"/>
        <v>0</v>
      </c>
      <c r="BC63" s="340">
        <f t="shared" si="25"/>
        <v>1</v>
      </c>
      <c r="BD63" s="341">
        <f t="shared" si="26"/>
        <v>0</v>
      </c>
      <c r="BE63" s="25">
        <f t="shared" si="27"/>
        <v>1</v>
      </c>
      <c r="BF63" s="25">
        <f t="shared" si="28"/>
        <v>0</v>
      </c>
      <c r="BG63" s="25">
        <f t="shared" si="29"/>
        <v>1</v>
      </c>
      <c r="BH63" s="25">
        <f t="shared" si="30"/>
        <v>2</v>
      </c>
      <c r="BI63" s="25">
        <f t="shared" si="31"/>
        <v>1</v>
      </c>
      <c r="BJ63" s="25">
        <f t="shared" si="32"/>
        <v>2</v>
      </c>
      <c r="BK63" s="351">
        <f t="shared" si="33"/>
        <v>1</v>
      </c>
      <c r="BL63" s="352">
        <f t="shared" si="34"/>
        <v>0</v>
      </c>
      <c r="BM63" s="353">
        <f t="shared" si="35"/>
        <v>1</v>
      </c>
      <c r="BN63" s="25">
        <f t="shared" si="36"/>
        <v>0</v>
      </c>
      <c r="BO63" s="25">
        <f t="shared" si="37"/>
        <v>0</v>
      </c>
      <c r="BP63" s="25">
        <f t="shared" si="38"/>
        <v>0</v>
      </c>
      <c r="BQ63" s="25">
        <f t="shared" si="39"/>
        <v>1</v>
      </c>
      <c r="BR63" s="25">
        <f t="shared" si="40"/>
        <v>1</v>
      </c>
      <c r="BS63" s="25">
        <f t="shared" si="41"/>
        <v>1</v>
      </c>
      <c r="BT63" s="345">
        <f t="shared" si="42"/>
        <v>0</v>
      </c>
      <c r="BU63" s="346">
        <f t="shared" si="43"/>
        <v>0</v>
      </c>
      <c r="BV63" s="347">
        <f t="shared" si="44"/>
        <v>0</v>
      </c>
      <c r="BX63" s="345">
        <f t="shared" si="45"/>
        <v>0</v>
      </c>
      <c r="BY63" s="345">
        <f t="shared" si="46"/>
        <v>0</v>
      </c>
      <c r="BZ63" s="345">
        <f t="shared" si="47"/>
        <v>0</v>
      </c>
      <c r="CA63" s="382">
        <f t="shared" si="48"/>
        <v>0</v>
      </c>
      <c r="CB63" s="382">
        <f t="shared" si="49"/>
        <v>0</v>
      </c>
      <c r="CC63" s="382">
        <f t="shared" si="50"/>
        <v>0</v>
      </c>
      <c r="CD63" s="385">
        <f t="shared" si="51"/>
        <v>0</v>
      </c>
      <c r="CE63" s="385">
        <f t="shared" si="52"/>
        <v>0</v>
      </c>
      <c r="CF63" s="385">
        <f t="shared" si="53"/>
        <v>0</v>
      </c>
      <c r="CG63" s="377">
        <f t="shared" si="54"/>
        <v>0</v>
      </c>
      <c r="CH63" s="377">
        <f t="shared" si="55"/>
        <v>0</v>
      </c>
      <c r="CI63" s="377">
        <f t="shared" si="56"/>
        <v>0</v>
      </c>
      <c r="CK63">
        <v>24</v>
      </c>
      <c r="CL63">
        <v>-20</v>
      </c>
      <c r="CN63" s="25">
        <f t="shared" si="57"/>
        <v>0</v>
      </c>
      <c r="CO63" s="25">
        <f t="shared" si="58"/>
        <v>1</v>
      </c>
      <c r="CP63" s="25">
        <f t="shared" si="59"/>
        <v>0</v>
      </c>
      <c r="CQ63" s="25">
        <f t="shared" si="60"/>
        <v>1</v>
      </c>
      <c r="CR63" s="25">
        <f t="shared" si="61"/>
        <v>0</v>
      </c>
      <c r="CS63" s="25">
        <f t="shared" si="62"/>
        <v>1</v>
      </c>
      <c r="CT63" s="25">
        <f t="shared" si="63"/>
        <v>0</v>
      </c>
      <c r="CU63" s="25">
        <f t="shared" si="64"/>
        <v>0</v>
      </c>
      <c r="CV63" s="25">
        <f t="shared" si="65"/>
        <v>0</v>
      </c>
      <c r="DC63" s="58">
        <v>36</v>
      </c>
      <c r="DD63" s="58">
        <v>36.145817223701101</v>
      </c>
      <c r="DE63" s="58">
        <v>58.854182776298899</v>
      </c>
      <c r="DF63" s="58">
        <v>0.20981226938258368</v>
      </c>
      <c r="DH63" s="58">
        <v>12.724014336917563</v>
      </c>
      <c r="DI63" s="58">
        <v>-76</v>
      </c>
      <c r="DW63" s="58">
        <v>36</v>
      </c>
      <c r="DX63" s="58">
        <v>36.145817223701101</v>
      </c>
      <c r="DY63" s="58">
        <v>58.854182776298899</v>
      </c>
      <c r="DZ63" s="58">
        <v>0.20981226938258368</v>
      </c>
    </row>
    <row r="64" spans="1:130">
      <c r="A64" s="63" t="s">
        <v>124</v>
      </c>
      <c r="B64">
        <v>933</v>
      </c>
      <c r="C64">
        <v>537</v>
      </c>
      <c r="D64">
        <v>365</v>
      </c>
      <c r="E64">
        <v>0</v>
      </c>
      <c r="F64">
        <v>410</v>
      </c>
      <c r="G64">
        <v>300</v>
      </c>
      <c r="H64">
        <v>0</v>
      </c>
      <c r="I64">
        <v>0.76350093109869643</v>
      </c>
      <c r="J64">
        <v>0.82191780821917804</v>
      </c>
      <c r="K64">
        <v>120</v>
      </c>
      <c r="L64">
        <v>60</v>
      </c>
      <c r="M64" s="354">
        <f t="shared" si="68"/>
        <v>236.66666666666666</v>
      </c>
      <c r="X64">
        <v>0</v>
      </c>
      <c r="AB64" s="63">
        <v>0</v>
      </c>
      <c r="AC64" s="156">
        <v>0</v>
      </c>
      <c r="AD64" s="156">
        <v>0</v>
      </c>
      <c r="AE64" s="156">
        <v>1</v>
      </c>
      <c r="AF64" s="156">
        <v>0</v>
      </c>
      <c r="AG64" s="63">
        <v>0</v>
      </c>
      <c r="AM64">
        <v>-270</v>
      </c>
      <c r="AN64">
        <v>80</v>
      </c>
      <c r="AO64">
        <v>3</v>
      </c>
      <c r="AP64">
        <v>0</v>
      </c>
      <c r="AQ64">
        <v>410</v>
      </c>
      <c r="AR64">
        <v>300</v>
      </c>
      <c r="AS64" s="25">
        <f t="shared" si="17"/>
        <v>0</v>
      </c>
      <c r="AT64" s="25">
        <f t="shared" si="66"/>
        <v>1</v>
      </c>
      <c r="AU64" s="25">
        <f t="shared" si="67"/>
        <v>1</v>
      </c>
      <c r="AV64" s="25">
        <f t="shared" si="18"/>
        <v>0</v>
      </c>
      <c r="AW64" s="25">
        <f t="shared" si="19"/>
        <v>1</v>
      </c>
      <c r="AX64" s="25">
        <f t="shared" si="20"/>
        <v>1</v>
      </c>
      <c r="AY64" s="25">
        <f t="shared" si="21"/>
        <v>0</v>
      </c>
      <c r="AZ64" s="25">
        <f t="shared" si="22"/>
        <v>2</v>
      </c>
      <c r="BA64" s="25">
        <f t="shared" si="23"/>
        <v>2</v>
      </c>
      <c r="BB64" s="339">
        <f t="shared" si="24"/>
        <v>0</v>
      </c>
      <c r="BC64" s="340">
        <f t="shared" si="25"/>
        <v>1</v>
      </c>
      <c r="BD64" s="341">
        <f t="shared" si="26"/>
        <v>1</v>
      </c>
      <c r="BE64" s="25">
        <f t="shared" si="27"/>
        <v>1</v>
      </c>
      <c r="BF64" s="25">
        <f t="shared" si="28"/>
        <v>0</v>
      </c>
      <c r="BG64" s="25">
        <f t="shared" si="29"/>
        <v>0</v>
      </c>
      <c r="BH64" s="25">
        <f t="shared" si="30"/>
        <v>1</v>
      </c>
      <c r="BI64" s="25">
        <f t="shared" si="31"/>
        <v>1</v>
      </c>
      <c r="BJ64" s="25">
        <f t="shared" si="32"/>
        <v>1</v>
      </c>
      <c r="BK64" s="351">
        <f t="shared" si="33"/>
        <v>0</v>
      </c>
      <c r="BL64" s="352">
        <f t="shared" si="34"/>
        <v>0</v>
      </c>
      <c r="BM64" s="353">
        <f t="shared" si="35"/>
        <v>0</v>
      </c>
      <c r="BN64" s="25">
        <f t="shared" si="36"/>
        <v>0</v>
      </c>
      <c r="BO64" s="25">
        <f t="shared" si="37"/>
        <v>0</v>
      </c>
      <c r="BP64" s="25">
        <f t="shared" si="38"/>
        <v>0</v>
      </c>
      <c r="BQ64" s="25">
        <f t="shared" si="39"/>
        <v>0</v>
      </c>
      <c r="BR64" s="25">
        <f t="shared" si="40"/>
        <v>1</v>
      </c>
      <c r="BS64" s="25">
        <f t="shared" si="41"/>
        <v>1</v>
      </c>
      <c r="BT64" s="345">
        <f t="shared" si="42"/>
        <v>0</v>
      </c>
      <c r="BU64" s="346">
        <f t="shared" si="43"/>
        <v>0</v>
      </c>
      <c r="BV64" s="347">
        <f t="shared" si="44"/>
        <v>0</v>
      </c>
      <c r="BX64" s="345">
        <f t="shared" si="45"/>
        <v>0</v>
      </c>
      <c r="BY64" s="345">
        <f t="shared" si="46"/>
        <v>0</v>
      </c>
      <c r="BZ64" s="345">
        <f t="shared" si="47"/>
        <v>0</v>
      </c>
      <c r="CA64" s="382">
        <f t="shared" si="48"/>
        <v>1</v>
      </c>
      <c r="CB64" s="382">
        <f t="shared" si="49"/>
        <v>0</v>
      </c>
      <c r="CC64" s="382">
        <f t="shared" si="50"/>
        <v>0</v>
      </c>
      <c r="CD64" s="385">
        <f t="shared" si="51"/>
        <v>0</v>
      </c>
      <c r="CE64" s="385">
        <f t="shared" si="52"/>
        <v>0</v>
      </c>
      <c r="CF64" s="385">
        <f t="shared" si="53"/>
        <v>0</v>
      </c>
      <c r="CG64" s="377">
        <f t="shared" si="54"/>
        <v>1</v>
      </c>
      <c r="CH64" s="377">
        <f t="shared" si="55"/>
        <v>0</v>
      </c>
      <c r="CI64" s="377">
        <f t="shared" si="56"/>
        <v>0</v>
      </c>
      <c r="CK64">
        <v>0</v>
      </c>
      <c r="CL64">
        <v>-270</v>
      </c>
      <c r="CN64" s="25">
        <f t="shared" si="57"/>
        <v>1</v>
      </c>
      <c r="CO64" s="25">
        <f t="shared" si="58"/>
        <v>1</v>
      </c>
      <c r="CP64" s="25">
        <f t="shared" si="59"/>
        <v>1</v>
      </c>
      <c r="CQ64" s="25">
        <f t="shared" si="60"/>
        <v>2</v>
      </c>
      <c r="CR64" s="25">
        <f t="shared" si="61"/>
        <v>0</v>
      </c>
      <c r="CS64" s="25">
        <f t="shared" si="62"/>
        <v>0</v>
      </c>
      <c r="CT64" s="25">
        <f t="shared" si="63"/>
        <v>1</v>
      </c>
      <c r="CU64" s="25">
        <f t="shared" si="64"/>
        <v>0</v>
      </c>
      <c r="CV64" s="25">
        <f t="shared" si="65"/>
        <v>0</v>
      </c>
      <c r="DC64" s="58">
        <v>37</v>
      </c>
      <c r="DD64" s="58">
        <v>60.794428701741168</v>
      </c>
      <c r="DE64" s="58">
        <v>-844.79442870174114</v>
      </c>
      <c r="DF64" s="58">
        <v>-3.0116506233955396</v>
      </c>
      <c r="DH64" s="58">
        <v>13.082437275985662</v>
      </c>
      <c r="DI64" s="58">
        <v>-75</v>
      </c>
      <c r="DW64" s="58">
        <v>37</v>
      </c>
      <c r="DX64" s="58">
        <v>60.794428701741168</v>
      </c>
      <c r="DY64" s="58">
        <v>-844.79442870174114</v>
      </c>
      <c r="DZ64" s="58">
        <v>-3.0116506233955396</v>
      </c>
    </row>
    <row r="65" spans="1:130">
      <c r="A65" s="63" t="s">
        <v>125</v>
      </c>
      <c r="B65">
        <v>312</v>
      </c>
      <c r="C65">
        <v>324</v>
      </c>
      <c r="D65">
        <v>408</v>
      </c>
      <c r="E65">
        <v>73</v>
      </c>
      <c r="F65">
        <v>64</v>
      </c>
      <c r="G65">
        <v>142</v>
      </c>
      <c r="H65">
        <v>0.23397435897435898</v>
      </c>
      <c r="I65">
        <v>0.19753086419753085</v>
      </c>
      <c r="J65">
        <v>0.34803921568627449</v>
      </c>
      <c r="K65">
        <v>110</v>
      </c>
      <c r="L65">
        <v>25.3</v>
      </c>
      <c r="M65" s="354">
        <f t="shared" si="68"/>
        <v>93</v>
      </c>
      <c r="X65">
        <v>0.23397435897435898</v>
      </c>
      <c r="AB65" s="63">
        <v>0</v>
      </c>
      <c r="AC65" s="156">
        <v>2.564102564102564E-2</v>
      </c>
      <c r="AD65" s="156">
        <v>4.4871794871794872E-2</v>
      </c>
      <c r="AE65" s="156">
        <v>0</v>
      </c>
      <c r="AF65" s="156">
        <v>0.53846153846153844</v>
      </c>
      <c r="AG65" s="63">
        <v>0.15705128205128205</v>
      </c>
      <c r="AM65">
        <v>30</v>
      </c>
      <c r="AN65">
        <v>-82</v>
      </c>
      <c r="AO65">
        <v>83</v>
      </c>
      <c r="AP65">
        <v>73</v>
      </c>
      <c r="AQ65">
        <v>64</v>
      </c>
      <c r="AR65">
        <v>142</v>
      </c>
      <c r="AS65" s="25">
        <f t="shared" si="17"/>
        <v>1</v>
      </c>
      <c r="AT65" s="25">
        <f t="shared" si="66"/>
        <v>1</v>
      </c>
      <c r="AU65" s="25">
        <f t="shared" si="67"/>
        <v>1</v>
      </c>
      <c r="AV65" s="25">
        <f t="shared" si="18"/>
        <v>1</v>
      </c>
      <c r="AW65" s="25">
        <f t="shared" si="19"/>
        <v>0</v>
      </c>
      <c r="AX65" s="25">
        <f t="shared" si="20"/>
        <v>1</v>
      </c>
      <c r="AY65" s="25">
        <f t="shared" si="21"/>
        <v>2</v>
      </c>
      <c r="AZ65" s="25">
        <f t="shared" si="22"/>
        <v>1</v>
      </c>
      <c r="BA65" s="25">
        <f t="shared" si="23"/>
        <v>2</v>
      </c>
      <c r="BB65" s="339">
        <f t="shared" si="24"/>
        <v>1</v>
      </c>
      <c r="BC65" s="340">
        <f t="shared" si="25"/>
        <v>0</v>
      </c>
      <c r="BD65" s="341">
        <f t="shared" si="26"/>
        <v>1</v>
      </c>
      <c r="BE65" s="25">
        <f t="shared" si="27"/>
        <v>0</v>
      </c>
      <c r="BF65" s="25">
        <f t="shared" si="28"/>
        <v>1</v>
      </c>
      <c r="BG65" s="25">
        <f t="shared" si="29"/>
        <v>0</v>
      </c>
      <c r="BH65" s="25">
        <f t="shared" si="30"/>
        <v>1</v>
      </c>
      <c r="BI65" s="25">
        <f t="shared" si="31"/>
        <v>2</v>
      </c>
      <c r="BJ65" s="25">
        <f t="shared" si="32"/>
        <v>1</v>
      </c>
      <c r="BK65" s="351">
        <f t="shared" si="33"/>
        <v>0</v>
      </c>
      <c r="BL65" s="352">
        <f t="shared" si="34"/>
        <v>1</v>
      </c>
      <c r="BM65" s="353">
        <f t="shared" si="35"/>
        <v>0</v>
      </c>
      <c r="BN65" s="25">
        <f t="shared" si="36"/>
        <v>0</v>
      </c>
      <c r="BO65" s="25">
        <f t="shared" si="37"/>
        <v>0</v>
      </c>
      <c r="BP65" s="25">
        <f t="shared" si="38"/>
        <v>0</v>
      </c>
      <c r="BQ65" s="25">
        <f t="shared" si="39"/>
        <v>1</v>
      </c>
      <c r="BR65" s="25">
        <f t="shared" si="40"/>
        <v>1</v>
      </c>
      <c r="BS65" s="25">
        <f t="shared" si="41"/>
        <v>1</v>
      </c>
      <c r="BT65" s="345">
        <f t="shared" si="42"/>
        <v>0</v>
      </c>
      <c r="BU65" s="346">
        <f t="shared" si="43"/>
        <v>0</v>
      </c>
      <c r="BV65" s="347">
        <f t="shared" si="44"/>
        <v>0</v>
      </c>
      <c r="BX65" s="345">
        <f t="shared" si="45"/>
        <v>0</v>
      </c>
      <c r="BY65" s="345">
        <f t="shared" si="46"/>
        <v>0</v>
      </c>
      <c r="BZ65" s="345">
        <f t="shared" si="47"/>
        <v>0</v>
      </c>
      <c r="CA65" s="382">
        <f t="shared" si="48"/>
        <v>0</v>
      </c>
      <c r="CB65" s="382">
        <f t="shared" si="49"/>
        <v>0</v>
      </c>
      <c r="CC65" s="382">
        <f t="shared" si="50"/>
        <v>0</v>
      </c>
      <c r="CD65" s="385">
        <f t="shared" si="51"/>
        <v>0</v>
      </c>
      <c r="CE65" s="385">
        <f t="shared" si="52"/>
        <v>0</v>
      </c>
      <c r="CF65" s="385">
        <f t="shared" si="53"/>
        <v>0</v>
      </c>
      <c r="CG65" s="377">
        <f t="shared" si="54"/>
        <v>0</v>
      </c>
      <c r="CH65" s="377">
        <f t="shared" si="55"/>
        <v>0</v>
      </c>
      <c r="CI65" s="377">
        <f t="shared" si="56"/>
        <v>0</v>
      </c>
      <c r="CK65">
        <v>73</v>
      </c>
      <c r="CL65">
        <v>30</v>
      </c>
      <c r="CN65" s="25">
        <f t="shared" si="57"/>
        <v>1</v>
      </c>
      <c r="CO65" s="25">
        <f t="shared" si="58"/>
        <v>0</v>
      </c>
      <c r="CP65" s="25">
        <f t="shared" si="59"/>
        <v>1</v>
      </c>
      <c r="CQ65" s="25">
        <f t="shared" si="60"/>
        <v>0</v>
      </c>
      <c r="CR65" s="25">
        <f t="shared" si="61"/>
        <v>1</v>
      </c>
      <c r="CS65" s="25">
        <f t="shared" si="62"/>
        <v>0</v>
      </c>
      <c r="CT65" s="25">
        <f t="shared" si="63"/>
        <v>0</v>
      </c>
      <c r="CU65" s="25">
        <f t="shared" si="64"/>
        <v>0</v>
      </c>
      <c r="CV65" s="25">
        <f t="shared" si="65"/>
        <v>0</v>
      </c>
      <c r="DC65" s="58">
        <v>38</v>
      </c>
      <c r="DD65" s="58">
        <v>41.841924918206161</v>
      </c>
      <c r="DE65" s="58">
        <v>-67.841924918206161</v>
      </c>
      <c r="DF65" s="58">
        <v>-0.24185312844245072</v>
      </c>
      <c r="DH65" s="58">
        <v>13.440860215053762</v>
      </c>
      <c r="DI65" s="58">
        <v>-74.351351351351354</v>
      </c>
      <c r="DW65" s="58">
        <v>38</v>
      </c>
      <c r="DX65" s="58">
        <v>41.841924918206161</v>
      </c>
      <c r="DY65" s="58">
        <v>-67.841924918206161</v>
      </c>
      <c r="DZ65" s="58">
        <v>-0.24185312844245072</v>
      </c>
    </row>
    <row r="66" spans="1:130">
      <c r="A66" s="63" t="s">
        <v>126</v>
      </c>
      <c r="B66">
        <v>158</v>
      </c>
      <c r="C66">
        <v>149</v>
      </c>
      <c r="D66">
        <v>137</v>
      </c>
      <c r="E66">
        <v>45</v>
      </c>
      <c r="F66">
        <v>55</v>
      </c>
      <c r="G66">
        <v>78</v>
      </c>
      <c r="H66">
        <v>0.2848101265822785</v>
      </c>
      <c r="I66">
        <v>0.36912751677852351</v>
      </c>
      <c r="J66">
        <v>0.56934306569343063</v>
      </c>
      <c r="K66">
        <v>76</v>
      </c>
      <c r="L66">
        <v>22.8</v>
      </c>
      <c r="M66" s="354">
        <f t="shared" ref="M66:M94" si="69">AVERAGEA(E66:G66)</f>
        <v>59.333333333333336</v>
      </c>
      <c r="X66">
        <v>0.2848101265822785</v>
      </c>
      <c r="AB66" s="63">
        <v>0</v>
      </c>
      <c r="AC66" s="156">
        <v>0.10759493670886076</v>
      </c>
      <c r="AD66" s="156">
        <v>0.19620253164556961</v>
      </c>
      <c r="AE66" s="156">
        <v>0</v>
      </c>
      <c r="AF66" s="156">
        <v>0</v>
      </c>
      <c r="AG66" s="63">
        <v>0.41139240506329111</v>
      </c>
      <c r="AM66">
        <v>-34</v>
      </c>
      <c r="AN66">
        <v>21</v>
      </c>
      <c r="AO66">
        <v>9</v>
      </c>
      <c r="AP66">
        <v>45</v>
      </c>
      <c r="AQ66">
        <v>55</v>
      </c>
      <c r="AR66">
        <v>78</v>
      </c>
      <c r="AS66" s="25">
        <f t="shared" si="17"/>
        <v>1</v>
      </c>
      <c r="AT66" s="25">
        <f t="shared" si="66"/>
        <v>1</v>
      </c>
      <c r="AU66" s="25">
        <f t="shared" si="67"/>
        <v>1</v>
      </c>
      <c r="AV66" s="25">
        <f t="shared" si="18"/>
        <v>0</v>
      </c>
      <c r="AW66" s="25">
        <f t="shared" si="19"/>
        <v>1</v>
      </c>
      <c r="AX66" s="25">
        <f t="shared" si="20"/>
        <v>1</v>
      </c>
      <c r="AY66" s="25">
        <f t="shared" si="21"/>
        <v>1</v>
      </c>
      <c r="AZ66" s="25">
        <f t="shared" si="22"/>
        <v>2</v>
      </c>
      <c r="BA66" s="25">
        <f t="shared" si="23"/>
        <v>2</v>
      </c>
      <c r="BB66" s="339">
        <f t="shared" si="24"/>
        <v>0</v>
      </c>
      <c r="BC66" s="340">
        <f t="shared" si="25"/>
        <v>1</v>
      </c>
      <c r="BD66" s="341">
        <f t="shared" si="26"/>
        <v>1</v>
      </c>
      <c r="BE66" s="25">
        <f t="shared" si="27"/>
        <v>1</v>
      </c>
      <c r="BF66" s="25">
        <f t="shared" si="28"/>
        <v>0</v>
      </c>
      <c r="BG66" s="25">
        <f t="shared" si="29"/>
        <v>0</v>
      </c>
      <c r="BH66" s="25">
        <f t="shared" si="30"/>
        <v>2</v>
      </c>
      <c r="BI66" s="25">
        <f t="shared" si="31"/>
        <v>1</v>
      </c>
      <c r="BJ66" s="25">
        <f t="shared" si="32"/>
        <v>1</v>
      </c>
      <c r="BK66" s="351">
        <f t="shared" si="33"/>
        <v>1</v>
      </c>
      <c r="BL66" s="352">
        <f t="shared" si="34"/>
        <v>0</v>
      </c>
      <c r="BM66" s="353">
        <f t="shared" si="35"/>
        <v>0</v>
      </c>
      <c r="BN66" s="25">
        <f t="shared" si="36"/>
        <v>0</v>
      </c>
      <c r="BO66" s="25">
        <f t="shared" si="37"/>
        <v>0</v>
      </c>
      <c r="BP66" s="25">
        <f t="shared" si="38"/>
        <v>0</v>
      </c>
      <c r="BQ66" s="25">
        <f t="shared" si="39"/>
        <v>1</v>
      </c>
      <c r="BR66" s="25">
        <f t="shared" si="40"/>
        <v>1</v>
      </c>
      <c r="BS66" s="25">
        <f t="shared" si="41"/>
        <v>1</v>
      </c>
      <c r="BT66" s="345">
        <f t="shared" si="42"/>
        <v>0</v>
      </c>
      <c r="BU66" s="346">
        <f t="shared" si="43"/>
        <v>0</v>
      </c>
      <c r="BV66" s="347">
        <f t="shared" si="44"/>
        <v>0</v>
      </c>
      <c r="BX66" s="345">
        <f t="shared" si="45"/>
        <v>0</v>
      </c>
      <c r="BY66" s="345">
        <f t="shared" si="46"/>
        <v>0</v>
      </c>
      <c r="BZ66" s="345">
        <f t="shared" si="47"/>
        <v>0</v>
      </c>
      <c r="CA66" s="382">
        <f t="shared" si="48"/>
        <v>0</v>
      </c>
      <c r="CB66" s="382">
        <f t="shared" si="49"/>
        <v>0</v>
      </c>
      <c r="CC66" s="382">
        <f t="shared" si="50"/>
        <v>0</v>
      </c>
      <c r="CD66" s="385">
        <f t="shared" si="51"/>
        <v>0</v>
      </c>
      <c r="CE66" s="385">
        <f t="shared" si="52"/>
        <v>0</v>
      </c>
      <c r="CF66" s="385">
        <f t="shared" si="53"/>
        <v>0</v>
      </c>
      <c r="CG66" s="377">
        <f t="shared" si="54"/>
        <v>0</v>
      </c>
      <c r="CH66" s="377">
        <f t="shared" si="55"/>
        <v>0</v>
      </c>
      <c r="CI66" s="377">
        <f t="shared" si="56"/>
        <v>0</v>
      </c>
      <c r="CK66">
        <v>45</v>
      </c>
      <c r="CL66">
        <v>-34</v>
      </c>
      <c r="CN66" s="25">
        <f t="shared" si="57"/>
        <v>0</v>
      </c>
      <c r="CO66" s="25">
        <f t="shared" si="58"/>
        <v>1</v>
      </c>
      <c r="CP66" s="25">
        <f t="shared" si="59"/>
        <v>1</v>
      </c>
      <c r="CQ66" s="25">
        <f t="shared" si="60"/>
        <v>1</v>
      </c>
      <c r="CR66" s="25">
        <f t="shared" si="61"/>
        <v>0</v>
      </c>
      <c r="CS66" s="25">
        <f t="shared" si="62"/>
        <v>0</v>
      </c>
      <c r="CT66" s="25">
        <f t="shared" si="63"/>
        <v>0</v>
      </c>
      <c r="CU66" s="25">
        <f t="shared" si="64"/>
        <v>0</v>
      </c>
      <c r="CV66" s="25">
        <f t="shared" si="65"/>
        <v>0</v>
      </c>
      <c r="DC66" s="58">
        <v>39</v>
      </c>
      <c r="DD66" s="58">
        <v>36.145817223701101</v>
      </c>
      <c r="DE66" s="58">
        <v>-338.1458172237011</v>
      </c>
      <c r="DF66" s="58">
        <v>-1.2054732212253931</v>
      </c>
      <c r="DH66" s="58">
        <v>13.799283154121863</v>
      </c>
      <c r="DI66" s="58">
        <v>-71</v>
      </c>
      <c r="DW66" s="58">
        <v>39</v>
      </c>
      <c r="DX66" s="58">
        <v>36.145817223701101</v>
      </c>
      <c r="DY66" s="58">
        <v>-338.1458172237011</v>
      </c>
      <c r="DZ66" s="58">
        <v>-1.2054732212253931</v>
      </c>
    </row>
    <row r="67" spans="1:130">
      <c r="A67" s="63" t="s">
        <v>127</v>
      </c>
      <c r="B67">
        <v>208</v>
      </c>
      <c r="C67">
        <v>277</v>
      </c>
      <c r="D67">
        <v>316</v>
      </c>
      <c r="E67">
        <v>60</v>
      </c>
      <c r="F67">
        <v>100</v>
      </c>
      <c r="G67">
        <v>153</v>
      </c>
      <c r="H67">
        <v>0.28846153846153844</v>
      </c>
      <c r="I67">
        <v>0.36101083032490977</v>
      </c>
      <c r="J67">
        <v>0.48417721518987344</v>
      </c>
      <c r="K67">
        <v>111</v>
      </c>
      <c r="L67">
        <v>39.960000000000008</v>
      </c>
      <c r="M67" s="354">
        <f t="shared" si="69"/>
        <v>104.33333333333333</v>
      </c>
      <c r="X67">
        <v>0.28846153846153844</v>
      </c>
      <c r="AB67" s="63">
        <v>0</v>
      </c>
      <c r="AC67" s="156">
        <v>0.34134615384615385</v>
      </c>
      <c r="AD67" s="156">
        <v>0.1201923076923077</v>
      </c>
      <c r="AE67" s="156">
        <v>0.15865384615384615</v>
      </c>
      <c r="AF67" s="156">
        <v>0</v>
      </c>
      <c r="AG67" s="63">
        <v>9.1346153846153855E-2</v>
      </c>
      <c r="AM67">
        <v>-19</v>
      </c>
      <c r="AN67">
        <v>62</v>
      </c>
      <c r="AO67">
        <v>11</v>
      </c>
      <c r="AP67">
        <v>60</v>
      </c>
      <c r="AQ67">
        <v>100</v>
      </c>
      <c r="AR67">
        <v>153</v>
      </c>
      <c r="AS67" s="25">
        <f t="shared" ref="AS67:AS94" si="70">IF(AP67&gt;0,1,0)</f>
        <v>1</v>
      </c>
      <c r="AT67" s="25">
        <f t="shared" si="66"/>
        <v>1</v>
      </c>
      <c r="AU67" s="25">
        <f t="shared" si="67"/>
        <v>1</v>
      </c>
      <c r="AV67" s="25">
        <f t="shared" ref="AV67:AV94" si="71">IF(AM67&gt;0,1,0)</f>
        <v>0</v>
      </c>
      <c r="AW67" s="25">
        <f t="shared" ref="AW67:AW94" si="72">IF(AN67&gt;0,1,0)</f>
        <v>1</v>
      </c>
      <c r="AX67" s="25">
        <f t="shared" ref="AX67:AX94" si="73">IF(AO67&gt;0,1,0)</f>
        <v>1</v>
      </c>
      <c r="AY67" s="25">
        <f t="shared" ref="AY67:AY94" si="74">AS67+AV67</f>
        <v>1</v>
      </c>
      <c r="AZ67" s="25">
        <f t="shared" ref="AZ67:AZ94" si="75">AT67+AW67</f>
        <v>2</v>
      </c>
      <c r="BA67" s="25">
        <f t="shared" ref="BA67:BA94" si="76">AU67+AX67</f>
        <v>2</v>
      </c>
      <c r="BB67" s="339">
        <f t="shared" ref="BB67:BB94" si="77">IF(AY67=2,1,0)</f>
        <v>0</v>
      </c>
      <c r="BC67" s="340">
        <f t="shared" ref="BC67:BC94" si="78">IF(AZ67=2,1,0)</f>
        <v>1</v>
      </c>
      <c r="BD67" s="341">
        <f t="shared" ref="BD67:BD94" si="79">IF(BA67=2,1,0)</f>
        <v>1</v>
      </c>
      <c r="BE67" s="25">
        <f t="shared" ref="BE67:BE94" si="80">IF(AM67&lt;0,1,0)</f>
        <v>1</v>
      </c>
      <c r="BF67" s="25">
        <f t="shared" ref="BF67:BF94" si="81">IF(AN67&lt;0,1,0)</f>
        <v>0</v>
      </c>
      <c r="BG67" s="25">
        <f t="shared" ref="BG67:BG94" si="82">IF(AO67&lt;0,1,0)</f>
        <v>0</v>
      </c>
      <c r="BH67" s="25">
        <f t="shared" ref="BH67:BH94" si="83">BE67+AS67</f>
        <v>2</v>
      </c>
      <c r="BI67" s="25">
        <f t="shared" ref="BI67:BI94" si="84">BF67+AT67</f>
        <v>1</v>
      </c>
      <c r="BJ67" s="25">
        <f t="shared" ref="BJ67:BJ94" si="85">BG67+AU67</f>
        <v>1</v>
      </c>
      <c r="BK67" s="351">
        <f t="shared" ref="BK67:BK94" si="86">IF(BH67=2,1,0)</f>
        <v>1</v>
      </c>
      <c r="BL67" s="352">
        <f t="shared" ref="BL67:BL94" si="87">IF(BI67=2,1,0)</f>
        <v>0</v>
      </c>
      <c r="BM67" s="353">
        <f t="shared" ref="BM67:BM94" si="88">IF(BJ67=2,1,0)</f>
        <v>0</v>
      </c>
      <c r="BN67" s="25">
        <f t="shared" ref="BN67:BN94" si="89">IF(AM67=0,1,0)</f>
        <v>0</v>
      </c>
      <c r="BO67" s="25">
        <f t="shared" ref="BO67:BO94" si="90">IF(AN67=0,1,0)</f>
        <v>0</v>
      </c>
      <c r="BP67" s="25">
        <f t="shared" ref="BP67:BP94" si="91">IF(AO67=0,1,0)</f>
        <v>0</v>
      </c>
      <c r="BQ67" s="25">
        <f t="shared" ref="BQ67:BQ94" si="92">AS67+BN67</f>
        <v>1</v>
      </c>
      <c r="BR67" s="25">
        <f t="shared" ref="BR67:BR94" si="93">AT67+BO67</f>
        <v>1</v>
      </c>
      <c r="BS67" s="25">
        <f t="shared" ref="BS67:BS94" si="94">AU67+BP67</f>
        <v>1</v>
      </c>
      <c r="BT67" s="345">
        <f t="shared" ref="BT67:BT94" si="95">IF(BQ67=2,1,0)</f>
        <v>0</v>
      </c>
      <c r="BU67" s="346">
        <f t="shared" ref="BU67:BU94" si="96">IF(BR67=2,1,0)</f>
        <v>0</v>
      </c>
      <c r="BV67" s="347">
        <f t="shared" ref="BV67:BV94" si="97">IF(BS67=2,1,0)</f>
        <v>0</v>
      </c>
      <c r="BX67" s="345">
        <f t="shared" ref="BX67:BX94" si="98">IF(CN67=2,1,0)</f>
        <v>0</v>
      </c>
      <c r="BY67" s="345">
        <f t="shared" ref="BY67:BY94" si="99">IF(CO67=2,1,0)</f>
        <v>0</v>
      </c>
      <c r="BZ67" s="345">
        <f t="shared" ref="BZ67:BZ94" si="100">IF(CP67=2,1,0)</f>
        <v>0</v>
      </c>
      <c r="CA67" s="382">
        <f t="shared" ref="CA67:CA94" si="101">IF(CQ67=2,1,0)</f>
        <v>0</v>
      </c>
      <c r="CB67" s="382">
        <f t="shared" ref="CB67:CB94" si="102">IF(CR67=2,1,0)</f>
        <v>0</v>
      </c>
      <c r="CC67" s="382">
        <f t="shared" ref="CC67:CC94" si="103">IF(CS67=2,1,0)</f>
        <v>0</v>
      </c>
      <c r="CD67" s="385">
        <f t="shared" ref="CD67:CD94" si="104">IF(CT67=2,1,0)</f>
        <v>0</v>
      </c>
      <c r="CE67" s="385">
        <f t="shared" ref="CE67:CE94" si="105">IF(CU67=2,1,0)</f>
        <v>0</v>
      </c>
      <c r="CF67" s="385">
        <f t="shared" ref="CF67:CF94" si="106">IF(CV67=2,1,0)</f>
        <v>0</v>
      </c>
      <c r="CG67" s="377">
        <f t="shared" ref="CG67:CG94" si="107">IF(AP67=0,1,0)</f>
        <v>0</v>
      </c>
      <c r="CH67" s="377">
        <f t="shared" ref="CH67:CH94" si="108">IF(AQ67=0,1,0)</f>
        <v>0</v>
      </c>
      <c r="CI67" s="377">
        <f t="shared" ref="CI67:CI94" si="109">IF(AR67=0,1,0)</f>
        <v>0</v>
      </c>
      <c r="CK67">
        <v>60</v>
      </c>
      <c r="CL67">
        <v>-19</v>
      </c>
      <c r="CN67" s="25">
        <f t="shared" ref="CN67:CN94" si="110">CG67+AV67</f>
        <v>0</v>
      </c>
      <c r="CO67" s="25">
        <f t="shared" ref="CO67:CO94" si="111">CH67+AW67</f>
        <v>1</v>
      </c>
      <c r="CP67" s="25">
        <f t="shared" ref="CP67:CP94" si="112">CI67+AX67</f>
        <v>1</v>
      </c>
      <c r="CQ67" s="25">
        <f t="shared" ref="CQ67:CQ94" si="113">CG67+BE67</f>
        <v>1</v>
      </c>
      <c r="CR67" s="25">
        <f t="shared" ref="CR67:CR94" si="114">CH67+BF67</f>
        <v>0</v>
      </c>
      <c r="CS67" s="25">
        <f t="shared" ref="CS67:CS94" si="115">CI67+BG67</f>
        <v>0</v>
      </c>
      <c r="CT67" s="25">
        <f t="shared" ref="CT67:CT94" si="116">CG67+BN67</f>
        <v>0</v>
      </c>
      <c r="CU67" s="25">
        <f t="shared" ref="CU67:CU94" si="117">CH67+BO67</f>
        <v>0</v>
      </c>
      <c r="CV67" s="25">
        <f t="shared" ref="CV67:CV94" si="118">CI67+BP67</f>
        <v>0</v>
      </c>
      <c r="DC67" s="58">
        <v>40</v>
      </c>
      <c r="DD67" s="58">
        <v>43.395408834889359</v>
      </c>
      <c r="DE67" s="58">
        <v>0.60459116511064082</v>
      </c>
      <c r="DF67" s="58">
        <v>2.1553377927729512E-3</v>
      </c>
      <c r="DH67" s="58">
        <v>14.157706093189963</v>
      </c>
      <c r="DI67" s="58">
        <v>-67</v>
      </c>
      <c r="DW67" s="58">
        <v>40</v>
      </c>
      <c r="DX67" s="58">
        <v>43.395408834889359</v>
      </c>
      <c r="DY67" s="58">
        <v>0.60459116511064082</v>
      </c>
      <c r="DZ67" s="58">
        <v>2.1553377927729512E-3</v>
      </c>
    </row>
    <row r="68" spans="1:130">
      <c r="A68" s="63" t="s">
        <v>128</v>
      </c>
      <c r="B68">
        <v>106</v>
      </c>
      <c r="C68">
        <v>473</v>
      </c>
      <c r="D68">
        <v>415</v>
      </c>
      <c r="E68">
        <v>36</v>
      </c>
      <c r="F68">
        <v>295</v>
      </c>
      <c r="G68">
        <v>266</v>
      </c>
      <c r="H68">
        <v>0.33962264150943394</v>
      </c>
      <c r="I68">
        <v>0.62367864693446085</v>
      </c>
      <c r="J68">
        <v>0.64096385542168677</v>
      </c>
      <c r="K68">
        <v>105</v>
      </c>
      <c r="L68">
        <v>57.75</v>
      </c>
      <c r="M68" s="354">
        <f t="shared" si="69"/>
        <v>199</v>
      </c>
      <c r="X68">
        <v>0.33962264150943394</v>
      </c>
      <c r="AB68" s="63">
        <v>0</v>
      </c>
      <c r="AC68" s="156">
        <v>0.53773584905660377</v>
      </c>
      <c r="AD68" s="156">
        <v>0.12264150943396226</v>
      </c>
      <c r="AE68" s="156">
        <v>0</v>
      </c>
      <c r="AF68" s="156">
        <v>0</v>
      </c>
      <c r="AG68" s="63">
        <v>0</v>
      </c>
      <c r="AM68">
        <v>-66</v>
      </c>
      <c r="AN68">
        <v>28</v>
      </c>
      <c r="AO68">
        <v>6</v>
      </c>
      <c r="AP68">
        <v>36</v>
      </c>
      <c r="AQ68">
        <v>295</v>
      </c>
      <c r="AR68">
        <v>266</v>
      </c>
      <c r="AS68" s="25">
        <f t="shared" si="70"/>
        <v>1</v>
      </c>
      <c r="AT68" s="25">
        <f t="shared" si="66"/>
        <v>1</v>
      </c>
      <c r="AU68" s="25">
        <f t="shared" si="67"/>
        <v>1</v>
      </c>
      <c r="AV68" s="25">
        <f t="shared" si="71"/>
        <v>0</v>
      </c>
      <c r="AW68" s="25">
        <f t="shared" si="72"/>
        <v>1</v>
      </c>
      <c r="AX68" s="25">
        <f t="shared" si="73"/>
        <v>1</v>
      </c>
      <c r="AY68" s="25">
        <f t="shared" si="74"/>
        <v>1</v>
      </c>
      <c r="AZ68" s="25">
        <f t="shared" si="75"/>
        <v>2</v>
      </c>
      <c r="BA68" s="25">
        <f t="shared" si="76"/>
        <v>2</v>
      </c>
      <c r="BB68" s="339">
        <f t="shared" si="77"/>
        <v>0</v>
      </c>
      <c r="BC68" s="340">
        <f t="shared" si="78"/>
        <v>1</v>
      </c>
      <c r="BD68" s="341">
        <f t="shared" si="79"/>
        <v>1</v>
      </c>
      <c r="BE68" s="25">
        <f t="shared" si="80"/>
        <v>1</v>
      </c>
      <c r="BF68" s="25">
        <f t="shared" si="81"/>
        <v>0</v>
      </c>
      <c r="BG68" s="25">
        <f t="shared" si="82"/>
        <v>0</v>
      </c>
      <c r="BH68" s="25">
        <f t="shared" si="83"/>
        <v>2</v>
      </c>
      <c r="BI68" s="25">
        <f t="shared" si="84"/>
        <v>1</v>
      </c>
      <c r="BJ68" s="25">
        <f t="shared" si="85"/>
        <v>1</v>
      </c>
      <c r="BK68" s="351">
        <f t="shared" si="86"/>
        <v>1</v>
      </c>
      <c r="BL68" s="352">
        <f t="shared" si="87"/>
        <v>0</v>
      </c>
      <c r="BM68" s="353">
        <f t="shared" si="88"/>
        <v>0</v>
      </c>
      <c r="BN68" s="25">
        <f t="shared" si="89"/>
        <v>0</v>
      </c>
      <c r="BO68" s="25">
        <f t="shared" si="90"/>
        <v>0</v>
      </c>
      <c r="BP68" s="25">
        <f t="shared" si="91"/>
        <v>0</v>
      </c>
      <c r="BQ68" s="25">
        <f t="shared" si="92"/>
        <v>1</v>
      </c>
      <c r="BR68" s="25">
        <f t="shared" si="93"/>
        <v>1</v>
      </c>
      <c r="BS68" s="25">
        <f t="shared" si="94"/>
        <v>1</v>
      </c>
      <c r="BT68" s="345">
        <f t="shared" si="95"/>
        <v>0</v>
      </c>
      <c r="BU68" s="346">
        <f t="shared" si="96"/>
        <v>0</v>
      </c>
      <c r="BV68" s="347">
        <f t="shared" si="97"/>
        <v>0</v>
      </c>
      <c r="BX68" s="345">
        <f t="shared" si="98"/>
        <v>0</v>
      </c>
      <c r="BY68" s="345">
        <f t="shared" si="99"/>
        <v>0</v>
      </c>
      <c r="BZ68" s="345">
        <f t="shared" si="100"/>
        <v>0</v>
      </c>
      <c r="CA68" s="382">
        <f t="shared" si="101"/>
        <v>0</v>
      </c>
      <c r="CB68" s="382">
        <f t="shared" si="102"/>
        <v>0</v>
      </c>
      <c r="CC68" s="382">
        <f t="shared" si="103"/>
        <v>0</v>
      </c>
      <c r="CD68" s="385">
        <f t="shared" si="104"/>
        <v>0</v>
      </c>
      <c r="CE68" s="385">
        <f t="shared" si="105"/>
        <v>0</v>
      </c>
      <c r="CF68" s="385">
        <f t="shared" si="106"/>
        <v>0</v>
      </c>
      <c r="CG68" s="377">
        <f t="shared" si="107"/>
        <v>0</v>
      </c>
      <c r="CH68" s="377">
        <f t="shared" si="108"/>
        <v>0</v>
      </c>
      <c r="CI68" s="377">
        <f t="shared" si="109"/>
        <v>0</v>
      </c>
      <c r="CK68">
        <v>36</v>
      </c>
      <c r="CL68">
        <v>-66</v>
      </c>
      <c r="CN68" s="25">
        <f t="shared" si="110"/>
        <v>0</v>
      </c>
      <c r="CO68" s="25">
        <f t="shared" si="111"/>
        <v>1</v>
      </c>
      <c r="CP68" s="25">
        <f t="shared" si="112"/>
        <v>1</v>
      </c>
      <c r="CQ68" s="25">
        <f t="shared" si="113"/>
        <v>1</v>
      </c>
      <c r="CR68" s="25">
        <f t="shared" si="114"/>
        <v>0</v>
      </c>
      <c r="CS68" s="25">
        <f t="shared" si="115"/>
        <v>0</v>
      </c>
      <c r="CT68" s="25">
        <f t="shared" si="116"/>
        <v>0</v>
      </c>
      <c r="CU68" s="25">
        <f t="shared" si="117"/>
        <v>0</v>
      </c>
      <c r="CV68" s="25">
        <f t="shared" si="118"/>
        <v>0</v>
      </c>
      <c r="DC68" s="58">
        <v>41</v>
      </c>
      <c r="DD68" s="58">
        <v>92.443038708355729</v>
      </c>
      <c r="DE68" s="58">
        <v>-110.87303870835572</v>
      </c>
      <c r="DF68" s="58">
        <v>-0.39525693446738647</v>
      </c>
      <c r="DH68" s="58">
        <v>14.516129032258064</v>
      </c>
      <c r="DI68" s="58">
        <v>-66.88</v>
      </c>
      <c r="DW68" s="58">
        <v>41</v>
      </c>
      <c r="DX68" s="58">
        <v>92.443038708355729</v>
      </c>
      <c r="DY68" s="58">
        <v>-110.87303870835572</v>
      </c>
      <c r="DZ68" s="58">
        <v>-0.39525693446738647</v>
      </c>
    </row>
    <row r="69" spans="1:130">
      <c r="A69" s="63" t="s">
        <v>129</v>
      </c>
      <c r="B69">
        <v>890</v>
      </c>
      <c r="C69">
        <v>670</v>
      </c>
      <c r="D69">
        <v>679</v>
      </c>
      <c r="E69">
        <v>260</v>
      </c>
      <c r="F69">
        <v>255</v>
      </c>
      <c r="G69">
        <v>0</v>
      </c>
      <c r="H69">
        <v>0.29213483146067415</v>
      </c>
      <c r="I69">
        <v>0.38059701492537312</v>
      </c>
      <c r="J69">
        <v>0</v>
      </c>
      <c r="K69">
        <v>278</v>
      </c>
      <c r="L69">
        <v>131.21599999999998</v>
      </c>
      <c r="M69" s="354">
        <f t="shared" si="69"/>
        <v>171.66666666666666</v>
      </c>
      <c r="X69">
        <v>0.29213483146067415</v>
      </c>
      <c r="AB69" s="63">
        <v>0.36629213483146067</v>
      </c>
      <c r="AC69" s="156">
        <v>0</v>
      </c>
      <c r="AD69" s="156">
        <v>0.10112359550561797</v>
      </c>
      <c r="AE69" s="156">
        <v>0.10674157303370786</v>
      </c>
      <c r="AF69" s="156">
        <v>0.13370786516853933</v>
      </c>
      <c r="AG69" s="63">
        <v>0</v>
      </c>
      <c r="AM69">
        <v>27</v>
      </c>
      <c r="AN69">
        <v>-26</v>
      </c>
      <c r="AO69">
        <v>-91</v>
      </c>
      <c r="AP69">
        <v>260</v>
      </c>
      <c r="AQ69">
        <v>255</v>
      </c>
      <c r="AR69">
        <v>0</v>
      </c>
      <c r="AS69" s="25">
        <f t="shared" si="70"/>
        <v>1</v>
      </c>
      <c r="AT69" s="25">
        <f t="shared" si="66"/>
        <v>1</v>
      </c>
      <c r="AU69" s="25">
        <f t="shared" si="67"/>
        <v>0</v>
      </c>
      <c r="AV69" s="25">
        <f t="shared" si="71"/>
        <v>1</v>
      </c>
      <c r="AW69" s="25">
        <f t="shared" si="72"/>
        <v>0</v>
      </c>
      <c r="AX69" s="25">
        <f t="shared" si="73"/>
        <v>0</v>
      </c>
      <c r="AY69" s="25">
        <f t="shared" si="74"/>
        <v>2</v>
      </c>
      <c r="AZ69" s="25">
        <f t="shared" si="75"/>
        <v>1</v>
      </c>
      <c r="BA69" s="25">
        <f t="shared" si="76"/>
        <v>0</v>
      </c>
      <c r="BB69" s="339">
        <f t="shared" si="77"/>
        <v>1</v>
      </c>
      <c r="BC69" s="340">
        <f t="shared" si="78"/>
        <v>0</v>
      </c>
      <c r="BD69" s="341">
        <f t="shared" si="79"/>
        <v>0</v>
      </c>
      <c r="BE69" s="25">
        <f t="shared" si="80"/>
        <v>0</v>
      </c>
      <c r="BF69" s="25">
        <f t="shared" si="81"/>
        <v>1</v>
      </c>
      <c r="BG69" s="25">
        <f t="shared" si="82"/>
        <v>1</v>
      </c>
      <c r="BH69" s="25">
        <f t="shared" si="83"/>
        <v>1</v>
      </c>
      <c r="BI69" s="25">
        <f t="shared" si="84"/>
        <v>2</v>
      </c>
      <c r="BJ69" s="25">
        <f t="shared" si="85"/>
        <v>1</v>
      </c>
      <c r="BK69" s="351">
        <f t="shared" si="86"/>
        <v>0</v>
      </c>
      <c r="BL69" s="352">
        <f t="shared" si="87"/>
        <v>1</v>
      </c>
      <c r="BM69" s="353">
        <f t="shared" si="88"/>
        <v>0</v>
      </c>
      <c r="BN69" s="25">
        <f t="shared" si="89"/>
        <v>0</v>
      </c>
      <c r="BO69" s="25">
        <f t="shared" si="90"/>
        <v>0</v>
      </c>
      <c r="BP69" s="25">
        <f t="shared" si="91"/>
        <v>0</v>
      </c>
      <c r="BQ69" s="25">
        <f t="shared" si="92"/>
        <v>1</v>
      </c>
      <c r="BR69" s="25">
        <f t="shared" si="93"/>
        <v>1</v>
      </c>
      <c r="BS69" s="25">
        <f t="shared" si="94"/>
        <v>0</v>
      </c>
      <c r="BT69" s="345">
        <f t="shared" si="95"/>
        <v>0</v>
      </c>
      <c r="BU69" s="346">
        <f t="shared" si="96"/>
        <v>0</v>
      </c>
      <c r="BV69" s="347">
        <f t="shared" si="97"/>
        <v>0</v>
      </c>
      <c r="BX69" s="345">
        <f t="shared" si="98"/>
        <v>0</v>
      </c>
      <c r="BY69" s="345">
        <f t="shared" si="99"/>
        <v>0</v>
      </c>
      <c r="BZ69" s="345">
        <f t="shared" si="100"/>
        <v>0</v>
      </c>
      <c r="CA69" s="382">
        <f t="shared" si="101"/>
        <v>0</v>
      </c>
      <c r="CB69" s="382">
        <f t="shared" si="102"/>
        <v>0</v>
      </c>
      <c r="CC69" s="382">
        <f t="shared" si="103"/>
        <v>1</v>
      </c>
      <c r="CD69" s="385">
        <f t="shared" si="104"/>
        <v>0</v>
      </c>
      <c r="CE69" s="385">
        <f t="shared" si="105"/>
        <v>0</v>
      </c>
      <c r="CF69" s="385">
        <f t="shared" si="106"/>
        <v>0</v>
      </c>
      <c r="CG69" s="377">
        <f t="shared" si="107"/>
        <v>0</v>
      </c>
      <c r="CH69" s="377">
        <f t="shared" si="108"/>
        <v>0</v>
      </c>
      <c r="CI69" s="377">
        <f t="shared" si="109"/>
        <v>1</v>
      </c>
      <c r="CK69">
        <v>260</v>
      </c>
      <c r="CL69">
        <v>27</v>
      </c>
      <c r="CN69" s="25">
        <f t="shared" si="110"/>
        <v>1</v>
      </c>
      <c r="CO69" s="25">
        <f t="shared" si="111"/>
        <v>0</v>
      </c>
      <c r="CP69" s="25">
        <f t="shared" si="112"/>
        <v>1</v>
      </c>
      <c r="CQ69" s="25">
        <f t="shared" si="113"/>
        <v>0</v>
      </c>
      <c r="CR69" s="25">
        <f t="shared" si="114"/>
        <v>1</v>
      </c>
      <c r="CS69" s="25">
        <f t="shared" si="115"/>
        <v>2</v>
      </c>
      <c r="CT69" s="25">
        <f t="shared" si="116"/>
        <v>0</v>
      </c>
      <c r="CU69" s="25">
        <f t="shared" si="117"/>
        <v>0</v>
      </c>
      <c r="CV69" s="25">
        <f t="shared" si="118"/>
        <v>1</v>
      </c>
      <c r="DC69" s="58">
        <v>42</v>
      </c>
      <c r="DD69" s="58">
        <v>39.252785057067499</v>
      </c>
      <c r="DE69" s="58">
        <v>-6.2527850570674985</v>
      </c>
      <c r="DF69" s="58">
        <v>-2.2290871453798492E-2</v>
      </c>
      <c r="DH69" s="58">
        <v>14.874551971326165</v>
      </c>
      <c r="DI69" s="58">
        <v>-66</v>
      </c>
      <c r="DW69" s="58">
        <v>42</v>
      </c>
      <c r="DX69" s="58">
        <v>39.252785057067499</v>
      </c>
      <c r="DY69" s="58">
        <v>-6.2527850570674985</v>
      </c>
      <c r="DZ69" s="58">
        <v>-2.2290871453798492E-2</v>
      </c>
    </row>
    <row r="70" spans="1:130">
      <c r="A70" s="63" t="s">
        <v>130</v>
      </c>
      <c r="B70">
        <v>962</v>
      </c>
      <c r="C70">
        <v>1056</v>
      </c>
      <c r="D70">
        <v>1650</v>
      </c>
      <c r="E70">
        <v>416</v>
      </c>
      <c r="F70">
        <v>547</v>
      </c>
      <c r="G70">
        <v>1258</v>
      </c>
      <c r="H70">
        <v>0.43243243243243246</v>
      </c>
      <c r="I70">
        <v>0.5179924242424242</v>
      </c>
      <c r="J70">
        <v>0.76242424242424245</v>
      </c>
      <c r="K70">
        <v>138</v>
      </c>
      <c r="L70">
        <v>82.799999999999983</v>
      </c>
      <c r="M70" s="354">
        <f t="shared" si="69"/>
        <v>740.33333333333337</v>
      </c>
      <c r="X70">
        <v>0.43243243243243246</v>
      </c>
      <c r="AB70" s="63">
        <v>2.9106029106029108E-2</v>
      </c>
      <c r="AC70" s="156">
        <v>2.1829521829521831E-2</v>
      </c>
      <c r="AD70" s="156">
        <v>0.19022869022869024</v>
      </c>
      <c r="AE70" s="156">
        <v>6.0291060291060294E-2</v>
      </c>
      <c r="AF70" s="156">
        <v>0.26611226611226613</v>
      </c>
      <c r="AG70" s="63">
        <v>0</v>
      </c>
      <c r="AM70">
        <v>117</v>
      </c>
      <c r="AN70">
        <v>16</v>
      </c>
      <c r="AO70">
        <v>629</v>
      </c>
      <c r="AP70">
        <v>416</v>
      </c>
      <c r="AQ70">
        <v>547</v>
      </c>
      <c r="AR70">
        <v>1258</v>
      </c>
      <c r="AS70" s="25">
        <f t="shared" si="70"/>
        <v>1</v>
      </c>
      <c r="AT70" s="25">
        <f t="shared" si="66"/>
        <v>1</v>
      </c>
      <c r="AU70" s="25">
        <f t="shared" si="67"/>
        <v>1</v>
      </c>
      <c r="AV70" s="25">
        <f t="shared" si="71"/>
        <v>1</v>
      </c>
      <c r="AW70" s="25">
        <f t="shared" si="72"/>
        <v>1</v>
      </c>
      <c r="AX70" s="25">
        <f t="shared" si="73"/>
        <v>1</v>
      </c>
      <c r="AY70" s="25">
        <f t="shared" si="74"/>
        <v>2</v>
      </c>
      <c r="AZ70" s="25">
        <f t="shared" si="75"/>
        <v>2</v>
      </c>
      <c r="BA70" s="25">
        <f t="shared" si="76"/>
        <v>2</v>
      </c>
      <c r="BB70" s="339">
        <f t="shared" si="77"/>
        <v>1</v>
      </c>
      <c r="BC70" s="340">
        <f t="shared" si="78"/>
        <v>1</v>
      </c>
      <c r="BD70" s="341">
        <f t="shared" si="79"/>
        <v>1</v>
      </c>
      <c r="BE70" s="25">
        <f t="shared" si="80"/>
        <v>0</v>
      </c>
      <c r="BF70" s="25">
        <f t="shared" si="81"/>
        <v>0</v>
      </c>
      <c r="BG70" s="25">
        <f t="shared" si="82"/>
        <v>0</v>
      </c>
      <c r="BH70" s="25">
        <f t="shared" si="83"/>
        <v>1</v>
      </c>
      <c r="BI70" s="25">
        <f t="shared" si="84"/>
        <v>1</v>
      </c>
      <c r="BJ70" s="25">
        <f t="shared" si="85"/>
        <v>1</v>
      </c>
      <c r="BK70" s="351">
        <f t="shared" si="86"/>
        <v>0</v>
      </c>
      <c r="BL70" s="352">
        <f t="shared" si="87"/>
        <v>0</v>
      </c>
      <c r="BM70" s="353">
        <f t="shared" si="88"/>
        <v>0</v>
      </c>
      <c r="BN70" s="25">
        <f t="shared" si="89"/>
        <v>0</v>
      </c>
      <c r="BO70" s="25">
        <f t="shared" si="90"/>
        <v>0</v>
      </c>
      <c r="BP70" s="25">
        <f t="shared" si="91"/>
        <v>0</v>
      </c>
      <c r="BQ70" s="25">
        <f t="shared" si="92"/>
        <v>1</v>
      </c>
      <c r="BR70" s="25">
        <f t="shared" si="93"/>
        <v>1</v>
      </c>
      <c r="BS70" s="25">
        <f t="shared" si="94"/>
        <v>1</v>
      </c>
      <c r="BT70" s="345">
        <f t="shared" si="95"/>
        <v>0</v>
      </c>
      <c r="BU70" s="346">
        <f t="shared" si="96"/>
        <v>0</v>
      </c>
      <c r="BV70" s="347">
        <f t="shared" si="97"/>
        <v>0</v>
      </c>
      <c r="BX70" s="345">
        <f t="shared" si="98"/>
        <v>0</v>
      </c>
      <c r="BY70" s="345">
        <f t="shared" si="99"/>
        <v>0</v>
      </c>
      <c r="BZ70" s="345">
        <f t="shared" si="100"/>
        <v>0</v>
      </c>
      <c r="CA70" s="382">
        <f t="shared" si="101"/>
        <v>0</v>
      </c>
      <c r="CB70" s="382">
        <f t="shared" si="102"/>
        <v>0</v>
      </c>
      <c r="CC70" s="382">
        <f t="shared" si="103"/>
        <v>0</v>
      </c>
      <c r="CD70" s="385">
        <f t="shared" si="104"/>
        <v>0</v>
      </c>
      <c r="CE70" s="385">
        <f t="shared" si="105"/>
        <v>0</v>
      </c>
      <c r="CF70" s="385">
        <f t="shared" si="106"/>
        <v>0</v>
      </c>
      <c r="CG70" s="377">
        <f t="shared" si="107"/>
        <v>0</v>
      </c>
      <c r="CH70" s="377">
        <f t="shared" si="108"/>
        <v>0</v>
      </c>
      <c r="CI70" s="377">
        <f t="shared" si="109"/>
        <v>0</v>
      </c>
      <c r="CK70">
        <v>416</v>
      </c>
      <c r="CL70">
        <v>117</v>
      </c>
      <c r="CN70" s="25">
        <f t="shared" si="110"/>
        <v>1</v>
      </c>
      <c r="CO70" s="25">
        <f t="shared" si="111"/>
        <v>1</v>
      </c>
      <c r="CP70" s="25">
        <f t="shared" si="112"/>
        <v>1</v>
      </c>
      <c r="CQ70" s="25">
        <f t="shared" si="113"/>
        <v>0</v>
      </c>
      <c r="CR70" s="25">
        <f t="shared" si="114"/>
        <v>0</v>
      </c>
      <c r="CS70" s="25">
        <f t="shared" si="115"/>
        <v>0</v>
      </c>
      <c r="CT70" s="25">
        <f t="shared" si="116"/>
        <v>0</v>
      </c>
      <c r="CU70" s="25">
        <f t="shared" si="117"/>
        <v>0</v>
      </c>
      <c r="CV70" s="25">
        <f t="shared" si="118"/>
        <v>0</v>
      </c>
      <c r="DC70" s="58">
        <v>43</v>
      </c>
      <c r="DD70" s="58">
        <v>73.377648426875069</v>
      </c>
      <c r="DE70" s="58">
        <v>-206.37764842687506</v>
      </c>
      <c r="DF70" s="58">
        <v>-0.73572617482204139</v>
      </c>
      <c r="DH70" s="58">
        <v>15.232974910394264</v>
      </c>
      <c r="DI70" s="58">
        <v>-63</v>
      </c>
      <c r="DW70" s="58">
        <v>43</v>
      </c>
      <c r="DX70" s="58">
        <v>73.377648426875069</v>
      </c>
      <c r="DY70" s="58">
        <v>-206.37764842687506</v>
      </c>
      <c r="DZ70" s="58">
        <v>-0.73572617482204139</v>
      </c>
    </row>
    <row r="71" spans="1:130">
      <c r="A71" s="63" t="s">
        <v>131</v>
      </c>
      <c r="B71">
        <v>3420</v>
      </c>
      <c r="C71">
        <v>3098</v>
      </c>
      <c r="D71">
        <v>1571</v>
      </c>
      <c r="E71">
        <v>120</v>
      </c>
      <c r="F71">
        <v>204</v>
      </c>
      <c r="G71">
        <v>126</v>
      </c>
      <c r="H71">
        <v>3.5087719298245612E-2</v>
      </c>
      <c r="I71">
        <v>6.5848934796642999E-2</v>
      </c>
      <c r="J71">
        <v>8.0203691915977079E-2</v>
      </c>
      <c r="K71">
        <v>105</v>
      </c>
      <c r="L71">
        <v>47.25</v>
      </c>
      <c r="M71" s="354">
        <f t="shared" si="69"/>
        <v>150</v>
      </c>
      <c r="X71">
        <v>3.5087719298245612E-2</v>
      </c>
      <c r="AB71" s="63">
        <v>0</v>
      </c>
      <c r="AC71" s="156">
        <v>6.1111111111111109E-2</v>
      </c>
      <c r="AD71" s="156">
        <v>2.3391812865497075E-2</v>
      </c>
      <c r="AE71" s="156">
        <v>1.6959064327485378E-2</v>
      </c>
      <c r="AF71" s="156">
        <v>2.3391812865497075E-2</v>
      </c>
      <c r="AG71" s="63">
        <v>0.84005847953216373</v>
      </c>
      <c r="AM71">
        <v>1869</v>
      </c>
      <c r="AN71">
        <v>1526</v>
      </c>
      <c r="AO71">
        <v>102</v>
      </c>
      <c r="AP71">
        <v>120</v>
      </c>
      <c r="AQ71">
        <v>204</v>
      </c>
      <c r="AR71">
        <v>126</v>
      </c>
      <c r="AS71" s="25">
        <f t="shared" si="70"/>
        <v>1</v>
      </c>
      <c r="AT71" s="25">
        <f t="shared" si="66"/>
        <v>1</v>
      </c>
      <c r="AU71" s="25">
        <f t="shared" si="67"/>
        <v>1</v>
      </c>
      <c r="AV71" s="25">
        <f t="shared" si="71"/>
        <v>1</v>
      </c>
      <c r="AW71" s="25">
        <f t="shared" si="72"/>
        <v>1</v>
      </c>
      <c r="AX71" s="25">
        <f t="shared" si="73"/>
        <v>1</v>
      </c>
      <c r="AY71" s="25">
        <f t="shared" si="74"/>
        <v>2</v>
      </c>
      <c r="AZ71" s="25">
        <f t="shared" si="75"/>
        <v>2</v>
      </c>
      <c r="BA71" s="25">
        <f t="shared" si="76"/>
        <v>2</v>
      </c>
      <c r="BB71" s="339">
        <f t="shared" si="77"/>
        <v>1</v>
      </c>
      <c r="BC71" s="340">
        <f t="shared" si="78"/>
        <v>1</v>
      </c>
      <c r="BD71" s="341">
        <f t="shared" si="79"/>
        <v>1</v>
      </c>
      <c r="BE71" s="25">
        <f t="shared" si="80"/>
        <v>0</v>
      </c>
      <c r="BF71" s="25">
        <f t="shared" si="81"/>
        <v>0</v>
      </c>
      <c r="BG71" s="25">
        <f t="shared" si="82"/>
        <v>0</v>
      </c>
      <c r="BH71" s="25">
        <f t="shared" si="83"/>
        <v>1</v>
      </c>
      <c r="BI71" s="25">
        <f t="shared" si="84"/>
        <v>1</v>
      </c>
      <c r="BJ71" s="25">
        <f t="shared" si="85"/>
        <v>1</v>
      </c>
      <c r="BK71" s="351">
        <f t="shared" si="86"/>
        <v>0</v>
      </c>
      <c r="BL71" s="352">
        <f t="shared" si="87"/>
        <v>0</v>
      </c>
      <c r="BM71" s="353">
        <f t="shared" si="88"/>
        <v>0</v>
      </c>
      <c r="BN71" s="25">
        <f t="shared" si="89"/>
        <v>0</v>
      </c>
      <c r="BO71" s="25">
        <f t="shared" si="90"/>
        <v>0</v>
      </c>
      <c r="BP71" s="25">
        <f t="shared" si="91"/>
        <v>0</v>
      </c>
      <c r="BQ71" s="25">
        <f t="shared" si="92"/>
        <v>1</v>
      </c>
      <c r="BR71" s="25">
        <f t="shared" si="93"/>
        <v>1</v>
      </c>
      <c r="BS71" s="25">
        <f t="shared" si="94"/>
        <v>1</v>
      </c>
      <c r="BT71" s="345">
        <f t="shared" si="95"/>
        <v>0</v>
      </c>
      <c r="BU71" s="346">
        <f t="shared" si="96"/>
        <v>0</v>
      </c>
      <c r="BV71" s="347">
        <f t="shared" si="97"/>
        <v>0</v>
      </c>
      <c r="BX71" s="345">
        <f t="shared" si="98"/>
        <v>0</v>
      </c>
      <c r="BY71" s="345">
        <f t="shared" si="99"/>
        <v>0</v>
      </c>
      <c r="BZ71" s="345">
        <f t="shared" si="100"/>
        <v>0</v>
      </c>
      <c r="CA71" s="382">
        <f t="shared" si="101"/>
        <v>0</v>
      </c>
      <c r="CB71" s="382">
        <f t="shared" si="102"/>
        <v>0</v>
      </c>
      <c r="CC71" s="382">
        <f t="shared" si="103"/>
        <v>0</v>
      </c>
      <c r="CD71" s="385">
        <f t="shared" si="104"/>
        <v>0</v>
      </c>
      <c r="CE71" s="385">
        <f t="shared" si="105"/>
        <v>0</v>
      </c>
      <c r="CF71" s="385">
        <f t="shared" si="106"/>
        <v>0</v>
      </c>
      <c r="CG71" s="377">
        <f t="shared" si="107"/>
        <v>0</v>
      </c>
      <c r="CH71" s="377">
        <f t="shared" si="108"/>
        <v>0</v>
      </c>
      <c r="CI71" s="377">
        <f t="shared" si="109"/>
        <v>0</v>
      </c>
      <c r="CK71">
        <v>120</v>
      </c>
      <c r="CL71">
        <v>1869</v>
      </c>
      <c r="CN71" s="25">
        <f t="shared" si="110"/>
        <v>1</v>
      </c>
      <c r="CO71" s="25">
        <f t="shared" si="111"/>
        <v>1</v>
      </c>
      <c r="CP71" s="25">
        <f t="shared" si="112"/>
        <v>1</v>
      </c>
      <c r="CQ71" s="25">
        <f t="shared" si="113"/>
        <v>0</v>
      </c>
      <c r="CR71" s="25">
        <f t="shared" si="114"/>
        <v>0</v>
      </c>
      <c r="CS71" s="25">
        <f t="shared" si="115"/>
        <v>0</v>
      </c>
      <c r="CT71" s="25">
        <f t="shared" si="116"/>
        <v>0</v>
      </c>
      <c r="CU71" s="25">
        <f t="shared" si="117"/>
        <v>0</v>
      </c>
      <c r="CV71" s="25">
        <f t="shared" si="118"/>
        <v>0</v>
      </c>
      <c r="DC71" s="58">
        <v>44</v>
      </c>
      <c r="DD71" s="58">
        <v>36.145817223701101</v>
      </c>
      <c r="DE71" s="58">
        <v>-35.145817223701101</v>
      </c>
      <c r="DF71" s="58">
        <v>-0.12529311126514886</v>
      </c>
      <c r="DH71" s="58">
        <v>15.591397849462364</v>
      </c>
      <c r="DI71" s="58">
        <v>-62</v>
      </c>
      <c r="DW71" s="58">
        <v>44</v>
      </c>
      <c r="DX71" s="58">
        <v>36.145817223701101</v>
      </c>
      <c r="DY71" s="58">
        <v>-35.145817223701101</v>
      </c>
      <c r="DZ71" s="58">
        <v>-0.12529311126514886</v>
      </c>
    </row>
    <row r="72" spans="1:130">
      <c r="A72" s="63" t="s">
        <v>132</v>
      </c>
      <c r="B72">
        <v>101</v>
      </c>
      <c r="C72">
        <v>142</v>
      </c>
      <c r="D72">
        <v>245</v>
      </c>
      <c r="E72">
        <v>47</v>
      </c>
      <c r="F72">
        <v>30</v>
      </c>
      <c r="G72">
        <v>78</v>
      </c>
      <c r="H72">
        <v>0.46534653465346537</v>
      </c>
      <c r="I72">
        <v>0.21126760563380281</v>
      </c>
      <c r="J72">
        <v>0.3183673469387755</v>
      </c>
      <c r="K72">
        <v>124</v>
      </c>
      <c r="L72">
        <v>43.400000000000006</v>
      </c>
      <c r="M72" s="354">
        <f t="shared" si="69"/>
        <v>51.666666666666664</v>
      </c>
      <c r="X72">
        <v>0.46534653465346537</v>
      </c>
      <c r="AB72" s="63">
        <v>0</v>
      </c>
      <c r="AC72" s="156">
        <v>0</v>
      </c>
      <c r="AD72" s="156">
        <v>0.34653465346534651</v>
      </c>
      <c r="AE72" s="156">
        <v>0</v>
      </c>
      <c r="AF72" s="156">
        <v>0.18811881188118812</v>
      </c>
      <c r="AG72" s="63">
        <v>0</v>
      </c>
      <c r="AM72">
        <v>13</v>
      </c>
      <c r="AN72">
        <v>13</v>
      </c>
      <c r="AO72">
        <v>18</v>
      </c>
      <c r="AP72">
        <v>47</v>
      </c>
      <c r="AQ72">
        <v>30</v>
      </c>
      <c r="AR72">
        <v>78</v>
      </c>
      <c r="AS72" s="25">
        <f t="shared" si="70"/>
        <v>1</v>
      </c>
      <c r="AT72" s="25">
        <f t="shared" si="66"/>
        <v>1</v>
      </c>
      <c r="AU72" s="25">
        <f t="shared" si="67"/>
        <v>1</v>
      </c>
      <c r="AV72" s="25">
        <f t="shared" si="71"/>
        <v>1</v>
      </c>
      <c r="AW72" s="25">
        <f t="shared" si="72"/>
        <v>1</v>
      </c>
      <c r="AX72" s="25">
        <f t="shared" si="73"/>
        <v>1</v>
      </c>
      <c r="AY72" s="25">
        <f t="shared" si="74"/>
        <v>2</v>
      </c>
      <c r="AZ72" s="25">
        <f t="shared" si="75"/>
        <v>2</v>
      </c>
      <c r="BA72" s="25">
        <f t="shared" si="76"/>
        <v>2</v>
      </c>
      <c r="BB72" s="339">
        <f t="shared" si="77"/>
        <v>1</v>
      </c>
      <c r="BC72" s="340">
        <f t="shared" si="78"/>
        <v>1</v>
      </c>
      <c r="BD72" s="341">
        <f t="shared" si="79"/>
        <v>1</v>
      </c>
      <c r="BE72" s="25">
        <f t="shared" si="80"/>
        <v>0</v>
      </c>
      <c r="BF72" s="25">
        <f t="shared" si="81"/>
        <v>0</v>
      </c>
      <c r="BG72" s="25">
        <f t="shared" si="82"/>
        <v>0</v>
      </c>
      <c r="BH72" s="25">
        <f t="shared" si="83"/>
        <v>1</v>
      </c>
      <c r="BI72" s="25">
        <f t="shared" si="84"/>
        <v>1</v>
      </c>
      <c r="BJ72" s="25">
        <f t="shared" si="85"/>
        <v>1</v>
      </c>
      <c r="BK72" s="351">
        <f t="shared" si="86"/>
        <v>0</v>
      </c>
      <c r="BL72" s="352">
        <f t="shared" si="87"/>
        <v>0</v>
      </c>
      <c r="BM72" s="353">
        <f t="shared" si="88"/>
        <v>0</v>
      </c>
      <c r="BN72" s="25">
        <f t="shared" si="89"/>
        <v>0</v>
      </c>
      <c r="BO72" s="25">
        <f t="shared" si="90"/>
        <v>0</v>
      </c>
      <c r="BP72" s="25">
        <f t="shared" si="91"/>
        <v>0</v>
      </c>
      <c r="BQ72" s="25">
        <f t="shared" si="92"/>
        <v>1</v>
      </c>
      <c r="BR72" s="25">
        <f t="shared" si="93"/>
        <v>1</v>
      </c>
      <c r="BS72" s="25">
        <f t="shared" si="94"/>
        <v>1</v>
      </c>
      <c r="BT72" s="345">
        <f t="shared" si="95"/>
        <v>0</v>
      </c>
      <c r="BU72" s="346">
        <f t="shared" si="96"/>
        <v>0</v>
      </c>
      <c r="BV72" s="347">
        <f t="shared" si="97"/>
        <v>0</v>
      </c>
      <c r="BX72" s="345">
        <f t="shared" si="98"/>
        <v>0</v>
      </c>
      <c r="BY72" s="345">
        <f t="shared" si="99"/>
        <v>0</v>
      </c>
      <c r="BZ72" s="345">
        <f t="shared" si="100"/>
        <v>0</v>
      </c>
      <c r="CA72" s="382">
        <f t="shared" si="101"/>
        <v>0</v>
      </c>
      <c r="CB72" s="382">
        <f t="shared" si="102"/>
        <v>0</v>
      </c>
      <c r="CC72" s="382">
        <f t="shared" si="103"/>
        <v>0</v>
      </c>
      <c r="CD72" s="385">
        <f t="shared" si="104"/>
        <v>0</v>
      </c>
      <c r="CE72" s="385">
        <f t="shared" si="105"/>
        <v>0</v>
      </c>
      <c r="CF72" s="385">
        <f t="shared" si="106"/>
        <v>0</v>
      </c>
      <c r="CG72" s="377">
        <f t="shared" si="107"/>
        <v>0</v>
      </c>
      <c r="CH72" s="377">
        <f t="shared" si="108"/>
        <v>0</v>
      </c>
      <c r="CI72" s="377">
        <f t="shared" si="109"/>
        <v>0</v>
      </c>
      <c r="CK72">
        <v>47</v>
      </c>
      <c r="CL72">
        <v>13</v>
      </c>
      <c r="CN72" s="25">
        <f t="shared" si="110"/>
        <v>1</v>
      </c>
      <c r="CO72" s="25">
        <f t="shared" si="111"/>
        <v>1</v>
      </c>
      <c r="CP72" s="25">
        <f t="shared" si="112"/>
        <v>1</v>
      </c>
      <c r="CQ72" s="25">
        <f t="shared" si="113"/>
        <v>0</v>
      </c>
      <c r="CR72" s="25">
        <f t="shared" si="114"/>
        <v>0</v>
      </c>
      <c r="CS72" s="25">
        <f t="shared" si="115"/>
        <v>0</v>
      </c>
      <c r="CT72" s="25">
        <f t="shared" si="116"/>
        <v>0</v>
      </c>
      <c r="CU72" s="25">
        <f t="shared" si="117"/>
        <v>0</v>
      </c>
      <c r="CV72" s="25">
        <f t="shared" si="118"/>
        <v>0</v>
      </c>
      <c r="DC72" s="58">
        <v>45</v>
      </c>
      <c r="DD72" s="58">
        <v>43.65432282100322</v>
      </c>
      <c r="DE72" s="58">
        <v>-65.65432282100322</v>
      </c>
      <c r="DF72" s="58">
        <v>-0.2340544344691638</v>
      </c>
      <c r="DH72" s="58">
        <v>15.949820788530465</v>
      </c>
      <c r="DI72" s="58">
        <v>-62</v>
      </c>
      <c r="DW72" s="58">
        <v>45</v>
      </c>
      <c r="DX72" s="58">
        <v>43.65432282100322</v>
      </c>
      <c r="DY72" s="58">
        <v>-65.65432282100322</v>
      </c>
      <c r="DZ72" s="58">
        <v>-0.2340544344691638</v>
      </c>
    </row>
    <row r="73" spans="1:130">
      <c r="A73" s="63" t="s">
        <v>137</v>
      </c>
      <c r="B73">
        <v>702</v>
      </c>
      <c r="C73">
        <v>786</v>
      </c>
      <c r="D73">
        <v>645</v>
      </c>
      <c r="E73">
        <v>449</v>
      </c>
      <c r="F73">
        <v>558</v>
      </c>
      <c r="G73">
        <v>447</v>
      </c>
      <c r="H73">
        <v>0.63960113960113962</v>
      </c>
      <c r="I73">
        <v>0.70992366412213737</v>
      </c>
      <c r="J73">
        <v>0.69302325581395352</v>
      </c>
      <c r="K73">
        <v>138</v>
      </c>
      <c r="L73">
        <v>41.4</v>
      </c>
      <c r="M73" s="354">
        <f t="shared" si="69"/>
        <v>484.66666666666669</v>
      </c>
      <c r="X73">
        <v>0.63960113960113962</v>
      </c>
      <c r="AB73" s="63">
        <v>0</v>
      </c>
      <c r="AC73" s="156">
        <v>6.8376068376068383E-2</v>
      </c>
      <c r="AD73" s="156">
        <v>4.4159544159544158E-2</v>
      </c>
      <c r="AE73" s="156">
        <v>0.24786324786324787</v>
      </c>
      <c r="AF73" s="156">
        <v>0</v>
      </c>
      <c r="AG73" s="63">
        <v>0</v>
      </c>
      <c r="AM73">
        <v>6</v>
      </c>
      <c r="AN73">
        <v>43</v>
      </c>
      <c r="AO73">
        <v>13</v>
      </c>
      <c r="AP73">
        <v>449</v>
      </c>
      <c r="AQ73">
        <v>558</v>
      </c>
      <c r="AR73">
        <v>447</v>
      </c>
      <c r="AS73" s="25">
        <f t="shared" si="70"/>
        <v>1</v>
      </c>
      <c r="AT73" s="25">
        <f t="shared" si="66"/>
        <v>1</v>
      </c>
      <c r="AU73" s="25">
        <f t="shared" si="67"/>
        <v>1</v>
      </c>
      <c r="AV73" s="25">
        <f t="shared" si="71"/>
        <v>1</v>
      </c>
      <c r="AW73" s="25">
        <f t="shared" si="72"/>
        <v>1</v>
      </c>
      <c r="AX73" s="25">
        <f t="shared" si="73"/>
        <v>1</v>
      </c>
      <c r="AY73" s="25">
        <f t="shared" si="74"/>
        <v>2</v>
      </c>
      <c r="AZ73" s="25">
        <f t="shared" si="75"/>
        <v>2</v>
      </c>
      <c r="BA73" s="25">
        <f t="shared" si="76"/>
        <v>2</v>
      </c>
      <c r="BB73" s="339">
        <f t="shared" si="77"/>
        <v>1</v>
      </c>
      <c r="BC73" s="340">
        <f t="shared" si="78"/>
        <v>1</v>
      </c>
      <c r="BD73" s="341">
        <f t="shared" si="79"/>
        <v>1</v>
      </c>
      <c r="BE73" s="25">
        <f t="shared" si="80"/>
        <v>0</v>
      </c>
      <c r="BF73" s="25">
        <f t="shared" si="81"/>
        <v>0</v>
      </c>
      <c r="BG73" s="25">
        <f t="shared" si="82"/>
        <v>0</v>
      </c>
      <c r="BH73" s="25">
        <f t="shared" si="83"/>
        <v>1</v>
      </c>
      <c r="BI73" s="25">
        <f t="shared" si="84"/>
        <v>1</v>
      </c>
      <c r="BJ73" s="25">
        <f t="shared" si="85"/>
        <v>1</v>
      </c>
      <c r="BK73" s="351">
        <f t="shared" si="86"/>
        <v>0</v>
      </c>
      <c r="BL73" s="352">
        <f t="shared" si="87"/>
        <v>0</v>
      </c>
      <c r="BM73" s="353">
        <f t="shared" si="88"/>
        <v>0</v>
      </c>
      <c r="BN73" s="25">
        <f t="shared" si="89"/>
        <v>0</v>
      </c>
      <c r="BO73" s="25">
        <f t="shared" si="90"/>
        <v>0</v>
      </c>
      <c r="BP73" s="25">
        <f t="shared" si="91"/>
        <v>0</v>
      </c>
      <c r="BQ73" s="25">
        <f t="shared" si="92"/>
        <v>1</v>
      </c>
      <c r="BR73" s="25">
        <f t="shared" si="93"/>
        <v>1</v>
      </c>
      <c r="BS73" s="25">
        <f t="shared" si="94"/>
        <v>1</v>
      </c>
      <c r="BT73" s="345">
        <f t="shared" si="95"/>
        <v>0</v>
      </c>
      <c r="BU73" s="346">
        <f t="shared" si="96"/>
        <v>0</v>
      </c>
      <c r="BV73" s="347">
        <f t="shared" si="97"/>
        <v>0</v>
      </c>
      <c r="BX73" s="345">
        <f t="shared" si="98"/>
        <v>0</v>
      </c>
      <c r="BY73" s="345">
        <f t="shared" si="99"/>
        <v>0</v>
      </c>
      <c r="BZ73" s="345">
        <f t="shared" si="100"/>
        <v>0</v>
      </c>
      <c r="CA73" s="382">
        <f t="shared" si="101"/>
        <v>0</v>
      </c>
      <c r="CB73" s="382">
        <f t="shared" si="102"/>
        <v>0</v>
      </c>
      <c r="CC73" s="382">
        <f t="shared" si="103"/>
        <v>0</v>
      </c>
      <c r="CD73" s="385">
        <f t="shared" si="104"/>
        <v>0</v>
      </c>
      <c r="CE73" s="385">
        <f t="shared" si="105"/>
        <v>0</v>
      </c>
      <c r="CF73" s="385">
        <f t="shared" si="106"/>
        <v>0</v>
      </c>
      <c r="CG73" s="377">
        <f t="shared" si="107"/>
        <v>0</v>
      </c>
      <c r="CH73" s="377">
        <f t="shared" si="108"/>
        <v>0</v>
      </c>
      <c r="CI73" s="377">
        <f t="shared" si="109"/>
        <v>0</v>
      </c>
      <c r="CK73">
        <v>449</v>
      </c>
      <c r="CL73">
        <v>6</v>
      </c>
      <c r="CN73" s="25">
        <f t="shared" si="110"/>
        <v>1</v>
      </c>
      <c r="CO73" s="25">
        <f t="shared" si="111"/>
        <v>1</v>
      </c>
      <c r="CP73" s="25">
        <f t="shared" si="112"/>
        <v>1</v>
      </c>
      <c r="CQ73" s="25">
        <f t="shared" si="113"/>
        <v>0</v>
      </c>
      <c r="CR73" s="25">
        <f t="shared" si="114"/>
        <v>0</v>
      </c>
      <c r="CS73" s="25">
        <f t="shared" si="115"/>
        <v>0</v>
      </c>
      <c r="CT73" s="25">
        <f t="shared" si="116"/>
        <v>0</v>
      </c>
      <c r="CU73" s="25">
        <f t="shared" si="117"/>
        <v>0</v>
      </c>
      <c r="CV73" s="25">
        <f t="shared" si="118"/>
        <v>0</v>
      </c>
      <c r="DC73" s="58">
        <v>46</v>
      </c>
      <c r="DD73" s="58">
        <v>38.476043098725896</v>
      </c>
      <c r="DE73" s="58">
        <v>-38.476043098725896</v>
      </c>
      <c r="DF73" s="58">
        <v>-0.1371652028555011</v>
      </c>
      <c r="DH73" s="58">
        <v>16.308243727598565</v>
      </c>
      <c r="DI73" s="58">
        <v>-54</v>
      </c>
      <c r="DW73" s="58">
        <v>46</v>
      </c>
      <c r="DX73" s="58">
        <v>38.476043098725896</v>
      </c>
      <c r="DY73" s="58">
        <v>-38.476043098725896</v>
      </c>
      <c r="DZ73" s="58">
        <v>-0.1371652028555011</v>
      </c>
    </row>
    <row r="74" spans="1:130">
      <c r="A74" s="63" t="s">
        <v>138</v>
      </c>
      <c r="B74">
        <v>583</v>
      </c>
      <c r="C74">
        <v>604</v>
      </c>
      <c r="D74">
        <v>726</v>
      </c>
      <c r="E74">
        <v>196</v>
      </c>
      <c r="F74">
        <v>177</v>
      </c>
      <c r="G74">
        <v>239</v>
      </c>
      <c r="H74">
        <v>0.33619210977701541</v>
      </c>
      <c r="I74">
        <v>0.29304635761589404</v>
      </c>
      <c r="J74">
        <v>0.32920110192837465</v>
      </c>
      <c r="K74">
        <v>85</v>
      </c>
      <c r="L74">
        <v>51</v>
      </c>
      <c r="M74" s="354">
        <f t="shared" si="69"/>
        <v>204</v>
      </c>
      <c r="X74">
        <v>0.33619210977701541</v>
      </c>
      <c r="AB74" s="63">
        <v>0</v>
      </c>
      <c r="AC74" s="156">
        <v>6.86106346483705E-2</v>
      </c>
      <c r="AD74" s="156">
        <v>0.12178387650085763</v>
      </c>
      <c r="AE74" s="156">
        <v>0.20068610634648371</v>
      </c>
      <c r="AF74" s="156">
        <v>0.2658662092624357</v>
      </c>
      <c r="AG74" s="63">
        <v>6.8610634648369473E-3</v>
      </c>
      <c r="AM74">
        <v>94</v>
      </c>
      <c r="AN74">
        <v>1</v>
      </c>
      <c r="AO74">
        <v>55</v>
      </c>
      <c r="AP74">
        <v>196</v>
      </c>
      <c r="AQ74">
        <v>177</v>
      </c>
      <c r="AR74">
        <v>239</v>
      </c>
      <c r="AS74" s="25">
        <f t="shared" si="70"/>
        <v>1</v>
      </c>
      <c r="AT74" s="25">
        <f t="shared" si="66"/>
        <v>1</v>
      </c>
      <c r="AU74" s="25">
        <f t="shared" si="67"/>
        <v>1</v>
      </c>
      <c r="AV74" s="25">
        <f t="shared" si="71"/>
        <v>1</v>
      </c>
      <c r="AW74" s="25">
        <f t="shared" si="72"/>
        <v>1</v>
      </c>
      <c r="AX74" s="25">
        <f t="shared" si="73"/>
        <v>1</v>
      </c>
      <c r="AY74" s="25">
        <f t="shared" si="74"/>
        <v>2</v>
      </c>
      <c r="AZ74" s="25">
        <f t="shared" si="75"/>
        <v>2</v>
      </c>
      <c r="BA74" s="25">
        <f t="shared" si="76"/>
        <v>2</v>
      </c>
      <c r="BB74" s="339">
        <f t="shared" si="77"/>
        <v>1</v>
      </c>
      <c r="BC74" s="340">
        <f t="shared" si="78"/>
        <v>1</v>
      </c>
      <c r="BD74" s="341">
        <f t="shared" si="79"/>
        <v>1</v>
      </c>
      <c r="BE74" s="25">
        <f t="shared" si="80"/>
        <v>0</v>
      </c>
      <c r="BF74" s="25">
        <f t="shared" si="81"/>
        <v>0</v>
      </c>
      <c r="BG74" s="25">
        <f t="shared" si="82"/>
        <v>0</v>
      </c>
      <c r="BH74" s="25">
        <f t="shared" si="83"/>
        <v>1</v>
      </c>
      <c r="BI74" s="25">
        <f t="shared" si="84"/>
        <v>1</v>
      </c>
      <c r="BJ74" s="25">
        <f t="shared" si="85"/>
        <v>1</v>
      </c>
      <c r="BK74" s="351">
        <f t="shared" si="86"/>
        <v>0</v>
      </c>
      <c r="BL74" s="352">
        <f t="shared" si="87"/>
        <v>0</v>
      </c>
      <c r="BM74" s="353">
        <f t="shared" si="88"/>
        <v>0</v>
      </c>
      <c r="BN74" s="25">
        <f t="shared" si="89"/>
        <v>0</v>
      </c>
      <c r="BO74" s="25">
        <f t="shared" si="90"/>
        <v>0</v>
      </c>
      <c r="BP74" s="25">
        <f t="shared" si="91"/>
        <v>0</v>
      </c>
      <c r="BQ74" s="25">
        <f t="shared" si="92"/>
        <v>1</v>
      </c>
      <c r="BR74" s="25">
        <f t="shared" si="93"/>
        <v>1</v>
      </c>
      <c r="BS74" s="25">
        <f t="shared" si="94"/>
        <v>1</v>
      </c>
      <c r="BT74" s="345">
        <f t="shared" si="95"/>
        <v>0</v>
      </c>
      <c r="BU74" s="346">
        <f t="shared" si="96"/>
        <v>0</v>
      </c>
      <c r="BV74" s="347">
        <f t="shared" si="97"/>
        <v>0</v>
      </c>
      <c r="BX74" s="345">
        <f t="shared" si="98"/>
        <v>0</v>
      </c>
      <c r="BY74" s="345">
        <f t="shared" si="99"/>
        <v>0</v>
      </c>
      <c r="BZ74" s="345">
        <f t="shared" si="100"/>
        <v>0</v>
      </c>
      <c r="CA74" s="382">
        <f t="shared" si="101"/>
        <v>0</v>
      </c>
      <c r="CB74" s="382">
        <f t="shared" si="102"/>
        <v>0</v>
      </c>
      <c r="CC74" s="382">
        <f t="shared" si="103"/>
        <v>0</v>
      </c>
      <c r="CD74" s="385">
        <f t="shared" si="104"/>
        <v>0</v>
      </c>
      <c r="CE74" s="385">
        <f t="shared" si="105"/>
        <v>0</v>
      </c>
      <c r="CF74" s="385">
        <f t="shared" si="106"/>
        <v>0</v>
      </c>
      <c r="CG74" s="377">
        <f t="shared" si="107"/>
        <v>0</v>
      </c>
      <c r="CH74" s="377">
        <f t="shared" si="108"/>
        <v>0</v>
      </c>
      <c r="CI74" s="377">
        <f t="shared" si="109"/>
        <v>0</v>
      </c>
      <c r="CK74">
        <v>196</v>
      </c>
      <c r="CL74">
        <v>94</v>
      </c>
      <c r="CN74" s="25">
        <f t="shared" si="110"/>
        <v>1</v>
      </c>
      <c r="CO74" s="25">
        <f t="shared" si="111"/>
        <v>1</v>
      </c>
      <c r="CP74" s="25">
        <f t="shared" si="112"/>
        <v>1</v>
      </c>
      <c r="CQ74" s="25">
        <f t="shared" si="113"/>
        <v>0</v>
      </c>
      <c r="CR74" s="25">
        <f t="shared" si="114"/>
        <v>0</v>
      </c>
      <c r="CS74" s="25">
        <f t="shared" si="115"/>
        <v>0</v>
      </c>
      <c r="CT74" s="25">
        <f t="shared" si="116"/>
        <v>0</v>
      </c>
      <c r="CU74" s="25">
        <f t="shared" si="117"/>
        <v>0</v>
      </c>
      <c r="CV74" s="25">
        <f t="shared" si="118"/>
        <v>0</v>
      </c>
      <c r="DC74" s="58">
        <v>47</v>
      </c>
      <c r="DD74" s="58">
        <v>46.502376668255749</v>
      </c>
      <c r="DE74" s="58">
        <v>62.497623331744251</v>
      </c>
      <c r="DF74" s="58">
        <v>0.22280095591662519</v>
      </c>
      <c r="DH74" s="58">
        <v>16.666666666666664</v>
      </c>
      <c r="DI74" s="58">
        <v>-45</v>
      </c>
      <c r="DW74" s="58">
        <v>47</v>
      </c>
      <c r="DX74" s="58">
        <v>46.502376668255749</v>
      </c>
      <c r="DY74" s="58">
        <v>62.497623331744251</v>
      </c>
      <c r="DZ74" s="58">
        <v>0.22280095591662519</v>
      </c>
    </row>
    <row r="75" spans="1:130">
      <c r="A75" s="32" t="s">
        <v>133</v>
      </c>
      <c r="B75">
        <v>461</v>
      </c>
      <c r="C75">
        <v>569</v>
      </c>
      <c r="D75">
        <v>524</v>
      </c>
      <c r="E75">
        <v>83</v>
      </c>
      <c r="F75">
        <v>232</v>
      </c>
      <c r="G75">
        <v>223</v>
      </c>
      <c r="H75">
        <v>0.18004338394793926</v>
      </c>
      <c r="I75">
        <v>0.40773286467486819</v>
      </c>
      <c r="J75">
        <v>0.42557251908396948</v>
      </c>
      <c r="K75">
        <v>95</v>
      </c>
      <c r="L75">
        <v>57</v>
      </c>
      <c r="M75" s="354">
        <f t="shared" si="69"/>
        <v>179.33333333333334</v>
      </c>
      <c r="X75">
        <v>0.18004338394793926</v>
      </c>
      <c r="AB75" s="32">
        <v>0</v>
      </c>
      <c r="AC75" s="101">
        <v>0</v>
      </c>
      <c r="AD75" s="101">
        <v>0</v>
      </c>
      <c r="AE75" s="101">
        <v>0</v>
      </c>
      <c r="AF75" s="101">
        <v>0</v>
      </c>
      <c r="AG75" s="32">
        <v>0.81995661605206072</v>
      </c>
      <c r="AM75">
        <v>119</v>
      </c>
      <c r="AN75">
        <v>66</v>
      </c>
      <c r="AO75">
        <v>126</v>
      </c>
      <c r="AP75">
        <v>83</v>
      </c>
      <c r="AQ75">
        <v>232</v>
      </c>
      <c r="AR75">
        <v>223</v>
      </c>
      <c r="AS75" s="25">
        <f t="shared" si="70"/>
        <v>1</v>
      </c>
      <c r="AT75" s="25">
        <f t="shared" si="66"/>
        <v>1</v>
      </c>
      <c r="AU75" s="25">
        <f t="shared" si="67"/>
        <v>1</v>
      </c>
      <c r="AV75" s="25">
        <f t="shared" si="71"/>
        <v>1</v>
      </c>
      <c r="AW75" s="25">
        <f t="shared" si="72"/>
        <v>1</v>
      </c>
      <c r="AX75" s="25">
        <f t="shared" si="73"/>
        <v>1</v>
      </c>
      <c r="AY75" s="25">
        <f t="shared" si="74"/>
        <v>2</v>
      </c>
      <c r="AZ75" s="25">
        <f t="shared" si="75"/>
        <v>2</v>
      </c>
      <c r="BA75" s="25">
        <f t="shared" si="76"/>
        <v>2</v>
      </c>
      <c r="BB75" s="339">
        <f t="shared" si="77"/>
        <v>1</v>
      </c>
      <c r="BC75" s="340">
        <f t="shared" si="78"/>
        <v>1</v>
      </c>
      <c r="BD75" s="341">
        <f t="shared" si="79"/>
        <v>1</v>
      </c>
      <c r="BE75" s="25">
        <f t="shared" si="80"/>
        <v>0</v>
      </c>
      <c r="BF75" s="25">
        <f t="shared" si="81"/>
        <v>0</v>
      </c>
      <c r="BG75" s="25">
        <f t="shared" si="82"/>
        <v>0</v>
      </c>
      <c r="BH75" s="25">
        <f t="shared" si="83"/>
        <v>1</v>
      </c>
      <c r="BI75" s="25">
        <f t="shared" si="84"/>
        <v>1</v>
      </c>
      <c r="BJ75" s="25">
        <f t="shared" si="85"/>
        <v>1</v>
      </c>
      <c r="BK75" s="351">
        <f t="shared" si="86"/>
        <v>0</v>
      </c>
      <c r="BL75" s="352">
        <f t="shared" si="87"/>
        <v>0</v>
      </c>
      <c r="BM75" s="353">
        <f t="shared" si="88"/>
        <v>0</v>
      </c>
      <c r="BN75" s="25">
        <f t="shared" si="89"/>
        <v>0</v>
      </c>
      <c r="BO75" s="25">
        <f t="shared" si="90"/>
        <v>0</v>
      </c>
      <c r="BP75" s="25">
        <f t="shared" si="91"/>
        <v>0</v>
      </c>
      <c r="BQ75" s="25">
        <f t="shared" si="92"/>
        <v>1</v>
      </c>
      <c r="BR75" s="25">
        <f t="shared" si="93"/>
        <v>1</v>
      </c>
      <c r="BS75" s="25">
        <f t="shared" si="94"/>
        <v>1</v>
      </c>
      <c r="BT75" s="345">
        <f t="shared" si="95"/>
        <v>0</v>
      </c>
      <c r="BU75" s="346">
        <f t="shared" si="96"/>
        <v>0</v>
      </c>
      <c r="BV75" s="347">
        <f t="shared" si="97"/>
        <v>0</v>
      </c>
      <c r="BX75" s="345">
        <f t="shared" si="98"/>
        <v>0</v>
      </c>
      <c r="BY75" s="345">
        <f t="shared" si="99"/>
        <v>0</v>
      </c>
      <c r="BZ75" s="345">
        <f t="shared" si="100"/>
        <v>0</v>
      </c>
      <c r="CA75" s="382">
        <f t="shared" si="101"/>
        <v>0</v>
      </c>
      <c r="CB75" s="382">
        <f t="shared" si="102"/>
        <v>0</v>
      </c>
      <c r="CC75" s="382">
        <f t="shared" si="103"/>
        <v>0</v>
      </c>
      <c r="CD75" s="385">
        <f t="shared" si="104"/>
        <v>0</v>
      </c>
      <c r="CE75" s="385">
        <f t="shared" si="105"/>
        <v>0</v>
      </c>
      <c r="CF75" s="385">
        <f t="shared" si="106"/>
        <v>0</v>
      </c>
      <c r="CG75" s="377">
        <f t="shared" si="107"/>
        <v>0</v>
      </c>
      <c r="CH75" s="377">
        <f t="shared" si="108"/>
        <v>0</v>
      </c>
      <c r="CI75" s="377">
        <f t="shared" si="109"/>
        <v>0</v>
      </c>
      <c r="CK75">
        <v>83</v>
      </c>
      <c r="CL75">
        <v>119</v>
      </c>
      <c r="CN75" s="25">
        <f t="shared" si="110"/>
        <v>1</v>
      </c>
      <c r="CO75" s="25">
        <f t="shared" si="111"/>
        <v>1</v>
      </c>
      <c r="CP75" s="25">
        <f t="shared" si="112"/>
        <v>1</v>
      </c>
      <c r="CQ75" s="25">
        <f t="shared" si="113"/>
        <v>0</v>
      </c>
      <c r="CR75" s="25">
        <f t="shared" si="114"/>
        <v>0</v>
      </c>
      <c r="CS75" s="25">
        <f t="shared" si="115"/>
        <v>0</v>
      </c>
      <c r="CT75" s="25">
        <f t="shared" si="116"/>
        <v>0</v>
      </c>
      <c r="CU75" s="25">
        <f t="shared" si="117"/>
        <v>0</v>
      </c>
      <c r="CV75" s="25">
        <f t="shared" si="118"/>
        <v>0</v>
      </c>
      <c r="DC75" s="58">
        <v>48</v>
      </c>
      <c r="DD75" s="58">
        <v>57.687460868374771</v>
      </c>
      <c r="DE75" s="58">
        <v>514.31253913162527</v>
      </c>
      <c r="DF75" s="58">
        <v>1.8334989276340972</v>
      </c>
      <c r="DH75" s="58">
        <v>17.025089605734767</v>
      </c>
      <c r="DI75" s="58">
        <v>-40</v>
      </c>
      <c r="DW75" s="58">
        <v>48</v>
      </c>
      <c r="DX75" s="58">
        <v>57.687460868374771</v>
      </c>
      <c r="DY75" s="58">
        <v>514.31253913162527</v>
      </c>
      <c r="DZ75" s="58">
        <v>1.8334989276340972</v>
      </c>
    </row>
    <row r="76" spans="1:130">
      <c r="A76" s="133" t="s">
        <v>75</v>
      </c>
      <c r="B76">
        <v>230</v>
      </c>
      <c r="C76">
        <v>163</v>
      </c>
      <c r="D76">
        <v>172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</v>
      </c>
      <c r="L76">
        <v>40</v>
      </c>
      <c r="M76" s="354">
        <f t="shared" si="69"/>
        <v>0</v>
      </c>
      <c r="X76">
        <v>0</v>
      </c>
      <c r="AB76" s="133">
        <v>0</v>
      </c>
      <c r="AC76" s="161">
        <v>0.89130434782608692</v>
      </c>
      <c r="AD76" s="161">
        <v>0.10869565217391304</v>
      </c>
      <c r="AE76" s="161">
        <v>0</v>
      </c>
      <c r="AF76" s="161">
        <v>0</v>
      </c>
      <c r="AG76" s="133">
        <v>0</v>
      </c>
      <c r="AM76">
        <v>11</v>
      </c>
      <c r="AN76">
        <v>27</v>
      </c>
      <c r="AO76">
        <v>11</v>
      </c>
      <c r="AP76">
        <v>0</v>
      </c>
      <c r="AQ76">
        <v>0</v>
      </c>
      <c r="AR76">
        <v>0</v>
      </c>
      <c r="AS76" s="25">
        <f t="shared" si="70"/>
        <v>0</v>
      </c>
      <c r="AT76" s="25">
        <f t="shared" si="66"/>
        <v>0</v>
      </c>
      <c r="AU76" s="25">
        <f t="shared" si="67"/>
        <v>0</v>
      </c>
      <c r="AV76" s="25">
        <f t="shared" si="71"/>
        <v>1</v>
      </c>
      <c r="AW76" s="25">
        <f t="shared" si="72"/>
        <v>1</v>
      </c>
      <c r="AX76" s="25">
        <f t="shared" si="73"/>
        <v>1</v>
      </c>
      <c r="AY76" s="25">
        <f t="shared" si="74"/>
        <v>1</v>
      </c>
      <c r="AZ76" s="25">
        <f t="shared" si="75"/>
        <v>1</v>
      </c>
      <c r="BA76" s="25">
        <f t="shared" si="76"/>
        <v>1</v>
      </c>
      <c r="BB76" s="339">
        <f t="shared" si="77"/>
        <v>0</v>
      </c>
      <c r="BC76" s="340">
        <f t="shared" si="78"/>
        <v>0</v>
      </c>
      <c r="BD76" s="341">
        <f t="shared" si="79"/>
        <v>0</v>
      </c>
      <c r="BE76" s="25">
        <f t="shared" si="80"/>
        <v>0</v>
      </c>
      <c r="BF76" s="25">
        <f t="shared" si="81"/>
        <v>0</v>
      </c>
      <c r="BG76" s="25">
        <f t="shared" si="82"/>
        <v>0</v>
      </c>
      <c r="BH76" s="25">
        <f t="shared" si="83"/>
        <v>0</v>
      </c>
      <c r="BI76" s="25">
        <f t="shared" si="84"/>
        <v>0</v>
      </c>
      <c r="BJ76" s="25">
        <f t="shared" si="85"/>
        <v>0</v>
      </c>
      <c r="BK76" s="351">
        <f t="shared" si="86"/>
        <v>0</v>
      </c>
      <c r="BL76" s="352">
        <f t="shared" si="87"/>
        <v>0</v>
      </c>
      <c r="BM76" s="353">
        <f t="shared" si="88"/>
        <v>0</v>
      </c>
      <c r="BN76" s="25">
        <f t="shared" si="89"/>
        <v>0</v>
      </c>
      <c r="BO76" s="25">
        <f t="shared" si="90"/>
        <v>0</v>
      </c>
      <c r="BP76" s="25">
        <f t="shared" si="91"/>
        <v>0</v>
      </c>
      <c r="BQ76" s="25">
        <f t="shared" si="92"/>
        <v>0</v>
      </c>
      <c r="BR76" s="25">
        <f t="shared" si="93"/>
        <v>0</v>
      </c>
      <c r="BS76" s="25">
        <f t="shared" si="94"/>
        <v>0</v>
      </c>
      <c r="BT76" s="345">
        <f t="shared" si="95"/>
        <v>0</v>
      </c>
      <c r="BU76" s="346">
        <f t="shared" si="96"/>
        <v>0</v>
      </c>
      <c r="BV76" s="347">
        <f t="shared" si="97"/>
        <v>0</v>
      </c>
      <c r="BX76" s="345">
        <f t="shared" si="98"/>
        <v>1</v>
      </c>
      <c r="BY76" s="345">
        <f t="shared" si="99"/>
        <v>1</v>
      </c>
      <c r="BZ76" s="345">
        <f t="shared" si="100"/>
        <v>1</v>
      </c>
      <c r="CA76" s="382">
        <f t="shared" si="101"/>
        <v>0</v>
      </c>
      <c r="CB76" s="382">
        <f t="shared" si="102"/>
        <v>0</v>
      </c>
      <c r="CC76" s="382">
        <f t="shared" si="103"/>
        <v>0</v>
      </c>
      <c r="CD76" s="385">
        <f t="shared" si="104"/>
        <v>0</v>
      </c>
      <c r="CE76" s="385">
        <f t="shared" si="105"/>
        <v>0</v>
      </c>
      <c r="CF76" s="385">
        <f t="shared" si="106"/>
        <v>0</v>
      </c>
      <c r="CG76" s="377">
        <f t="shared" si="107"/>
        <v>1</v>
      </c>
      <c r="CH76" s="377">
        <f t="shared" si="108"/>
        <v>1</v>
      </c>
      <c r="CI76" s="377">
        <f t="shared" si="109"/>
        <v>1</v>
      </c>
      <c r="CK76">
        <v>0</v>
      </c>
      <c r="CL76">
        <v>11</v>
      </c>
      <c r="CN76" s="25">
        <f t="shared" si="110"/>
        <v>2</v>
      </c>
      <c r="CO76" s="25">
        <f t="shared" si="111"/>
        <v>2</v>
      </c>
      <c r="CP76" s="25">
        <f t="shared" si="112"/>
        <v>2</v>
      </c>
      <c r="CQ76" s="25">
        <f t="shared" si="113"/>
        <v>1</v>
      </c>
      <c r="CR76" s="25">
        <f t="shared" si="114"/>
        <v>1</v>
      </c>
      <c r="CS76" s="25">
        <f t="shared" si="115"/>
        <v>1</v>
      </c>
      <c r="CT76" s="25">
        <f t="shared" si="116"/>
        <v>1</v>
      </c>
      <c r="CU76" s="25">
        <f t="shared" si="117"/>
        <v>1</v>
      </c>
      <c r="CV76" s="25">
        <f t="shared" si="118"/>
        <v>1</v>
      </c>
      <c r="DC76" s="58">
        <v>49</v>
      </c>
      <c r="DD76" s="58">
        <v>44.89710995434978</v>
      </c>
      <c r="DE76" s="58">
        <v>-44.89710995434978</v>
      </c>
      <c r="DF76" s="58">
        <v>-0.16005599065144133</v>
      </c>
      <c r="DH76" s="58">
        <v>17.383512544802866</v>
      </c>
      <c r="DI76" s="58">
        <v>-40</v>
      </c>
      <c r="DW76" s="58">
        <v>49</v>
      </c>
      <c r="DX76" s="58">
        <v>44.89710995434978</v>
      </c>
      <c r="DY76" s="58">
        <v>-44.89710995434978</v>
      </c>
      <c r="DZ76" s="58">
        <v>-0.16005599065144133</v>
      </c>
    </row>
    <row r="77" spans="1:130">
      <c r="A77" s="66" t="s">
        <v>76</v>
      </c>
      <c r="B77">
        <v>391.73184357541902</v>
      </c>
      <c r="C77">
        <v>489.73082783138648</v>
      </c>
      <c r="D77">
        <v>743.44337227018798</v>
      </c>
      <c r="E77">
        <v>110.47232097511427</v>
      </c>
      <c r="F77">
        <v>203.10817673946164</v>
      </c>
      <c r="G77">
        <v>230.26917216861349</v>
      </c>
      <c r="H77">
        <v>0.28201006067520612</v>
      </c>
      <c r="I77">
        <v>0.41473430953664908</v>
      </c>
      <c r="J77">
        <v>0.30973330418624984</v>
      </c>
      <c r="K77">
        <v>40</v>
      </c>
      <c r="L77">
        <v>16</v>
      </c>
      <c r="M77" s="354">
        <f t="shared" si="69"/>
        <v>181.28322329439649</v>
      </c>
      <c r="X77">
        <v>0.28201006067520612</v>
      </c>
      <c r="AB77" s="66">
        <v>0.25613234455219619</v>
      </c>
      <c r="AC77" s="107">
        <v>2.3855209251672456E-2</v>
      </c>
      <c r="AD77" s="107">
        <v>0.1523103251568739</v>
      </c>
      <c r="AE77" s="107">
        <v>0.25789555567079808</v>
      </c>
      <c r="AF77" s="107">
        <v>0.13571539698179744</v>
      </c>
      <c r="AG77" s="66">
        <v>5.2533319504226572E-2</v>
      </c>
      <c r="AM77">
        <v>-2.4581005586592179</v>
      </c>
      <c r="AN77">
        <v>-84.530218384966986</v>
      </c>
      <c r="AO77">
        <v>202.19400711020822</v>
      </c>
      <c r="AP77">
        <v>110.47232097511427</v>
      </c>
      <c r="AQ77">
        <v>203.10817673946164</v>
      </c>
      <c r="AR77">
        <v>230.26917216861349</v>
      </c>
      <c r="AS77" s="25">
        <f t="shared" si="70"/>
        <v>1</v>
      </c>
      <c r="AT77" s="25">
        <f t="shared" si="66"/>
        <v>1</v>
      </c>
      <c r="AU77" s="25">
        <f t="shared" si="67"/>
        <v>1</v>
      </c>
      <c r="AV77" s="25">
        <f t="shared" si="71"/>
        <v>0</v>
      </c>
      <c r="AW77" s="25">
        <f t="shared" si="72"/>
        <v>0</v>
      </c>
      <c r="AX77" s="25">
        <f t="shared" si="73"/>
        <v>1</v>
      </c>
      <c r="AY77" s="25">
        <f t="shared" si="74"/>
        <v>1</v>
      </c>
      <c r="AZ77" s="25">
        <f t="shared" si="75"/>
        <v>1</v>
      </c>
      <c r="BA77" s="25">
        <f t="shared" si="76"/>
        <v>2</v>
      </c>
      <c r="BB77" s="339">
        <f t="shared" si="77"/>
        <v>0</v>
      </c>
      <c r="BC77" s="340">
        <f t="shared" si="78"/>
        <v>0</v>
      </c>
      <c r="BD77" s="341">
        <f t="shared" si="79"/>
        <v>1</v>
      </c>
      <c r="BE77" s="25">
        <f t="shared" si="80"/>
        <v>1</v>
      </c>
      <c r="BF77" s="25">
        <f t="shared" si="81"/>
        <v>1</v>
      </c>
      <c r="BG77" s="25">
        <f t="shared" si="82"/>
        <v>0</v>
      </c>
      <c r="BH77" s="25">
        <f t="shared" si="83"/>
        <v>2</v>
      </c>
      <c r="BI77" s="25">
        <f t="shared" si="84"/>
        <v>2</v>
      </c>
      <c r="BJ77" s="25">
        <f t="shared" si="85"/>
        <v>1</v>
      </c>
      <c r="BK77" s="351">
        <f t="shared" si="86"/>
        <v>1</v>
      </c>
      <c r="BL77" s="352">
        <f t="shared" si="87"/>
        <v>1</v>
      </c>
      <c r="BM77" s="353">
        <f t="shared" si="88"/>
        <v>0</v>
      </c>
      <c r="BN77" s="25">
        <f t="shared" si="89"/>
        <v>0</v>
      </c>
      <c r="BO77" s="25">
        <f t="shared" si="90"/>
        <v>0</v>
      </c>
      <c r="BP77" s="25">
        <f t="shared" si="91"/>
        <v>0</v>
      </c>
      <c r="BQ77" s="25">
        <f t="shared" si="92"/>
        <v>1</v>
      </c>
      <c r="BR77" s="25">
        <f t="shared" si="93"/>
        <v>1</v>
      </c>
      <c r="BS77" s="25">
        <f t="shared" si="94"/>
        <v>1</v>
      </c>
      <c r="BT77" s="345">
        <f t="shared" si="95"/>
        <v>0</v>
      </c>
      <c r="BU77" s="346">
        <f t="shared" si="96"/>
        <v>0</v>
      </c>
      <c r="BV77" s="347">
        <f t="shared" si="97"/>
        <v>0</v>
      </c>
      <c r="BX77" s="345">
        <f t="shared" si="98"/>
        <v>0</v>
      </c>
      <c r="BY77" s="345">
        <f t="shared" si="99"/>
        <v>0</v>
      </c>
      <c r="BZ77" s="345">
        <f t="shared" si="100"/>
        <v>0</v>
      </c>
      <c r="CA77" s="382">
        <f t="shared" si="101"/>
        <v>0</v>
      </c>
      <c r="CB77" s="382">
        <f t="shared" si="102"/>
        <v>0</v>
      </c>
      <c r="CC77" s="382">
        <f t="shared" si="103"/>
        <v>0</v>
      </c>
      <c r="CD77" s="385">
        <f t="shared" si="104"/>
        <v>0</v>
      </c>
      <c r="CE77" s="385">
        <f t="shared" si="105"/>
        <v>0</v>
      </c>
      <c r="CF77" s="385">
        <f t="shared" si="106"/>
        <v>0</v>
      </c>
      <c r="CG77" s="377">
        <f t="shared" si="107"/>
        <v>0</v>
      </c>
      <c r="CH77" s="377">
        <f t="shared" si="108"/>
        <v>0</v>
      </c>
      <c r="CI77" s="377">
        <f t="shared" si="109"/>
        <v>0</v>
      </c>
      <c r="CK77">
        <v>110.47232097511427</v>
      </c>
      <c r="CL77">
        <v>-2.4581005586592179</v>
      </c>
      <c r="CN77" s="25">
        <f t="shared" si="110"/>
        <v>0</v>
      </c>
      <c r="CO77" s="25">
        <f t="shared" si="111"/>
        <v>0</v>
      </c>
      <c r="CP77" s="25">
        <f t="shared" si="112"/>
        <v>1</v>
      </c>
      <c r="CQ77" s="25">
        <f t="shared" si="113"/>
        <v>1</v>
      </c>
      <c r="CR77" s="25">
        <f t="shared" si="114"/>
        <v>1</v>
      </c>
      <c r="CS77" s="25">
        <f t="shared" si="115"/>
        <v>0</v>
      </c>
      <c r="CT77" s="25">
        <f t="shared" si="116"/>
        <v>0</v>
      </c>
      <c r="CU77" s="25">
        <f t="shared" si="117"/>
        <v>0</v>
      </c>
      <c r="CV77" s="25">
        <f t="shared" si="118"/>
        <v>0</v>
      </c>
      <c r="DC77" s="58">
        <v>50</v>
      </c>
      <c r="DD77" s="58">
        <v>36.145817223701101</v>
      </c>
      <c r="DE77" s="58">
        <v>-4.1458172237011013</v>
      </c>
      <c r="DF77" s="58">
        <v>-1.4779634668556205E-2</v>
      </c>
      <c r="DH77" s="58">
        <v>17.741935483870968</v>
      </c>
      <c r="DI77" s="58">
        <v>-39</v>
      </c>
      <c r="DW77" s="58">
        <v>50</v>
      </c>
      <c r="DX77" s="58">
        <v>36.145817223701101</v>
      </c>
      <c r="DY77" s="58">
        <v>-4.1458172237011013</v>
      </c>
      <c r="DZ77" s="58">
        <v>-1.4779634668556205E-2</v>
      </c>
    </row>
    <row r="78" spans="1:130">
      <c r="A78" s="66" t="s">
        <v>79</v>
      </c>
      <c r="B78">
        <v>224</v>
      </c>
      <c r="C78">
        <v>210</v>
      </c>
      <c r="D78">
        <v>293</v>
      </c>
      <c r="E78">
        <v>148</v>
      </c>
      <c r="F78">
        <v>129</v>
      </c>
      <c r="G78">
        <v>210</v>
      </c>
      <c r="H78">
        <v>0.6607142857142857</v>
      </c>
      <c r="I78">
        <v>0.61428571428571432</v>
      </c>
      <c r="J78">
        <v>0.71672354948805461</v>
      </c>
      <c r="K78">
        <v>30</v>
      </c>
      <c r="L78">
        <v>13.5</v>
      </c>
      <c r="M78" s="354">
        <f t="shared" si="69"/>
        <v>162.33333333333334</v>
      </c>
      <c r="X78">
        <v>0.6607142857142857</v>
      </c>
      <c r="AB78" s="66">
        <v>0</v>
      </c>
      <c r="AC78" s="107">
        <v>0</v>
      </c>
      <c r="AD78" s="107">
        <v>9.375E-2</v>
      </c>
      <c r="AE78" s="107">
        <v>0.17857142857142858</v>
      </c>
      <c r="AF78" s="107">
        <v>6.6964285714285712E-2</v>
      </c>
      <c r="AG78" s="66">
        <v>0</v>
      </c>
      <c r="AM78">
        <v>-23</v>
      </c>
      <c r="AN78">
        <v>31</v>
      </c>
      <c r="AO78">
        <v>-3</v>
      </c>
      <c r="AP78">
        <v>148</v>
      </c>
      <c r="AQ78">
        <v>129</v>
      </c>
      <c r="AR78">
        <v>210</v>
      </c>
      <c r="AS78" s="25">
        <f t="shared" si="70"/>
        <v>1</v>
      </c>
      <c r="AT78" s="25">
        <f t="shared" si="66"/>
        <v>1</v>
      </c>
      <c r="AU78" s="25">
        <f t="shared" si="67"/>
        <v>1</v>
      </c>
      <c r="AV78" s="25">
        <f t="shared" si="71"/>
        <v>0</v>
      </c>
      <c r="AW78" s="25">
        <f t="shared" si="72"/>
        <v>1</v>
      </c>
      <c r="AX78" s="25">
        <f t="shared" si="73"/>
        <v>0</v>
      </c>
      <c r="AY78" s="25">
        <f t="shared" si="74"/>
        <v>1</v>
      </c>
      <c r="AZ78" s="25">
        <f t="shared" si="75"/>
        <v>2</v>
      </c>
      <c r="BA78" s="25">
        <f t="shared" si="76"/>
        <v>1</v>
      </c>
      <c r="BB78" s="339">
        <f t="shared" si="77"/>
        <v>0</v>
      </c>
      <c r="BC78" s="340">
        <f t="shared" si="78"/>
        <v>1</v>
      </c>
      <c r="BD78" s="341">
        <f t="shared" si="79"/>
        <v>0</v>
      </c>
      <c r="BE78" s="25">
        <f t="shared" si="80"/>
        <v>1</v>
      </c>
      <c r="BF78" s="25">
        <f t="shared" si="81"/>
        <v>0</v>
      </c>
      <c r="BG78" s="25">
        <f t="shared" si="82"/>
        <v>1</v>
      </c>
      <c r="BH78" s="25">
        <f t="shared" si="83"/>
        <v>2</v>
      </c>
      <c r="BI78" s="25">
        <f t="shared" si="84"/>
        <v>1</v>
      </c>
      <c r="BJ78" s="25">
        <f t="shared" si="85"/>
        <v>2</v>
      </c>
      <c r="BK78" s="351">
        <f t="shared" si="86"/>
        <v>1</v>
      </c>
      <c r="BL78" s="352">
        <f t="shared" si="87"/>
        <v>0</v>
      </c>
      <c r="BM78" s="353">
        <f t="shared" si="88"/>
        <v>1</v>
      </c>
      <c r="BN78" s="25">
        <f t="shared" si="89"/>
        <v>0</v>
      </c>
      <c r="BO78" s="25">
        <f t="shared" si="90"/>
        <v>0</v>
      </c>
      <c r="BP78" s="25">
        <f t="shared" si="91"/>
        <v>0</v>
      </c>
      <c r="BQ78" s="25">
        <f t="shared" si="92"/>
        <v>1</v>
      </c>
      <c r="BR78" s="25">
        <f t="shared" si="93"/>
        <v>1</v>
      </c>
      <c r="BS78" s="25">
        <f t="shared" si="94"/>
        <v>1</v>
      </c>
      <c r="BT78" s="345">
        <f t="shared" si="95"/>
        <v>0</v>
      </c>
      <c r="BU78" s="346">
        <f t="shared" si="96"/>
        <v>0</v>
      </c>
      <c r="BV78" s="347">
        <f t="shared" si="97"/>
        <v>0</v>
      </c>
      <c r="BX78" s="345">
        <f t="shared" si="98"/>
        <v>0</v>
      </c>
      <c r="BY78" s="345">
        <f t="shared" si="99"/>
        <v>0</v>
      </c>
      <c r="BZ78" s="345">
        <f t="shared" si="100"/>
        <v>0</v>
      </c>
      <c r="CA78" s="382">
        <f t="shared" si="101"/>
        <v>0</v>
      </c>
      <c r="CB78" s="382">
        <f t="shared" si="102"/>
        <v>0</v>
      </c>
      <c r="CC78" s="382">
        <f t="shared" si="103"/>
        <v>0</v>
      </c>
      <c r="CD78" s="385">
        <f t="shared" si="104"/>
        <v>0</v>
      </c>
      <c r="CE78" s="385">
        <f t="shared" si="105"/>
        <v>0</v>
      </c>
      <c r="CF78" s="385">
        <f t="shared" si="106"/>
        <v>0</v>
      </c>
      <c r="CG78" s="377">
        <f t="shared" si="107"/>
        <v>0</v>
      </c>
      <c r="CH78" s="377">
        <f t="shared" si="108"/>
        <v>0</v>
      </c>
      <c r="CI78" s="377">
        <f t="shared" si="109"/>
        <v>0</v>
      </c>
      <c r="CK78">
        <v>148</v>
      </c>
      <c r="CL78">
        <v>-23</v>
      </c>
      <c r="CN78" s="25">
        <f t="shared" si="110"/>
        <v>0</v>
      </c>
      <c r="CO78" s="25">
        <f t="shared" si="111"/>
        <v>1</v>
      </c>
      <c r="CP78" s="25">
        <f t="shared" si="112"/>
        <v>0</v>
      </c>
      <c r="CQ78" s="25">
        <f t="shared" si="113"/>
        <v>1</v>
      </c>
      <c r="CR78" s="25">
        <f t="shared" si="114"/>
        <v>0</v>
      </c>
      <c r="CS78" s="25">
        <f t="shared" si="115"/>
        <v>1</v>
      </c>
      <c r="CT78" s="25">
        <f t="shared" si="116"/>
        <v>0</v>
      </c>
      <c r="CU78" s="25">
        <f t="shared" si="117"/>
        <v>0</v>
      </c>
      <c r="CV78" s="25">
        <f t="shared" si="118"/>
        <v>0</v>
      </c>
      <c r="DC78" s="58">
        <v>51</v>
      </c>
      <c r="DD78" s="58">
        <v>36.145817223701101</v>
      </c>
      <c r="DE78" s="58">
        <v>108.07640499852113</v>
      </c>
      <c r="DF78" s="58">
        <v>0.38528707272412688</v>
      </c>
      <c r="DH78" s="58">
        <v>18.100358422939067</v>
      </c>
      <c r="DI78" s="58">
        <v>-36</v>
      </c>
      <c r="DW78" s="58">
        <v>51</v>
      </c>
      <c r="DX78" s="58">
        <v>36.145817223701101</v>
      </c>
      <c r="DY78" s="58">
        <v>108.07640499852113</v>
      </c>
      <c r="DZ78" s="58">
        <v>0.38528707272412688</v>
      </c>
    </row>
    <row r="79" spans="1:130">
      <c r="A79" s="66" t="s">
        <v>87</v>
      </c>
      <c r="B79">
        <v>210</v>
      </c>
      <c r="C79">
        <v>258</v>
      </c>
      <c r="D79">
        <v>231</v>
      </c>
      <c r="E79">
        <v>98</v>
      </c>
      <c r="F79">
        <v>163</v>
      </c>
      <c r="G79">
        <v>159</v>
      </c>
      <c r="H79">
        <v>0.46666666666666667</v>
      </c>
      <c r="I79">
        <v>0.63178294573643412</v>
      </c>
      <c r="J79">
        <v>0.68831168831168832</v>
      </c>
      <c r="K79">
        <v>120</v>
      </c>
      <c r="L79">
        <v>48</v>
      </c>
      <c r="M79" s="354">
        <f t="shared" si="69"/>
        <v>140</v>
      </c>
      <c r="X79">
        <v>0.46666666666666667</v>
      </c>
      <c r="AB79" s="66">
        <v>0</v>
      </c>
      <c r="AC79" s="107">
        <v>0.2857142857142857</v>
      </c>
      <c r="AD79" s="107">
        <v>0.1761904761904762</v>
      </c>
      <c r="AE79" s="107">
        <v>5.7142857142857141E-2</v>
      </c>
      <c r="AF79" s="107">
        <v>1.4285714285714285E-2</v>
      </c>
      <c r="AG79" s="66">
        <v>0</v>
      </c>
      <c r="AM79">
        <v>59</v>
      </c>
      <c r="AN79">
        <v>-20</v>
      </c>
      <c r="AO79">
        <v>50</v>
      </c>
      <c r="AP79">
        <v>98</v>
      </c>
      <c r="AQ79">
        <v>163</v>
      </c>
      <c r="AR79">
        <v>159</v>
      </c>
      <c r="AS79" s="25">
        <f t="shared" si="70"/>
        <v>1</v>
      </c>
      <c r="AT79" s="25">
        <f t="shared" si="66"/>
        <v>1</v>
      </c>
      <c r="AU79" s="25">
        <f t="shared" si="67"/>
        <v>1</v>
      </c>
      <c r="AV79" s="25">
        <f t="shared" si="71"/>
        <v>1</v>
      </c>
      <c r="AW79" s="25">
        <f t="shared" si="72"/>
        <v>0</v>
      </c>
      <c r="AX79" s="25">
        <f t="shared" si="73"/>
        <v>1</v>
      </c>
      <c r="AY79" s="25">
        <f t="shared" si="74"/>
        <v>2</v>
      </c>
      <c r="AZ79" s="25">
        <f t="shared" si="75"/>
        <v>1</v>
      </c>
      <c r="BA79" s="25">
        <f t="shared" si="76"/>
        <v>2</v>
      </c>
      <c r="BB79" s="339">
        <f t="shared" si="77"/>
        <v>1</v>
      </c>
      <c r="BC79" s="340">
        <f t="shared" si="78"/>
        <v>0</v>
      </c>
      <c r="BD79" s="341">
        <f t="shared" si="79"/>
        <v>1</v>
      </c>
      <c r="BE79" s="25">
        <f t="shared" si="80"/>
        <v>0</v>
      </c>
      <c r="BF79" s="25">
        <f t="shared" si="81"/>
        <v>1</v>
      </c>
      <c r="BG79" s="25">
        <f t="shared" si="82"/>
        <v>0</v>
      </c>
      <c r="BH79" s="25">
        <f t="shared" si="83"/>
        <v>1</v>
      </c>
      <c r="BI79" s="25">
        <f t="shared" si="84"/>
        <v>2</v>
      </c>
      <c r="BJ79" s="25">
        <f t="shared" si="85"/>
        <v>1</v>
      </c>
      <c r="BK79" s="351">
        <f t="shared" si="86"/>
        <v>0</v>
      </c>
      <c r="BL79" s="352">
        <f t="shared" si="87"/>
        <v>1</v>
      </c>
      <c r="BM79" s="353">
        <f t="shared" si="88"/>
        <v>0</v>
      </c>
      <c r="BN79" s="25">
        <f t="shared" si="89"/>
        <v>0</v>
      </c>
      <c r="BO79" s="25">
        <f t="shared" si="90"/>
        <v>0</v>
      </c>
      <c r="BP79" s="25">
        <f t="shared" si="91"/>
        <v>0</v>
      </c>
      <c r="BQ79" s="25">
        <f t="shared" si="92"/>
        <v>1</v>
      </c>
      <c r="BR79" s="25">
        <f t="shared" si="93"/>
        <v>1</v>
      </c>
      <c r="BS79" s="25">
        <f t="shared" si="94"/>
        <v>1</v>
      </c>
      <c r="BT79" s="345">
        <f t="shared" si="95"/>
        <v>0</v>
      </c>
      <c r="BU79" s="346">
        <f t="shared" si="96"/>
        <v>0</v>
      </c>
      <c r="BV79" s="347">
        <f t="shared" si="97"/>
        <v>0</v>
      </c>
      <c r="BX79" s="345">
        <f t="shared" si="98"/>
        <v>0</v>
      </c>
      <c r="BY79" s="345">
        <f t="shared" si="99"/>
        <v>0</v>
      </c>
      <c r="BZ79" s="345">
        <f t="shared" si="100"/>
        <v>0</v>
      </c>
      <c r="CA79" s="382">
        <f t="shared" si="101"/>
        <v>0</v>
      </c>
      <c r="CB79" s="382">
        <f t="shared" si="102"/>
        <v>0</v>
      </c>
      <c r="CC79" s="382">
        <f t="shared" si="103"/>
        <v>0</v>
      </c>
      <c r="CD79" s="385">
        <f t="shared" si="104"/>
        <v>0</v>
      </c>
      <c r="CE79" s="385">
        <f t="shared" si="105"/>
        <v>0</v>
      </c>
      <c r="CF79" s="385">
        <f t="shared" si="106"/>
        <v>0</v>
      </c>
      <c r="CG79" s="377">
        <f t="shared" si="107"/>
        <v>0</v>
      </c>
      <c r="CH79" s="377">
        <f t="shared" si="108"/>
        <v>0</v>
      </c>
      <c r="CI79" s="377">
        <f t="shared" si="109"/>
        <v>0</v>
      </c>
      <c r="CK79">
        <v>98</v>
      </c>
      <c r="CL79">
        <v>59</v>
      </c>
      <c r="CN79" s="25">
        <f t="shared" si="110"/>
        <v>1</v>
      </c>
      <c r="CO79" s="25">
        <f t="shared" si="111"/>
        <v>0</v>
      </c>
      <c r="CP79" s="25">
        <f t="shared" si="112"/>
        <v>1</v>
      </c>
      <c r="CQ79" s="25">
        <f t="shared" si="113"/>
        <v>0</v>
      </c>
      <c r="CR79" s="25">
        <f t="shared" si="114"/>
        <v>1</v>
      </c>
      <c r="CS79" s="25">
        <f t="shared" si="115"/>
        <v>0</v>
      </c>
      <c r="CT79" s="25">
        <f t="shared" si="116"/>
        <v>0</v>
      </c>
      <c r="CU79" s="25">
        <f t="shared" si="117"/>
        <v>0</v>
      </c>
      <c r="CV79" s="25">
        <f t="shared" si="118"/>
        <v>0</v>
      </c>
      <c r="DC79" s="58">
        <v>52</v>
      </c>
      <c r="DD79" s="58">
        <v>39.874178623740775</v>
      </c>
      <c r="DE79" s="58">
        <v>60.125821376259225</v>
      </c>
      <c r="DF79" s="58">
        <v>0.21434559850052046</v>
      </c>
      <c r="DH79" s="58">
        <v>18.458781362007169</v>
      </c>
      <c r="DI79" s="58">
        <v>-35</v>
      </c>
      <c r="DW79" s="58">
        <v>52</v>
      </c>
      <c r="DX79" s="58">
        <v>39.874178623740775</v>
      </c>
      <c r="DY79" s="58">
        <v>60.125821376259225</v>
      </c>
      <c r="DZ79" s="58">
        <v>0.21434559850052046</v>
      </c>
    </row>
    <row r="80" spans="1:130">
      <c r="A80" s="66" t="s">
        <v>98</v>
      </c>
      <c r="B80">
        <v>136</v>
      </c>
      <c r="C80">
        <v>153</v>
      </c>
      <c r="D80">
        <v>264</v>
      </c>
      <c r="E80">
        <v>59</v>
      </c>
      <c r="F80">
        <v>58</v>
      </c>
      <c r="G80">
        <v>48</v>
      </c>
      <c r="H80">
        <v>0.43382352941176472</v>
      </c>
      <c r="I80">
        <v>0.37908496732026142</v>
      </c>
      <c r="J80">
        <v>0.18181818181818182</v>
      </c>
      <c r="K80">
        <v>31</v>
      </c>
      <c r="L80">
        <v>13.950000000000001</v>
      </c>
      <c r="M80" s="354">
        <f t="shared" si="69"/>
        <v>55</v>
      </c>
      <c r="X80">
        <v>0.43382352941176472</v>
      </c>
      <c r="AB80" s="66">
        <v>0.21323529411764705</v>
      </c>
      <c r="AC80" s="107">
        <v>0.11764705882352941</v>
      </c>
      <c r="AD80" s="107">
        <v>0.16176470588235295</v>
      </c>
      <c r="AE80" s="107">
        <v>0</v>
      </c>
      <c r="AF80" s="107">
        <v>0</v>
      </c>
      <c r="AG80" s="66">
        <v>7.3529411764705843E-2</v>
      </c>
      <c r="AM80">
        <v>0</v>
      </c>
      <c r="AN80">
        <v>15</v>
      </c>
      <c r="AO80">
        <v>35</v>
      </c>
      <c r="AP80">
        <v>59</v>
      </c>
      <c r="AQ80">
        <v>58</v>
      </c>
      <c r="AR80">
        <v>48</v>
      </c>
      <c r="AS80" s="25">
        <f t="shared" si="70"/>
        <v>1</v>
      </c>
      <c r="AT80" s="25">
        <f t="shared" si="66"/>
        <v>1</v>
      </c>
      <c r="AU80" s="25">
        <f t="shared" si="67"/>
        <v>1</v>
      </c>
      <c r="AV80" s="25">
        <f t="shared" si="71"/>
        <v>0</v>
      </c>
      <c r="AW80" s="25">
        <f t="shared" si="72"/>
        <v>1</v>
      </c>
      <c r="AX80" s="25">
        <f t="shared" si="73"/>
        <v>1</v>
      </c>
      <c r="AY80" s="25">
        <f t="shared" si="74"/>
        <v>1</v>
      </c>
      <c r="AZ80" s="25">
        <f t="shared" si="75"/>
        <v>2</v>
      </c>
      <c r="BA80" s="25">
        <f t="shared" si="76"/>
        <v>2</v>
      </c>
      <c r="BB80" s="339">
        <f t="shared" si="77"/>
        <v>0</v>
      </c>
      <c r="BC80" s="340">
        <f t="shared" si="78"/>
        <v>1</v>
      </c>
      <c r="BD80" s="341">
        <f t="shared" si="79"/>
        <v>1</v>
      </c>
      <c r="BE80" s="25">
        <f t="shared" si="80"/>
        <v>0</v>
      </c>
      <c r="BF80" s="25">
        <f t="shared" si="81"/>
        <v>0</v>
      </c>
      <c r="BG80" s="25">
        <f t="shared" si="82"/>
        <v>0</v>
      </c>
      <c r="BH80" s="25">
        <f t="shared" si="83"/>
        <v>1</v>
      </c>
      <c r="BI80" s="25">
        <f t="shared" si="84"/>
        <v>1</v>
      </c>
      <c r="BJ80" s="25">
        <f t="shared" si="85"/>
        <v>1</v>
      </c>
      <c r="BK80" s="351">
        <f t="shared" si="86"/>
        <v>0</v>
      </c>
      <c r="BL80" s="352">
        <f t="shared" si="87"/>
        <v>0</v>
      </c>
      <c r="BM80" s="353">
        <f t="shared" si="88"/>
        <v>0</v>
      </c>
      <c r="BN80" s="25">
        <f t="shared" si="89"/>
        <v>1</v>
      </c>
      <c r="BO80" s="25">
        <f t="shared" si="90"/>
        <v>0</v>
      </c>
      <c r="BP80" s="25">
        <f t="shared" si="91"/>
        <v>0</v>
      </c>
      <c r="BQ80" s="25">
        <f t="shared" si="92"/>
        <v>2</v>
      </c>
      <c r="BR80" s="25">
        <f t="shared" si="93"/>
        <v>1</v>
      </c>
      <c r="BS80" s="25">
        <f t="shared" si="94"/>
        <v>1</v>
      </c>
      <c r="BT80" s="345">
        <f t="shared" si="95"/>
        <v>1</v>
      </c>
      <c r="BU80" s="346">
        <f t="shared" si="96"/>
        <v>0</v>
      </c>
      <c r="BV80" s="347">
        <f t="shared" si="97"/>
        <v>0</v>
      </c>
      <c r="BX80" s="345">
        <f t="shared" si="98"/>
        <v>0</v>
      </c>
      <c r="BY80" s="345">
        <f t="shared" si="99"/>
        <v>0</v>
      </c>
      <c r="BZ80" s="345">
        <f t="shared" si="100"/>
        <v>0</v>
      </c>
      <c r="CA80" s="382">
        <f t="shared" si="101"/>
        <v>0</v>
      </c>
      <c r="CB80" s="382">
        <f t="shared" si="102"/>
        <v>0</v>
      </c>
      <c r="CC80" s="382">
        <f t="shared" si="103"/>
        <v>0</v>
      </c>
      <c r="CD80" s="385">
        <f t="shared" si="104"/>
        <v>0</v>
      </c>
      <c r="CE80" s="385">
        <f t="shared" si="105"/>
        <v>0</v>
      </c>
      <c r="CF80" s="385">
        <f t="shared" si="106"/>
        <v>0</v>
      </c>
      <c r="CG80" s="377">
        <f t="shared" si="107"/>
        <v>0</v>
      </c>
      <c r="CH80" s="377">
        <f t="shared" si="108"/>
        <v>0</v>
      </c>
      <c r="CI80" s="377">
        <f t="shared" si="109"/>
        <v>0</v>
      </c>
      <c r="CK80">
        <v>59</v>
      </c>
      <c r="CL80">
        <v>0</v>
      </c>
      <c r="CN80" s="25">
        <f t="shared" si="110"/>
        <v>0</v>
      </c>
      <c r="CO80" s="25">
        <f t="shared" si="111"/>
        <v>1</v>
      </c>
      <c r="CP80" s="25">
        <f t="shared" si="112"/>
        <v>1</v>
      </c>
      <c r="CQ80" s="25">
        <f t="shared" si="113"/>
        <v>0</v>
      </c>
      <c r="CR80" s="25">
        <f t="shared" si="114"/>
        <v>0</v>
      </c>
      <c r="CS80" s="25">
        <f t="shared" si="115"/>
        <v>0</v>
      </c>
      <c r="CT80" s="25">
        <f t="shared" si="116"/>
        <v>1</v>
      </c>
      <c r="CU80" s="25">
        <f t="shared" si="117"/>
        <v>0</v>
      </c>
      <c r="CV80" s="25">
        <f t="shared" si="118"/>
        <v>0</v>
      </c>
      <c r="DC80" s="58">
        <v>53</v>
      </c>
      <c r="DD80" s="58">
        <v>36.145817223701101</v>
      </c>
      <c r="DE80" s="58">
        <v>18.854182776298899</v>
      </c>
      <c r="DF80" s="58">
        <v>6.7214235064399636E-2</v>
      </c>
      <c r="DH80" s="58">
        <v>18.817204301075268</v>
      </c>
      <c r="DI80" s="58">
        <v>-34</v>
      </c>
      <c r="DW80" s="58">
        <v>53</v>
      </c>
      <c r="DX80" s="58">
        <v>36.145817223701101</v>
      </c>
      <c r="DY80" s="58">
        <v>18.854182776298899</v>
      </c>
      <c r="DZ80" s="58">
        <v>6.7214235064399636E-2</v>
      </c>
    </row>
    <row r="81" spans="1:130">
      <c r="A81" s="45" t="s">
        <v>53</v>
      </c>
      <c r="B81">
        <v>1329.21</v>
      </c>
      <c r="C81">
        <v>1433.1599999999999</v>
      </c>
      <c r="D81">
        <v>1672.7399999999998</v>
      </c>
      <c r="E81">
        <v>196.82999999999998</v>
      </c>
      <c r="F81">
        <v>482.21999999999997</v>
      </c>
      <c r="G81">
        <v>656.37</v>
      </c>
      <c r="H81">
        <v>0.14808043875685556</v>
      </c>
      <c r="I81">
        <v>0.33647324792765637</v>
      </c>
      <c r="J81">
        <v>0.39239212310341121</v>
      </c>
      <c r="K81">
        <v>140</v>
      </c>
      <c r="L81">
        <v>130.19999999999999</v>
      </c>
      <c r="M81" s="354">
        <f t="shared" si="69"/>
        <v>445.14000000000004</v>
      </c>
      <c r="X81">
        <v>0.14808043875685556</v>
      </c>
      <c r="AB81" s="45">
        <v>0.10508497528607218</v>
      </c>
      <c r="AC81" s="102">
        <v>0.12045500710948608</v>
      </c>
      <c r="AD81" s="102">
        <v>0.30293181664296837</v>
      </c>
      <c r="AE81" s="102">
        <v>0.26393120725844671</v>
      </c>
      <c r="AF81" s="102">
        <v>5.762069198997901E-2</v>
      </c>
      <c r="AG81" s="45">
        <v>1.8958629561921514E-3</v>
      </c>
      <c r="AM81">
        <v>-105.3</v>
      </c>
      <c r="AN81">
        <v>-7.4700000000000006</v>
      </c>
      <c r="AO81">
        <v>-15.120000000000001</v>
      </c>
      <c r="AP81">
        <v>196.82999999999998</v>
      </c>
      <c r="AQ81">
        <v>482.21999999999997</v>
      </c>
      <c r="AR81">
        <v>656.37</v>
      </c>
      <c r="AS81" s="25">
        <f t="shared" si="70"/>
        <v>1</v>
      </c>
      <c r="AT81" s="25">
        <f t="shared" si="66"/>
        <v>1</v>
      </c>
      <c r="AU81" s="25">
        <f t="shared" si="67"/>
        <v>1</v>
      </c>
      <c r="AV81" s="25">
        <f t="shared" si="71"/>
        <v>0</v>
      </c>
      <c r="AW81" s="25">
        <f t="shared" si="72"/>
        <v>0</v>
      </c>
      <c r="AX81" s="25">
        <f t="shared" si="73"/>
        <v>0</v>
      </c>
      <c r="AY81" s="25">
        <f t="shared" si="74"/>
        <v>1</v>
      </c>
      <c r="AZ81" s="25">
        <f t="shared" si="75"/>
        <v>1</v>
      </c>
      <c r="BA81" s="25">
        <f t="shared" si="76"/>
        <v>1</v>
      </c>
      <c r="BB81" s="339">
        <f t="shared" si="77"/>
        <v>0</v>
      </c>
      <c r="BC81" s="340">
        <f t="shared" si="78"/>
        <v>0</v>
      </c>
      <c r="BD81" s="341">
        <f t="shared" si="79"/>
        <v>0</v>
      </c>
      <c r="BE81" s="25">
        <f t="shared" si="80"/>
        <v>1</v>
      </c>
      <c r="BF81" s="25">
        <f t="shared" si="81"/>
        <v>1</v>
      </c>
      <c r="BG81" s="25">
        <f t="shared" si="82"/>
        <v>1</v>
      </c>
      <c r="BH81" s="25">
        <f t="shared" si="83"/>
        <v>2</v>
      </c>
      <c r="BI81" s="25">
        <f t="shared" si="84"/>
        <v>2</v>
      </c>
      <c r="BJ81" s="25">
        <f t="shared" si="85"/>
        <v>2</v>
      </c>
      <c r="BK81" s="351">
        <f t="shared" si="86"/>
        <v>1</v>
      </c>
      <c r="BL81" s="352">
        <f t="shared" si="87"/>
        <v>1</v>
      </c>
      <c r="BM81" s="353">
        <f t="shared" si="88"/>
        <v>1</v>
      </c>
      <c r="BN81" s="25">
        <f t="shared" si="89"/>
        <v>0</v>
      </c>
      <c r="BO81" s="25">
        <f t="shared" si="90"/>
        <v>0</v>
      </c>
      <c r="BP81" s="25">
        <f t="shared" si="91"/>
        <v>0</v>
      </c>
      <c r="BQ81" s="25">
        <f t="shared" si="92"/>
        <v>1</v>
      </c>
      <c r="BR81" s="25">
        <f t="shared" si="93"/>
        <v>1</v>
      </c>
      <c r="BS81" s="25">
        <f t="shared" si="94"/>
        <v>1</v>
      </c>
      <c r="BT81" s="345">
        <f t="shared" si="95"/>
        <v>0</v>
      </c>
      <c r="BU81" s="346">
        <f t="shared" si="96"/>
        <v>0</v>
      </c>
      <c r="BV81" s="347">
        <f t="shared" si="97"/>
        <v>0</v>
      </c>
      <c r="BX81" s="345">
        <f t="shared" si="98"/>
        <v>0</v>
      </c>
      <c r="BY81" s="345">
        <f t="shared" si="99"/>
        <v>0</v>
      </c>
      <c r="BZ81" s="345">
        <f t="shared" si="100"/>
        <v>0</v>
      </c>
      <c r="CA81" s="382">
        <f t="shared" si="101"/>
        <v>0</v>
      </c>
      <c r="CB81" s="382">
        <f t="shared" si="102"/>
        <v>0</v>
      </c>
      <c r="CC81" s="382">
        <f t="shared" si="103"/>
        <v>0</v>
      </c>
      <c r="CD81" s="385">
        <f t="shared" si="104"/>
        <v>0</v>
      </c>
      <c r="CE81" s="385">
        <f t="shared" si="105"/>
        <v>0</v>
      </c>
      <c r="CF81" s="385">
        <f t="shared" si="106"/>
        <v>0</v>
      </c>
      <c r="CG81" s="377">
        <f t="shared" si="107"/>
        <v>0</v>
      </c>
      <c r="CH81" s="377">
        <f t="shared" si="108"/>
        <v>0</v>
      </c>
      <c r="CI81" s="377">
        <f t="shared" si="109"/>
        <v>0</v>
      </c>
      <c r="CK81">
        <v>196.82999999999998</v>
      </c>
      <c r="CL81">
        <v>-105.3</v>
      </c>
      <c r="CN81" s="25">
        <f t="shared" si="110"/>
        <v>0</v>
      </c>
      <c r="CO81" s="25">
        <f t="shared" si="111"/>
        <v>0</v>
      </c>
      <c r="CP81" s="25">
        <f t="shared" si="112"/>
        <v>0</v>
      </c>
      <c r="CQ81" s="25">
        <f t="shared" si="113"/>
        <v>1</v>
      </c>
      <c r="CR81" s="25">
        <f t="shared" si="114"/>
        <v>1</v>
      </c>
      <c r="CS81" s="25">
        <f t="shared" si="115"/>
        <v>1</v>
      </c>
      <c r="CT81" s="25">
        <f t="shared" si="116"/>
        <v>0</v>
      </c>
      <c r="CU81" s="25">
        <f t="shared" si="117"/>
        <v>0</v>
      </c>
      <c r="CV81" s="25">
        <f t="shared" si="118"/>
        <v>0</v>
      </c>
      <c r="DC81" s="58">
        <v>54</v>
      </c>
      <c r="DD81" s="58">
        <v>36.145817223701101</v>
      </c>
      <c r="DE81" s="58">
        <v>-30.145817223701101</v>
      </c>
      <c r="DF81" s="58">
        <v>-0.10746835697537585</v>
      </c>
      <c r="DH81" s="58">
        <v>19.175627240143367</v>
      </c>
      <c r="DI81" s="58">
        <v>-34</v>
      </c>
      <c r="DW81" s="58">
        <v>54</v>
      </c>
      <c r="DX81" s="58">
        <v>36.145817223701101</v>
      </c>
      <c r="DY81" s="58">
        <v>-30.145817223701101</v>
      </c>
      <c r="DZ81" s="58">
        <v>-0.10746835697537585</v>
      </c>
    </row>
    <row r="82" spans="1:130">
      <c r="A82" s="45" t="s">
        <v>88</v>
      </c>
      <c r="B82">
        <v>1487</v>
      </c>
      <c r="C82">
        <v>1548</v>
      </c>
      <c r="D82">
        <v>1471</v>
      </c>
      <c r="E82">
        <v>589</v>
      </c>
      <c r="F82">
        <v>692</v>
      </c>
      <c r="G82">
        <v>700</v>
      </c>
      <c r="H82">
        <v>0.39609952925353059</v>
      </c>
      <c r="I82">
        <v>0.44702842377260982</v>
      </c>
      <c r="J82">
        <v>0.47586675730795375</v>
      </c>
      <c r="K82">
        <v>180</v>
      </c>
      <c r="L82">
        <v>140.4</v>
      </c>
      <c r="M82" s="354">
        <f t="shared" si="69"/>
        <v>660.33333333333337</v>
      </c>
      <c r="X82">
        <v>0.39609952925353059</v>
      </c>
      <c r="AB82" s="45">
        <v>0</v>
      </c>
      <c r="AC82" s="102">
        <v>0</v>
      </c>
      <c r="AD82" s="102">
        <v>0</v>
      </c>
      <c r="AE82" s="102">
        <v>3.429724277067922E-2</v>
      </c>
      <c r="AF82" s="102">
        <v>0</v>
      </c>
      <c r="AG82" s="45">
        <v>0.56960322797579022</v>
      </c>
      <c r="AM82">
        <v>78</v>
      </c>
      <c r="AN82">
        <v>100</v>
      </c>
      <c r="AO82">
        <v>24</v>
      </c>
      <c r="AP82">
        <v>589</v>
      </c>
      <c r="AQ82">
        <v>692</v>
      </c>
      <c r="AR82">
        <v>700</v>
      </c>
      <c r="AS82" s="25">
        <f t="shared" si="70"/>
        <v>1</v>
      </c>
      <c r="AT82" s="25">
        <f t="shared" ref="AT82:AT94" si="119">IF(AQ82&gt;0,1,0)</f>
        <v>1</v>
      </c>
      <c r="AU82" s="25">
        <f t="shared" ref="AU82:AU94" si="120">IF(AR82&gt;0,1,0)</f>
        <v>1</v>
      </c>
      <c r="AV82" s="25">
        <f t="shared" si="71"/>
        <v>1</v>
      </c>
      <c r="AW82" s="25">
        <f t="shared" si="72"/>
        <v>1</v>
      </c>
      <c r="AX82" s="25">
        <f t="shared" si="73"/>
        <v>1</v>
      </c>
      <c r="AY82" s="25">
        <f t="shared" si="74"/>
        <v>2</v>
      </c>
      <c r="AZ82" s="25">
        <f t="shared" si="75"/>
        <v>2</v>
      </c>
      <c r="BA82" s="25">
        <f t="shared" si="76"/>
        <v>2</v>
      </c>
      <c r="BB82" s="339">
        <f t="shared" si="77"/>
        <v>1</v>
      </c>
      <c r="BC82" s="340">
        <f t="shared" si="78"/>
        <v>1</v>
      </c>
      <c r="BD82" s="341">
        <f t="shared" si="79"/>
        <v>1</v>
      </c>
      <c r="BE82" s="25">
        <f t="shared" si="80"/>
        <v>0</v>
      </c>
      <c r="BF82" s="25">
        <f t="shared" si="81"/>
        <v>0</v>
      </c>
      <c r="BG82" s="25">
        <f t="shared" si="82"/>
        <v>0</v>
      </c>
      <c r="BH82" s="25">
        <f t="shared" si="83"/>
        <v>1</v>
      </c>
      <c r="BI82" s="25">
        <f t="shared" si="84"/>
        <v>1</v>
      </c>
      <c r="BJ82" s="25">
        <f t="shared" si="85"/>
        <v>1</v>
      </c>
      <c r="BK82" s="351">
        <f t="shared" si="86"/>
        <v>0</v>
      </c>
      <c r="BL82" s="352">
        <f t="shared" si="87"/>
        <v>0</v>
      </c>
      <c r="BM82" s="353">
        <f t="shared" si="88"/>
        <v>0</v>
      </c>
      <c r="BN82" s="25">
        <f t="shared" si="89"/>
        <v>0</v>
      </c>
      <c r="BO82" s="25">
        <f t="shared" si="90"/>
        <v>0</v>
      </c>
      <c r="BP82" s="25">
        <f t="shared" si="91"/>
        <v>0</v>
      </c>
      <c r="BQ82" s="25">
        <f t="shared" si="92"/>
        <v>1</v>
      </c>
      <c r="BR82" s="25">
        <f t="shared" si="93"/>
        <v>1</v>
      </c>
      <c r="BS82" s="25">
        <f t="shared" si="94"/>
        <v>1</v>
      </c>
      <c r="BT82" s="345">
        <f t="shared" si="95"/>
        <v>0</v>
      </c>
      <c r="BU82" s="346">
        <f t="shared" si="96"/>
        <v>0</v>
      </c>
      <c r="BV82" s="347">
        <f t="shared" si="97"/>
        <v>0</v>
      </c>
      <c r="BX82" s="345">
        <f t="shared" si="98"/>
        <v>0</v>
      </c>
      <c r="BY82" s="345">
        <f t="shared" si="99"/>
        <v>0</v>
      </c>
      <c r="BZ82" s="345">
        <f t="shared" si="100"/>
        <v>0</v>
      </c>
      <c r="CA82" s="382">
        <f t="shared" si="101"/>
        <v>0</v>
      </c>
      <c r="CB82" s="382">
        <f t="shared" si="102"/>
        <v>0</v>
      </c>
      <c r="CC82" s="382">
        <f t="shared" si="103"/>
        <v>0</v>
      </c>
      <c r="CD82" s="385">
        <f t="shared" si="104"/>
        <v>0</v>
      </c>
      <c r="CE82" s="385">
        <f t="shared" si="105"/>
        <v>0</v>
      </c>
      <c r="CF82" s="385">
        <f t="shared" si="106"/>
        <v>0</v>
      </c>
      <c r="CG82" s="377">
        <f t="shared" si="107"/>
        <v>0</v>
      </c>
      <c r="CH82" s="377">
        <f t="shared" si="108"/>
        <v>0</v>
      </c>
      <c r="CI82" s="377">
        <f t="shared" si="109"/>
        <v>0</v>
      </c>
      <c r="CK82">
        <v>589</v>
      </c>
      <c r="CL82">
        <v>78</v>
      </c>
      <c r="CN82" s="25">
        <f t="shared" si="110"/>
        <v>1</v>
      </c>
      <c r="CO82" s="25">
        <f t="shared" si="111"/>
        <v>1</v>
      </c>
      <c r="CP82" s="25">
        <f t="shared" si="112"/>
        <v>1</v>
      </c>
      <c r="CQ82" s="25">
        <f t="shared" si="113"/>
        <v>0</v>
      </c>
      <c r="CR82" s="25">
        <f t="shared" si="114"/>
        <v>0</v>
      </c>
      <c r="CS82" s="25">
        <f t="shared" si="115"/>
        <v>0</v>
      </c>
      <c r="CT82" s="25">
        <f t="shared" si="116"/>
        <v>0</v>
      </c>
      <c r="CU82" s="25">
        <f t="shared" si="117"/>
        <v>0</v>
      </c>
      <c r="CV82" s="25">
        <f t="shared" si="118"/>
        <v>0</v>
      </c>
      <c r="DC82" s="58">
        <v>55</v>
      </c>
      <c r="DD82" s="58">
        <v>43.913236807117087</v>
      </c>
      <c r="DE82" s="58">
        <v>-320.91323680711707</v>
      </c>
      <c r="DF82" s="58">
        <v>-1.1440399188845203</v>
      </c>
      <c r="DH82" s="58">
        <v>19.534050179211469</v>
      </c>
      <c r="DI82" s="58">
        <v>-31</v>
      </c>
      <c r="DW82" s="58">
        <v>55</v>
      </c>
      <c r="DX82" s="58">
        <v>43.913236807117087</v>
      </c>
      <c r="DY82" s="58">
        <v>-320.91323680711707</v>
      </c>
      <c r="DZ82" s="58">
        <v>-1.1440399188845203</v>
      </c>
    </row>
    <row r="83" spans="1:130">
      <c r="A83" s="45" t="s">
        <v>139</v>
      </c>
      <c r="B83">
        <v>3928</v>
      </c>
      <c r="C83">
        <v>4088</v>
      </c>
      <c r="D83">
        <v>5126</v>
      </c>
      <c r="E83">
        <v>1776</v>
      </c>
      <c r="F83">
        <v>1859</v>
      </c>
      <c r="G83">
        <v>2373</v>
      </c>
      <c r="H83">
        <v>0.45213849287169044</v>
      </c>
      <c r="I83">
        <v>0.45474559686888455</v>
      </c>
      <c r="J83">
        <v>0.46293406164650802</v>
      </c>
      <c r="K83">
        <v>350</v>
      </c>
      <c r="L83">
        <v>301</v>
      </c>
      <c r="M83" s="354">
        <f t="shared" si="69"/>
        <v>2002.6666666666667</v>
      </c>
      <c r="X83">
        <v>0.45213849287169044</v>
      </c>
      <c r="AB83" s="45">
        <v>0</v>
      </c>
      <c r="AC83" s="102">
        <v>2.4694501018329939E-2</v>
      </c>
      <c r="AD83" s="102">
        <v>0.29735234215885947</v>
      </c>
      <c r="AE83" s="102">
        <v>0.22581466395112015</v>
      </c>
      <c r="AF83" s="102">
        <v>0</v>
      </c>
      <c r="AG83" s="45">
        <v>0</v>
      </c>
      <c r="AM83">
        <v>143</v>
      </c>
      <c r="AN83">
        <v>-554</v>
      </c>
      <c r="AO83">
        <v>-180</v>
      </c>
      <c r="AP83">
        <v>1776</v>
      </c>
      <c r="AQ83">
        <v>1859</v>
      </c>
      <c r="AR83">
        <v>2373</v>
      </c>
      <c r="AS83" s="25">
        <f t="shared" si="70"/>
        <v>1</v>
      </c>
      <c r="AT83" s="25">
        <f t="shared" si="119"/>
        <v>1</v>
      </c>
      <c r="AU83" s="25">
        <f t="shared" si="120"/>
        <v>1</v>
      </c>
      <c r="AV83" s="25">
        <f t="shared" si="71"/>
        <v>1</v>
      </c>
      <c r="AW83" s="25">
        <f t="shared" si="72"/>
        <v>0</v>
      </c>
      <c r="AX83" s="25">
        <f t="shared" si="73"/>
        <v>0</v>
      </c>
      <c r="AY83" s="25">
        <f t="shared" si="74"/>
        <v>2</v>
      </c>
      <c r="AZ83" s="25">
        <f t="shared" si="75"/>
        <v>1</v>
      </c>
      <c r="BA83" s="25">
        <f t="shared" si="76"/>
        <v>1</v>
      </c>
      <c r="BB83" s="339">
        <f t="shared" si="77"/>
        <v>1</v>
      </c>
      <c r="BC83" s="340">
        <f t="shared" si="78"/>
        <v>0</v>
      </c>
      <c r="BD83" s="341">
        <f t="shared" si="79"/>
        <v>0</v>
      </c>
      <c r="BE83" s="25">
        <f t="shared" si="80"/>
        <v>0</v>
      </c>
      <c r="BF83" s="25">
        <f t="shared" si="81"/>
        <v>1</v>
      </c>
      <c r="BG83" s="25">
        <f t="shared" si="82"/>
        <v>1</v>
      </c>
      <c r="BH83" s="25">
        <f t="shared" si="83"/>
        <v>1</v>
      </c>
      <c r="BI83" s="25">
        <f t="shared" si="84"/>
        <v>2</v>
      </c>
      <c r="BJ83" s="25">
        <f t="shared" si="85"/>
        <v>2</v>
      </c>
      <c r="BK83" s="351">
        <f t="shared" si="86"/>
        <v>0</v>
      </c>
      <c r="BL83" s="352">
        <f t="shared" si="87"/>
        <v>1</v>
      </c>
      <c r="BM83" s="353">
        <f t="shared" si="88"/>
        <v>1</v>
      </c>
      <c r="BN83" s="25">
        <f t="shared" si="89"/>
        <v>0</v>
      </c>
      <c r="BO83" s="25">
        <f t="shared" si="90"/>
        <v>0</v>
      </c>
      <c r="BP83" s="25">
        <f t="shared" si="91"/>
        <v>0</v>
      </c>
      <c r="BQ83" s="25">
        <f t="shared" si="92"/>
        <v>1</v>
      </c>
      <c r="BR83" s="25">
        <f t="shared" si="93"/>
        <v>1</v>
      </c>
      <c r="BS83" s="25">
        <f t="shared" si="94"/>
        <v>1</v>
      </c>
      <c r="BT83" s="345">
        <f t="shared" si="95"/>
        <v>0</v>
      </c>
      <c r="BU83" s="346">
        <f t="shared" si="96"/>
        <v>0</v>
      </c>
      <c r="BV83" s="347">
        <f t="shared" si="97"/>
        <v>0</v>
      </c>
      <c r="BX83" s="345">
        <f t="shared" si="98"/>
        <v>0</v>
      </c>
      <c r="BY83" s="345">
        <f t="shared" si="99"/>
        <v>0</v>
      </c>
      <c r="BZ83" s="345">
        <f t="shared" si="100"/>
        <v>0</v>
      </c>
      <c r="CA83" s="382">
        <f t="shared" si="101"/>
        <v>0</v>
      </c>
      <c r="CB83" s="382">
        <f t="shared" si="102"/>
        <v>0</v>
      </c>
      <c r="CC83" s="382">
        <f t="shared" si="103"/>
        <v>0</v>
      </c>
      <c r="CD83" s="385">
        <f t="shared" si="104"/>
        <v>0</v>
      </c>
      <c r="CE83" s="385">
        <f t="shared" si="105"/>
        <v>0</v>
      </c>
      <c r="CF83" s="385">
        <f t="shared" si="106"/>
        <v>0</v>
      </c>
      <c r="CG83" s="377">
        <f t="shared" si="107"/>
        <v>0</v>
      </c>
      <c r="CH83" s="377">
        <f t="shared" si="108"/>
        <v>0</v>
      </c>
      <c r="CI83" s="377">
        <f t="shared" si="109"/>
        <v>0</v>
      </c>
      <c r="CK83">
        <v>1776</v>
      </c>
      <c r="CL83">
        <v>143</v>
      </c>
      <c r="CN83" s="25">
        <f t="shared" si="110"/>
        <v>1</v>
      </c>
      <c r="CO83" s="25">
        <f t="shared" si="111"/>
        <v>0</v>
      </c>
      <c r="CP83" s="25">
        <f t="shared" si="112"/>
        <v>0</v>
      </c>
      <c r="CQ83" s="25">
        <f t="shared" si="113"/>
        <v>0</v>
      </c>
      <c r="CR83" s="25">
        <f t="shared" si="114"/>
        <v>1</v>
      </c>
      <c r="CS83" s="25">
        <f t="shared" si="115"/>
        <v>1</v>
      </c>
      <c r="CT83" s="25">
        <f t="shared" si="116"/>
        <v>0</v>
      </c>
      <c r="CU83" s="25">
        <f t="shared" si="117"/>
        <v>0</v>
      </c>
      <c r="CV83" s="25">
        <f t="shared" si="118"/>
        <v>0</v>
      </c>
      <c r="DC83" s="58">
        <v>56</v>
      </c>
      <c r="DD83" s="58">
        <v>46.502376668255749</v>
      </c>
      <c r="DE83" s="58">
        <v>17.497623331744251</v>
      </c>
      <c r="DF83" s="58">
        <v>6.2378167308668124E-2</v>
      </c>
      <c r="DH83" s="58">
        <v>19.892473118279568</v>
      </c>
      <c r="DI83" s="58">
        <v>-27</v>
      </c>
      <c r="DW83" s="58">
        <v>56</v>
      </c>
      <c r="DX83" s="58">
        <v>46.502376668255749</v>
      </c>
      <c r="DY83" s="58">
        <v>17.497623331744251</v>
      </c>
      <c r="DZ83" s="58">
        <v>6.2378167308668124E-2</v>
      </c>
    </row>
    <row r="84" spans="1:130">
      <c r="A84" s="45" t="s">
        <v>140</v>
      </c>
      <c r="B84">
        <v>1339</v>
      </c>
      <c r="C84">
        <v>1930</v>
      </c>
      <c r="D84">
        <v>2027</v>
      </c>
      <c r="E84">
        <v>228</v>
      </c>
      <c r="F84">
        <v>687</v>
      </c>
      <c r="G84">
        <v>787</v>
      </c>
      <c r="H84">
        <v>0.17027632561613143</v>
      </c>
      <c r="I84">
        <v>0.3559585492227979</v>
      </c>
      <c r="J84">
        <v>0.38825851011346818</v>
      </c>
      <c r="K84">
        <v>210</v>
      </c>
      <c r="L84">
        <v>186.9</v>
      </c>
      <c r="M84" s="354">
        <f t="shared" si="69"/>
        <v>567.33333333333337</v>
      </c>
      <c r="X84">
        <v>0.17027632561613143</v>
      </c>
      <c r="AB84" s="45">
        <v>3.1366691560866321E-2</v>
      </c>
      <c r="AC84" s="102">
        <v>1.8670649738610903E-2</v>
      </c>
      <c r="AD84" s="102">
        <v>0.65870052277819269</v>
      </c>
      <c r="AE84" s="102">
        <v>0.12098581030619865</v>
      </c>
      <c r="AF84" s="102">
        <v>0</v>
      </c>
      <c r="AG84" s="45">
        <v>0</v>
      </c>
      <c r="AM84">
        <v>144</v>
      </c>
      <c r="AN84">
        <v>434</v>
      </c>
      <c r="AO84">
        <v>284</v>
      </c>
      <c r="AP84">
        <v>228</v>
      </c>
      <c r="AQ84">
        <v>687</v>
      </c>
      <c r="AR84">
        <v>787</v>
      </c>
      <c r="AS84" s="25">
        <f t="shared" si="70"/>
        <v>1</v>
      </c>
      <c r="AT84" s="25">
        <f t="shared" si="119"/>
        <v>1</v>
      </c>
      <c r="AU84" s="25">
        <f t="shared" si="120"/>
        <v>1</v>
      </c>
      <c r="AV84" s="25">
        <f t="shared" si="71"/>
        <v>1</v>
      </c>
      <c r="AW84" s="25">
        <f t="shared" si="72"/>
        <v>1</v>
      </c>
      <c r="AX84" s="25">
        <f t="shared" si="73"/>
        <v>1</v>
      </c>
      <c r="AY84" s="25">
        <f t="shared" si="74"/>
        <v>2</v>
      </c>
      <c r="AZ84" s="25">
        <f t="shared" si="75"/>
        <v>2</v>
      </c>
      <c r="BA84" s="25">
        <f t="shared" si="76"/>
        <v>2</v>
      </c>
      <c r="BB84" s="339">
        <f t="shared" si="77"/>
        <v>1</v>
      </c>
      <c r="BC84" s="340">
        <f t="shared" si="78"/>
        <v>1</v>
      </c>
      <c r="BD84" s="341">
        <f t="shared" si="79"/>
        <v>1</v>
      </c>
      <c r="BE84" s="25">
        <f t="shared" si="80"/>
        <v>0</v>
      </c>
      <c r="BF84" s="25">
        <f t="shared" si="81"/>
        <v>0</v>
      </c>
      <c r="BG84" s="25">
        <f t="shared" si="82"/>
        <v>0</v>
      </c>
      <c r="BH84" s="25">
        <f t="shared" si="83"/>
        <v>1</v>
      </c>
      <c r="BI84" s="25">
        <f t="shared" si="84"/>
        <v>1</v>
      </c>
      <c r="BJ84" s="25">
        <f t="shared" si="85"/>
        <v>1</v>
      </c>
      <c r="BK84" s="351">
        <f t="shared" si="86"/>
        <v>0</v>
      </c>
      <c r="BL84" s="352">
        <f t="shared" si="87"/>
        <v>0</v>
      </c>
      <c r="BM84" s="353">
        <f t="shared" si="88"/>
        <v>0</v>
      </c>
      <c r="BN84" s="25">
        <f t="shared" si="89"/>
        <v>0</v>
      </c>
      <c r="BO84" s="25">
        <f t="shared" si="90"/>
        <v>0</v>
      </c>
      <c r="BP84" s="25">
        <f t="shared" si="91"/>
        <v>0</v>
      </c>
      <c r="BQ84" s="25">
        <f t="shared" si="92"/>
        <v>1</v>
      </c>
      <c r="BR84" s="25">
        <f t="shared" si="93"/>
        <v>1</v>
      </c>
      <c r="BS84" s="25">
        <f t="shared" si="94"/>
        <v>1</v>
      </c>
      <c r="BT84" s="345">
        <f t="shared" si="95"/>
        <v>0</v>
      </c>
      <c r="BU84" s="346">
        <f t="shared" si="96"/>
        <v>0</v>
      </c>
      <c r="BV84" s="347">
        <f t="shared" si="97"/>
        <v>0</v>
      </c>
      <c r="BX84" s="345">
        <f t="shared" si="98"/>
        <v>0</v>
      </c>
      <c r="BY84" s="345">
        <f t="shared" si="99"/>
        <v>0</v>
      </c>
      <c r="BZ84" s="345">
        <f t="shared" si="100"/>
        <v>0</v>
      </c>
      <c r="CA84" s="382">
        <f t="shared" si="101"/>
        <v>0</v>
      </c>
      <c r="CB84" s="382">
        <f t="shared" si="102"/>
        <v>0</v>
      </c>
      <c r="CC84" s="382">
        <f t="shared" si="103"/>
        <v>0</v>
      </c>
      <c r="CD84" s="385">
        <f t="shared" si="104"/>
        <v>0</v>
      </c>
      <c r="CE84" s="385">
        <f t="shared" si="105"/>
        <v>0</v>
      </c>
      <c r="CF84" s="385">
        <f t="shared" si="106"/>
        <v>0</v>
      </c>
      <c r="CG84" s="377">
        <f t="shared" si="107"/>
        <v>0</v>
      </c>
      <c r="CH84" s="377">
        <f t="shared" si="108"/>
        <v>0</v>
      </c>
      <c r="CI84" s="377">
        <f t="shared" si="109"/>
        <v>0</v>
      </c>
      <c r="CK84">
        <v>228</v>
      </c>
      <c r="CL84">
        <v>144</v>
      </c>
      <c r="CN84" s="25">
        <f t="shared" si="110"/>
        <v>1</v>
      </c>
      <c r="CO84" s="25">
        <f t="shared" si="111"/>
        <v>1</v>
      </c>
      <c r="CP84" s="25">
        <f t="shared" si="112"/>
        <v>1</v>
      </c>
      <c r="CQ84" s="25">
        <f t="shared" si="113"/>
        <v>0</v>
      </c>
      <c r="CR84" s="25">
        <f t="shared" si="114"/>
        <v>0</v>
      </c>
      <c r="CS84" s="25">
        <f t="shared" si="115"/>
        <v>0</v>
      </c>
      <c r="CT84" s="25">
        <f t="shared" si="116"/>
        <v>0</v>
      </c>
      <c r="CU84" s="25">
        <f t="shared" si="117"/>
        <v>0</v>
      </c>
      <c r="CV84" s="25">
        <f t="shared" si="118"/>
        <v>0</v>
      </c>
      <c r="DC84" s="58">
        <v>57</v>
      </c>
      <c r="DD84" s="58">
        <v>36.145817223701101</v>
      </c>
      <c r="DE84" s="58">
        <v>-36.145817223701101</v>
      </c>
      <c r="DF84" s="58">
        <v>-0.12885806212310347</v>
      </c>
      <c r="DH84" s="58">
        <v>20.250896057347671</v>
      </c>
      <c r="DI84" s="58">
        <v>-26</v>
      </c>
      <c r="DW84" s="58">
        <v>57</v>
      </c>
      <c r="DX84" s="58">
        <v>36.145817223701101</v>
      </c>
      <c r="DY84" s="58">
        <v>-36.145817223701101</v>
      </c>
      <c r="DZ84" s="58">
        <v>-0.12885806212310347</v>
      </c>
    </row>
    <row r="85" spans="1:130">
      <c r="A85" s="68" t="s">
        <v>96</v>
      </c>
      <c r="B85">
        <v>547</v>
      </c>
      <c r="C85">
        <v>580</v>
      </c>
      <c r="D85">
        <v>742</v>
      </c>
      <c r="E85">
        <v>136</v>
      </c>
      <c r="F85">
        <v>268</v>
      </c>
      <c r="G85">
        <v>406</v>
      </c>
      <c r="H85">
        <v>0.24862888482632542</v>
      </c>
      <c r="I85">
        <v>0.46206896551724136</v>
      </c>
      <c r="J85">
        <v>0.54716981132075471</v>
      </c>
      <c r="K85">
        <v>92</v>
      </c>
      <c r="L85">
        <v>62.56</v>
      </c>
      <c r="M85" s="354">
        <f t="shared" si="69"/>
        <v>270</v>
      </c>
      <c r="X85">
        <v>0.24862888482632542</v>
      </c>
      <c r="AB85" s="68">
        <v>0</v>
      </c>
      <c r="AC85" s="109">
        <v>0.17184643510054845</v>
      </c>
      <c r="AD85" s="109">
        <v>0.42047531992687387</v>
      </c>
      <c r="AE85" s="109">
        <v>0.11334552102376599</v>
      </c>
      <c r="AF85" s="109">
        <v>0</v>
      </c>
      <c r="AG85" s="68">
        <v>4.5703839122486212E-2</v>
      </c>
      <c r="AM85">
        <v>23</v>
      </c>
      <c r="AN85">
        <v>-39</v>
      </c>
      <c r="AO85">
        <v>94</v>
      </c>
      <c r="AP85">
        <v>136</v>
      </c>
      <c r="AQ85">
        <v>268</v>
      </c>
      <c r="AR85">
        <v>406</v>
      </c>
      <c r="AS85" s="25">
        <f t="shared" si="70"/>
        <v>1</v>
      </c>
      <c r="AT85" s="25">
        <f t="shared" si="119"/>
        <v>1</v>
      </c>
      <c r="AU85" s="25">
        <f t="shared" si="120"/>
        <v>1</v>
      </c>
      <c r="AV85" s="25">
        <f t="shared" si="71"/>
        <v>1</v>
      </c>
      <c r="AW85" s="25">
        <f t="shared" si="72"/>
        <v>0</v>
      </c>
      <c r="AX85" s="25">
        <f t="shared" si="73"/>
        <v>1</v>
      </c>
      <c r="AY85" s="25">
        <f t="shared" si="74"/>
        <v>2</v>
      </c>
      <c r="AZ85" s="25">
        <f t="shared" si="75"/>
        <v>1</v>
      </c>
      <c r="BA85" s="25">
        <f t="shared" si="76"/>
        <v>2</v>
      </c>
      <c r="BB85" s="339">
        <f t="shared" si="77"/>
        <v>1</v>
      </c>
      <c r="BC85" s="340">
        <f t="shared" si="78"/>
        <v>0</v>
      </c>
      <c r="BD85" s="341">
        <f t="shared" si="79"/>
        <v>1</v>
      </c>
      <c r="BE85" s="25">
        <f t="shared" si="80"/>
        <v>0</v>
      </c>
      <c r="BF85" s="25">
        <f t="shared" si="81"/>
        <v>1</v>
      </c>
      <c r="BG85" s="25">
        <f t="shared" si="82"/>
        <v>0</v>
      </c>
      <c r="BH85" s="25">
        <f t="shared" si="83"/>
        <v>1</v>
      </c>
      <c r="BI85" s="25">
        <f t="shared" si="84"/>
        <v>2</v>
      </c>
      <c r="BJ85" s="25">
        <f t="shared" si="85"/>
        <v>1</v>
      </c>
      <c r="BK85" s="351">
        <f t="shared" si="86"/>
        <v>0</v>
      </c>
      <c r="BL85" s="352">
        <f t="shared" si="87"/>
        <v>1</v>
      </c>
      <c r="BM85" s="353">
        <f t="shared" si="88"/>
        <v>0</v>
      </c>
      <c r="BN85" s="25">
        <f t="shared" si="89"/>
        <v>0</v>
      </c>
      <c r="BO85" s="25">
        <f t="shared" si="90"/>
        <v>0</v>
      </c>
      <c r="BP85" s="25">
        <f t="shared" si="91"/>
        <v>0</v>
      </c>
      <c r="BQ85" s="25">
        <f t="shared" si="92"/>
        <v>1</v>
      </c>
      <c r="BR85" s="25">
        <f t="shared" si="93"/>
        <v>1</v>
      </c>
      <c r="BS85" s="25">
        <f t="shared" si="94"/>
        <v>1</v>
      </c>
      <c r="BT85" s="345">
        <f t="shared" si="95"/>
        <v>0</v>
      </c>
      <c r="BU85" s="346">
        <f t="shared" si="96"/>
        <v>0</v>
      </c>
      <c r="BV85" s="347">
        <f t="shared" si="97"/>
        <v>0</v>
      </c>
      <c r="BX85" s="345">
        <f t="shared" si="98"/>
        <v>0</v>
      </c>
      <c r="BY85" s="345">
        <f t="shared" si="99"/>
        <v>0</v>
      </c>
      <c r="BZ85" s="345">
        <f t="shared" si="100"/>
        <v>0</v>
      </c>
      <c r="CA85" s="382">
        <f t="shared" si="101"/>
        <v>0</v>
      </c>
      <c r="CB85" s="382">
        <f t="shared" si="102"/>
        <v>0</v>
      </c>
      <c r="CC85" s="382">
        <f t="shared" si="103"/>
        <v>0</v>
      </c>
      <c r="CD85" s="385">
        <f t="shared" si="104"/>
        <v>0</v>
      </c>
      <c r="CE85" s="385">
        <f t="shared" si="105"/>
        <v>0</v>
      </c>
      <c r="CF85" s="385">
        <f t="shared" si="106"/>
        <v>0</v>
      </c>
      <c r="CG85" s="377">
        <f t="shared" si="107"/>
        <v>0</v>
      </c>
      <c r="CH85" s="377">
        <f t="shared" si="108"/>
        <v>0</v>
      </c>
      <c r="CI85" s="377">
        <f t="shared" si="109"/>
        <v>0</v>
      </c>
      <c r="CK85">
        <v>136</v>
      </c>
      <c r="CL85">
        <v>23</v>
      </c>
      <c r="CN85" s="25">
        <f t="shared" si="110"/>
        <v>1</v>
      </c>
      <c r="CO85" s="25">
        <f t="shared" si="111"/>
        <v>0</v>
      </c>
      <c r="CP85" s="25">
        <f t="shared" si="112"/>
        <v>1</v>
      </c>
      <c r="CQ85" s="25">
        <f t="shared" si="113"/>
        <v>0</v>
      </c>
      <c r="CR85" s="25">
        <f t="shared" si="114"/>
        <v>1</v>
      </c>
      <c r="CS85" s="25">
        <f t="shared" si="115"/>
        <v>0</v>
      </c>
      <c r="CT85" s="25">
        <f t="shared" si="116"/>
        <v>0</v>
      </c>
      <c r="CU85" s="25">
        <f t="shared" si="117"/>
        <v>0</v>
      </c>
      <c r="CV85" s="25">
        <f t="shared" si="118"/>
        <v>0</v>
      </c>
      <c r="DC85" s="58">
        <v>58</v>
      </c>
      <c r="DD85" s="58">
        <v>136.190181458099</v>
      </c>
      <c r="DE85" s="58">
        <v>-113.190181458099</v>
      </c>
      <c r="DF85" s="58">
        <v>-0.40351743450108707</v>
      </c>
      <c r="DH85" s="58">
        <v>20.609318996415769</v>
      </c>
      <c r="DI85" s="58">
        <v>-26</v>
      </c>
      <c r="DW85" s="58">
        <v>58</v>
      </c>
      <c r="DX85" s="58">
        <v>136.190181458099</v>
      </c>
      <c r="DY85" s="58">
        <v>-113.190181458099</v>
      </c>
      <c r="DZ85" s="58">
        <v>-0.40351743450108707</v>
      </c>
    </row>
    <row r="86" spans="1:130">
      <c r="A86" s="47" t="s">
        <v>77</v>
      </c>
      <c r="B86">
        <v>804</v>
      </c>
      <c r="C86">
        <v>873</v>
      </c>
      <c r="D86">
        <v>1133</v>
      </c>
      <c r="E86">
        <v>365</v>
      </c>
      <c r="F86">
        <v>341</v>
      </c>
      <c r="G86">
        <v>654</v>
      </c>
      <c r="H86">
        <v>0.45398009950248758</v>
      </c>
      <c r="I86">
        <v>0.39060710194730813</v>
      </c>
      <c r="J86">
        <v>0.5772285966460724</v>
      </c>
      <c r="K86">
        <v>105</v>
      </c>
      <c r="L86">
        <v>73.5</v>
      </c>
      <c r="M86" s="354">
        <f t="shared" si="69"/>
        <v>453.33333333333331</v>
      </c>
      <c r="X86">
        <v>0.45398009950248758</v>
      </c>
      <c r="AB86" s="47">
        <v>0</v>
      </c>
      <c r="AC86" s="170">
        <v>0.14303482587064675</v>
      </c>
      <c r="AD86" s="170">
        <v>0.33955223880597013</v>
      </c>
      <c r="AE86" s="170">
        <v>6.0945273631840796E-2</v>
      </c>
      <c r="AF86" s="170">
        <v>0</v>
      </c>
      <c r="AG86" s="47">
        <v>0.14552238805970152</v>
      </c>
      <c r="AM86">
        <v>0</v>
      </c>
      <c r="AN86">
        <v>0</v>
      </c>
      <c r="AO86">
        <v>0</v>
      </c>
      <c r="AP86">
        <v>365</v>
      </c>
      <c r="AQ86">
        <v>341</v>
      </c>
      <c r="AR86">
        <v>654</v>
      </c>
      <c r="AS86" s="25">
        <f t="shared" si="70"/>
        <v>1</v>
      </c>
      <c r="AT86" s="25">
        <f t="shared" si="119"/>
        <v>1</v>
      </c>
      <c r="AU86" s="25">
        <f t="shared" si="120"/>
        <v>1</v>
      </c>
      <c r="AV86" s="25">
        <f t="shared" si="71"/>
        <v>0</v>
      </c>
      <c r="AW86" s="25">
        <f t="shared" si="72"/>
        <v>0</v>
      </c>
      <c r="AX86" s="25">
        <f t="shared" si="73"/>
        <v>0</v>
      </c>
      <c r="AY86" s="25">
        <f t="shared" si="74"/>
        <v>1</v>
      </c>
      <c r="AZ86" s="25">
        <f t="shared" si="75"/>
        <v>1</v>
      </c>
      <c r="BA86" s="25">
        <f t="shared" si="76"/>
        <v>1</v>
      </c>
      <c r="BB86" s="339">
        <f t="shared" si="77"/>
        <v>0</v>
      </c>
      <c r="BC86" s="340">
        <f t="shared" si="78"/>
        <v>0</v>
      </c>
      <c r="BD86" s="341">
        <f t="shared" si="79"/>
        <v>0</v>
      </c>
      <c r="BE86" s="25">
        <f t="shared" si="80"/>
        <v>0</v>
      </c>
      <c r="BF86" s="25">
        <f t="shared" si="81"/>
        <v>0</v>
      </c>
      <c r="BG86" s="25">
        <f t="shared" si="82"/>
        <v>0</v>
      </c>
      <c r="BH86" s="25">
        <f t="shared" si="83"/>
        <v>1</v>
      </c>
      <c r="BI86" s="25">
        <f t="shared" si="84"/>
        <v>1</v>
      </c>
      <c r="BJ86" s="25">
        <f t="shared" si="85"/>
        <v>1</v>
      </c>
      <c r="BK86" s="351">
        <f t="shared" si="86"/>
        <v>0</v>
      </c>
      <c r="BL86" s="352">
        <f t="shared" si="87"/>
        <v>0</v>
      </c>
      <c r="BM86" s="353">
        <f t="shared" si="88"/>
        <v>0</v>
      </c>
      <c r="BN86" s="25">
        <f t="shared" si="89"/>
        <v>1</v>
      </c>
      <c r="BO86" s="25">
        <f t="shared" si="90"/>
        <v>1</v>
      </c>
      <c r="BP86" s="25">
        <f t="shared" si="91"/>
        <v>1</v>
      </c>
      <c r="BQ86" s="25">
        <f t="shared" si="92"/>
        <v>2</v>
      </c>
      <c r="BR86" s="25">
        <f t="shared" si="93"/>
        <v>2</v>
      </c>
      <c r="BS86" s="25">
        <f t="shared" si="94"/>
        <v>2</v>
      </c>
      <c r="BT86" s="345">
        <f t="shared" si="95"/>
        <v>1</v>
      </c>
      <c r="BU86" s="346">
        <f t="shared" si="96"/>
        <v>1</v>
      </c>
      <c r="BV86" s="347">
        <f t="shared" si="97"/>
        <v>1</v>
      </c>
      <c r="BX86" s="345">
        <f t="shared" si="98"/>
        <v>0</v>
      </c>
      <c r="BY86" s="345">
        <f t="shared" si="99"/>
        <v>0</v>
      </c>
      <c r="BZ86" s="345">
        <f t="shared" si="100"/>
        <v>0</v>
      </c>
      <c r="CA86" s="382">
        <f t="shared" si="101"/>
        <v>0</v>
      </c>
      <c r="CB86" s="382">
        <f t="shared" si="102"/>
        <v>0</v>
      </c>
      <c r="CC86" s="382">
        <f t="shared" si="103"/>
        <v>0</v>
      </c>
      <c r="CD86" s="385">
        <f t="shared" si="104"/>
        <v>0</v>
      </c>
      <c r="CE86" s="385">
        <f t="shared" si="105"/>
        <v>0</v>
      </c>
      <c r="CF86" s="385">
        <f t="shared" si="106"/>
        <v>0</v>
      </c>
      <c r="CG86" s="377">
        <f t="shared" si="107"/>
        <v>0</v>
      </c>
      <c r="CH86" s="377">
        <f t="shared" si="108"/>
        <v>0</v>
      </c>
      <c r="CI86" s="377">
        <f t="shared" si="109"/>
        <v>0</v>
      </c>
      <c r="CK86">
        <v>365</v>
      </c>
      <c r="CL86">
        <v>0</v>
      </c>
      <c r="CN86" s="25">
        <f t="shared" si="110"/>
        <v>0</v>
      </c>
      <c r="CO86" s="25">
        <f t="shared" si="111"/>
        <v>0</v>
      </c>
      <c r="CP86" s="25">
        <f t="shared" si="112"/>
        <v>0</v>
      </c>
      <c r="CQ86" s="25">
        <f t="shared" si="113"/>
        <v>0</v>
      </c>
      <c r="CR86" s="25">
        <f t="shared" si="114"/>
        <v>0</v>
      </c>
      <c r="CS86" s="25">
        <f t="shared" si="115"/>
        <v>0</v>
      </c>
      <c r="CT86" s="25">
        <f t="shared" si="116"/>
        <v>1</v>
      </c>
      <c r="CU86" s="25">
        <f t="shared" si="117"/>
        <v>1</v>
      </c>
      <c r="CV86" s="25">
        <f t="shared" si="118"/>
        <v>1</v>
      </c>
      <c r="DC86" s="58">
        <v>59</v>
      </c>
      <c r="DD86" s="58">
        <v>43.188277645998262</v>
      </c>
      <c r="DE86" s="58">
        <v>9.8117223540017378</v>
      </c>
      <c r="DF86" s="58">
        <v>3.4978308023910838E-2</v>
      </c>
      <c r="DH86" s="58">
        <v>20.967741935483868</v>
      </c>
      <c r="DI86" s="58">
        <v>-25</v>
      </c>
      <c r="DW86" s="58">
        <v>59</v>
      </c>
      <c r="DX86" s="58">
        <v>43.188277645998262</v>
      </c>
      <c r="DY86" s="58">
        <v>9.8117223540017378</v>
      </c>
      <c r="DZ86" s="58">
        <v>3.4978308023910838E-2</v>
      </c>
    </row>
    <row r="87" spans="1:130">
      <c r="A87" s="64" t="s">
        <v>78</v>
      </c>
      <c r="B87">
        <v>2065</v>
      </c>
      <c r="C87">
        <v>2480</v>
      </c>
      <c r="D87">
        <v>2190</v>
      </c>
      <c r="E87">
        <v>0</v>
      </c>
      <c r="F87">
        <v>0</v>
      </c>
      <c r="G87">
        <v>286</v>
      </c>
      <c r="H87">
        <v>0</v>
      </c>
      <c r="I87">
        <v>0</v>
      </c>
      <c r="J87">
        <v>0.13059360730593608</v>
      </c>
      <c r="K87">
        <v>203</v>
      </c>
      <c r="L87">
        <v>166.45999999999998</v>
      </c>
      <c r="M87" s="354">
        <f t="shared" si="69"/>
        <v>95.333333333333329</v>
      </c>
      <c r="X87">
        <v>0</v>
      </c>
      <c r="AB87" s="64">
        <v>0.61549636803874097</v>
      </c>
      <c r="AC87" s="104">
        <v>0.18934624697336561</v>
      </c>
      <c r="AD87" s="104">
        <v>9.9757869249394671E-2</v>
      </c>
      <c r="AE87" s="104">
        <v>9.5399515738498794E-2</v>
      </c>
      <c r="AF87" s="104">
        <v>0</v>
      </c>
      <c r="AG87" s="64">
        <v>0</v>
      </c>
      <c r="AM87">
        <v>475</v>
      </c>
      <c r="AN87">
        <v>462</v>
      </c>
      <c r="AO87">
        <v>237</v>
      </c>
      <c r="AP87">
        <v>0</v>
      </c>
      <c r="AQ87">
        <v>0</v>
      </c>
      <c r="AR87">
        <v>286</v>
      </c>
      <c r="AS87" s="25">
        <f t="shared" si="70"/>
        <v>0</v>
      </c>
      <c r="AT87" s="25">
        <f t="shared" si="119"/>
        <v>0</v>
      </c>
      <c r="AU87" s="25">
        <f t="shared" si="120"/>
        <v>1</v>
      </c>
      <c r="AV87" s="25">
        <f t="shared" si="71"/>
        <v>1</v>
      </c>
      <c r="AW87" s="25">
        <f t="shared" si="72"/>
        <v>1</v>
      </c>
      <c r="AX87" s="25">
        <f t="shared" si="73"/>
        <v>1</v>
      </c>
      <c r="AY87" s="25">
        <f t="shared" si="74"/>
        <v>1</v>
      </c>
      <c r="AZ87" s="25">
        <f t="shared" si="75"/>
        <v>1</v>
      </c>
      <c r="BA87" s="25">
        <f t="shared" si="76"/>
        <v>2</v>
      </c>
      <c r="BB87" s="339">
        <f t="shared" si="77"/>
        <v>0</v>
      </c>
      <c r="BC87" s="340">
        <f t="shared" si="78"/>
        <v>0</v>
      </c>
      <c r="BD87" s="341">
        <f t="shared" si="79"/>
        <v>1</v>
      </c>
      <c r="BE87" s="25">
        <f t="shared" si="80"/>
        <v>0</v>
      </c>
      <c r="BF87" s="25">
        <f t="shared" si="81"/>
        <v>0</v>
      </c>
      <c r="BG87" s="25">
        <f t="shared" si="82"/>
        <v>0</v>
      </c>
      <c r="BH87" s="25">
        <f t="shared" si="83"/>
        <v>0</v>
      </c>
      <c r="BI87" s="25">
        <f t="shared" si="84"/>
        <v>0</v>
      </c>
      <c r="BJ87" s="25">
        <f t="shared" si="85"/>
        <v>1</v>
      </c>
      <c r="BK87" s="351">
        <f t="shared" si="86"/>
        <v>0</v>
      </c>
      <c r="BL87" s="352">
        <f t="shared" si="87"/>
        <v>0</v>
      </c>
      <c r="BM87" s="353">
        <f t="shared" si="88"/>
        <v>0</v>
      </c>
      <c r="BN87" s="25">
        <f t="shared" si="89"/>
        <v>0</v>
      </c>
      <c r="BO87" s="25">
        <f t="shared" si="90"/>
        <v>0</v>
      </c>
      <c r="BP87" s="25">
        <f t="shared" si="91"/>
        <v>0</v>
      </c>
      <c r="BQ87" s="25">
        <f t="shared" si="92"/>
        <v>0</v>
      </c>
      <c r="BR87" s="25">
        <f t="shared" si="93"/>
        <v>0</v>
      </c>
      <c r="BS87" s="25">
        <f t="shared" si="94"/>
        <v>1</v>
      </c>
      <c r="BT87" s="345">
        <f t="shared" si="95"/>
        <v>0</v>
      </c>
      <c r="BU87" s="346">
        <f t="shared" si="96"/>
        <v>0</v>
      </c>
      <c r="BV87" s="347">
        <f t="shared" si="97"/>
        <v>0</v>
      </c>
      <c r="BX87" s="345">
        <f t="shared" si="98"/>
        <v>1</v>
      </c>
      <c r="BY87" s="345">
        <f t="shared" si="99"/>
        <v>1</v>
      </c>
      <c r="BZ87" s="345">
        <f t="shared" si="100"/>
        <v>0</v>
      </c>
      <c r="CA87" s="382">
        <f t="shared" si="101"/>
        <v>0</v>
      </c>
      <c r="CB87" s="382">
        <f t="shared" si="102"/>
        <v>0</v>
      </c>
      <c r="CC87" s="382">
        <f t="shared" si="103"/>
        <v>0</v>
      </c>
      <c r="CD87" s="385">
        <f t="shared" si="104"/>
        <v>0</v>
      </c>
      <c r="CE87" s="385">
        <f t="shared" si="105"/>
        <v>0</v>
      </c>
      <c r="CF87" s="385">
        <f t="shared" si="106"/>
        <v>0</v>
      </c>
      <c r="CG87" s="377">
        <f t="shared" si="107"/>
        <v>1</v>
      </c>
      <c r="CH87" s="377">
        <f t="shared" si="108"/>
        <v>1</v>
      </c>
      <c r="CI87" s="377">
        <f t="shared" si="109"/>
        <v>0</v>
      </c>
      <c r="CK87">
        <v>0</v>
      </c>
      <c r="CL87">
        <v>475</v>
      </c>
      <c r="CN87" s="25">
        <f t="shared" si="110"/>
        <v>2</v>
      </c>
      <c r="CO87" s="25">
        <f t="shared" si="111"/>
        <v>2</v>
      </c>
      <c r="CP87" s="25">
        <f t="shared" si="112"/>
        <v>1</v>
      </c>
      <c r="CQ87" s="25">
        <f t="shared" si="113"/>
        <v>1</v>
      </c>
      <c r="CR87" s="25">
        <f t="shared" si="114"/>
        <v>1</v>
      </c>
      <c r="CS87" s="25">
        <f t="shared" si="115"/>
        <v>0</v>
      </c>
      <c r="CT87" s="25">
        <f t="shared" si="116"/>
        <v>1</v>
      </c>
      <c r="CU87" s="25">
        <f t="shared" si="117"/>
        <v>1</v>
      </c>
      <c r="CV87" s="25">
        <f t="shared" si="118"/>
        <v>0</v>
      </c>
      <c r="DC87" s="58">
        <v>60</v>
      </c>
      <c r="DD87" s="58">
        <v>39.770613029295227</v>
      </c>
      <c r="DE87" s="58">
        <v>-44.770613029295227</v>
      </c>
      <c r="DF87" s="58">
        <v>-0.15960503532993947</v>
      </c>
      <c r="DH87" s="58">
        <v>21.326164874551971</v>
      </c>
      <c r="DI87" s="58">
        <v>-23.900000000000002</v>
      </c>
      <c r="DW87" s="58">
        <v>60</v>
      </c>
      <c r="DX87" s="58">
        <v>39.770613029295227</v>
      </c>
      <c r="DY87" s="58">
        <v>-44.770613029295227</v>
      </c>
      <c r="DZ87" s="58">
        <v>-0.15960503532993947</v>
      </c>
    </row>
    <row r="88" spans="1:130">
      <c r="A88" s="64" t="s">
        <v>80</v>
      </c>
      <c r="B88">
        <v>975</v>
      </c>
      <c r="C88">
        <v>817</v>
      </c>
      <c r="D88">
        <v>786</v>
      </c>
      <c r="E88">
        <v>166</v>
      </c>
      <c r="F88">
        <v>254</v>
      </c>
      <c r="G88">
        <v>211</v>
      </c>
      <c r="H88">
        <v>0.17025641025641025</v>
      </c>
      <c r="I88">
        <v>0.3108935128518972</v>
      </c>
      <c r="J88">
        <v>0.26844783715012721</v>
      </c>
      <c r="K88">
        <v>180</v>
      </c>
      <c r="L88">
        <v>36</v>
      </c>
      <c r="M88" s="354">
        <f t="shared" si="69"/>
        <v>210.33333333333334</v>
      </c>
      <c r="X88">
        <v>0.17025641025641025</v>
      </c>
      <c r="AB88" s="64">
        <v>0</v>
      </c>
      <c r="AC88" s="104">
        <v>0</v>
      </c>
      <c r="AD88" s="104">
        <v>0.22564102564102564</v>
      </c>
      <c r="AE88" s="104">
        <v>0</v>
      </c>
      <c r="AF88" s="104">
        <v>0.58974358974358976</v>
      </c>
      <c r="AG88" s="64">
        <v>1.4358974358974375E-2</v>
      </c>
      <c r="AM88">
        <v>-232</v>
      </c>
      <c r="AN88">
        <v>-472</v>
      </c>
      <c r="AO88">
        <v>-303</v>
      </c>
      <c r="AP88">
        <v>166</v>
      </c>
      <c r="AQ88">
        <v>254</v>
      </c>
      <c r="AR88">
        <v>211</v>
      </c>
      <c r="AS88" s="25">
        <f t="shared" si="70"/>
        <v>1</v>
      </c>
      <c r="AT88" s="25">
        <f t="shared" si="119"/>
        <v>1</v>
      </c>
      <c r="AU88" s="25">
        <f t="shared" si="120"/>
        <v>1</v>
      </c>
      <c r="AV88" s="25">
        <f t="shared" si="71"/>
        <v>0</v>
      </c>
      <c r="AW88" s="25">
        <f t="shared" si="72"/>
        <v>0</v>
      </c>
      <c r="AX88" s="25">
        <f t="shared" si="73"/>
        <v>0</v>
      </c>
      <c r="AY88" s="25">
        <f t="shared" si="74"/>
        <v>1</v>
      </c>
      <c r="AZ88" s="25">
        <f t="shared" si="75"/>
        <v>1</v>
      </c>
      <c r="BA88" s="25">
        <f t="shared" si="76"/>
        <v>1</v>
      </c>
      <c r="BB88" s="339">
        <f t="shared" si="77"/>
        <v>0</v>
      </c>
      <c r="BC88" s="340">
        <f t="shared" si="78"/>
        <v>0</v>
      </c>
      <c r="BD88" s="341">
        <f t="shared" si="79"/>
        <v>0</v>
      </c>
      <c r="BE88" s="25">
        <f t="shared" si="80"/>
        <v>1</v>
      </c>
      <c r="BF88" s="25">
        <f t="shared" si="81"/>
        <v>1</v>
      </c>
      <c r="BG88" s="25">
        <f t="shared" si="82"/>
        <v>1</v>
      </c>
      <c r="BH88" s="25">
        <f t="shared" si="83"/>
        <v>2</v>
      </c>
      <c r="BI88" s="25">
        <f t="shared" si="84"/>
        <v>2</v>
      </c>
      <c r="BJ88" s="25">
        <f t="shared" si="85"/>
        <v>2</v>
      </c>
      <c r="BK88" s="351">
        <f t="shared" si="86"/>
        <v>1</v>
      </c>
      <c r="BL88" s="352">
        <f t="shared" si="87"/>
        <v>1</v>
      </c>
      <c r="BM88" s="353">
        <f t="shared" si="88"/>
        <v>1</v>
      </c>
      <c r="BN88" s="25">
        <f t="shared" si="89"/>
        <v>0</v>
      </c>
      <c r="BO88" s="25">
        <f t="shared" si="90"/>
        <v>0</v>
      </c>
      <c r="BP88" s="25">
        <f t="shared" si="91"/>
        <v>0</v>
      </c>
      <c r="BQ88" s="25">
        <f t="shared" si="92"/>
        <v>1</v>
      </c>
      <c r="BR88" s="25">
        <f t="shared" si="93"/>
        <v>1</v>
      </c>
      <c r="BS88" s="25">
        <f t="shared" si="94"/>
        <v>1</v>
      </c>
      <c r="BT88" s="345">
        <f t="shared" si="95"/>
        <v>0</v>
      </c>
      <c r="BU88" s="346">
        <f t="shared" si="96"/>
        <v>0</v>
      </c>
      <c r="BV88" s="347">
        <f t="shared" si="97"/>
        <v>0</v>
      </c>
      <c r="BX88" s="345">
        <f t="shared" si="98"/>
        <v>0</v>
      </c>
      <c r="BY88" s="345">
        <f t="shared" si="99"/>
        <v>0</v>
      </c>
      <c r="BZ88" s="345">
        <f t="shared" si="100"/>
        <v>0</v>
      </c>
      <c r="CA88" s="382">
        <f t="shared" si="101"/>
        <v>0</v>
      </c>
      <c r="CB88" s="382">
        <f t="shared" si="102"/>
        <v>0</v>
      </c>
      <c r="CC88" s="382">
        <f t="shared" si="103"/>
        <v>0</v>
      </c>
      <c r="CD88" s="385">
        <f t="shared" si="104"/>
        <v>0</v>
      </c>
      <c r="CE88" s="385">
        <f t="shared" si="105"/>
        <v>0</v>
      </c>
      <c r="CF88" s="385">
        <f t="shared" si="106"/>
        <v>0</v>
      </c>
      <c r="CG88" s="377">
        <f t="shared" si="107"/>
        <v>0</v>
      </c>
      <c r="CH88" s="377">
        <f t="shared" si="108"/>
        <v>0</v>
      </c>
      <c r="CI88" s="377">
        <f t="shared" si="109"/>
        <v>0</v>
      </c>
      <c r="CK88">
        <v>166</v>
      </c>
      <c r="CL88">
        <v>-232</v>
      </c>
      <c r="CN88" s="25">
        <f t="shared" si="110"/>
        <v>0</v>
      </c>
      <c r="CO88" s="25">
        <f t="shared" si="111"/>
        <v>0</v>
      </c>
      <c r="CP88" s="25">
        <f t="shared" si="112"/>
        <v>0</v>
      </c>
      <c r="CQ88" s="25">
        <f t="shared" si="113"/>
        <v>1</v>
      </c>
      <c r="CR88" s="25">
        <f t="shared" si="114"/>
        <v>1</v>
      </c>
      <c r="CS88" s="25">
        <f t="shared" si="115"/>
        <v>1</v>
      </c>
      <c r="CT88" s="25">
        <f t="shared" si="116"/>
        <v>0</v>
      </c>
      <c r="CU88" s="25">
        <f t="shared" si="117"/>
        <v>0</v>
      </c>
      <c r="CV88" s="25">
        <f t="shared" si="118"/>
        <v>0</v>
      </c>
      <c r="DC88" s="58">
        <v>61</v>
      </c>
      <c r="DD88" s="58">
        <v>38.890305476508082</v>
      </c>
      <c r="DE88" s="58">
        <v>20.109694523491918</v>
      </c>
      <c r="DF88" s="58">
        <v>7.1690072744727468E-2</v>
      </c>
      <c r="DH88" s="58">
        <v>21.68458781362007</v>
      </c>
      <c r="DI88" s="58">
        <v>-23.555555555555554</v>
      </c>
      <c r="DW88" s="58">
        <v>61</v>
      </c>
      <c r="DX88" s="58">
        <v>38.890305476508082</v>
      </c>
      <c r="DY88" s="58">
        <v>20.109694523491918</v>
      </c>
      <c r="DZ88" s="58">
        <v>7.1690072744727468E-2</v>
      </c>
    </row>
    <row r="89" spans="1:130">
      <c r="A89" s="64" t="s">
        <v>89</v>
      </c>
      <c r="B89">
        <v>5598</v>
      </c>
      <c r="C89">
        <v>6950</v>
      </c>
      <c r="D89">
        <v>7612</v>
      </c>
      <c r="E89">
        <v>4154</v>
      </c>
      <c r="F89">
        <v>5832</v>
      </c>
      <c r="G89">
        <v>6342</v>
      </c>
      <c r="H89">
        <v>0.7420507324044302</v>
      </c>
      <c r="I89">
        <v>0.83913669064748198</v>
      </c>
      <c r="J89">
        <v>0.83315817130846037</v>
      </c>
      <c r="K89">
        <v>195</v>
      </c>
      <c r="L89">
        <v>177.45</v>
      </c>
      <c r="M89" s="354">
        <f t="shared" si="69"/>
        <v>5442.666666666667</v>
      </c>
      <c r="X89">
        <v>0.7420507324044302</v>
      </c>
      <c r="AB89" s="64">
        <v>0</v>
      </c>
      <c r="AC89" s="104">
        <v>2.2150768131475526E-2</v>
      </c>
      <c r="AD89" s="104">
        <v>3.590568060021436E-2</v>
      </c>
      <c r="AE89" s="104">
        <v>7.1454090746695244E-4</v>
      </c>
      <c r="AF89" s="104">
        <v>8.9317613433369067E-2</v>
      </c>
      <c r="AG89" s="64">
        <v>0.10986066452304388</v>
      </c>
      <c r="AM89">
        <v>26</v>
      </c>
      <c r="AN89">
        <v>238</v>
      </c>
      <c r="AO89">
        <v>278</v>
      </c>
      <c r="AP89">
        <v>4154</v>
      </c>
      <c r="AQ89">
        <v>5832</v>
      </c>
      <c r="AR89">
        <v>6342</v>
      </c>
      <c r="AS89" s="25">
        <f t="shared" si="70"/>
        <v>1</v>
      </c>
      <c r="AT89" s="25">
        <f t="shared" si="119"/>
        <v>1</v>
      </c>
      <c r="AU89" s="25">
        <f t="shared" si="120"/>
        <v>1</v>
      </c>
      <c r="AV89" s="25">
        <f t="shared" si="71"/>
        <v>1</v>
      </c>
      <c r="AW89" s="25">
        <f t="shared" si="72"/>
        <v>1</v>
      </c>
      <c r="AX89" s="25">
        <f t="shared" si="73"/>
        <v>1</v>
      </c>
      <c r="AY89" s="25">
        <f t="shared" si="74"/>
        <v>2</v>
      </c>
      <c r="AZ89" s="25">
        <f t="shared" si="75"/>
        <v>2</v>
      </c>
      <c r="BA89" s="25">
        <f t="shared" si="76"/>
        <v>2</v>
      </c>
      <c r="BB89" s="339">
        <f t="shared" si="77"/>
        <v>1</v>
      </c>
      <c r="BC89" s="340">
        <f t="shared" si="78"/>
        <v>1</v>
      </c>
      <c r="BD89" s="341">
        <f t="shared" si="79"/>
        <v>1</v>
      </c>
      <c r="BE89" s="25">
        <f t="shared" si="80"/>
        <v>0</v>
      </c>
      <c r="BF89" s="25">
        <f t="shared" si="81"/>
        <v>0</v>
      </c>
      <c r="BG89" s="25">
        <f t="shared" si="82"/>
        <v>0</v>
      </c>
      <c r="BH89" s="25">
        <f t="shared" si="83"/>
        <v>1</v>
      </c>
      <c r="BI89" s="25">
        <f t="shared" si="84"/>
        <v>1</v>
      </c>
      <c r="BJ89" s="25">
        <f t="shared" si="85"/>
        <v>1</v>
      </c>
      <c r="BK89" s="351">
        <f t="shared" si="86"/>
        <v>0</v>
      </c>
      <c r="BL89" s="352">
        <f t="shared" si="87"/>
        <v>0</v>
      </c>
      <c r="BM89" s="353">
        <f t="shared" si="88"/>
        <v>0</v>
      </c>
      <c r="BN89" s="25">
        <f t="shared" si="89"/>
        <v>0</v>
      </c>
      <c r="BO89" s="25">
        <f t="shared" si="90"/>
        <v>0</v>
      </c>
      <c r="BP89" s="25">
        <f t="shared" si="91"/>
        <v>0</v>
      </c>
      <c r="BQ89" s="25">
        <f t="shared" si="92"/>
        <v>1</v>
      </c>
      <c r="BR89" s="25">
        <f t="shared" si="93"/>
        <v>1</v>
      </c>
      <c r="BS89" s="25">
        <f t="shared" si="94"/>
        <v>1</v>
      </c>
      <c r="BT89" s="345">
        <f t="shared" si="95"/>
        <v>0</v>
      </c>
      <c r="BU89" s="346">
        <f t="shared" si="96"/>
        <v>0</v>
      </c>
      <c r="BV89" s="347">
        <f t="shared" si="97"/>
        <v>0</v>
      </c>
      <c r="BX89" s="345">
        <f t="shared" si="98"/>
        <v>0</v>
      </c>
      <c r="BY89" s="345">
        <f t="shared" si="99"/>
        <v>0</v>
      </c>
      <c r="BZ89" s="345">
        <f t="shared" si="100"/>
        <v>0</v>
      </c>
      <c r="CA89" s="382">
        <f t="shared" si="101"/>
        <v>0</v>
      </c>
      <c r="CB89" s="382">
        <f t="shared" si="102"/>
        <v>0</v>
      </c>
      <c r="CC89" s="382">
        <f t="shared" si="103"/>
        <v>0</v>
      </c>
      <c r="CD89" s="385">
        <f t="shared" si="104"/>
        <v>0</v>
      </c>
      <c r="CE89" s="385">
        <f t="shared" si="105"/>
        <v>0</v>
      </c>
      <c r="CF89" s="385">
        <f t="shared" si="106"/>
        <v>0</v>
      </c>
      <c r="CG89" s="377">
        <f t="shared" si="107"/>
        <v>0</v>
      </c>
      <c r="CH89" s="377">
        <f t="shared" si="108"/>
        <v>0</v>
      </c>
      <c r="CI89" s="377">
        <f t="shared" si="109"/>
        <v>0</v>
      </c>
      <c r="CK89">
        <v>4154</v>
      </c>
      <c r="CL89">
        <v>26</v>
      </c>
      <c r="CN89" s="25">
        <f t="shared" si="110"/>
        <v>1</v>
      </c>
      <c r="CO89" s="25">
        <f t="shared" si="111"/>
        <v>1</v>
      </c>
      <c r="CP89" s="25">
        <f t="shared" si="112"/>
        <v>1</v>
      </c>
      <c r="CQ89" s="25">
        <f t="shared" si="113"/>
        <v>0</v>
      </c>
      <c r="CR89" s="25">
        <f t="shared" si="114"/>
        <v>0</v>
      </c>
      <c r="CS89" s="25">
        <f t="shared" si="115"/>
        <v>0</v>
      </c>
      <c r="CT89" s="25">
        <f t="shared" si="116"/>
        <v>0</v>
      </c>
      <c r="CU89" s="25">
        <f t="shared" si="117"/>
        <v>0</v>
      </c>
      <c r="CV89" s="25">
        <f t="shared" si="118"/>
        <v>0</v>
      </c>
      <c r="DC89" s="58">
        <v>62</v>
      </c>
      <c r="DD89" s="58">
        <v>37.388604357047662</v>
      </c>
      <c r="DE89" s="58">
        <v>-57.388604357047662</v>
      </c>
      <c r="DF89" s="58">
        <v>-0.20458755433947426</v>
      </c>
      <c r="DH89" s="58">
        <v>22.043010752688172</v>
      </c>
      <c r="DI89" s="58">
        <v>-23</v>
      </c>
      <c r="DW89" s="58">
        <v>62</v>
      </c>
      <c r="DX89" s="58">
        <v>37.388604357047662</v>
      </c>
      <c r="DY89" s="58">
        <v>-57.388604357047662</v>
      </c>
      <c r="DZ89" s="58">
        <v>-0.20458755433947426</v>
      </c>
    </row>
    <row r="90" spans="1:130">
      <c r="A90" s="64" t="s">
        <v>90</v>
      </c>
      <c r="B90">
        <v>134.29</v>
      </c>
      <c r="C90">
        <v>164.19</v>
      </c>
      <c r="D90">
        <v>204.88</v>
      </c>
      <c r="E90">
        <v>52.650000000000006</v>
      </c>
      <c r="F90">
        <v>93.34</v>
      </c>
      <c r="G90">
        <v>137.66999999999999</v>
      </c>
      <c r="H90">
        <v>0.39206195546950634</v>
      </c>
      <c r="I90">
        <v>0.56848772763262079</v>
      </c>
      <c r="J90">
        <v>0.67195431472081213</v>
      </c>
      <c r="K90">
        <v>65</v>
      </c>
      <c r="L90">
        <v>13</v>
      </c>
      <c r="M90" s="354">
        <f t="shared" si="69"/>
        <v>94.553333333333327</v>
      </c>
      <c r="X90">
        <v>0.39206195546950634</v>
      </c>
      <c r="AB90" s="64">
        <v>4.0658276863504358E-2</v>
      </c>
      <c r="AC90" s="104">
        <v>0.3059051306873185</v>
      </c>
      <c r="AD90" s="104">
        <v>0.12003872216844144</v>
      </c>
      <c r="AE90" s="104">
        <v>6.1955469506292361E-2</v>
      </c>
      <c r="AF90" s="104">
        <v>8.0348499515972907E-2</v>
      </c>
      <c r="AG90" s="64">
        <v>-9.6805421103596245E-4</v>
      </c>
      <c r="AM90">
        <v>15.73</v>
      </c>
      <c r="AN90">
        <v>2.86</v>
      </c>
      <c r="AO90">
        <v>13.389999999999999</v>
      </c>
      <c r="AP90">
        <v>52.650000000000006</v>
      </c>
      <c r="AQ90">
        <v>93.34</v>
      </c>
      <c r="AR90">
        <v>137.66999999999999</v>
      </c>
      <c r="AS90" s="25">
        <f t="shared" si="70"/>
        <v>1</v>
      </c>
      <c r="AT90" s="25">
        <f t="shared" si="119"/>
        <v>1</v>
      </c>
      <c r="AU90" s="25">
        <f t="shared" si="120"/>
        <v>1</v>
      </c>
      <c r="AV90" s="25">
        <f t="shared" si="71"/>
        <v>1</v>
      </c>
      <c r="AW90" s="25">
        <f t="shared" si="72"/>
        <v>1</v>
      </c>
      <c r="AX90" s="25">
        <f t="shared" si="73"/>
        <v>1</v>
      </c>
      <c r="AY90" s="25">
        <f t="shared" si="74"/>
        <v>2</v>
      </c>
      <c r="AZ90" s="25">
        <f t="shared" si="75"/>
        <v>2</v>
      </c>
      <c r="BA90" s="25">
        <f t="shared" si="76"/>
        <v>2</v>
      </c>
      <c r="BB90" s="339">
        <f t="shared" si="77"/>
        <v>1</v>
      </c>
      <c r="BC90" s="340">
        <f t="shared" si="78"/>
        <v>1</v>
      </c>
      <c r="BD90" s="341">
        <f t="shared" si="79"/>
        <v>1</v>
      </c>
      <c r="BE90" s="25">
        <f t="shared" si="80"/>
        <v>0</v>
      </c>
      <c r="BF90" s="25">
        <f t="shared" si="81"/>
        <v>0</v>
      </c>
      <c r="BG90" s="25">
        <f t="shared" si="82"/>
        <v>0</v>
      </c>
      <c r="BH90" s="25">
        <f t="shared" si="83"/>
        <v>1</v>
      </c>
      <c r="BI90" s="25">
        <f t="shared" si="84"/>
        <v>1</v>
      </c>
      <c r="BJ90" s="25">
        <f t="shared" si="85"/>
        <v>1</v>
      </c>
      <c r="BK90" s="351">
        <f t="shared" si="86"/>
        <v>0</v>
      </c>
      <c r="BL90" s="352">
        <f t="shared" si="87"/>
        <v>0</v>
      </c>
      <c r="BM90" s="353">
        <f t="shared" si="88"/>
        <v>0</v>
      </c>
      <c r="BN90" s="25">
        <f t="shared" si="89"/>
        <v>0</v>
      </c>
      <c r="BO90" s="25">
        <f t="shared" si="90"/>
        <v>0</v>
      </c>
      <c r="BP90" s="25">
        <f t="shared" si="91"/>
        <v>0</v>
      </c>
      <c r="BQ90" s="25">
        <f t="shared" si="92"/>
        <v>1</v>
      </c>
      <c r="BR90" s="25">
        <f t="shared" si="93"/>
        <v>1</v>
      </c>
      <c r="BS90" s="25">
        <f t="shared" si="94"/>
        <v>1</v>
      </c>
      <c r="BT90" s="345">
        <f t="shared" si="95"/>
        <v>0</v>
      </c>
      <c r="BU90" s="346">
        <f t="shared" si="96"/>
        <v>0</v>
      </c>
      <c r="BV90" s="347">
        <f t="shared" si="97"/>
        <v>0</v>
      </c>
      <c r="BX90" s="345">
        <f t="shared" si="98"/>
        <v>0</v>
      </c>
      <c r="BY90" s="345">
        <f t="shared" si="99"/>
        <v>0</v>
      </c>
      <c r="BZ90" s="345">
        <f t="shared" si="100"/>
        <v>0</v>
      </c>
      <c r="CA90" s="382">
        <f t="shared" si="101"/>
        <v>0</v>
      </c>
      <c r="CB90" s="382">
        <f t="shared" si="102"/>
        <v>0</v>
      </c>
      <c r="CC90" s="382">
        <f t="shared" si="103"/>
        <v>0</v>
      </c>
      <c r="CD90" s="385">
        <f t="shared" si="104"/>
        <v>0</v>
      </c>
      <c r="CE90" s="385">
        <f t="shared" si="105"/>
        <v>0</v>
      </c>
      <c r="CF90" s="385">
        <f t="shared" si="106"/>
        <v>0</v>
      </c>
      <c r="CG90" s="377">
        <f t="shared" si="107"/>
        <v>0</v>
      </c>
      <c r="CH90" s="377">
        <f t="shared" si="108"/>
        <v>0</v>
      </c>
      <c r="CI90" s="377">
        <f t="shared" si="109"/>
        <v>0</v>
      </c>
      <c r="CK90">
        <v>52.650000000000006</v>
      </c>
      <c r="CL90">
        <v>15.73</v>
      </c>
      <c r="CN90" s="25">
        <f t="shared" si="110"/>
        <v>1</v>
      </c>
      <c r="CO90" s="25">
        <f t="shared" si="111"/>
        <v>1</v>
      </c>
      <c r="CP90" s="25">
        <f t="shared" si="112"/>
        <v>1</v>
      </c>
      <c r="CQ90" s="25">
        <f t="shared" si="113"/>
        <v>0</v>
      </c>
      <c r="CR90" s="25">
        <f t="shared" si="114"/>
        <v>0</v>
      </c>
      <c r="CS90" s="25">
        <f t="shared" si="115"/>
        <v>0</v>
      </c>
      <c r="CT90" s="25">
        <f t="shared" si="116"/>
        <v>0</v>
      </c>
      <c r="CU90" s="25">
        <f t="shared" si="117"/>
        <v>0</v>
      </c>
      <c r="CV90" s="25">
        <f t="shared" si="118"/>
        <v>0</v>
      </c>
      <c r="DC90" s="58">
        <v>63</v>
      </c>
      <c r="DD90" s="58">
        <v>36.145817223701101</v>
      </c>
      <c r="DE90" s="58">
        <v>-306.1458172237011</v>
      </c>
      <c r="DF90" s="58">
        <v>-1.0913947937708459</v>
      </c>
      <c r="DH90" s="58">
        <v>22.401433691756271</v>
      </c>
      <c r="DI90" s="58">
        <v>-22</v>
      </c>
      <c r="DW90" s="58">
        <v>63</v>
      </c>
      <c r="DX90" s="58">
        <v>36.145817223701101</v>
      </c>
      <c r="DY90" s="58">
        <v>-306.1458172237011</v>
      </c>
      <c r="DZ90" s="58">
        <v>-1.0913947937708459</v>
      </c>
    </row>
    <row r="91" spans="1:130">
      <c r="A91" s="64" t="s">
        <v>97</v>
      </c>
      <c r="B91">
        <v>213.30833333333334</v>
      </c>
      <c r="C91">
        <v>213.74166666666667</v>
      </c>
      <c r="D91">
        <v>292.82499999999999</v>
      </c>
      <c r="E91">
        <v>0</v>
      </c>
      <c r="F91">
        <v>45.174999999999997</v>
      </c>
      <c r="G91">
        <v>114.18333333333332</v>
      </c>
      <c r="H91">
        <v>0</v>
      </c>
      <c r="I91">
        <v>0.21135326913329952</v>
      </c>
      <c r="J91">
        <v>0.38993710691823896</v>
      </c>
      <c r="K91">
        <v>21</v>
      </c>
      <c r="L91">
        <v>3.15</v>
      </c>
      <c r="M91" s="354">
        <f t="shared" si="69"/>
        <v>53.11944444444444</v>
      </c>
      <c r="X91">
        <v>0</v>
      </c>
      <c r="AB91" s="64">
        <v>0</v>
      </c>
      <c r="AC91" s="104">
        <v>0</v>
      </c>
      <c r="AD91" s="104">
        <v>0</v>
      </c>
      <c r="AE91" s="104">
        <v>0.64550533265617061</v>
      </c>
      <c r="AF91" s="104">
        <v>7.5672930421533766E-2</v>
      </c>
      <c r="AG91" s="64">
        <v>0.27882173692229562</v>
      </c>
      <c r="AM91">
        <v>0.10833333333333334</v>
      </c>
      <c r="AN91">
        <v>17.225000000000001</v>
      </c>
      <c r="AO91">
        <v>20.041666666666668</v>
      </c>
      <c r="AP91">
        <v>0</v>
      </c>
      <c r="AQ91">
        <v>45.174999999999997</v>
      </c>
      <c r="AR91">
        <v>114.18333333333332</v>
      </c>
      <c r="AS91" s="25">
        <f t="shared" si="70"/>
        <v>0</v>
      </c>
      <c r="AT91" s="25">
        <f t="shared" si="119"/>
        <v>1</v>
      </c>
      <c r="AU91" s="25">
        <f t="shared" si="120"/>
        <v>1</v>
      </c>
      <c r="AV91" s="25">
        <f t="shared" si="71"/>
        <v>1</v>
      </c>
      <c r="AW91" s="25">
        <f t="shared" si="72"/>
        <v>1</v>
      </c>
      <c r="AX91" s="25">
        <f t="shared" si="73"/>
        <v>1</v>
      </c>
      <c r="AY91" s="25">
        <f t="shared" si="74"/>
        <v>1</v>
      </c>
      <c r="AZ91" s="25">
        <f t="shared" si="75"/>
        <v>2</v>
      </c>
      <c r="BA91" s="25">
        <f t="shared" si="76"/>
        <v>2</v>
      </c>
      <c r="BB91" s="339">
        <f t="shared" si="77"/>
        <v>0</v>
      </c>
      <c r="BC91" s="340">
        <f t="shared" si="78"/>
        <v>1</v>
      </c>
      <c r="BD91" s="341">
        <f t="shared" si="79"/>
        <v>1</v>
      </c>
      <c r="BE91" s="25">
        <f t="shared" si="80"/>
        <v>0</v>
      </c>
      <c r="BF91" s="25">
        <f t="shared" si="81"/>
        <v>0</v>
      </c>
      <c r="BG91" s="25">
        <f t="shared" si="82"/>
        <v>0</v>
      </c>
      <c r="BH91" s="25">
        <f t="shared" si="83"/>
        <v>0</v>
      </c>
      <c r="BI91" s="25">
        <f t="shared" si="84"/>
        <v>1</v>
      </c>
      <c r="BJ91" s="25">
        <f t="shared" si="85"/>
        <v>1</v>
      </c>
      <c r="BK91" s="351">
        <f t="shared" si="86"/>
        <v>0</v>
      </c>
      <c r="BL91" s="352">
        <f t="shared" si="87"/>
        <v>0</v>
      </c>
      <c r="BM91" s="353">
        <f t="shared" si="88"/>
        <v>0</v>
      </c>
      <c r="BN91" s="25">
        <f t="shared" si="89"/>
        <v>0</v>
      </c>
      <c r="BO91" s="25">
        <f t="shared" si="90"/>
        <v>0</v>
      </c>
      <c r="BP91" s="25">
        <f t="shared" si="91"/>
        <v>0</v>
      </c>
      <c r="BQ91" s="25">
        <f t="shared" si="92"/>
        <v>0</v>
      </c>
      <c r="BR91" s="25">
        <f t="shared" si="93"/>
        <v>1</v>
      </c>
      <c r="BS91" s="25">
        <f t="shared" si="94"/>
        <v>1</v>
      </c>
      <c r="BT91" s="345">
        <f t="shared" si="95"/>
        <v>0</v>
      </c>
      <c r="BU91" s="346">
        <f t="shared" si="96"/>
        <v>0</v>
      </c>
      <c r="BV91" s="347">
        <f t="shared" si="97"/>
        <v>0</v>
      </c>
      <c r="BX91" s="345">
        <f t="shared" si="98"/>
        <v>1</v>
      </c>
      <c r="BY91" s="345">
        <f t="shared" si="99"/>
        <v>0</v>
      </c>
      <c r="BZ91" s="345">
        <f t="shared" si="100"/>
        <v>0</v>
      </c>
      <c r="CA91" s="382">
        <f t="shared" si="101"/>
        <v>0</v>
      </c>
      <c r="CB91" s="382">
        <f t="shared" si="102"/>
        <v>0</v>
      </c>
      <c r="CC91" s="382">
        <f t="shared" si="103"/>
        <v>0</v>
      </c>
      <c r="CD91" s="385">
        <f t="shared" si="104"/>
        <v>0</v>
      </c>
      <c r="CE91" s="385">
        <f t="shared" si="105"/>
        <v>0</v>
      </c>
      <c r="CF91" s="385">
        <f t="shared" si="106"/>
        <v>0</v>
      </c>
      <c r="CG91" s="377">
        <f t="shared" si="107"/>
        <v>1</v>
      </c>
      <c r="CH91" s="377">
        <f t="shared" si="108"/>
        <v>0</v>
      </c>
      <c r="CI91" s="377">
        <f t="shared" si="109"/>
        <v>0</v>
      </c>
      <c r="CK91">
        <v>0</v>
      </c>
      <c r="CL91">
        <v>0.10833333333333334</v>
      </c>
      <c r="CN91" s="25">
        <f t="shared" si="110"/>
        <v>2</v>
      </c>
      <c r="CO91" s="25">
        <f t="shared" si="111"/>
        <v>1</v>
      </c>
      <c r="CP91" s="25">
        <f t="shared" si="112"/>
        <v>1</v>
      </c>
      <c r="CQ91" s="25">
        <f t="shared" si="113"/>
        <v>1</v>
      </c>
      <c r="CR91" s="25">
        <f t="shared" si="114"/>
        <v>0</v>
      </c>
      <c r="CS91" s="25">
        <f t="shared" si="115"/>
        <v>0</v>
      </c>
      <c r="CT91" s="25">
        <f t="shared" si="116"/>
        <v>1</v>
      </c>
      <c r="CU91" s="25">
        <f t="shared" si="117"/>
        <v>0</v>
      </c>
      <c r="CV91" s="25">
        <f t="shared" si="118"/>
        <v>0</v>
      </c>
      <c r="DC91" s="58">
        <v>64</v>
      </c>
      <c r="DD91" s="58">
        <v>39.925961420963546</v>
      </c>
      <c r="DE91" s="58">
        <v>-9.9259614209635458</v>
      </c>
      <c r="DF91" s="58">
        <v>-3.5385564683688267E-2</v>
      </c>
      <c r="DH91" s="58">
        <v>22.759856630824373</v>
      </c>
      <c r="DI91" s="58">
        <v>-20</v>
      </c>
      <c r="DW91" s="58">
        <v>64</v>
      </c>
      <c r="DX91" s="58">
        <v>39.925961420963546</v>
      </c>
      <c r="DY91" s="58">
        <v>-9.9259614209635458</v>
      </c>
      <c r="DZ91" s="58">
        <v>-3.5385564683688267E-2</v>
      </c>
    </row>
    <row r="92" spans="1:130">
      <c r="A92" s="64" t="s">
        <v>99</v>
      </c>
      <c r="B92">
        <v>93</v>
      </c>
      <c r="C92">
        <v>186</v>
      </c>
      <c r="D92">
        <v>100</v>
      </c>
      <c r="E92">
        <v>0</v>
      </c>
      <c r="F92">
        <v>138</v>
      </c>
      <c r="G92">
        <v>0</v>
      </c>
      <c r="H92">
        <v>0</v>
      </c>
      <c r="I92">
        <v>0.74193548387096775</v>
      </c>
      <c r="J92">
        <v>0</v>
      </c>
      <c r="K92">
        <v>217</v>
      </c>
      <c r="L92">
        <v>210.48999999999998</v>
      </c>
      <c r="M92" s="354">
        <f t="shared" si="69"/>
        <v>46</v>
      </c>
      <c r="X92">
        <v>0</v>
      </c>
      <c r="AB92" s="64">
        <v>0</v>
      </c>
      <c r="AC92" s="104">
        <v>0.58064516129032262</v>
      </c>
      <c r="AD92" s="104">
        <v>0.27956989247311825</v>
      </c>
      <c r="AE92" s="104">
        <v>0</v>
      </c>
      <c r="AF92" s="104">
        <v>0</v>
      </c>
      <c r="AG92" s="64">
        <v>0.13978494623655913</v>
      </c>
      <c r="AM92">
        <v>9</v>
      </c>
      <c r="AN92">
        <v>40</v>
      </c>
      <c r="AO92">
        <v>-27</v>
      </c>
      <c r="AP92">
        <v>0</v>
      </c>
      <c r="AQ92">
        <v>138</v>
      </c>
      <c r="AR92">
        <v>0</v>
      </c>
      <c r="AS92" s="25">
        <f t="shared" si="70"/>
        <v>0</v>
      </c>
      <c r="AT92" s="25">
        <f t="shared" si="119"/>
        <v>1</v>
      </c>
      <c r="AU92" s="25">
        <f t="shared" si="120"/>
        <v>0</v>
      </c>
      <c r="AV92" s="25">
        <f t="shared" si="71"/>
        <v>1</v>
      </c>
      <c r="AW92" s="25">
        <f t="shared" si="72"/>
        <v>1</v>
      </c>
      <c r="AX92" s="25">
        <f t="shared" si="73"/>
        <v>0</v>
      </c>
      <c r="AY92" s="25">
        <f t="shared" si="74"/>
        <v>1</v>
      </c>
      <c r="AZ92" s="25">
        <f t="shared" si="75"/>
        <v>2</v>
      </c>
      <c r="BA92" s="25">
        <f t="shared" si="76"/>
        <v>0</v>
      </c>
      <c r="BB92" s="339">
        <f t="shared" si="77"/>
        <v>0</v>
      </c>
      <c r="BC92" s="340">
        <f t="shared" si="78"/>
        <v>1</v>
      </c>
      <c r="BD92" s="341">
        <f t="shared" si="79"/>
        <v>0</v>
      </c>
      <c r="BE92" s="25">
        <f t="shared" si="80"/>
        <v>0</v>
      </c>
      <c r="BF92" s="25">
        <f t="shared" si="81"/>
        <v>0</v>
      </c>
      <c r="BG92" s="25">
        <f t="shared" si="82"/>
        <v>1</v>
      </c>
      <c r="BH92" s="25">
        <f t="shared" si="83"/>
        <v>0</v>
      </c>
      <c r="BI92" s="25">
        <f t="shared" si="84"/>
        <v>1</v>
      </c>
      <c r="BJ92" s="25">
        <f t="shared" si="85"/>
        <v>1</v>
      </c>
      <c r="BK92" s="351">
        <f t="shared" si="86"/>
        <v>0</v>
      </c>
      <c r="BL92" s="352">
        <f t="shared" si="87"/>
        <v>0</v>
      </c>
      <c r="BM92" s="353">
        <f t="shared" si="88"/>
        <v>0</v>
      </c>
      <c r="BN92" s="25">
        <f t="shared" si="89"/>
        <v>0</v>
      </c>
      <c r="BO92" s="25">
        <f t="shared" si="90"/>
        <v>0</v>
      </c>
      <c r="BP92" s="25">
        <f t="shared" si="91"/>
        <v>0</v>
      </c>
      <c r="BQ92" s="25">
        <f t="shared" si="92"/>
        <v>0</v>
      </c>
      <c r="BR92" s="25">
        <f t="shared" si="93"/>
        <v>1</v>
      </c>
      <c r="BS92" s="25">
        <f t="shared" si="94"/>
        <v>0</v>
      </c>
      <c r="BT92" s="345">
        <f t="shared" si="95"/>
        <v>0</v>
      </c>
      <c r="BU92" s="346">
        <f t="shared" si="96"/>
        <v>0</v>
      </c>
      <c r="BV92" s="347">
        <f t="shared" si="97"/>
        <v>0</v>
      </c>
      <c r="BX92" s="345">
        <f t="shared" si="98"/>
        <v>1</v>
      </c>
      <c r="BY92" s="345">
        <f t="shared" si="99"/>
        <v>0</v>
      </c>
      <c r="BZ92" s="345">
        <f t="shared" si="100"/>
        <v>0</v>
      </c>
      <c r="CA92" s="382">
        <f t="shared" si="101"/>
        <v>0</v>
      </c>
      <c r="CB92" s="382">
        <f t="shared" si="102"/>
        <v>0</v>
      </c>
      <c r="CC92" s="382">
        <f t="shared" si="103"/>
        <v>1</v>
      </c>
      <c r="CD92" s="385">
        <f t="shared" si="104"/>
        <v>0</v>
      </c>
      <c r="CE92" s="385">
        <f t="shared" si="105"/>
        <v>0</v>
      </c>
      <c r="CF92" s="385">
        <f t="shared" si="106"/>
        <v>0</v>
      </c>
      <c r="CG92" s="377">
        <f t="shared" si="107"/>
        <v>1</v>
      </c>
      <c r="CH92" s="377">
        <f t="shared" si="108"/>
        <v>0</v>
      </c>
      <c r="CI92" s="377">
        <f t="shared" si="109"/>
        <v>1</v>
      </c>
      <c r="CK92">
        <v>0</v>
      </c>
      <c r="CL92">
        <v>9</v>
      </c>
      <c r="CN92" s="25">
        <f t="shared" si="110"/>
        <v>2</v>
      </c>
      <c r="CO92" s="25">
        <f t="shared" si="111"/>
        <v>1</v>
      </c>
      <c r="CP92" s="25">
        <f t="shared" si="112"/>
        <v>1</v>
      </c>
      <c r="CQ92" s="25">
        <f t="shared" si="113"/>
        <v>1</v>
      </c>
      <c r="CR92" s="25">
        <f t="shared" si="114"/>
        <v>0</v>
      </c>
      <c r="CS92" s="25">
        <f t="shared" si="115"/>
        <v>2</v>
      </c>
      <c r="CT92" s="25">
        <f t="shared" si="116"/>
        <v>1</v>
      </c>
      <c r="CU92" s="25">
        <f t="shared" si="117"/>
        <v>0</v>
      </c>
      <c r="CV92" s="25">
        <f t="shared" si="118"/>
        <v>1</v>
      </c>
      <c r="DC92" s="58">
        <v>65</v>
      </c>
      <c r="DD92" s="58">
        <v>38.476043098725896</v>
      </c>
      <c r="DE92" s="58">
        <v>-72.476043098725896</v>
      </c>
      <c r="DF92" s="58">
        <v>-0.25837353202595759</v>
      </c>
      <c r="DH92" s="58">
        <v>23.118279569892472</v>
      </c>
      <c r="DI92" s="58">
        <v>-20</v>
      </c>
      <c r="DW92" s="58">
        <v>65</v>
      </c>
      <c r="DX92" s="58">
        <v>38.476043098725896</v>
      </c>
      <c r="DY92" s="58">
        <v>-72.476043098725896</v>
      </c>
      <c r="DZ92" s="58">
        <v>-0.25837353202595759</v>
      </c>
    </row>
    <row r="93" spans="1:130">
      <c r="A93" s="64" t="s">
        <v>135</v>
      </c>
      <c r="B93">
        <v>1506</v>
      </c>
      <c r="C93">
        <v>1522</v>
      </c>
      <c r="D93">
        <v>1785</v>
      </c>
      <c r="E93">
        <v>624</v>
      </c>
      <c r="F93">
        <v>711</v>
      </c>
      <c r="G93">
        <v>517</v>
      </c>
      <c r="H93">
        <v>0.41434262948207173</v>
      </c>
      <c r="I93">
        <v>0.46714848883048621</v>
      </c>
      <c r="J93">
        <v>0.28963585434173672</v>
      </c>
      <c r="K93">
        <v>269</v>
      </c>
      <c r="L93">
        <v>139.88</v>
      </c>
      <c r="M93" s="354">
        <f t="shared" si="69"/>
        <v>617.33333333333337</v>
      </c>
      <c r="X93">
        <v>0.41434262948207173</v>
      </c>
      <c r="AB93" s="64">
        <v>5.7768924302788842E-2</v>
      </c>
      <c r="AC93" s="104">
        <v>1.9920318725099601E-2</v>
      </c>
      <c r="AD93" s="104">
        <v>0.14475431606905712</v>
      </c>
      <c r="AE93" s="104">
        <v>1.9256308100929615E-2</v>
      </c>
      <c r="AF93" s="104">
        <v>0.34395750332005315</v>
      </c>
      <c r="AG93" s="64">
        <v>0</v>
      </c>
      <c r="AM93">
        <v>12</v>
      </c>
      <c r="AN93">
        <v>146</v>
      </c>
      <c r="AO93">
        <v>58</v>
      </c>
      <c r="AP93">
        <v>624</v>
      </c>
      <c r="AQ93">
        <v>711</v>
      </c>
      <c r="AR93">
        <v>517</v>
      </c>
      <c r="AS93" s="25">
        <f t="shared" si="70"/>
        <v>1</v>
      </c>
      <c r="AT93" s="25">
        <f t="shared" si="119"/>
        <v>1</v>
      </c>
      <c r="AU93" s="25">
        <f t="shared" si="120"/>
        <v>1</v>
      </c>
      <c r="AV93" s="25">
        <f t="shared" si="71"/>
        <v>1</v>
      </c>
      <c r="AW93" s="25">
        <f t="shared" si="72"/>
        <v>1</v>
      </c>
      <c r="AX93" s="25">
        <f t="shared" si="73"/>
        <v>1</v>
      </c>
      <c r="AY93" s="25">
        <f t="shared" si="74"/>
        <v>2</v>
      </c>
      <c r="AZ93" s="25">
        <f t="shared" si="75"/>
        <v>2</v>
      </c>
      <c r="BA93" s="25">
        <f t="shared" si="76"/>
        <v>2</v>
      </c>
      <c r="BB93" s="339">
        <f t="shared" si="77"/>
        <v>1</v>
      </c>
      <c r="BC93" s="340">
        <f t="shared" si="78"/>
        <v>1</v>
      </c>
      <c r="BD93" s="341">
        <f t="shared" si="79"/>
        <v>1</v>
      </c>
      <c r="BE93" s="25">
        <f t="shared" si="80"/>
        <v>0</v>
      </c>
      <c r="BF93" s="25">
        <f t="shared" si="81"/>
        <v>0</v>
      </c>
      <c r="BG93" s="25">
        <f t="shared" si="82"/>
        <v>0</v>
      </c>
      <c r="BH93" s="25">
        <f t="shared" si="83"/>
        <v>1</v>
      </c>
      <c r="BI93" s="25">
        <f t="shared" si="84"/>
        <v>1</v>
      </c>
      <c r="BJ93" s="25">
        <f t="shared" si="85"/>
        <v>1</v>
      </c>
      <c r="BK93" s="351">
        <f t="shared" si="86"/>
        <v>0</v>
      </c>
      <c r="BL93" s="352">
        <f t="shared" si="87"/>
        <v>0</v>
      </c>
      <c r="BM93" s="353">
        <f t="shared" si="88"/>
        <v>0</v>
      </c>
      <c r="BN93" s="25">
        <f t="shared" si="89"/>
        <v>0</v>
      </c>
      <c r="BO93" s="25">
        <f t="shared" si="90"/>
        <v>0</v>
      </c>
      <c r="BP93" s="25">
        <f t="shared" si="91"/>
        <v>0</v>
      </c>
      <c r="BQ93" s="25">
        <f t="shared" si="92"/>
        <v>1</v>
      </c>
      <c r="BR93" s="25">
        <f t="shared" si="93"/>
        <v>1</v>
      </c>
      <c r="BS93" s="25">
        <f t="shared" si="94"/>
        <v>1</v>
      </c>
      <c r="BT93" s="345">
        <f t="shared" si="95"/>
        <v>0</v>
      </c>
      <c r="BU93" s="346">
        <f t="shared" si="96"/>
        <v>0</v>
      </c>
      <c r="BV93" s="347">
        <f t="shared" si="97"/>
        <v>0</v>
      </c>
      <c r="BX93" s="345">
        <f t="shared" si="98"/>
        <v>0</v>
      </c>
      <c r="BY93" s="345">
        <f t="shared" si="99"/>
        <v>0</v>
      </c>
      <c r="BZ93" s="345">
        <f t="shared" si="100"/>
        <v>0</v>
      </c>
      <c r="CA93" s="382">
        <f t="shared" si="101"/>
        <v>0</v>
      </c>
      <c r="CB93" s="382">
        <f t="shared" si="102"/>
        <v>0</v>
      </c>
      <c r="CC93" s="382">
        <f t="shared" si="103"/>
        <v>0</v>
      </c>
      <c r="CD93" s="385">
        <f t="shared" si="104"/>
        <v>0</v>
      </c>
      <c r="CE93" s="385">
        <f t="shared" si="105"/>
        <v>0</v>
      </c>
      <c r="CF93" s="385">
        <f t="shared" si="106"/>
        <v>0</v>
      </c>
      <c r="CG93" s="377">
        <f t="shared" si="107"/>
        <v>0</v>
      </c>
      <c r="CH93" s="377">
        <f t="shared" si="108"/>
        <v>0</v>
      </c>
      <c r="CI93" s="377">
        <f t="shared" si="109"/>
        <v>0</v>
      </c>
      <c r="CK93">
        <v>624</v>
      </c>
      <c r="CL93">
        <v>12</v>
      </c>
      <c r="CN93" s="25">
        <f t="shared" si="110"/>
        <v>1</v>
      </c>
      <c r="CO93" s="25">
        <f t="shared" si="111"/>
        <v>1</v>
      </c>
      <c r="CP93" s="25">
        <f t="shared" si="112"/>
        <v>1</v>
      </c>
      <c r="CQ93" s="25">
        <f t="shared" si="113"/>
        <v>0</v>
      </c>
      <c r="CR93" s="25">
        <f t="shared" si="114"/>
        <v>0</v>
      </c>
      <c r="CS93" s="25">
        <f t="shared" si="115"/>
        <v>0</v>
      </c>
      <c r="CT93" s="25">
        <f t="shared" si="116"/>
        <v>0</v>
      </c>
      <c r="CU93" s="25">
        <f t="shared" si="117"/>
        <v>0</v>
      </c>
      <c r="CV93" s="25">
        <f t="shared" si="118"/>
        <v>0</v>
      </c>
      <c r="DC93" s="58">
        <v>66</v>
      </c>
      <c r="DD93" s="58">
        <v>39.252785057067499</v>
      </c>
      <c r="DE93" s="58">
        <v>-58.252785057067499</v>
      </c>
      <c r="DF93" s="58">
        <v>-0.20766831606743777</v>
      </c>
      <c r="DH93" s="58">
        <v>23.476702508960571</v>
      </c>
      <c r="DI93" s="58">
        <v>-20</v>
      </c>
      <c r="DW93" s="58">
        <v>66</v>
      </c>
      <c r="DX93" s="58">
        <v>39.252785057067499</v>
      </c>
      <c r="DY93" s="58">
        <v>-58.252785057067499</v>
      </c>
      <c r="DZ93" s="58">
        <v>-0.20766831606743777</v>
      </c>
    </row>
    <row r="94" spans="1:130">
      <c r="A94" s="134" t="s">
        <v>81</v>
      </c>
      <c r="B94">
        <v>738.02702702702697</v>
      </c>
      <c r="C94">
        <v>651.18918918918916</v>
      </c>
      <c r="D94">
        <v>722.70270270270271</v>
      </c>
      <c r="E94">
        <v>248.78378378378378</v>
      </c>
      <c r="F94">
        <v>306.67567567567568</v>
      </c>
      <c r="G94">
        <v>319.3513513513513</v>
      </c>
      <c r="H94">
        <v>0.33709305306331711</v>
      </c>
      <c r="I94">
        <v>0.47094712376525277</v>
      </c>
      <c r="J94">
        <v>0.4418848167539266</v>
      </c>
      <c r="K94">
        <v>70</v>
      </c>
      <c r="L94">
        <v>52.5</v>
      </c>
      <c r="M94" s="354">
        <f t="shared" si="69"/>
        <v>291.60360360360363</v>
      </c>
      <c r="X94">
        <v>0.33709305306331711</v>
      </c>
      <c r="AB94" s="134">
        <v>0</v>
      </c>
      <c r="AC94" s="179">
        <v>0.11868751602153295</v>
      </c>
      <c r="AD94" s="179">
        <v>0.40066649577031532</v>
      </c>
      <c r="AE94" s="179">
        <v>0</v>
      </c>
      <c r="AF94" s="179">
        <v>0.13996411176621382</v>
      </c>
      <c r="AG94" s="134">
        <v>3.5888233786207646E-3</v>
      </c>
      <c r="AM94">
        <v>-130.16216216216216</v>
      </c>
      <c r="AN94">
        <v>-74.351351351351354</v>
      </c>
      <c r="AO94">
        <v>-13.054054054054054</v>
      </c>
      <c r="AP94">
        <v>248.78378378378378</v>
      </c>
      <c r="AQ94">
        <v>306.67567567567568</v>
      </c>
      <c r="AR94">
        <v>319.3513513513513</v>
      </c>
      <c r="AS94" s="25">
        <f t="shared" si="70"/>
        <v>1</v>
      </c>
      <c r="AT94" s="25">
        <f t="shared" si="119"/>
        <v>1</v>
      </c>
      <c r="AU94" s="25">
        <f t="shared" si="120"/>
        <v>1</v>
      </c>
      <c r="AV94" s="25">
        <f t="shared" si="71"/>
        <v>0</v>
      </c>
      <c r="AW94" s="25">
        <f t="shared" si="72"/>
        <v>0</v>
      </c>
      <c r="AX94" s="25">
        <f t="shared" si="73"/>
        <v>0</v>
      </c>
      <c r="AY94" s="25">
        <f t="shared" si="74"/>
        <v>1</v>
      </c>
      <c r="AZ94" s="25">
        <f t="shared" si="75"/>
        <v>1</v>
      </c>
      <c r="BA94" s="25">
        <f t="shared" si="76"/>
        <v>1</v>
      </c>
      <c r="BB94" s="339">
        <f t="shared" si="77"/>
        <v>0</v>
      </c>
      <c r="BC94" s="340">
        <f t="shared" si="78"/>
        <v>0</v>
      </c>
      <c r="BD94" s="341">
        <f t="shared" si="79"/>
        <v>0</v>
      </c>
      <c r="BE94" s="25">
        <f t="shared" si="80"/>
        <v>1</v>
      </c>
      <c r="BF94" s="25">
        <f t="shared" si="81"/>
        <v>1</v>
      </c>
      <c r="BG94" s="25">
        <f t="shared" si="82"/>
        <v>1</v>
      </c>
      <c r="BH94" s="25">
        <f t="shared" si="83"/>
        <v>2</v>
      </c>
      <c r="BI94" s="25">
        <f t="shared" si="84"/>
        <v>2</v>
      </c>
      <c r="BJ94" s="25">
        <f t="shared" si="85"/>
        <v>2</v>
      </c>
      <c r="BK94" s="351">
        <f t="shared" si="86"/>
        <v>1</v>
      </c>
      <c r="BL94" s="352">
        <f t="shared" si="87"/>
        <v>1</v>
      </c>
      <c r="BM94" s="353">
        <f t="shared" si="88"/>
        <v>1</v>
      </c>
      <c r="BN94" s="25">
        <f t="shared" si="89"/>
        <v>0</v>
      </c>
      <c r="BO94" s="25">
        <f t="shared" si="90"/>
        <v>0</v>
      </c>
      <c r="BP94" s="25">
        <f t="shared" si="91"/>
        <v>0</v>
      </c>
      <c r="BQ94" s="25">
        <f t="shared" si="92"/>
        <v>1</v>
      </c>
      <c r="BR94" s="25">
        <f t="shared" si="93"/>
        <v>1</v>
      </c>
      <c r="BS94" s="25">
        <f t="shared" si="94"/>
        <v>1</v>
      </c>
      <c r="BT94" s="345">
        <f t="shared" si="95"/>
        <v>0</v>
      </c>
      <c r="BU94" s="346">
        <f t="shared" si="96"/>
        <v>0</v>
      </c>
      <c r="BV94" s="347">
        <f t="shared" si="97"/>
        <v>0</v>
      </c>
      <c r="BX94" s="345">
        <f t="shared" si="98"/>
        <v>0</v>
      </c>
      <c r="BY94" s="345">
        <f t="shared" si="99"/>
        <v>0</v>
      </c>
      <c r="BZ94" s="345">
        <f t="shared" si="100"/>
        <v>0</v>
      </c>
      <c r="CA94" s="382">
        <f t="shared" si="101"/>
        <v>0</v>
      </c>
      <c r="CB94" s="382">
        <f t="shared" si="102"/>
        <v>0</v>
      </c>
      <c r="CC94" s="382">
        <f t="shared" si="103"/>
        <v>0</v>
      </c>
      <c r="CD94" s="385">
        <f t="shared" si="104"/>
        <v>0</v>
      </c>
      <c r="CE94" s="385">
        <f t="shared" si="105"/>
        <v>0</v>
      </c>
      <c r="CF94" s="385">
        <f t="shared" si="106"/>
        <v>0</v>
      </c>
      <c r="CG94" s="377">
        <f t="shared" si="107"/>
        <v>0</v>
      </c>
      <c r="CH94" s="377">
        <f t="shared" si="108"/>
        <v>0</v>
      </c>
      <c r="CI94" s="377">
        <f t="shared" si="109"/>
        <v>0</v>
      </c>
      <c r="CK94">
        <v>248.78378378378378</v>
      </c>
      <c r="CL94">
        <v>-130.16216216216216</v>
      </c>
      <c r="CN94" s="25">
        <f t="shared" si="110"/>
        <v>0</v>
      </c>
      <c r="CO94" s="25">
        <f t="shared" si="111"/>
        <v>0</v>
      </c>
      <c r="CP94" s="25">
        <f t="shared" si="112"/>
        <v>0</v>
      </c>
      <c r="CQ94" s="25">
        <f t="shared" si="113"/>
        <v>1</v>
      </c>
      <c r="CR94" s="25">
        <f t="shared" si="114"/>
        <v>1</v>
      </c>
      <c r="CS94" s="25">
        <f t="shared" si="115"/>
        <v>1</v>
      </c>
      <c r="CT94" s="25">
        <f t="shared" si="116"/>
        <v>0</v>
      </c>
      <c r="CU94" s="25">
        <f t="shared" si="117"/>
        <v>0</v>
      </c>
      <c r="CV94" s="25">
        <f t="shared" si="118"/>
        <v>0</v>
      </c>
      <c r="DC94" s="58">
        <v>67</v>
      </c>
      <c r="DD94" s="58">
        <v>38.009997923720938</v>
      </c>
      <c r="DE94" s="58">
        <v>-104.00999792372093</v>
      </c>
      <c r="DF94" s="58">
        <v>-0.37079053133402529</v>
      </c>
      <c r="DH94" s="58">
        <v>23.835125448028673</v>
      </c>
      <c r="DI94" s="58">
        <v>-19</v>
      </c>
      <c r="DW94" s="58">
        <v>67</v>
      </c>
      <c r="DX94" s="58">
        <v>38.009997923720938</v>
      </c>
      <c r="DY94" s="58">
        <v>-104.00999792372093</v>
      </c>
      <c r="DZ94" s="58">
        <v>-0.37079053133402529</v>
      </c>
    </row>
    <row r="95" spans="1:130">
      <c r="X95">
        <v>0.61889250814332253</v>
      </c>
      <c r="AB95">
        <v>0</v>
      </c>
      <c r="AC95">
        <v>4.5602605863192182E-2</v>
      </c>
      <c r="AD95">
        <v>0.14006514657980457</v>
      </c>
      <c r="AE95">
        <v>1.3029315960912053E-2</v>
      </c>
      <c r="AF95">
        <v>0.11074918566775244</v>
      </c>
      <c r="AG95" s="131">
        <v>7.1661237785016318E-2</v>
      </c>
      <c r="AS95" s="25">
        <f>COUNTIF(AS2:AS94,1)</f>
        <v>70</v>
      </c>
      <c r="AT95" s="25">
        <f t="shared" ref="AT95:AU95" si="121">COUNTIF(AT2:AT94,1)</f>
        <v>81</v>
      </c>
      <c r="AU95" s="25">
        <f t="shared" si="121"/>
        <v>85</v>
      </c>
      <c r="BB95" s="155">
        <f>COUNTIF(BB2:BB94,1)</f>
        <v>39</v>
      </c>
      <c r="BC95" s="155">
        <f t="shared" ref="BC95:BD95" si="122">COUNTIF(BC2:BC94,1)</f>
        <v>47</v>
      </c>
      <c r="BD95" s="155">
        <f t="shared" si="122"/>
        <v>61</v>
      </c>
      <c r="BE95" s="25"/>
      <c r="BK95" s="142">
        <f>COUNTIF(BK2:BK94,1)</f>
        <v>26</v>
      </c>
      <c r="BL95" s="142">
        <f t="shared" ref="BL95:BM95" si="123">COUNTIF(BL2:BL94,1)</f>
        <v>30</v>
      </c>
      <c r="BM95" s="142">
        <f t="shared" si="123"/>
        <v>21</v>
      </c>
      <c r="BT95" s="172">
        <f>COUNTIF(BT2:BT94,1)</f>
        <v>5</v>
      </c>
      <c r="BU95" s="172">
        <f t="shared" ref="BU95:BV95" si="124">COUNTIF(BU2:BU94,1)</f>
        <v>4</v>
      </c>
      <c r="BV95" s="172">
        <f t="shared" si="124"/>
        <v>3</v>
      </c>
      <c r="BW95" s="386"/>
      <c r="BX95" s="378">
        <f t="shared" ref="BX95:CI95" si="125">SUM(BX2:BX94)</f>
        <v>15</v>
      </c>
      <c r="BY95" s="378">
        <f t="shared" si="125"/>
        <v>8</v>
      </c>
      <c r="BZ95" s="378">
        <f t="shared" si="125"/>
        <v>4</v>
      </c>
      <c r="CA95" s="379">
        <f t="shared" si="125"/>
        <v>7</v>
      </c>
      <c r="CB95" s="380">
        <f t="shared" si="125"/>
        <v>3</v>
      </c>
      <c r="CC95" s="380">
        <f t="shared" si="125"/>
        <v>3</v>
      </c>
      <c r="CD95" s="380">
        <f t="shared" si="125"/>
        <v>1</v>
      </c>
      <c r="CE95" s="380">
        <f t="shared" si="125"/>
        <v>1</v>
      </c>
      <c r="CF95" s="380">
        <f t="shared" si="125"/>
        <v>1</v>
      </c>
      <c r="CG95" s="380">
        <f t="shared" si="125"/>
        <v>23</v>
      </c>
      <c r="CH95" s="380">
        <f t="shared" si="125"/>
        <v>12</v>
      </c>
      <c r="CI95" s="380">
        <f t="shared" si="125"/>
        <v>8</v>
      </c>
      <c r="CK95" s="25">
        <v>190</v>
      </c>
      <c r="CL95" s="25">
        <v>-16</v>
      </c>
      <c r="DC95" s="58">
        <v>68</v>
      </c>
      <c r="DD95" s="58">
        <v>49.609344501622147</v>
      </c>
      <c r="DE95" s="58">
        <v>-22.609344501622147</v>
      </c>
      <c r="DF95" s="58">
        <v>-8.0601202078849021E-2</v>
      </c>
      <c r="DH95" s="58">
        <v>24.193548387096772</v>
      </c>
      <c r="DI95" s="58">
        <v>-18.43</v>
      </c>
      <c r="DW95" s="58">
        <v>68</v>
      </c>
      <c r="DX95" s="58">
        <v>49.609344501622147</v>
      </c>
      <c r="DY95" s="58">
        <v>-22.609344501622147</v>
      </c>
      <c r="DZ95" s="58">
        <v>-8.0601202078849021E-2</v>
      </c>
    </row>
    <row r="96" spans="1:130">
      <c r="X96">
        <v>0.4154057771664374</v>
      </c>
      <c r="AB96">
        <v>0</v>
      </c>
      <c r="AC96">
        <v>1.3755158184319119E-2</v>
      </c>
      <c r="AD96">
        <v>0.49518569463548828</v>
      </c>
      <c r="AE96">
        <v>0</v>
      </c>
      <c r="AF96">
        <v>7.5653370013755161E-2</v>
      </c>
      <c r="AG96" s="131">
        <v>0</v>
      </c>
      <c r="BX96" s="345"/>
      <c r="BY96" s="345"/>
      <c r="BZ96" s="345"/>
      <c r="CA96" s="382"/>
      <c r="CB96" s="382"/>
      <c r="CC96" s="382"/>
      <c r="CD96" s="385"/>
      <c r="CE96" s="385"/>
      <c r="CF96" s="385"/>
      <c r="CG96" s="377"/>
      <c r="CH96" s="377"/>
      <c r="CI96" s="377"/>
      <c r="CK96" s="25">
        <v>302</v>
      </c>
      <c r="CL96" s="25">
        <v>-34</v>
      </c>
      <c r="DC96" s="58">
        <v>69</v>
      </c>
      <c r="DD96" s="58">
        <v>57.687460868374771</v>
      </c>
      <c r="DE96" s="58">
        <v>59.312539131625229</v>
      </c>
      <c r="DF96" s="58">
        <v>0.21144628726475323</v>
      </c>
      <c r="DH96" s="58">
        <v>24.551971326164875</v>
      </c>
      <c r="DI96" s="58">
        <v>-17</v>
      </c>
      <c r="DW96" s="58">
        <v>69</v>
      </c>
      <c r="DX96" s="58">
        <v>57.687460868374771</v>
      </c>
      <c r="DY96" s="58">
        <v>59.312539131625229</v>
      </c>
      <c r="DZ96" s="58">
        <v>0.21144628726475323</v>
      </c>
    </row>
    <row r="97" spans="1:130" ht="18">
      <c r="A97" s="321" t="s">
        <v>593</v>
      </c>
      <c r="X97">
        <v>0</v>
      </c>
      <c r="AB97">
        <v>0</v>
      </c>
      <c r="AC97">
        <v>0</v>
      </c>
      <c r="AD97">
        <v>0.27566250380749313</v>
      </c>
      <c r="AE97">
        <v>0</v>
      </c>
      <c r="AF97">
        <v>0</v>
      </c>
      <c r="AG97" s="131">
        <v>1</v>
      </c>
      <c r="BX97" s="345"/>
      <c r="BY97" s="345"/>
      <c r="BZ97" s="345"/>
      <c r="CA97" s="382">
        <f>SUM(CA95:CC95)</f>
        <v>13</v>
      </c>
      <c r="CB97" s="382"/>
      <c r="CC97" s="382"/>
      <c r="CD97" s="385">
        <f>SUM(CD95:CF95)</f>
        <v>3</v>
      </c>
      <c r="CE97" s="385"/>
      <c r="CF97" s="385"/>
      <c r="CG97" s="377"/>
      <c r="CH97" s="377"/>
      <c r="CI97" s="377"/>
      <c r="CK97" s="25">
        <v>0</v>
      </c>
      <c r="CL97" s="25">
        <v>224</v>
      </c>
      <c r="DC97" s="58">
        <v>70</v>
      </c>
      <c r="DD97" s="58">
        <v>42.359752890433889</v>
      </c>
      <c r="DE97" s="58">
        <v>1826.6402471095662</v>
      </c>
      <c r="DF97" s="58">
        <v>6.5118827161076531</v>
      </c>
      <c r="DH97" s="58">
        <v>24.910394265232974</v>
      </c>
      <c r="DI97" s="58">
        <v>-16</v>
      </c>
      <c r="DW97" s="58">
        <v>70</v>
      </c>
      <c r="DX97" s="58">
        <v>42.359752890433889</v>
      </c>
      <c r="DY97" s="58">
        <v>1826.6402471095662</v>
      </c>
      <c r="DZ97" s="58">
        <v>6.5118827161076531</v>
      </c>
    </row>
    <row r="98" spans="1:130" ht="17" thickBot="1">
      <c r="B98" t="s">
        <v>605</v>
      </c>
      <c r="X98">
        <v>0.71738628492265066</v>
      </c>
      <c r="AB98">
        <v>0</v>
      </c>
      <c r="AC98">
        <v>1.0851997229277302E-2</v>
      </c>
      <c r="AD98">
        <v>0.146155622258139</v>
      </c>
      <c r="AE98">
        <v>6.8113599630570301E-2</v>
      </c>
      <c r="AF98">
        <v>5.7261602401293001E-2</v>
      </c>
      <c r="AG98" s="131">
        <v>2.3089355806982237E-4</v>
      </c>
      <c r="BX98" s="345"/>
      <c r="BY98" s="345"/>
      <c r="BZ98" s="345"/>
      <c r="CA98" s="382">
        <f>SUM(BX95:CF95)</f>
        <v>43</v>
      </c>
      <c r="CB98" s="382">
        <f>SUM(CA97:CD97)</f>
        <v>16</v>
      </c>
      <c r="CC98" s="382"/>
      <c r="CD98" s="385"/>
      <c r="CE98" s="385"/>
      <c r="CF98" s="385"/>
      <c r="CG98" s="377"/>
      <c r="CH98" s="377"/>
      <c r="CI98" s="377"/>
      <c r="CK98" s="25">
        <v>3107</v>
      </c>
      <c r="CL98" s="25">
        <v>-6</v>
      </c>
      <c r="DC98" s="58">
        <v>71</v>
      </c>
      <c r="DD98" s="58">
        <v>38.579608693171444</v>
      </c>
      <c r="DE98" s="58">
        <v>-25.579608693171444</v>
      </c>
      <c r="DF98" s="58">
        <v>-9.1190047956864528E-2</v>
      </c>
      <c r="DH98" s="58">
        <v>25.268817204301076</v>
      </c>
      <c r="DI98" s="58">
        <v>-15.120000000000001</v>
      </c>
      <c r="DW98" s="58">
        <v>71</v>
      </c>
      <c r="DX98" s="58">
        <v>38.579608693171444</v>
      </c>
      <c r="DY98" s="58">
        <v>-25.579608693171444</v>
      </c>
      <c r="DZ98" s="58">
        <v>-9.1190047956864528E-2</v>
      </c>
    </row>
    <row r="99" spans="1:130" ht="102">
      <c r="A99">
        <f>93*3</f>
        <v>279</v>
      </c>
      <c r="B99" s="60" t="s">
        <v>454</v>
      </c>
      <c r="C99" s="60">
        <v>2015</v>
      </c>
      <c r="D99" s="60">
        <v>2016</v>
      </c>
      <c r="E99" s="60">
        <v>2017</v>
      </c>
      <c r="F99" s="60" t="s">
        <v>376</v>
      </c>
      <c r="I99" s="60"/>
      <c r="J99" s="1" t="s">
        <v>599</v>
      </c>
      <c r="K99" s="178" t="s">
        <v>600</v>
      </c>
      <c r="L99" s="178" t="s">
        <v>601</v>
      </c>
      <c r="M99" s="178" t="s">
        <v>602</v>
      </c>
      <c r="N99" s="178" t="s">
        <v>603</v>
      </c>
      <c r="O99" s="1" t="s">
        <v>604</v>
      </c>
      <c r="S99" s="60"/>
      <c r="T99" s="61" t="s">
        <v>454</v>
      </c>
      <c r="U99" s="61"/>
      <c r="X99">
        <v>0.20977896851975888</v>
      </c>
      <c r="AB99">
        <v>4.5277963831212326E-2</v>
      </c>
      <c r="AC99">
        <v>7.9303415941058275E-2</v>
      </c>
      <c r="AD99">
        <v>0.15807099799062291</v>
      </c>
      <c r="AE99">
        <v>0</v>
      </c>
      <c r="AF99">
        <v>0.11801741460147354</v>
      </c>
      <c r="AG99" s="131">
        <v>0.38941728064300063</v>
      </c>
      <c r="BX99" s="345"/>
      <c r="BY99" s="345"/>
      <c r="BZ99" s="345"/>
      <c r="CA99" s="382"/>
      <c r="CB99" s="382"/>
      <c r="CC99" s="382"/>
      <c r="CD99" s="385"/>
      <c r="CE99" s="385"/>
      <c r="CF99" s="385"/>
      <c r="CG99" s="377"/>
      <c r="CH99" s="377"/>
      <c r="CI99" s="377"/>
      <c r="CK99">
        <v>1566</v>
      </c>
      <c r="CL99">
        <v>-312</v>
      </c>
      <c r="DC99" s="58">
        <v>72</v>
      </c>
      <c r="DD99" s="58">
        <v>59.396293176726289</v>
      </c>
      <c r="DE99" s="58">
        <v>-53.396293176726289</v>
      </c>
      <c r="DF99" s="58">
        <v>-0.19035516117196583</v>
      </c>
      <c r="DH99" s="58">
        <v>25.627240143369175</v>
      </c>
      <c r="DI99" s="58">
        <v>-15</v>
      </c>
      <c r="DW99" s="58">
        <v>72</v>
      </c>
      <c r="DX99" s="58">
        <v>59.396293176726289</v>
      </c>
      <c r="DY99" s="58">
        <v>-53.396293176726289</v>
      </c>
      <c r="DZ99" s="58">
        <v>-0.19035516117196583</v>
      </c>
    </row>
    <row r="100" spans="1:130">
      <c r="B100" s="58"/>
      <c r="C100" s="58"/>
      <c r="D100" s="58"/>
      <c r="E100" s="58"/>
      <c r="F100" s="58"/>
      <c r="G100" s="19"/>
      <c r="H100" s="19"/>
      <c r="I100" s="58"/>
      <c r="J100" s="58"/>
      <c r="K100" s="58"/>
      <c r="L100" s="58"/>
      <c r="M100" s="58"/>
      <c r="N100" s="58"/>
      <c r="O100" s="58"/>
      <c r="S100" s="58"/>
      <c r="T100" s="58"/>
      <c r="U100" s="58"/>
      <c r="X100">
        <v>0.61428571428571432</v>
      </c>
      <c r="AB100">
        <v>0</v>
      </c>
      <c r="AC100">
        <v>6.9230769230769235E-2</v>
      </c>
      <c r="AD100">
        <v>0.10164835164835165</v>
      </c>
      <c r="AE100">
        <v>1.6483516483516484E-2</v>
      </c>
      <c r="AF100">
        <v>0</v>
      </c>
      <c r="AG100" s="131">
        <v>0.1983516483516482</v>
      </c>
      <c r="BX100" s="345"/>
      <c r="BY100" s="345"/>
      <c r="BZ100" s="345"/>
      <c r="CA100" s="382"/>
      <c r="CB100" s="382"/>
      <c r="CC100" s="382"/>
      <c r="CD100" s="385"/>
      <c r="CE100" s="385"/>
      <c r="CF100" s="385"/>
      <c r="CG100" s="377"/>
      <c r="CH100" s="377"/>
      <c r="CI100" s="377"/>
      <c r="CK100">
        <v>1118</v>
      </c>
      <c r="CL100">
        <v>-12</v>
      </c>
      <c r="DC100" s="58">
        <v>73</v>
      </c>
      <c r="DD100" s="58">
        <v>46.29524547936466</v>
      </c>
      <c r="DE100" s="58">
        <v>47.70475452063534</v>
      </c>
      <c r="DF100" s="58">
        <v>0.17006510555685261</v>
      </c>
      <c r="DH100" s="58">
        <v>25.985663082437274</v>
      </c>
      <c r="DI100" s="58">
        <v>-15</v>
      </c>
      <c r="DW100" s="58">
        <v>73</v>
      </c>
      <c r="DX100" s="58">
        <v>46.29524547936466</v>
      </c>
      <c r="DY100" s="58">
        <v>47.70475452063534</v>
      </c>
      <c r="DZ100" s="58">
        <v>0.17006510555685261</v>
      </c>
    </row>
    <row r="101" spans="1:130">
      <c r="B101" s="58" t="s">
        <v>455</v>
      </c>
      <c r="C101" s="175">
        <v>0.27557786078181418</v>
      </c>
      <c r="D101" s="175">
        <v>0.36385077073530409</v>
      </c>
      <c r="E101" s="175">
        <v>0.3984024506804727</v>
      </c>
      <c r="F101" s="175">
        <v>0.34594369406586356</v>
      </c>
      <c r="G101" s="19"/>
      <c r="H101" s="19"/>
      <c r="I101" s="58" t="s">
        <v>455</v>
      </c>
      <c r="J101" s="334">
        <v>2.6183141920169808E-2</v>
      </c>
      <c r="K101" s="334">
        <v>0.13426862955956492</v>
      </c>
      <c r="L101" s="334">
        <v>0.17917516221593324</v>
      </c>
      <c r="M101" s="334">
        <v>0.103404626081645</v>
      </c>
      <c r="N101" s="334">
        <v>0.13563705210438451</v>
      </c>
      <c r="O101" s="334">
        <v>7.6124693288914108E-2</v>
      </c>
      <c r="T101" s="58"/>
      <c r="X101">
        <v>0.40229414174518641</v>
      </c>
      <c r="AB101">
        <v>3.0725112658746417E-3</v>
      </c>
      <c r="AC101">
        <v>0.13990167963949202</v>
      </c>
      <c r="AD101">
        <v>0.25071691929537077</v>
      </c>
      <c r="AE101">
        <v>2.5809094633346991E-2</v>
      </c>
      <c r="AF101">
        <v>0.16304793117574765</v>
      </c>
      <c r="AG101" s="131">
        <v>1.5157722244981464E-2</v>
      </c>
      <c r="BX101" s="345"/>
      <c r="BY101" s="345"/>
      <c r="BZ101" s="345"/>
      <c r="CA101" s="382"/>
      <c r="CB101" s="382"/>
      <c r="CC101" s="382"/>
      <c r="CD101" s="385"/>
      <c r="CE101" s="385"/>
      <c r="CF101" s="385"/>
      <c r="CG101" s="377"/>
      <c r="CH101" s="377"/>
      <c r="CI101" s="377"/>
      <c r="CK101">
        <v>1964</v>
      </c>
      <c r="CL101">
        <v>275</v>
      </c>
      <c r="DC101" s="58">
        <v>74</v>
      </c>
      <c r="DD101" s="58">
        <v>40.443789393191281</v>
      </c>
      <c r="DE101" s="58">
        <v>78.556210606808719</v>
      </c>
      <c r="DF101" s="58">
        <v>0.28004903040040513</v>
      </c>
      <c r="DH101" s="58">
        <v>26.344086021505376</v>
      </c>
      <c r="DI101" s="58">
        <v>-13.054054054054054</v>
      </c>
      <c r="DW101" s="58">
        <v>74</v>
      </c>
      <c r="DX101" s="58">
        <v>40.443789393191281</v>
      </c>
      <c r="DY101" s="58">
        <v>78.556210606808719</v>
      </c>
      <c r="DZ101" s="58">
        <v>0.28004903040040513</v>
      </c>
    </row>
    <row r="102" spans="1:130">
      <c r="A102" s="19">
        <f>236/279</f>
        <v>0.84587813620071683</v>
      </c>
      <c r="B102" s="58" t="s">
        <v>456</v>
      </c>
      <c r="C102" s="175">
        <v>2.2393279149053431E-2</v>
      </c>
      <c r="D102" s="175">
        <v>2.3428400469524189E-2</v>
      </c>
      <c r="E102" s="175">
        <v>2.3118951066338562E-2</v>
      </c>
      <c r="F102" s="175">
        <v>1.3581123893144724E-2</v>
      </c>
      <c r="G102" s="19"/>
      <c r="H102" s="19"/>
      <c r="I102" s="58" t="s">
        <v>456</v>
      </c>
      <c r="J102" s="334">
        <v>5.4894066661362916E-3</v>
      </c>
      <c r="K102" s="334">
        <v>1.0902197104603212E-2</v>
      </c>
      <c r="L102" s="334">
        <v>9.7280508583415352E-3</v>
      </c>
      <c r="M102" s="334">
        <v>8.7610280396623729E-3</v>
      </c>
      <c r="N102" s="334">
        <v>1.0341660696516984E-2</v>
      </c>
      <c r="O102" s="334">
        <v>9.0003055371090379E-3</v>
      </c>
      <c r="T102" s="58"/>
      <c r="X102">
        <v>1.5630842868895368E-2</v>
      </c>
      <c r="AB102">
        <v>9.2438860219878835E-2</v>
      </c>
      <c r="AC102">
        <v>0.10320843616782588</v>
      </c>
      <c r="AD102">
        <v>9.2064916610575129E-2</v>
      </c>
      <c r="AE102">
        <v>0.25001869718046515</v>
      </c>
      <c r="AF102">
        <v>0.13544237528980627</v>
      </c>
      <c r="AG102" s="131">
        <v>0.31119587166255336</v>
      </c>
      <c r="BX102" s="345"/>
      <c r="BY102" s="345"/>
      <c r="BZ102" s="345"/>
      <c r="CA102" s="382"/>
      <c r="CB102" s="382"/>
      <c r="CC102" s="382"/>
      <c r="CD102" s="385"/>
      <c r="CE102" s="385"/>
      <c r="CF102" s="385"/>
      <c r="CG102" s="377"/>
      <c r="CH102" s="377"/>
      <c r="CI102" s="377"/>
      <c r="CK102">
        <v>2.6124999999999998</v>
      </c>
      <c r="CL102">
        <v>0.53749999999999998</v>
      </c>
      <c r="DC102" s="58">
        <v>75</v>
      </c>
      <c r="DD102" s="58">
        <v>36.145817223701101</v>
      </c>
      <c r="DE102" s="58">
        <v>-25.145817223701101</v>
      </c>
      <c r="DF102" s="58">
        <v>-8.9643602685602841E-2</v>
      </c>
      <c r="DH102" s="58">
        <v>26.702508960573475</v>
      </c>
      <c r="DI102" s="58">
        <v>-12.725</v>
      </c>
      <c r="DW102" s="58">
        <v>75</v>
      </c>
      <c r="DX102" s="58">
        <v>36.145817223701101</v>
      </c>
      <c r="DY102" s="58">
        <v>-25.145817223701101</v>
      </c>
      <c r="DZ102" s="58">
        <v>-8.9643602685602841E-2</v>
      </c>
    </row>
    <row r="103" spans="1:130">
      <c r="B103" s="58" t="s">
        <v>431</v>
      </c>
      <c r="C103" s="175">
        <v>0.28527131782945736</v>
      </c>
      <c r="D103" s="175">
        <v>0.36912751677852351</v>
      </c>
      <c r="E103" s="175">
        <v>0.39092664092664092</v>
      </c>
      <c r="F103" s="175">
        <v>0.36084905660377359</v>
      </c>
      <c r="G103" s="19"/>
      <c r="H103" s="19"/>
      <c r="I103" s="58" t="s">
        <v>431</v>
      </c>
      <c r="J103" s="334">
        <v>0</v>
      </c>
      <c r="K103" s="334">
        <v>6.2745098039215685E-2</v>
      </c>
      <c r="L103" s="334">
        <v>0.12743628185907047</v>
      </c>
      <c r="M103" s="334">
        <v>5.4384772263766146E-2</v>
      </c>
      <c r="N103" s="334">
        <v>5.762069198997901E-2</v>
      </c>
      <c r="O103" s="334">
        <v>3.023431594860182E-3</v>
      </c>
      <c r="T103" s="58"/>
      <c r="X103">
        <v>0.22747747747747749</v>
      </c>
      <c r="AB103">
        <v>0</v>
      </c>
      <c r="AC103">
        <v>0.10540540540540541</v>
      </c>
      <c r="AD103">
        <v>0.10765765765765765</v>
      </c>
      <c r="AE103">
        <v>0.10495495495495495</v>
      </c>
      <c r="AF103">
        <v>0.18468468468468469</v>
      </c>
      <c r="AG103" s="131">
        <v>0.26981981981981984</v>
      </c>
      <c r="BX103" s="345"/>
      <c r="BY103" s="345"/>
      <c r="BZ103" s="345"/>
      <c r="CA103" s="382"/>
      <c r="CB103" s="382"/>
      <c r="CC103" s="382"/>
      <c r="CD103" s="385"/>
      <c r="CE103" s="385"/>
      <c r="CF103" s="385"/>
      <c r="CG103" s="377"/>
      <c r="CH103" s="377"/>
      <c r="CI103" s="377"/>
      <c r="CK103">
        <v>505</v>
      </c>
      <c r="CL103">
        <v>-244</v>
      </c>
      <c r="DC103" s="58">
        <v>76</v>
      </c>
      <c r="DD103" s="58">
        <v>41.866383019484566</v>
      </c>
      <c r="DE103" s="58">
        <v>-44.324483578143784</v>
      </c>
      <c r="DF103" s="58">
        <v>-0.15801460576029833</v>
      </c>
      <c r="DH103" s="58">
        <v>27.060931899641577</v>
      </c>
      <c r="DI103" s="58">
        <v>-12</v>
      </c>
      <c r="DW103" s="58">
        <v>76</v>
      </c>
      <c r="DX103" s="58">
        <v>41.866383019484566</v>
      </c>
      <c r="DY103" s="58">
        <v>-44.324483578143784</v>
      </c>
      <c r="DZ103" s="58">
        <v>-0.15801460576029833</v>
      </c>
    </row>
    <row r="104" spans="1:130">
      <c r="B104" s="58" t="s">
        <v>457</v>
      </c>
      <c r="C104" s="175">
        <v>0</v>
      </c>
      <c r="D104" s="175">
        <v>0</v>
      </c>
      <c r="E104" s="175">
        <v>0</v>
      </c>
      <c r="F104" s="175">
        <v>0</v>
      </c>
      <c r="G104" s="19"/>
      <c r="H104" s="19"/>
      <c r="I104" s="58" t="s">
        <v>457</v>
      </c>
      <c r="J104" s="334">
        <v>0</v>
      </c>
      <c r="K104" s="334">
        <v>0</v>
      </c>
      <c r="L104" s="334">
        <v>0</v>
      </c>
      <c r="M104" s="334">
        <v>0</v>
      </c>
      <c r="N104" s="334">
        <v>0</v>
      </c>
      <c r="O104" s="334">
        <v>0</v>
      </c>
      <c r="T104" s="58"/>
      <c r="X104">
        <v>0.44144144144144143</v>
      </c>
      <c r="AB104">
        <v>0</v>
      </c>
      <c r="AC104">
        <v>0.54054054054054057</v>
      </c>
      <c r="AD104">
        <v>2.7027027027027029E-2</v>
      </c>
      <c r="AE104">
        <v>0</v>
      </c>
      <c r="AF104">
        <v>0</v>
      </c>
      <c r="AG104" s="135">
        <v>-9.009009009008917E-3</v>
      </c>
      <c r="BX104" s="345"/>
      <c r="BY104" s="345"/>
      <c r="BZ104" s="345"/>
      <c r="CA104" s="382"/>
      <c r="CB104" s="382"/>
      <c r="CC104" s="382"/>
      <c r="CD104" s="385"/>
      <c r="CE104" s="385"/>
      <c r="CF104" s="385"/>
      <c r="CG104" s="377"/>
      <c r="CH104" s="377"/>
      <c r="CI104" s="377"/>
      <c r="CK104">
        <v>49</v>
      </c>
      <c r="CL104">
        <v>0</v>
      </c>
      <c r="DC104" s="58">
        <v>77</v>
      </c>
      <c r="DD104" s="58">
        <v>43.809671212671546</v>
      </c>
      <c r="DE104" s="58">
        <v>-66.809671212671546</v>
      </c>
      <c r="DF104" s="58">
        <v>-0.23817319470927828</v>
      </c>
      <c r="DH104" s="58">
        <v>27.419354838709676</v>
      </c>
      <c r="DI104" s="58">
        <v>-10</v>
      </c>
      <c r="DW104" s="58">
        <v>77</v>
      </c>
      <c r="DX104" s="58">
        <v>43.809671212671546</v>
      </c>
      <c r="DY104" s="58">
        <v>-66.809671212671546</v>
      </c>
      <c r="DZ104" s="58">
        <v>-0.23817319470927828</v>
      </c>
    </row>
    <row r="105" spans="1:130">
      <c r="B105" s="58" t="s">
        <v>458</v>
      </c>
      <c r="C105" s="175">
        <v>0.2159529635068968</v>
      </c>
      <c r="D105" s="175">
        <v>0.22593531201677464</v>
      </c>
      <c r="E105" s="175">
        <v>0.22295109004425476</v>
      </c>
      <c r="F105" s="175">
        <v>0.22684949285829159</v>
      </c>
      <c r="G105" s="19"/>
      <c r="H105" s="19"/>
      <c r="I105" s="58" t="s">
        <v>458</v>
      </c>
      <c r="J105" s="334">
        <v>9.1691168426385625E-2</v>
      </c>
      <c r="K105" s="334">
        <v>0.18210259354667527</v>
      </c>
      <c r="L105" s="334">
        <v>0.16249048466661603</v>
      </c>
      <c r="M105" s="334">
        <v>0.14633801910296018</v>
      </c>
      <c r="N105" s="334">
        <v>0.17273978963564152</v>
      </c>
      <c r="O105" s="334">
        <v>0.15033474127229227</v>
      </c>
      <c r="T105" s="58"/>
      <c r="X105">
        <v>0.36184565569347005</v>
      </c>
      <c r="AB105">
        <v>0</v>
      </c>
      <c r="AC105">
        <v>0.28710199676200754</v>
      </c>
      <c r="AD105">
        <v>0.34835402050728548</v>
      </c>
      <c r="AE105">
        <v>0</v>
      </c>
      <c r="AF105">
        <v>2.6983270372369131E-3</v>
      </c>
      <c r="AG105" s="131">
        <v>0</v>
      </c>
      <c r="BX105" s="345"/>
      <c r="BY105" s="345"/>
      <c r="BZ105" s="345"/>
      <c r="CA105" s="382"/>
      <c r="CB105" s="382"/>
      <c r="CC105" s="382"/>
      <c r="CD105" s="385"/>
      <c r="CE105" s="385"/>
      <c r="CF105" s="385"/>
      <c r="CG105" s="377"/>
      <c r="CH105" s="377"/>
      <c r="CI105" s="377"/>
      <c r="CK105">
        <v>1341</v>
      </c>
      <c r="CL105">
        <v>1193</v>
      </c>
      <c r="DC105" s="58">
        <v>78</v>
      </c>
      <c r="DD105" s="58">
        <v>41.220531351532877</v>
      </c>
      <c r="DE105" s="58">
        <v>17.779468648467123</v>
      </c>
      <c r="DF105" s="58">
        <v>6.3382932012329807E-2</v>
      </c>
      <c r="DH105" s="58">
        <v>27.777777777777775</v>
      </c>
      <c r="DI105" s="58">
        <v>-9.0681818181818183</v>
      </c>
      <c r="DW105" s="58">
        <v>78</v>
      </c>
      <c r="DX105" s="58">
        <v>41.220531351532877</v>
      </c>
      <c r="DY105" s="58">
        <v>17.779468648467123</v>
      </c>
      <c r="DZ105" s="58">
        <v>6.3382932012329807E-2</v>
      </c>
    </row>
    <row r="106" spans="1:130">
      <c r="B106" s="58" t="s">
        <v>459</v>
      </c>
      <c r="C106" s="175">
        <v>4.6635682447411106E-2</v>
      </c>
      <c r="D106" s="175">
        <v>5.1046765216117312E-2</v>
      </c>
      <c r="E106" s="175">
        <v>4.9707188551921397E-2</v>
      </c>
      <c r="F106" s="175">
        <v>5.1460692410064089E-2</v>
      </c>
      <c r="G106" s="19"/>
      <c r="H106" s="19"/>
      <c r="I106" s="58" t="s">
        <v>459</v>
      </c>
      <c r="J106" s="334">
        <v>8.4072703673958148E-3</v>
      </c>
      <c r="K106" s="334">
        <v>3.3161354576425613E-2</v>
      </c>
      <c r="L106" s="334">
        <v>2.640315760719178E-2</v>
      </c>
      <c r="M106" s="334">
        <v>2.1414815834978337E-2</v>
      </c>
      <c r="N106" s="334">
        <v>2.9839034923365679E-2</v>
      </c>
      <c r="O106" s="334">
        <v>2.2600534433407059E-2</v>
      </c>
      <c r="T106" s="58"/>
      <c r="X106">
        <v>0.41503604531410915</v>
      </c>
      <c r="AB106">
        <v>0</v>
      </c>
      <c r="AC106">
        <v>0.1065175812858614</v>
      </c>
      <c r="AD106">
        <v>0.34397528321318233</v>
      </c>
      <c r="AE106">
        <v>0.13152861556569076</v>
      </c>
      <c r="AF106">
        <v>4.7079593938502279E-2</v>
      </c>
      <c r="AG106" s="131">
        <v>0</v>
      </c>
      <c r="BX106" s="345"/>
      <c r="BY106" s="345"/>
      <c r="BZ106" s="345"/>
      <c r="CA106" s="382"/>
      <c r="CB106" s="382"/>
      <c r="CC106" s="382"/>
      <c r="CD106" s="385"/>
      <c r="CE106" s="385"/>
      <c r="CF106" s="385"/>
      <c r="CG106" s="377"/>
      <c r="CH106" s="377"/>
      <c r="CI106" s="377"/>
      <c r="CK106">
        <v>64.11363636363636</v>
      </c>
      <c r="CL106">
        <v>6.954545454545455</v>
      </c>
      <c r="DC106" s="58">
        <v>79</v>
      </c>
      <c r="DD106" s="58">
        <v>39.201002259844721</v>
      </c>
      <c r="DE106" s="58">
        <v>-39.201002259844721</v>
      </c>
      <c r="DF106" s="58">
        <v>-0.1397496466389137</v>
      </c>
      <c r="DH106" s="58">
        <v>28.136200716845877</v>
      </c>
      <c r="DI106" s="58">
        <v>-8</v>
      </c>
      <c r="DW106" s="58">
        <v>79</v>
      </c>
      <c r="DX106" s="58">
        <v>39.201002259844721</v>
      </c>
      <c r="DY106" s="58">
        <v>-39.201002259844721</v>
      </c>
      <c r="DZ106" s="58">
        <v>-0.1397496466389137</v>
      </c>
    </row>
    <row r="107" spans="1:130">
      <c r="B107" s="58" t="s">
        <v>412</v>
      </c>
      <c r="C107" s="175">
        <v>0</v>
      </c>
      <c r="D107" s="175">
        <v>0</v>
      </c>
      <c r="E107" s="175">
        <v>0</v>
      </c>
      <c r="F107" s="175">
        <v>0</v>
      </c>
      <c r="G107" s="19"/>
      <c r="H107" s="19"/>
      <c r="I107" s="58" t="s">
        <v>412</v>
      </c>
      <c r="J107" s="334">
        <v>0</v>
      </c>
      <c r="K107" s="334">
        <v>0</v>
      </c>
      <c r="L107" s="334">
        <v>0</v>
      </c>
      <c r="M107" s="334">
        <v>0</v>
      </c>
      <c r="N107" s="334">
        <v>0</v>
      </c>
      <c r="O107" s="334">
        <v>-2.5941939468808073E-2</v>
      </c>
      <c r="T107" s="58"/>
      <c r="X107">
        <v>0.36184565569347005</v>
      </c>
      <c r="AB107">
        <v>0</v>
      </c>
      <c r="AC107">
        <v>0.28710199676200754</v>
      </c>
      <c r="AD107">
        <v>0.34835402050728548</v>
      </c>
      <c r="AE107">
        <v>0</v>
      </c>
      <c r="AF107">
        <v>2.6983270372369131E-3</v>
      </c>
      <c r="AG107" s="131">
        <v>0</v>
      </c>
      <c r="BX107" s="345"/>
      <c r="BY107" s="345"/>
      <c r="BZ107" s="345"/>
      <c r="CA107" s="382"/>
      <c r="CB107" s="382"/>
      <c r="CC107" s="382"/>
      <c r="CD107" s="385"/>
      <c r="CE107" s="385"/>
      <c r="CF107" s="385"/>
      <c r="CG107" s="377"/>
      <c r="CH107" s="377"/>
      <c r="CI107" s="377"/>
      <c r="CK107">
        <v>1341</v>
      </c>
      <c r="CL107">
        <v>1193</v>
      </c>
      <c r="DC107" s="58">
        <v>80</v>
      </c>
      <c r="DD107" s="58">
        <v>46.338225201059558</v>
      </c>
      <c r="DE107" s="58">
        <v>-151.63822520105956</v>
      </c>
      <c r="DF107" s="58">
        <v>-0.54058282102923039</v>
      </c>
      <c r="DH107" s="58">
        <v>28.494623655913976</v>
      </c>
      <c r="DI107" s="58">
        <v>-7.4700000000000006</v>
      </c>
      <c r="DW107" s="58">
        <v>80</v>
      </c>
      <c r="DX107" s="58">
        <v>46.338225201059558</v>
      </c>
      <c r="DY107" s="58">
        <v>-151.63822520105956</v>
      </c>
      <c r="DZ107" s="58">
        <v>-0.54058282102923039</v>
      </c>
    </row>
    <row r="108" spans="1:130">
      <c r="B108" s="58" t="s">
        <v>413</v>
      </c>
      <c r="C108" s="175">
        <v>0.9285714285714286</v>
      </c>
      <c r="D108" s="175">
        <v>0.83913669064748198</v>
      </c>
      <c r="E108" s="175">
        <v>0.83315817130846037</v>
      </c>
      <c r="F108" s="175">
        <v>0.9285714285714286</v>
      </c>
      <c r="G108" s="19"/>
      <c r="H108" s="19"/>
      <c r="I108" s="58" t="s">
        <v>413</v>
      </c>
      <c r="J108" s="334">
        <v>0.76584158415841586</v>
      </c>
      <c r="K108" s="334">
        <v>0.89130434782608692</v>
      </c>
      <c r="L108" s="334">
        <v>0.84022186437645374</v>
      </c>
      <c r="M108" s="334">
        <v>1</v>
      </c>
      <c r="N108" s="334">
        <v>0.72621184919210058</v>
      </c>
      <c r="O108" s="334">
        <v>1</v>
      </c>
      <c r="T108" s="58"/>
      <c r="X108">
        <v>0.72222222222222221</v>
      </c>
      <c r="AB108">
        <v>0</v>
      </c>
      <c r="AC108">
        <v>0</v>
      </c>
      <c r="AD108">
        <v>0</v>
      </c>
      <c r="AE108">
        <v>0</v>
      </c>
      <c r="AF108">
        <v>0</v>
      </c>
      <c r="AG108" s="30">
        <v>0</v>
      </c>
      <c r="BX108" s="345"/>
      <c r="BY108" s="345"/>
      <c r="BZ108" s="345"/>
      <c r="CA108" s="382"/>
      <c r="CB108" s="382"/>
      <c r="CC108" s="382"/>
      <c r="CD108" s="385"/>
      <c r="CE108" s="385"/>
      <c r="CF108" s="385"/>
      <c r="CG108" s="377"/>
      <c r="CH108" s="377"/>
      <c r="CI108" s="377"/>
      <c r="CK108">
        <v>13</v>
      </c>
      <c r="CL108">
        <v>-6</v>
      </c>
      <c r="DC108" s="58">
        <v>81</v>
      </c>
      <c r="DD108" s="58">
        <v>66.645884787914554</v>
      </c>
      <c r="DE108" s="58">
        <v>11.354115212085446</v>
      </c>
      <c r="DF108" s="58">
        <v>4.0476862766639407E-2</v>
      </c>
      <c r="DH108" s="58">
        <v>28.853046594982079</v>
      </c>
      <c r="DI108" s="58">
        <v>-6</v>
      </c>
      <c r="DW108" s="58">
        <v>81</v>
      </c>
      <c r="DX108" s="58">
        <v>66.645884787914554</v>
      </c>
      <c r="DY108" s="58">
        <v>11.354115212085446</v>
      </c>
      <c r="DZ108" s="58">
        <v>4.0476862766639407E-2</v>
      </c>
    </row>
    <row r="109" spans="1:130">
      <c r="B109" s="58" t="s">
        <v>463</v>
      </c>
      <c r="C109" s="175">
        <v>25.628741052708719</v>
      </c>
      <c r="D109" s="175">
        <v>33.838121678383281</v>
      </c>
      <c r="E109" s="175">
        <v>37.051427913283959</v>
      </c>
      <c r="F109" s="175">
        <v>96.518290644375938</v>
      </c>
      <c r="G109" s="19"/>
      <c r="H109" s="19"/>
      <c r="I109" s="58" t="s">
        <v>463</v>
      </c>
      <c r="J109" s="334">
        <v>7.3050965957273766</v>
      </c>
      <c r="K109" s="334">
        <v>37.460947647118616</v>
      </c>
      <c r="L109" s="334">
        <v>49.989870258245375</v>
      </c>
      <c r="M109" s="334">
        <v>28.849890676778955</v>
      </c>
      <c r="N109" s="334">
        <v>37.842737537123277</v>
      </c>
      <c r="O109" s="334">
        <v>21.238789427607035</v>
      </c>
      <c r="T109" s="58"/>
      <c r="X109">
        <v>0.62810503903477644</v>
      </c>
      <c r="AB109">
        <v>0.14620298083747338</v>
      </c>
      <c r="AC109">
        <v>7.23917672107878E-2</v>
      </c>
      <c r="AD109">
        <v>4.9680624556422998E-2</v>
      </c>
      <c r="AE109">
        <v>0</v>
      </c>
      <c r="AF109">
        <v>0</v>
      </c>
      <c r="AG109" s="30">
        <v>0.10361958836053942</v>
      </c>
      <c r="BX109" s="345"/>
      <c r="BY109" s="345"/>
      <c r="BZ109" s="345"/>
      <c r="CA109" s="382"/>
      <c r="CB109" s="382"/>
      <c r="CC109" s="382"/>
      <c r="CD109" s="385"/>
      <c r="CE109" s="385"/>
      <c r="CF109" s="385"/>
      <c r="CG109" s="377"/>
      <c r="CH109" s="377"/>
      <c r="CI109" s="377"/>
      <c r="CK109">
        <v>885</v>
      </c>
      <c r="CL109">
        <v>-228</v>
      </c>
      <c r="DC109" s="58">
        <v>82</v>
      </c>
      <c r="DD109" s="58">
        <v>128.11206509134638</v>
      </c>
      <c r="DE109" s="58">
        <v>14.887934908653619</v>
      </c>
      <c r="DF109" s="58">
        <v>5.3074756325776982E-2</v>
      </c>
      <c r="DH109" s="58">
        <v>29.211469534050178</v>
      </c>
      <c r="DI109" s="58">
        <v>-6</v>
      </c>
      <c r="DW109" s="58">
        <v>82</v>
      </c>
      <c r="DX109" s="58">
        <v>128.11206509134638</v>
      </c>
      <c r="DY109" s="58">
        <v>14.887934908653619</v>
      </c>
      <c r="DZ109" s="58">
        <v>5.3074756325776982E-2</v>
      </c>
    </row>
    <row r="110" spans="1:130">
      <c r="B110" s="58" t="s">
        <v>464</v>
      </c>
      <c r="C110" s="175">
        <v>93</v>
      </c>
      <c r="D110" s="175">
        <v>93</v>
      </c>
      <c r="E110" s="175">
        <v>93</v>
      </c>
      <c r="F110" s="175">
        <v>279</v>
      </c>
      <c r="G110" s="19"/>
      <c r="H110" s="19"/>
      <c r="I110" s="58" t="s">
        <v>464</v>
      </c>
      <c r="J110" s="334">
        <v>279</v>
      </c>
      <c r="K110" s="334">
        <v>279</v>
      </c>
      <c r="L110" s="334">
        <v>279</v>
      </c>
      <c r="M110" s="334">
        <v>279</v>
      </c>
      <c r="N110" s="334">
        <v>279</v>
      </c>
      <c r="O110" s="334">
        <v>279</v>
      </c>
      <c r="T110" s="58"/>
      <c r="X110">
        <v>0</v>
      </c>
      <c r="AB110">
        <v>0</v>
      </c>
      <c r="AC110">
        <v>0.42105263157894735</v>
      </c>
      <c r="AD110">
        <v>0.47368421052631576</v>
      </c>
      <c r="AE110">
        <v>0.10526315789473684</v>
      </c>
      <c r="AF110">
        <v>0</v>
      </c>
      <c r="AG110" s="28">
        <v>0</v>
      </c>
      <c r="BX110" s="345"/>
      <c r="BY110" s="345"/>
      <c r="BZ110" s="345"/>
      <c r="CA110" s="382"/>
      <c r="CB110" s="382"/>
      <c r="CC110" s="382"/>
      <c r="CD110" s="385"/>
      <c r="CE110" s="385"/>
      <c r="CF110" s="385"/>
      <c r="CG110" s="377"/>
      <c r="CH110" s="377"/>
      <c r="CI110" s="377"/>
      <c r="CK110">
        <v>0</v>
      </c>
      <c r="CL110">
        <v>-63</v>
      </c>
      <c r="DC110" s="58">
        <v>83</v>
      </c>
      <c r="DD110" s="58">
        <v>47.952294990493399</v>
      </c>
      <c r="DE110" s="58">
        <v>96.047705009506601</v>
      </c>
      <c r="DF110" s="58">
        <v>0.34240534837821102</v>
      </c>
      <c r="DH110" s="58">
        <v>29.56989247311828</v>
      </c>
      <c r="DI110" s="58">
        <v>-5.3619631901840483</v>
      </c>
      <c r="DW110" s="58">
        <v>83</v>
      </c>
      <c r="DX110" s="58">
        <v>47.952294990493399</v>
      </c>
      <c r="DY110" s="58">
        <v>96.047705009506601</v>
      </c>
      <c r="DZ110" s="58">
        <v>0.34240534837821102</v>
      </c>
    </row>
    <row r="111" spans="1:130" ht="17" thickBot="1">
      <c r="B111" s="59" t="s">
        <v>467</v>
      </c>
      <c r="C111" s="192">
        <v>4.4474985309602061E-2</v>
      </c>
      <c r="D111" s="192">
        <v>4.6530825600573415E-2</v>
      </c>
      <c r="E111" s="192">
        <v>4.5916232375117751E-2</v>
      </c>
      <c r="F111" s="192">
        <v>2.6734903797461011E-2</v>
      </c>
      <c r="G111" s="19"/>
      <c r="H111" s="19"/>
      <c r="I111" s="59" t="s">
        <v>467</v>
      </c>
      <c r="J111" s="335">
        <v>1.0806083522908853E-2</v>
      </c>
      <c r="K111" s="335">
        <v>2.1461345398641734E-2</v>
      </c>
      <c r="L111" s="335">
        <v>1.9149998621678689E-2</v>
      </c>
      <c r="M111" s="335">
        <v>1.7246381348855869E-2</v>
      </c>
      <c r="N111" s="335">
        <v>2.0357910435300889E-2</v>
      </c>
      <c r="O111" s="335">
        <v>1.771740723194665E-2</v>
      </c>
      <c r="T111" s="58"/>
      <c r="X111">
        <v>0.1186953062848051</v>
      </c>
      <c r="AB111">
        <v>0</v>
      </c>
      <c r="AC111">
        <v>3.5640413683373111E-2</v>
      </c>
      <c r="AD111">
        <v>0.3382657120127287</v>
      </c>
      <c r="AE111">
        <v>0.38313444709626093</v>
      </c>
      <c r="AF111">
        <v>3.8981702466189337E-2</v>
      </c>
      <c r="AG111" s="132">
        <v>8.528241845664275E-2</v>
      </c>
      <c r="BX111" s="345"/>
      <c r="BY111" s="345"/>
      <c r="BZ111" s="345"/>
      <c r="CA111" s="382"/>
      <c r="CB111" s="382"/>
      <c r="CC111" s="382"/>
      <c r="CD111" s="385"/>
      <c r="CE111" s="385"/>
      <c r="CF111" s="385"/>
      <c r="CG111" s="377"/>
      <c r="CH111" s="377"/>
      <c r="CI111" s="377"/>
      <c r="CK111">
        <v>746</v>
      </c>
      <c r="CL111">
        <v>-391</v>
      </c>
      <c r="DC111" s="58">
        <v>84</v>
      </c>
      <c r="DD111" s="58">
        <v>43.188277645998262</v>
      </c>
      <c r="DE111" s="58">
        <v>-20.188277645998262</v>
      </c>
      <c r="DF111" s="58">
        <v>-7.1970217714727211E-2</v>
      </c>
      <c r="DH111" s="58">
        <v>29.928315412186379</v>
      </c>
      <c r="DI111" s="58">
        <v>-5</v>
      </c>
      <c r="DW111" s="58">
        <v>84</v>
      </c>
      <c r="DX111" s="58">
        <v>43.188277645998262</v>
      </c>
      <c r="DY111" s="58">
        <v>-20.188277645998262</v>
      </c>
      <c r="DZ111" s="58">
        <v>-7.1970217714727211E-2</v>
      </c>
    </row>
    <row r="112" spans="1:130">
      <c r="C112" s="11"/>
      <c r="D112" s="11"/>
      <c r="E112" s="11"/>
      <c r="F112" s="19"/>
      <c r="G112" s="19"/>
      <c r="H112" s="19"/>
      <c r="I112" s="11"/>
      <c r="J112" s="19"/>
      <c r="K112" s="15"/>
      <c r="T112" s="58"/>
      <c r="X112">
        <v>0.45913895333848931</v>
      </c>
      <c r="AB112">
        <v>0</v>
      </c>
      <c r="AC112">
        <v>7.9401907708172209E-2</v>
      </c>
      <c r="AD112">
        <v>0.17220933230213975</v>
      </c>
      <c r="AE112">
        <v>0.20830110853312711</v>
      </c>
      <c r="AF112">
        <v>8.0948698118071677E-2</v>
      </c>
      <c r="AG112" s="132">
        <v>0</v>
      </c>
      <c r="BX112" s="345"/>
      <c r="BY112" s="345"/>
      <c r="BZ112" s="345"/>
      <c r="CA112" s="382"/>
      <c r="CB112" s="382"/>
      <c r="CC112" s="382"/>
      <c r="CD112" s="385"/>
      <c r="CE112" s="385"/>
      <c r="CF112" s="385"/>
      <c r="CG112" s="377"/>
      <c r="CH112" s="377"/>
      <c r="CI112" s="377"/>
      <c r="CK112">
        <v>266.31775700934577</v>
      </c>
      <c r="CL112">
        <v>37.383177570093459</v>
      </c>
      <c r="DC112" s="58">
        <v>85</v>
      </c>
      <c r="DD112" s="58">
        <v>55.046538210013338</v>
      </c>
      <c r="DE112" s="58">
        <v>-55.046538210013338</v>
      </c>
      <c r="DF112" s="58">
        <v>-0.19623820361921782</v>
      </c>
      <c r="DH112" s="58">
        <v>30.286738351254478</v>
      </c>
      <c r="DI112" s="58">
        <v>-5</v>
      </c>
      <c r="DW112" s="58">
        <v>85</v>
      </c>
      <c r="DX112" s="58">
        <v>55.046538210013338</v>
      </c>
      <c r="DY112" s="58">
        <v>-55.046538210013338</v>
      </c>
      <c r="DZ112" s="58">
        <v>-0.19623820361921782</v>
      </c>
    </row>
    <row r="113" spans="1:130">
      <c r="C113" s="11"/>
      <c r="D113" s="11"/>
      <c r="E113" s="11"/>
      <c r="F113" s="19"/>
      <c r="G113" s="19"/>
      <c r="H113" s="19"/>
      <c r="I113" s="11"/>
      <c r="J113" s="188"/>
      <c r="K113" s="174"/>
      <c r="L113" s="83"/>
      <c r="M113" s="83"/>
      <c r="N113" s="83"/>
      <c r="O113" s="83"/>
      <c r="P113" s="83"/>
      <c r="Q113" s="83"/>
      <c r="R113" s="83"/>
      <c r="S113" s="83"/>
      <c r="T113" s="58"/>
      <c r="U113" s="83"/>
      <c r="V113" s="83"/>
      <c r="X113">
        <v>0.22748091603053436</v>
      </c>
      <c r="AB113">
        <v>0</v>
      </c>
      <c r="AC113">
        <v>9.8854961832061064E-2</v>
      </c>
      <c r="AD113">
        <v>0.3984732824427481</v>
      </c>
      <c r="AE113">
        <v>4.6183206106870232E-2</v>
      </c>
      <c r="AF113">
        <v>0.20610687022900764</v>
      </c>
      <c r="AG113" s="132">
        <v>2.2900763358778664E-2</v>
      </c>
      <c r="BX113" s="345"/>
      <c r="BY113" s="345"/>
      <c r="BZ113" s="345"/>
      <c r="CA113" s="382"/>
      <c r="CB113" s="382"/>
      <c r="CC113" s="382"/>
      <c r="CD113" s="385"/>
      <c r="CE113" s="385"/>
      <c r="CF113" s="385"/>
      <c r="CG113" s="377"/>
      <c r="CH113" s="377"/>
      <c r="CI113" s="377"/>
      <c r="CK113">
        <v>596</v>
      </c>
      <c r="CL113">
        <v>189</v>
      </c>
      <c r="DC113" s="58">
        <v>86</v>
      </c>
      <c r="DD113" s="58">
        <v>36.145817223701101</v>
      </c>
      <c r="DE113" s="58">
        <v>438.8541827762989</v>
      </c>
      <c r="DF113" s="58">
        <v>1.5644935954053323</v>
      </c>
      <c r="DH113" s="58">
        <v>30.64516129032258</v>
      </c>
      <c r="DI113" s="58">
        <v>-3</v>
      </c>
      <c r="DW113" s="58">
        <v>86</v>
      </c>
      <c r="DX113" s="58">
        <v>36.145817223701101</v>
      </c>
      <c r="DY113" s="58">
        <v>438.8541827762989</v>
      </c>
      <c r="DZ113" s="58">
        <v>1.5644935954053323</v>
      </c>
    </row>
    <row r="114" spans="1:130"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58"/>
      <c r="U114" s="83"/>
      <c r="V114" s="83"/>
      <c r="X114">
        <v>0.20193151887620719</v>
      </c>
      <c r="AB114">
        <v>2.5460930640913083E-2</v>
      </c>
      <c r="AC114">
        <v>3.9508340649692712E-2</v>
      </c>
      <c r="AD114">
        <v>0.67690956979806849</v>
      </c>
      <c r="AE114">
        <v>9.6575943810359964E-3</v>
      </c>
      <c r="AF114">
        <v>0</v>
      </c>
      <c r="AG114" s="132">
        <v>4.6532045654082532E-2</v>
      </c>
      <c r="BX114" s="345"/>
      <c r="BY114" s="345"/>
      <c r="BZ114" s="345"/>
      <c r="CA114" s="382"/>
      <c r="CB114" s="382"/>
      <c r="CC114" s="382"/>
      <c r="CD114" s="385"/>
      <c r="CE114" s="385"/>
      <c r="CF114" s="385"/>
      <c r="CG114" s="377"/>
      <c r="CH114" s="377"/>
      <c r="CI114" s="377"/>
      <c r="CK114">
        <v>230</v>
      </c>
      <c r="CL114">
        <v>14</v>
      </c>
      <c r="DC114" s="58">
        <v>87</v>
      </c>
      <c r="DD114" s="58">
        <v>44.741761562681461</v>
      </c>
      <c r="DE114" s="58">
        <v>-276.74176156268146</v>
      </c>
      <c r="DF114" s="58">
        <v>-0.9865707803147491</v>
      </c>
      <c r="DH114" s="58">
        <v>31.003584229390679</v>
      </c>
      <c r="DI114" s="58">
        <v>-2.4581005586592179</v>
      </c>
      <c r="DW114" s="58">
        <v>87</v>
      </c>
      <c r="DX114" s="58">
        <v>44.741761562681461</v>
      </c>
      <c r="DY114" s="58">
        <v>-276.74176156268146</v>
      </c>
      <c r="DZ114" s="58">
        <v>-0.9865707803147491</v>
      </c>
    </row>
    <row r="115" spans="1:130">
      <c r="C115">
        <v>2015</v>
      </c>
      <c r="D115">
        <v>2016</v>
      </c>
      <c r="E115">
        <v>2017</v>
      </c>
      <c r="F115" t="s">
        <v>376</v>
      </c>
      <c r="G115" t="s">
        <v>375</v>
      </c>
      <c r="I115" t="s">
        <v>643</v>
      </c>
      <c r="R115" s="83"/>
      <c r="S115" s="83"/>
      <c r="T115" s="83"/>
      <c r="U115" s="83"/>
      <c r="V115" s="83"/>
      <c r="X115">
        <v>0.24539877300613497</v>
      </c>
      <c r="AB115">
        <v>0</v>
      </c>
      <c r="AC115">
        <v>6.1349693251533742E-2</v>
      </c>
      <c r="AD115">
        <v>0.69325153374233128</v>
      </c>
      <c r="AE115">
        <v>0</v>
      </c>
      <c r="AF115">
        <v>0</v>
      </c>
      <c r="AG115" s="132">
        <v>0</v>
      </c>
      <c r="BX115" s="345"/>
      <c r="BY115" s="345"/>
      <c r="BZ115" s="345"/>
      <c r="CA115" s="382"/>
      <c r="CB115" s="382"/>
      <c r="CC115" s="382"/>
      <c r="CD115" s="385"/>
      <c r="CE115" s="385"/>
      <c r="CF115" s="385"/>
      <c r="CG115" s="377"/>
      <c r="CH115" s="377"/>
      <c r="CI115" s="377"/>
      <c r="CK115">
        <v>40</v>
      </c>
      <c r="CL115">
        <v>55</v>
      </c>
      <c r="DC115" s="58">
        <v>88</v>
      </c>
      <c r="DD115" s="58">
        <v>251.25155688710117</v>
      </c>
      <c r="DE115" s="58">
        <v>-225.25155688710117</v>
      </c>
      <c r="DF115" s="58">
        <v>-0.80301073098028108</v>
      </c>
      <c r="DH115" s="58">
        <v>31.362007168458781</v>
      </c>
      <c r="DI115" s="58">
        <v>-1.6319018404907977</v>
      </c>
      <c r="DW115" s="58">
        <v>88</v>
      </c>
      <c r="DX115" s="58">
        <v>251.25155688710117</v>
      </c>
      <c r="DY115" s="58">
        <v>-225.25155688710117</v>
      </c>
      <c r="DZ115" s="58">
        <v>-0.80301073098028108</v>
      </c>
    </row>
    <row r="116" spans="1:130" ht="19" thickBot="1">
      <c r="A116" s="321" t="s">
        <v>594</v>
      </c>
      <c r="B116" t="s">
        <v>376</v>
      </c>
      <c r="C116">
        <f>SUM(C117:C119)</f>
        <v>70</v>
      </c>
      <c r="D116">
        <f>SUM(D117:D119)</f>
        <v>81</v>
      </c>
      <c r="E116">
        <f>SUM(E117:E119)</f>
        <v>85</v>
      </c>
      <c r="F116">
        <f>SUM(C116:E116)</f>
        <v>236</v>
      </c>
      <c r="G116" s="11">
        <f>AVERAGEA(C116:E116)</f>
        <v>78.666666666666671</v>
      </c>
      <c r="R116" s="83"/>
      <c r="S116" s="83"/>
      <c r="T116" s="83"/>
      <c r="U116" s="83"/>
      <c r="V116" s="83"/>
      <c r="X116">
        <v>0.30960086299892131</v>
      </c>
      <c r="AB116">
        <v>0</v>
      </c>
      <c r="AC116">
        <v>4.3149946062567425E-2</v>
      </c>
      <c r="AD116">
        <v>0.2394822006472492</v>
      </c>
      <c r="AE116">
        <v>1.1866235167206042E-2</v>
      </c>
      <c r="AF116">
        <v>7.0118662351672065E-2</v>
      </c>
      <c r="AG116" s="132">
        <v>0.30420711974110015</v>
      </c>
      <c r="BX116" s="345"/>
      <c r="BY116" s="345"/>
      <c r="BZ116" s="345"/>
      <c r="CA116" s="382"/>
      <c r="CB116" s="382"/>
      <c r="CC116" s="382"/>
      <c r="CD116" s="385"/>
      <c r="CE116" s="385"/>
      <c r="CF116" s="385"/>
      <c r="CG116" s="377"/>
      <c r="CH116" s="377"/>
      <c r="CI116" s="377"/>
      <c r="CK116">
        <v>16.726993865030675</v>
      </c>
      <c r="CL116">
        <v>-1.6319018404907977</v>
      </c>
      <c r="DC116" s="58">
        <v>89</v>
      </c>
      <c r="DD116" s="58">
        <v>38.872181497480113</v>
      </c>
      <c r="DE116" s="58">
        <v>-23.142181497480113</v>
      </c>
      <c r="DF116" s="58">
        <v>-8.250073978438284E-2</v>
      </c>
      <c r="DH116" s="58">
        <v>31.72043010752688</v>
      </c>
      <c r="DI116" s="58">
        <v>-1</v>
      </c>
      <c r="DW116" s="58">
        <v>89</v>
      </c>
      <c r="DX116" s="58">
        <v>38.872181497480113</v>
      </c>
      <c r="DY116" s="58">
        <v>-23.142181497480113</v>
      </c>
      <c r="DZ116" s="58">
        <v>-8.250073978438284E-2</v>
      </c>
    </row>
    <row r="117" spans="1:130">
      <c r="B117" t="s">
        <v>627</v>
      </c>
      <c r="C117">
        <v>39</v>
      </c>
      <c r="D117">
        <v>47</v>
      </c>
      <c r="E117">
        <v>61</v>
      </c>
      <c r="F117">
        <f t="shared" ref="F117:F119" si="126">SUM(C117:E117)</f>
        <v>147</v>
      </c>
      <c r="G117" s="11">
        <f>AVERAGEA(C117:E117)</f>
        <v>49</v>
      </c>
      <c r="I117" s="61" t="s">
        <v>644</v>
      </c>
      <c r="J117" s="61"/>
      <c r="R117" s="83"/>
      <c r="S117" s="138"/>
      <c r="T117" s="138"/>
      <c r="U117" s="138"/>
      <c r="V117" s="138"/>
      <c r="X117">
        <v>0</v>
      </c>
      <c r="AB117">
        <v>0</v>
      </c>
      <c r="AC117">
        <v>0</v>
      </c>
      <c r="AD117">
        <v>0.61359570661896246</v>
      </c>
      <c r="AE117">
        <v>0.38640429338103754</v>
      </c>
      <c r="AF117">
        <v>0</v>
      </c>
      <c r="AG117" s="132">
        <v>0</v>
      </c>
      <c r="BX117" s="345"/>
      <c r="BY117" s="345"/>
      <c r="BZ117" s="345"/>
      <c r="CA117" s="382"/>
      <c r="CB117" s="382"/>
      <c r="CC117" s="382"/>
      <c r="CD117" s="385"/>
      <c r="CE117" s="385"/>
      <c r="CF117" s="385"/>
      <c r="CG117" s="377"/>
      <c r="CH117" s="377"/>
      <c r="CI117" s="377"/>
      <c r="CK117">
        <v>0</v>
      </c>
      <c r="CL117">
        <v>88</v>
      </c>
      <c r="DC117" s="58">
        <v>90</v>
      </c>
      <c r="DD117" s="58">
        <v>36.145817223701101</v>
      </c>
      <c r="DE117" s="58">
        <v>-36.037483890367767</v>
      </c>
      <c r="DF117" s="58">
        <v>-0.12847185911349171</v>
      </c>
      <c r="DH117" s="58">
        <v>32.078853046594986</v>
      </c>
      <c r="DI117" s="58">
        <v>-1</v>
      </c>
      <c r="DW117" s="58">
        <v>90</v>
      </c>
      <c r="DX117" s="58">
        <v>36.145817223701101</v>
      </c>
      <c r="DY117" s="58">
        <v>-36.037483890367767</v>
      </c>
      <c r="DZ117" s="58">
        <v>-0.12847185911349171</v>
      </c>
    </row>
    <row r="118" spans="1:130">
      <c r="B118" t="s">
        <v>628</v>
      </c>
      <c r="C118">
        <v>26</v>
      </c>
      <c r="D118">
        <v>30</v>
      </c>
      <c r="E118">
        <v>21</v>
      </c>
      <c r="F118">
        <f t="shared" si="126"/>
        <v>77</v>
      </c>
      <c r="G118" s="11">
        <f t="shared" ref="G118:G123" si="127">AVERAGEA(C118:E118)</f>
        <v>25.666666666666668</v>
      </c>
      <c r="I118" s="58" t="s">
        <v>645</v>
      </c>
      <c r="J118" s="175">
        <v>0.91335074769153135</v>
      </c>
      <c r="R118" s="83"/>
      <c r="S118" s="58"/>
      <c r="T118" s="58"/>
      <c r="U118" s="58"/>
      <c r="V118" s="58"/>
      <c r="X118">
        <v>0.42409638554216866</v>
      </c>
      <c r="AB118">
        <v>0</v>
      </c>
      <c r="AC118">
        <v>0</v>
      </c>
      <c r="AD118">
        <v>0.45783132530120479</v>
      </c>
      <c r="AE118">
        <v>2.1686746987951807E-2</v>
      </c>
      <c r="AF118">
        <v>0</v>
      </c>
      <c r="AG118" s="132">
        <v>9.6385542168674787E-2</v>
      </c>
      <c r="BX118" s="345"/>
      <c r="BY118" s="345"/>
      <c r="BZ118" s="345"/>
      <c r="CA118" s="382"/>
      <c r="CB118" s="382"/>
      <c r="CC118" s="382"/>
      <c r="CD118" s="385"/>
      <c r="CE118" s="385"/>
      <c r="CF118" s="385"/>
      <c r="CG118" s="377"/>
      <c r="CH118" s="377"/>
      <c r="CI118" s="377"/>
      <c r="CK118">
        <v>176</v>
      </c>
      <c r="CL118">
        <v>10</v>
      </c>
      <c r="DC118" s="58">
        <v>91</v>
      </c>
      <c r="DD118" s="58">
        <v>36.145817223701101</v>
      </c>
      <c r="DE118" s="58">
        <v>-27.145817223701101</v>
      </c>
      <c r="DF118" s="58">
        <v>-9.6773504401512042E-2</v>
      </c>
      <c r="DH118" s="58">
        <v>32.437275985663085</v>
      </c>
      <c r="DI118" s="58">
        <v>0</v>
      </c>
      <c r="DW118" s="58">
        <v>91</v>
      </c>
      <c r="DX118" s="58">
        <v>36.145817223701101</v>
      </c>
      <c r="DY118" s="58">
        <v>-27.145817223701101</v>
      </c>
      <c r="DZ118" s="58">
        <v>-9.6773504401512042E-2</v>
      </c>
    </row>
    <row r="119" spans="1:130">
      <c r="B119" t="s">
        <v>629</v>
      </c>
      <c r="C119">
        <v>5</v>
      </c>
      <c r="D119">
        <v>4</v>
      </c>
      <c r="E119">
        <v>3</v>
      </c>
      <c r="F119">
        <f t="shared" si="126"/>
        <v>12</v>
      </c>
      <c r="G119" s="11">
        <f t="shared" si="127"/>
        <v>4</v>
      </c>
      <c r="I119" s="58" t="s">
        <v>646</v>
      </c>
      <c r="J119" s="175">
        <v>0.83420958830867942</v>
      </c>
      <c r="R119" s="83"/>
      <c r="S119" s="58"/>
      <c r="T119" s="83"/>
      <c r="U119" s="58"/>
      <c r="V119" s="83"/>
      <c r="X119">
        <v>0</v>
      </c>
      <c r="AB119">
        <v>2.1590909090909091E-2</v>
      </c>
      <c r="AC119">
        <v>0.67613636363636365</v>
      </c>
      <c r="AD119">
        <v>0.29431818181818181</v>
      </c>
      <c r="AE119">
        <v>0</v>
      </c>
      <c r="AF119">
        <v>0</v>
      </c>
      <c r="AG119" s="132">
        <v>7.9545454545454364E-3</v>
      </c>
      <c r="BX119" s="345"/>
      <c r="BY119" s="345"/>
      <c r="BZ119" s="345"/>
      <c r="CA119" s="382"/>
      <c r="CB119" s="382"/>
      <c r="CC119" s="382"/>
      <c r="CD119" s="385"/>
      <c r="CE119" s="385"/>
      <c r="CF119" s="385"/>
      <c r="CG119" s="377"/>
      <c r="CH119" s="377"/>
      <c r="CI119" s="377"/>
      <c r="CK119">
        <v>0</v>
      </c>
      <c r="CL119">
        <v>16</v>
      </c>
      <c r="DC119" s="58">
        <v>92</v>
      </c>
      <c r="DD119" s="58">
        <v>68.458282690711599</v>
      </c>
      <c r="DE119" s="58">
        <v>-56.458282690711599</v>
      </c>
      <c r="DF119" s="58">
        <v>-0.20127100331689574</v>
      </c>
      <c r="DH119" s="58">
        <v>32.795698924731184</v>
      </c>
      <c r="DI119" s="58">
        <v>0</v>
      </c>
      <c r="DW119" s="58">
        <v>92</v>
      </c>
      <c r="DX119" s="58">
        <v>68.458282690711599</v>
      </c>
      <c r="DY119" s="58">
        <v>-56.458282690711599</v>
      </c>
      <c r="DZ119" s="58">
        <v>-0.20127100331689574</v>
      </c>
    </row>
    <row r="120" spans="1:130">
      <c r="B120" t="s">
        <v>472</v>
      </c>
      <c r="C120" s="20">
        <f>C117/$C$116</f>
        <v>0.55714285714285716</v>
      </c>
      <c r="D120" s="20">
        <f>D117/$D$116</f>
        <v>0.58024691358024694</v>
      </c>
      <c r="E120" s="20">
        <f>E117/$E$116</f>
        <v>0.71764705882352942</v>
      </c>
      <c r="F120" s="20">
        <f>F117/$F$116</f>
        <v>0.6228813559322034</v>
      </c>
      <c r="G120" s="20">
        <f>AVERAGEA(C120:E120)</f>
        <v>0.61834560984887788</v>
      </c>
      <c r="I120" s="58" t="s">
        <v>647</v>
      </c>
      <c r="J120" s="175">
        <v>0.66841917661735883</v>
      </c>
      <c r="R120" s="83"/>
      <c r="S120" s="58"/>
      <c r="T120" s="83"/>
      <c r="U120" s="58"/>
      <c r="V120" s="83"/>
      <c r="X120">
        <v>0.52911249293386098</v>
      </c>
      <c r="AB120">
        <v>0</v>
      </c>
      <c r="AC120">
        <v>8.9881288863764841E-2</v>
      </c>
      <c r="AD120">
        <v>0.35895986433013</v>
      </c>
      <c r="AE120">
        <v>3.3917467495760316E-3</v>
      </c>
      <c r="AF120">
        <v>1.8654607122668174E-2</v>
      </c>
      <c r="AG120" s="132">
        <v>0</v>
      </c>
      <c r="BX120" s="345"/>
      <c r="BY120" s="345"/>
      <c r="BZ120" s="345"/>
      <c r="CA120" s="382"/>
      <c r="CB120" s="382"/>
      <c r="CC120" s="382"/>
      <c r="CD120" s="385"/>
      <c r="CE120" s="385"/>
      <c r="CF120" s="385"/>
      <c r="CG120" s="377"/>
      <c r="CH120" s="377"/>
      <c r="CI120" s="377"/>
      <c r="CK120">
        <v>936</v>
      </c>
      <c r="CL120">
        <v>-85</v>
      </c>
      <c r="DC120" s="58">
        <v>93</v>
      </c>
      <c r="DD120" s="58">
        <v>49.028537451691037</v>
      </c>
      <c r="DE120" s="58">
        <v>-179.19069961385321</v>
      </c>
      <c r="DF120" s="58">
        <v>-0.63880603832589133</v>
      </c>
      <c r="DH120" s="58">
        <v>33.154121863799283</v>
      </c>
      <c r="DI120" s="58">
        <v>0</v>
      </c>
      <c r="DW120" s="58">
        <v>93</v>
      </c>
      <c r="DX120" s="58">
        <v>49.028537451691037</v>
      </c>
      <c r="DY120" s="58">
        <v>-179.19069961385321</v>
      </c>
      <c r="DZ120" s="58">
        <v>-0.63880603832589133</v>
      </c>
    </row>
    <row r="121" spans="1:130">
      <c r="B121" t="s">
        <v>472</v>
      </c>
      <c r="C121" s="20">
        <f t="shared" ref="C121:C122" si="128">C118/$C$116</f>
        <v>0.37142857142857144</v>
      </c>
      <c r="D121" s="20">
        <f t="shared" ref="D121:D122" si="129">D118/$D$116</f>
        <v>0.37037037037037035</v>
      </c>
      <c r="E121" s="20">
        <f t="shared" ref="E121:E122" si="130">E118/$E$116</f>
        <v>0.24705882352941178</v>
      </c>
      <c r="F121" s="20">
        <f>F118/$F$116</f>
        <v>0.32627118644067798</v>
      </c>
      <c r="G121" s="20">
        <f>AVERAGEA(C121:E121)</f>
        <v>0.32961925510945117</v>
      </c>
      <c r="I121" s="58" t="s">
        <v>456</v>
      </c>
      <c r="J121" s="175">
        <v>6.4121776409771662</v>
      </c>
      <c r="R121" s="83"/>
      <c r="S121" s="58"/>
      <c r="T121" s="83"/>
      <c r="U121" s="58"/>
      <c r="V121" s="83"/>
      <c r="X121">
        <v>0.70783132530120485</v>
      </c>
      <c r="AB121">
        <v>0</v>
      </c>
      <c r="AC121">
        <v>0</v>
      </c>
      <c r="AD121">
        <v>2.1084337349397589E-2</v>
      </c>
      <c r="AE121">
        <v>0</v>
      </c>
      <c r="AF121">
        <v>0.27108433734939757</v>
      </c>
      <c r="AG121" s="63">
        <v>0</v>
      </c>
      <c r="BX121" s="345"/>
      <c r="BY121" s="345"/>
      <c r="BZ121" s="345"/>
      <c r="CA121" s="382"/>
      <c r="CB121" s="382"/>
      <c r="CC121" s="382"/>
      <c r="CD121" s="385"/>
      <c r="CE121" s="385"/>
      <c r="CF121" s="385"/>
      <c r="CG121" s="377"/>
      <c r="CH121" s="377"/>
      <c r="CI121" s="377"/>
      <c r="CK121">
        <v>235</v>
      </c>
      <c r="CL121">
        <v>-67</v>
      </c>
      <c r="DC121" s="58">
        <v>94</v>
      </c>
      <c r="DD121" s="58">
        <v>45.984548696028021</v>
      </c>
      <c r="DE121" s="58">
        <v>-61.984548696028021</v>
      </c>
      <c r="DF121" s="58">
        <v>-0.22097187005383387</v>
      </c>
      <c r="DH121" s="58">
        <v>33.512544802867389</v>
      </c>
      <c r="DI121" s="58">
        <v>0</v>
      </c>
      <c r="DW121" s="58">
        <v>94</v>
      </c>
      <c r="DX121" s="58">
        <v>45.984548696028021</v>
      </c>
      <c r="DY121" s="58">
        <v>-61.984548696028021</v>
      </c>
      <c r="DZ121" s="58">
        <v>-0.22097187005383387</v>
      </c>
    </row>
    <row r="122" spans="1:130" ht="17" thickBot="1">
      <c r="B122" t="s">
        <v>472</v>
      </c>
      <c r="C122" s="20">
        <f t="shared" si="128"/>
        <v>7.1428571428571425E-2</v>
      </c>
      <c r="D122" s="20">
        <f t="shared" si="129"/>
        <v>4.9382716049382713E-2</v>
      </c>
      <c r="E122" s="20">
        <f t="shared" si="130"/>
        <v>3.5294117647058823E-2</v>
      </c>
      <c r="F122" s="20">
        <f>F119/$F$116</f>
        <v>5.0847457627118647E-2</v>
      </c>
      <c r="G122" s="20">
        <f t="shared" si="127"/>
        <v>5.2035135041670989E-2</v>
      </c>
      <c r="I122" s="59" t="s">
        <v>648</v>
      </c>
      <c r="J122" s="192">
        <v>3</v>
      </c>
      <c r="R122" s="83"/>
      <c r="S122" s="58"/>
      <c r="T122" s="83"/>
      <c r="U122" s="58"/>
      <c r="X122">
        <v>0.1783132530120482</v>
      </c>
      <c r="AB122">
        <v>0</v>
      </c>
      <c r="AC122">
        <v>0.19397590361445782</v>
      </c>
      <c r="AD122">
        <v>0.12409638554216867</v>
      </c>
      <c r="AE122">
        <v>0</v>
      </c>
      <c r="AF122">
        <v>0.22409638554216868</v>
      </c>
      <c r="AG122" s="63">
        <v>0.27951807228915659</v>
      </c>
      <c r="BX122" s="345"/>
      <c r="BY122" s="345"/>
      <c r="BZ122" s="345"/>
      <c r="CA122" s="382"/>
      <c r="CB122" s="382"/>
      <c r="CC122" s="382"/>
      <c r="CD122" s="385"/>
      <c r="CE122" s="385"/>
      <c r="CF122" s="385"/>
      <c r="CG122" s="377"/>
      <c r="CH122" s="377"/>
      <c r="CI122" s="377"/>
      <c r="CK122">
        <v>148</v>
      </c>
      <c r="CL122">
        <v>-75</v>
      </c>
      <c r="DC122" s="58">
        <v>95</v>
      </c>
      <c r="DD122" s="58">
        <v>51.784221984978622</v>
      </c>
      <c r="DE122" s="58">
        <v>-85.784221984978615</v>
      </c>
      <c r="DF122" s="58">
        <v>-0.3058165357643175</v>
      </c>
      <c r="DH122" s="58">
        <v>33.870967741935488</v>
      </c>
      <c r="DI122" s="58">
        <v>0</v>
      </c>
      <c r="DW122" s="58">
        <v>95</v>
      </c>
      <c r="DX122" s="58">
        <v>51.784221984978622</v>
      </c>
      <c r="DY122" s="58">
        <v>-85.784221984978615</v>
      </c>
      <c r="DZ122" s="58">
        <v>-0.3058165357643175</v>
      </c>
    </row>
    <row r="123" spans="1:130">
      <c r="B123" t="s">
        <v>674</v>
      </c>
      <c r="C123" s="20">
        <f>(C117+C119)/C116</f>
        <v>0.62857142857142856</v>
      </c>
      <c r="D123" s="20">
        <f t="shared" ref="D123:F123" si="131">(D117+D119)/D116</f>
        <v>0.62962962962962965</v>
      </c>
      <c r="E123" s="20">
        <f>(E117+E119)/E116</f>
        <v>0.75294117647058822</v>
      </c>
      <c r="F123" s="20">
        <f t="shared" si="131"/>
        <v>0.67372881355932202</v>
      </c>
      <c r="G123" s="20">
        <f t="shared" si="127"/>
        <v>0.67038074489054889</v>
      </c>
      <c r="R123" s="83"/>
      <c r="S123" s="58"/>
      <c r="T123" s="83"/>
      <c r="U123" s="58"/>
      <c r="X123">
        <v>0.2786220871327254</v>
      </c>
      <c r="AB123">
        <v>0</v>
      </c>
      <c r="AC123">
        <v>0</v>
      </c>
      <c r="AD123">
        <v>5.2684903748733539E-2</v>
      </c>
      <c r="AE123">
        <v>8.0040526849037494E-2</v>
      </c>
      <c r="AF123">
        <v>0.43161094224924013</v>
      </c>
      <c r="AG123" s="63">
        <v>0.15704154002026338</v>
      </c>
      <c r="BX123" s="345"/>
      <c r="BY123" s="345"/>
      <c r="BZ123" s="345"/>
      <c r="CA123" s="382"/>
      <c r="CB123" s="382"/>
      <c r="CC123" s="382"/>
      <c r="CD123" s="385"/>
      <c r="CE123" s="385"/>
      <c r="CF123" s="385"/>
      <c r="CG123" s="377"/>
      <c r="CH123" s="377"/>
      <c r="CI123" s="377"/>
      <c r="CK123">
        <v>275</v>
      </c>
      <c r="CL123">
        <v>10</v>
      </c>
      <c r="DC123" s="58">
        <v>96</v>
      </c>
      <c r="DD123" s="58">
        <v>36.145817223701101</v>
      </c>
      <c r="DE123" s="58">
        <v>187.8541827762989</v>
      </c>
      <c r="DF123" s="58">
        <v>0.66969093005872726</v>
      </c>
      <c r="DH123" s="58">
        <v>34.229390681003586</v>
      </c>
      <c r="DI123" s="58">
        <v>0</v>
      </c>
      <c r="DW123" s="58">
        <v>96</v>
      </c>
      <c r="DX123" s="58">
        <v>36.145817223701101</v>
      </c>
      <c r="DY123" s="58">
        <v>187.8541827762989</v>
      </c>
      <c r="DZ123" s="58">
        <v>0.66969093005872726</v>
      </c>
    </row>
    <row r="124" spans="1:130" ht="17" thickBot="1">
      <c r="B124" t="s">
        <v>376</v>
      </c>
      <c r="C124">
        <v>23</v>
      </c>
      <c r="D124">
        <v>12</v>
      </c>
      <c r="E124">
        <v>8</v>
      </c>
      <c r="F124">
        <f>SUM(C124:E124)</f>
        <v>43</v>
      </c>
      <c r="G124" s="387">
        <f t="shared" ref="G124:G131" si="132">AVERAGEA(C124:E124)</f>
        <v>14.333333333333334</v>
      </c>
      <c r="I124" t="s">
        <v>637</v>
      </c>
      <c r="R124" s="83"/>
      <c r="S124" s="58"/>
      <c r="T124" s="83"/>
      <c r="U124" s="58"/>
      <c r="X124">
        <v>0.51005917159763314</v>
      </c>
      <c r="AB124">
        <v>0</v>
      </c>
      <c r="AC124">
        <v>0.11005917159763313</v>
      </c>
      <c r="AD124">
        <v>0.17514792899408285</v>
      </c>
      <c r="AE124">
        <v>0.17988165680473372</v>
      </c>
      <c r="AF124">
        <v>2.4852071005917159E-2</v>
      </c>
      <c r="AG124" s="63">
        <v>0</v>
      </c>
      <c r="BX124" s="345"/>
      <c r="BY124" s="345"/>
      <c r="BZ124" s="345"/>
      <c r="CA124" s="382"/>
      <c r="CB124" s="382"/>
      <c r="CC124" s="382"/>
      <c r="CD124" s="385"/>
      <c r="CE124" s="385"/>
      <c r="CF124" s="385"/>
      <c r="CG124" s="377"/>
      <c r="CH124" s="377"/>
      <c r="CI124" s="377"/>
      <c r="CK124">
        <v>431</v>
      </c>
      <c r="CL124">
        <v>32</v>
      </c>
      <c r="DC124" s="58">
        <v>97</v>
      </c>
      <c r="DD124" s="58">
        <v>197.03496819485758</v>
      </c>
      <c r="DE124" s="58">
        <v>-203.03496819485758</v>
      </c>
      <c r="DF124" s="58">
        <v>-0.72380968406104285</v>
      </c>
      <c r="DH124" s="58">
        <v>34.587813620071685</v>
      </c>
      <c r="DI124" s="58">
        <v>0</v>
      </c>
      <c r="DW124" s="58">
        <v>97</v>
      </c>
      <c r="DX124" s="58">
        <v>197.03496819485758</v>
      </c>
      <c r="DY124" s="58">
        <v>-203.03496819485758</v>
      </c>
      <c r="DZ124" s="58">
        <v>-0.72380968406104285</v>
      </c>
    </row>
    <row r="125" spans="1:130">
      <c r="B125" t="s">
        <v>693</v>
      </c>
      <c r="C125">
        <v>15</v>
      </c>
      <c r="D125">
        <v>8</v>
      </c>
      <c r="E125">
        <v>4</v>
      </c>
      <c r="F125">
        <f>SUM(C125:E125)</f>
        <v>27</v>
      </c>
      <c r="G125" s="191">
        <f t="shared" si="132"/>
        <v>9</v>
      </c>
      <c r="I125" s="355"/>
      <c r="J125" s="355" t="s">
        <v>653</v>
      </c>
      <c r="K125" s="355" t="s">
        <v>638</v>
      </c>
      <c r="L125" s="355" t="s">
        <v>639</v>
      </c>
      <c r="M125" s="355" t="s">
        <v>640</v>
      </c>
      <c r="N125" s="355" t="s">
        <v>654</v>
      </c>
      <c r="R125" s="83"/>
      <c r="S125" s="58"/>
      <c r="T125" s="83"/>
      <c r="U125" s="58"/>
      <c r="X125">
        <v>0.68493150684931503</v>
      </c>
      <c r="AB125">
        <v>7.9908675799086754E-2</v>
      </c>
      <c r="AC125">
        <v>0</v>
      </c>
      <c r="AD125">
        <v>0</v>
      </c>
      <c r="AE125">
        <v>5.0228310502283102E-2</v>
      </c>
      <c r="AF125">
        <v>3.6529680365296802E-2</v>
      </c>
      <c r="AG125" s="63">
        <v>0.14840182648401834</v>
      </c>
      <c r="BX125" s="345"/>
      <c r="BY125" s="345"/>
      <c r="BZ125" s="345"/>
      <c r="CA125" s="382"/>
      <c r="CB125" s="382"/>
      <c r="CC125" s="382"/>
      <c r="CD125" s="385"/>
      <c r="CE125" s="385"/>
      <c r="CF125" s="385"/>
      <c r="CG125" s="377"/>
      <c r="CH125" s="377"/>
      <c r="CI125" s="377"/>
      <c r="CK125">
        <v>300</v>
      </c>
      <c r="CL125">
        <v>73</v>
      </c>
      <c r="DC125" s="58">
        <v>98</v>
      </c>
      <c r="DD125" s="58">
        <v>117.23767767456401</v>
      </c>
      <c r="DE125" s="58">
        <v>-429.237677674564</v>
      </c>
      <c r="DF125" s="58">
        <v>-1.5302112272923776</v>
      </c>
      <c r="DH125" s="58">
        <v>34.946236559139784</v>
      </c>
      <c r="DI125" s="58">
        <v>0</v>
      </c>
      <c r="DW125" s="58">
        <v>98</v>
      </c>
      <c r="DX125" s="58">
        <v>117.23767767456401</v>
      </c>
      <c r="DY125" s="58">
        <v>-429.237677674564</v>
      </c>
      <c r="DZ125" s="58">
        <v>-1.5302112272923776</v>
      </c>
    </row>
    <row r="126" spans="1:130">
      <c r="B126" t="s">
        <v>694</v>
      </c>
      <c r="C126">
        <v>7</v>
      </c>
      <c r="D126">
        <v>3</v>
      </c>
      <c r="E126">
        <v>3</v>
      </c>
      <c r="F126" s="58">
        <f>SUM(C126:E126)</f>
        <v>13</v>
      </c>
      <c r="G126" s="191">
        <f t="shared" si="132"/>
        <v>4.333333333333333</v>
      </c>
      <c r="I126" s="58" t="s">
        <v>649</v>
      </c>
      <c r="J126" s="58">
        <v>1</v>
      </c>
      <c r="K126" s="175">
        <v>206.88397790055251</v>
      </c>
      <c r="L126" s="175">
        <v>206.88397790055251</v>
      </c>
      <c r="M126" s="175">
        <v>5.0317119054017763</v>
      </c>
      <c r="N126" s="369">
        <v>0.26697126091427648</v>
      </c>
      <c r="R126" s="83"/>
      <c r="S126" s="58"/>
      <c r="T126" s="83"/>
      <c r="U126" s="58"/>
      <c r="X126">
        <v>0.50911974623314826</v>
      </c>
      <c r="AB126">
        <v>0</v>
      </c>
      <c r="AC126">
        <v>4.2294475284166008E-2</v>
      </c>
      <c r="AD126">
        <v>6.3441712926249005E-2</v>
      </c>
      <c r="AE126">
        <v>0.11260904044409199</v>
      </c>
      <c r="AF126">
        <v>0.20856463124504362</v>
      </c>
      <c r="AG126" s="63">
        <v>6.3706053396775042E-2</v>
      </c>
      <c r="BX126" s="345"/>
      <c r="BY126" s="345"/>
      <c r="BZ126" s="345"/>
      <c r="CA126" s="382"/>
      <c r="CB126" s="382"/>
      <c r="CC126" s="382"/>
      <c r="CD126" s="385"/>
      <c r="CE126" s="385"/>
      <c r="CF126" s="385"/>
      <c r="CG126" s="377"/>
      <c r="CH126" s="377"/>
      <c r="CI126" s="377"/>
      <c r="CK126">
        <v>1926</v>
      </c>
      <c r="CL126">
        <v>-291</v>
      </c>
      <c r="DC126" s="58">
        <v>99</v>
      </c>
      <c r="DD126" s="58">
        <v>94.038984518761595</v>
      </c>
      <c r="DE126" s="58">
        <v>-106.03898451876159</v>
      </c>
      <c r="DF126" s="58">
        <v>-0.37802376883679384</v>
      </c>
      <c r="DH126" s="58">
        <v>35.30465949820789</v>
      </c>
      <c r="DI126" s="58">
        <v>0</v>
      </c>
      <c r="DW126" s="58">
        <v>99</v>
      </c>
      <c r="DX126" s="58">
        <v>94.038984518761595</v>
      </c>
      <c r="DY126" s="58">
        <v>-106.03898451876159</v>
      </c>
      <c r="DZ126" s="58">
        <v>-0.37802376883679384</v>
      </c>
    </row>
    <row r="127" spans="1:130" ht="17" thickBot="1">
      <c r="B127" t="s">
        <v>695</v>
      </c>
      <c r="C127">
        <v>1</v>
      </c>
      <c r="D127">
        <v>1</v>
      </c>
      <c r="E127">
        <v>1</v>
      </c>
      <c r="F127" s="59">
        <f>SUM(C127:E127)</f>
        <v>3</v>
      </c>
      <c r="G127" s="191">
        <f t="shared" si="132"/>
        <v>1</v>
      </c>
      <c r="I127" s="58" t="s">
        <v>650</v>
      </c>
      <c r="J127" s="58">
        <v>1</v>
      </c>
      <c r="K127" s="175">
        <v>41.116022099447498</v>
      </c>
      <c r="L127" s="175">
        <v>41.116022099447498</v>
      </c>
      <c r="M127" s="175"/>
      <c r="N127" s="175"/>
      <c r="R127" s="83"/>
      <c r="S127" s="58"/>
      <c r="T127" s="83"/>
      <c r="U127" s="58"/>
      <c r="X127">
        <v>0.35542490646712988</v>
      </c>
      <c r="AB127">
        <v>0</v>
      </c>
      <c r="AC127">
        <v>2.6723677177979691E-2</v>
      </c>
      <c r="AD127">
        <v>0.1822554783538215</v>
      </c>
      <c r="AE127">
        <v>0.14323890967397113</v>
      </c>
      <c r="AF127">
        <v>0.29235702832709781</v>
      </c>
      <c r="AG127" s="63">
        <v>0</v>
      </c>
      <c r="BX127" s="345"/>
      <c r="BY127" s="345"/>
      <c r="BZ127" s="345"/>
      <c r="CA127" s="382"/>
      <c r="CB127" s="382"/>
      <c r="CC127" s="382"/>
      <c r="CD127" s="385"/>
      <c r="CE127" s="385"/>
      <c r="CF127" s="385"/>
      <c r="CG127" s="377"/>
      <c r="CH127" s="377"/>
      <c r="CI127" s="377"/>
      <c r="CK127">
        <v>665</v>
      </c>
      <c r="CL127">
        <v>161</v>
      </c>
      <c r="DC127" s="58">
        <v>100</v>
      </c>
      <c r="DD127" s="58">
        <v>137.84723096922778</v>
      </c>
      <c r="DE127" s="58">
        <v>137.15276903077222</v>
      </c>
      <c r="DF127" s="58">
        <v>0.48894288162710076</v>
      </c>
      <c r="DH127" s="58">
        <v>35.663082437275989</v>
      </c>
      <c r="DI127" s="58">
        <v>0</v>
      </c>
      <c r="DW127" s="58">
        <v>100</v>
      </c>
      <c r="DX127" s="58">
        <v>137.84723096922778</v>
      </c>
      <c r="DY127" s="58">
        <v>137.15276903077222</v>
      </c>
      <c r="DZ127" s="58">
        <v>0.48894288162710076</v>
      </c>
    </row>
    <row r="128" spans="1:130" ht="17" thickBot="1">
      <c r="B128" t="s">
        <v>472</v>
      </c>
      <c r="C128" s="20">
        <f>C125/$C$124</f>
        <v>0.65217391304347827</v>
      </c>
      <c r="D128" s="20">
        <f>D125/$D$124</f>
        <v>0.66666666666666663</v>
      </c>
      <c r="E128" s="20">
        <f>E125/$E$124</f>
        <v>0.5</v>
      </c>
      <c r="F128" s="189">
        <f>F125/F124</f>
        <v>0.62790697674418605</v>
      </c>
      <c r="G128" s="189">
        <f t="shared" si="132"/>
        <v>0.606280193236715</v>
      </c>
      <c r="I128" s="59" t="s">
        <v>651</v>
      </c>
      <c r="J128" s="59">
        <v>2</v>
      </c>
      <c r="K128" s="192">
        <v>248</v>
      </c>
      <c r="L128" s="192"/>
      <c r="M128" s="192"/>
      <c r="N128" s="192"/>
      <c r="R128" s="83"/>
      <c r="S128" s="58"/>
      <c r="T128" s="83"/>
      <c r="U128" s="58"/>
      <c r="X128">
        <v>0.68224299065420557</v>
      </c>
      <c r="AB128">
        <v>0</v>
      </c>
      <c r="AC128">
        <v>0</v>
      </c>
      <c r="AD128">
        <v>7.476635514018691E-2</v>
      </c>
      <c r="AE128">
        <v>7.9439252336448593E-2</v>
      </c>
      <c r="AF128">
        <v>0.16355140186915887</v>
      </c>
      <c r="AG128" s="63">
        <v>0</v>
      </c>
      <c r="BX128" s="345"/>
      <c r="BY128" s="345"/>
      <c r="BZ128" s="345"/>
      <c r="CA128" s="382"/>
      <c r="CB128" s="382"/>
      <c r="CC128" s="382"/>
      <c r="CD128" s="385"/>
      <c r="CE128" s="385"/>
      <c r="CF128" s="385"/>
      <c r="CG128" s="377"/>
      <c r="CH128" s="377"/>
      <c r="CI128" s="377"/>
      <c r="CK128">
        <v>146</v>
      </c>
      <c r="CL128">
        <v>1</v>
      </c>
      <c r="DC128" s="58">
        <v>101</v>
      </c>
      <c r="DD128" s="58">
        <v>36.281099781445597</v>
      </c>
      <c r="DE128" s="58">
        <v>-35.743599781445596</v>
      </c>
      <c r="DF128" s="58">
        <v>-0.1274241767072504</v>
      </c>
      <c r="DH128" s="58">
        <v>36.021505376344088</v>
      </c>
      <c r="DI128" s="58">
        <v>0</v>
      </c>
      <c r="DW128" s="58">
        <v>101</v>
      </c>
      <c r="DX128" s="58">
        <v>36.281099781445597</v>
      </c>
      <c r="DY128" s="58">
        <v>-35.743599781445596</v>
      </c>
      <c r="DZ128" s="58">
        <v>-0.1274241767072504</v>
      </c>
    </row>
    <row r="129" spans="1:130" ht="17" thickBot="1">
      <c r="A129" s="321"/>
      <c r="B129" t="s">
        <v>472</v>
      </c>
      <c r="C129" s="20">
        <f t="shared" ref="C129:C130" si="133">C126/$C$124</f>
        <v>0.30434782608695654</v>
      </c>
      <c r="D129" s="20">
        <f t="shared" ref="D129:D130" si="134">D126/$D$124</f>
        <v>0.25</v>
      </c>
      <c r="E129" s="20">
        <f t="shared" ref="E129:E130" si="135">E126/$E$124</f>
        <v>0.375</v>
      </c>
      <c r="F129" s="189">
        <f t="shared" ref="F129:F130" si="136">F126/F125</f>
        <v>0.48148148148148145</v>
      </c>
      <c r="G129" s="189">
        <f t="shared" si="132"/>
        <v>0.30978260869565216</v>
      </c>
      <c r="R129" s="83"/>
      <c r="S129" s="58"/>
      <c r="T129" s="83"/>
      <c r="U129" s="58"/>
      <c r="X129">
        <v>0.35456389452332659</v>
      </c>
      <c r="AB129">
        <v>0</v>
      </c>
      <c r="AC129">
        <v>0.11845841784989858</v>
      </c>
      <c r="AD129">
        <v>3.204868154158215E-2</v>
      </c>
      <c r="AE129">
        <v>4.9492900608519269E-2</v>
      </c>
      <c r="AF129">
        <v>0.44503042596348885</v>
      </c>
      <c r="AG129" s="63">
        <v>0</v>
      </c>
      <c r="BX129" s="345"/>
      <c r="BY129" s="345"/>
      <c r="BZ129" s="345"/>
      <c r="CA129" s="382"/>
      <c r="CB129" s="382"/>
      <c r="CC129" s="382"/>
      <c r="CD129" s="385"/>
      <c r="CE129" s="385"/>
      <c r="CF129" s="385"/>
      <c r="CG129" s="377"/>
      <c r="CH129" s="377"/>
      <c r="CI129" s="377"/>
      <c r="CK129">
        <v>874</v>
      </c>
      <c r="CL129">
        <v>-40</v>
      </c>
      <c r="DC129" s="58">
        <v>102</v>
      </c>
      <c r="DD129" s="58">
        <v>62.296129821201589</v>
      </c>
      <c r="DE129" s="58">
        <v>-306.29612982120159</v>
      </c>
      <c r="DF129" s="58">
        <v>-1.0919306507942665</v>
      </c>
      <c r="DH129" s="58">
        <v>36.379928315412187</v>
      </c>
      <c r="DI129" s="58">
        <v>0</v>
      </c>
      <c r="DW129" s="58">
        <v>102</v>
      </c>
      <c r="DX129" s="58">
        <v>62.296129821201589</v>
      </c>
      <c r="DY129" s="58">
        <v>-306.29612982120159</v>
      </c>
      <c r="DZ129" s="58">
        <v>-1.0919306507942665</v>
      </c>
    </row>
    <row r="130" spans="1:130">
      <c r="B130" t="s">
        <v>472</v>
      </c>
      <c r="C130" s="20">
        <f t="shared" si="133"/>
        <v>4.3478260869565216E-2</v>
      </c>
      <c r="D130" s="20">
        <f t="shared" si="134"/>
        <v>8.3333333333333329E-2</v>
      </c>
      <c r="E130" s="20">
        <f t="shared" si="135"/>
        <v>0.125</v>
      </c>
      <c r="F130" s="189">
        <f t="shared" si="136"/>
        <v>0.23076923076923078</v>
      </c>
      <c r="G130" s="20">
        <f t="shared" si="132"/>
        <v>8.3937198067632848E-2</v>
      </c>
      <c r="I130" s="355"/>
      <c r="J130" s="355" t="s">
        <v>655</v>
      </c>
      <c r="K130" s="355" t="s">
        <v>456</v>
      </c>
      <c r="L130" s="355" t="s">
        <v>641</v>
      </c>
      <c r="M130" s="355" t="s">
        <v>656</v>
      </c>
      <c r="N130" s="355" t="s">
        <v>657</v>
      </c>
      <c r="O130" s="355" t="s">
        <v>658</v>
      </c>
      <c r="P130" s="355" t="s">
        <v>659</v>
      </c>
      <c r="Q130" s="355" t="s">
        <v>660</v>
      </c>
      <c r="R130" s="83"/>
      <c r="S130" s="58"/>
      <c r="T130" s="83"/>
      <c r="U130" s="58"/>
      <c r="X130">
        <v>0.12301013024602026</v>
      </c>
      <c r="AB130">
        <v>0</v>
      </c>
      <c r="AC130">
        <v>0.64833574529667148</v>
      </c>
      <c r="AD130">
        <v>7.2358900144717797E-2</v>
      </c>
      <c r="AE130">
        <v>0.15484804630969609</v>
      </c>
      <c r="AF130">
        <v>0</v>
      </c>
      <c r="AG130" s="63">
        <v>1.4471780028944004E-3</v>
      </c>
      <c r="BX130" s="345"/>
      <c r="BY130" s="345"/>
      <c r="BZ130" s="345"/>
      <c r="CA130" s="382"/>
      <c r="CB130" s="382"/>
      <c r="CC130" s="382"/>
      <c r="CD130" s="385"/>
      <c r="CE130" s="385"/>
      <c r="CF130" s="385"/>
      <c r="CG130" s="377"/>
      <c r="CH130" s="377"/>
      <c r="CI130" s="377"/>
      <c r="CK130">
        <v>85</v>
      </c>
      <c r="CL130">
        <v>40</v>
      </c>
      <c r="DC130" s="58">
        <v>103</v>
      </c>
      <c r="DD130" s="58">
        <v>38.683174287616993</v>
      </c>
      <c r="DE130" s="58">
        <v>-38.683174287616993</v>
      </c>
      <c r="DF130" s="58">
        <v>-0.13790361536504758</v>
      </c>
      <c r="DH130" s="58">
        <v>36.738351254480293</v>
      </c>
      <c r="DI130" s="58">
        <v>0</v>
      </c>
      <c r="DW130" s="58">
        <v>103</v>
      </c>
      <c r="DX130" s="58">
        <v>38.683174287616993</v>
      </c>
      <c r="DY130" s="58">
        <v>-38.683174287616993</v>
      </c>
      <c r="DZ130" s="58">
        <v>-0.13790361536504758</v>
      </c>
    </row>
    <row r="131" spans="1:130" ht="17" thickBot="1">
      <c r="B131" t="s">
        <v>674</v>
      </c>
      <c r="C131" s="20">
        <f>(C127+C125)/C124</f>
        <v>0.69565217391304346</v>
      </c>
      <c r="D131" s="20">
        <f t="shared" ref="D131:F131" si="137">(D127+D125)/D124</f>
        <v>0.75</v>
      </c>
      <c r="E131" s="20">
        <f t="shared" si="137"/>
        <v>0.625</v>
      </c>
      <c r="F131" s="20">
        <f t="shared" si="137"/>
        <v>0.69767441860465118</v>
      </c>
      <c r="G131" s="388">
        <f t="shared" si="132"/>
        <v>0.69021739130434778</v>
      </c>
      <c r="I131" s="58" t="s">
        <v>652</v>
      </c>
      <c r="J131" s="175">
        <v>-54.00552486187847</v>
      </c>
      <c r="K131" s="175">
        <v>46.069068641529974</v>
      </c>
      <c r="L131" s="175">
        <v>-1.1722729904114884</v>
      </c>
      <c r="M131" s="175">
        <v>0.44961805740166327</v>
      </c>
      <c r="N131" s="175">
        <v>-639.36854302604434</v>
      </c>
      <c r="O131" s="175">
        <v>531.35749330228737</v>
      </c>
      <c r="P131" s="175">
        <v>-639.36854302604434</v>
      </c>
      <c r="Q131" s="175">
        <v>531.35749330228737</v>
      </c>
      <c r="R131" s="138"/>
      <c r="S131" s="58"/>
      <c r="T131" s="83"/>
      <c r="U131" s="58"/>
      <c r="X131">
        <v>8.6175942549371637E-2</v>
      </c>
      <c r="AB131">
        <v>0</v>
      </c>
      <c r="AC131">
        <v>7.0017953321364457E-2</v>
      </c>
      <c r="AD131">
        <v>5.2064631956912029E-2</v>
      </c>
      <c r="AE131">
        <v>6.5529622980251348E-2</v>
      </c>
      <c r="AF131">
        <v>0.72621184919210058</v>
      </c>
      <c r="AG131" s="63">
        <v>0</v>
      </c>
      <c r="BX131" s="345"/>
      <c r="BY131" s="345"/>
      <c r="BZ131" s="345"/>
      <c r="CA131" s="382"/>
      <c r="CB131" s="382"/>
      <c r="CC131" s="382"/>
      <c r="CD131" s="385"/>
      <c r="CE131" s="385"/>
      <c r="CF131" s="385"/>
      <c r="CG131" s="377"/>
      <c r="CH131" s="377"/>
      <c r="CI131" s="377"/>
      <c r="CK131">
        <v>96</v>
      </c>
      <c r="CL131">
        <v>-315</v>
      </c>
      <c r="DC131" s="58">
        <v>104</v>
      </c>
      <c r="DD131" s="58">
        <v>105.58654829944003</v>
      </c>
      <c r="DE131" s="58">
        <v>1087.41345170056</v>
      </c>
      <c r="DF131" s="58">
        <v>3.8765755175912862</v>
      </c>
      <c r="DH131" s="58">
        <v>37.096774193548391</v>
      </c>
      <c r="DI131" s="58">
        <v>0</v>
      </c>
      <c r="DW131" s="58">
        <v>104</v>
      </c>
      <c r="DX131" s="58">
        <v>105.58654829944003</v>
      </c>
      <c r="DY131" s="58">
        <v>1087.41345170056</v>
      </c>
      <c r="DZ131" s="58">
        <v>3.8765755175912862</v>
      </c>
    </row>
    <row r="132" spans="1:130" ht="17" thickBot="1">
      <c r="I132" s="59" t="s">
        <v>437</v>
      </c>
      <c r="J132" s="192">
        <v>1.3093922651933703</v>
      </c>
      <c r="K132" s="192">
        <v>0.58372983017514646</v>
      </c>
      <c r="L132" s="192">
        <v>2.2431477671793658</v>
      </c>
      <c r="M132" s="192">
        <v>0.26697126091427659</v>
      </c>
      <c r="N132" s="192">
        <v>-6.1075984676245332</v>
      </c>
      <c r="O132" s="192">
        <v>8.7263829980112746</v>
      </c>
      <c r="P132" s="192">
        <v>-6.1075984676245332</v>
      </c>
      <c r="Q132" s="192">
        <v>8.7263829980112746</v>
      </c>
      <c r="R132" s="58"/>
      <c r="S132" s="58"/>
      <c r="T132" s="83"/>
      <c r="U132" s="58"/>
      <c r="X132">
        <v>0.33783783783783783</v>
      </c>
      <c r="AB132">
        <v>0</v>
      </c>
      <c r="AC132">
        <v>0.20270270270270271</v>
      </c>
      <c r="AD132">
        <v>0.125</v>
      </c>
      <c r="AE132">
        <v>0.1554054054054054</v>
      </c>
      <c r="AF132">
        <v>0.17229729729729729</v>
      </c>
      <c r="AG132" s="63">
        <v>6.7567567567567988E-3</v>
      </c>
      <c r="BX132" s="345"/>
      <c r="BY132" s="345"/>
      <c r="BZ132" s="345"/>
      <c r="CA132" s="382"/>
      <c r="CB132" s="382"/>
      <c r="CC132" s="382"/>
      <c r="CD132" s="385"/>
      <c r="CE132" s="385"/>
      <c r="CF132" s="385"/>
      <c r="CG132" s="377"/>
      <c r="CH132" s="377"/>
      <c r="CI132" s="377"/>
      <c r="CK132">
        <v>100</v>
      </c>
      <c r="CL132">
        <v>42</v>
      </c>
      <c r="DC132" s="58">
        <v>105</v>
      </c>
      <c r="DD132" s="58">
        <v>39.465800654733904</v>
      </c>
      <c r="DE132" s="58">
        <v>-32.511255200188451</v>
      </c>
      <c r="DF132" s="58">
        <v>-0.11590102711909282</v>
      </c>
      <c r="DH132" s="58">
        <v>37.45519713261649</v>
      </c>
      <c r="DI132" s="58">
        <v>0</v>
      </c>
      <c r="DW132" s="58">
        <v>105</v>
      </c>
      <c r="DX132" s="58">
        <v>39.465800654733904</v>
      </c>
      <c r="DY132" s="58">
        <v>-32.511255200188451</v>
      </c>
      <c r="DZ132" s="58">
        <v>-0.11590102711909282</v>
      </c>
    </row>
    <row r="133" spans="1:130" ht="17" thickBot="1">
      <c r="I133" t="s">
        <v>661</v>
      </c>
      <c r="R133" s="58"/>
      <c r="S133" s="83"/>
      <c r="T133" s="83"/>
      <c r="U133" s="83"/>
      <c r="X133">
        <v>0</v>
      </c>
      <c r="AB133">
        <v>0</v>
      </c>
      <c r="AC133">
        <v>0.532258064516129</v>
      </c>
      <c r="AD133">
        <v>8.1989247311827954E-2</v>
      </c>
      <c r="AE133">
        <v>0.13911290322580644</v>
      </c>
      <c r="AF133">
        <v>0.24663978494623656</v>
      </c>
      <c r="AG133" s="63">
        <v>0</v>
      </c>
      <c r="BX133" s="345"/>
      <c r="BY133" s="345"/>
      <c r="BZ133" s="345"/>
      <c r="CA133" s="382"/>
      <c r="CB133" s="382"/>
      <c r="CC133" s="382"/>
      <c r="CD133" s="385"/>
      <c r="CE133" s="385"/>
      <c r="CF133" s="385"/>
      <c r="CG133" s="377"/>
      <c r="CH133" s="377"/>
      <c r="CI133" s="377"/>
      <c r="CK133">
        <v>0</v>
      </c>
      <c r="CL133">
        <v>-45</v>
      </c>
      <c r="DC133" s="58">
        <v>106</v>
      </c>
      <c r="DD133" s="58">
        <v>105.58654829944003</v>
      </c>
      <c r="DE133" s="58">
        <v>1087.41345170056</v>
      </c>
      <c r="DF133" s="58">
        <v>3.8765755175912862</v>
      </c>
      <c r="DH133" s="58">
        <v>37.813620071684589</v>
      </c>
      <c r="DI133" s="58">
        <v>0.10833333333333334</v>
      </c>
      <c r="DW133" s="58">
        <v>106</v>
      </c>
      <c r="DX133" s="58">
        <v>105.58654829944003</v>
      </c>
      <c r="DY133" s="58">
        <v>1087.41345170056</v>
      </c>
      <c r="DZ133" s="58">
        <v>3.8765755175912862</v>
      </c>
    </row>
    <row r="134" spans="1:130">
      <c r="B134" t="s">
        <v>437</v>
      </c>
      <c r="C134">
        <v>70</v>
      </c>
      <c r="D134">
        <v>81</v>
      </c>
      <c r="E134">
        <v>85</v>
      </c>
      <c r="F134">
        <v>236</v>
      </c>
      <c r="G134">
        <v>70</v>
      </c>
      <c r="H134">
        <v>39</v>
      </c>
      <c r="I134" s="355" t="s">
        <v>662</v>
      </c>
      <c r="J134" s="355" t="s">
        <v>666</v>
      </c>
      <c r="K134" s="355" t="s">
        <v>663</v>
      </c>
      <c r="L134" s="355" t="s">
        <v>664</v>
      </c>
      <c r="R134" s="58"/>
      <c r="S134" s="83"/>
      <c r="T134" s="83"/>
      <c r="U134" s="83"/>
      <c r="X134">
        <v>0.49284578696343401</v>
      </c>
      <c r="AB134">
        <v>3.4976152623211444E-2</v>
      </c>
      <c r="AC134">
        <v>0</v>
      </c>
      <c r="AD134">
        <v>0.22257551669316375</v>
      </c>
      <c r="AE134">
        <v>0.20508744038155802</v>
      </c>
      <c r="AF134">
        <v>4.4515103338632747E-2</v>
      </c>
      <c r="AG134" s="63">
        <v>0</v>
      </c>
      <c r="BX134" s="345"/>
      <c r="BY134" s="345"/>
      <c r="BZ134" s="345"/>
      <c r="CA134" s="382"/>
      <c r="CB134" s="382"/>
      <c r="CC134" s="382"/>
      <c r="CD134" s="385"/>
      <c r="CE134" s="385"/>
      <c r="CF134" s="385"/>
      <c r="CG134" s="377"/>
      <c r="CH134" s="377"/>
      <c r="CI134" s="377"/>
      <c r="CK134">
        <v>310</v>
      </c>
      <c r="CL134">
        <v>-35</v>
      </c>
      <c r="DC134" s="58">
        <v>107</v>
      </c>
      <c r="DD134" s="58">
        <v>36.818993587597156</v>
      </c>
      <c r="DE134" s="58">
        <v>-42.818993587597156</v>
      </c>
      <c r="DF134" s="58">
        <v>-0.15264760792685705</v>
      </c>
      <c r="DH134" s="58">
        <v>38.172043010752688</v>
      </c>
      <c r="DI134" s="58">
        <v>0.53749999999999998</v>
      </c>
      <c r="DW134" s="58">
        <v>107</v>
      </c>
      <c r="DX134" s="58">
        <v>36.818993587597156</v>
      </c>
      <c r="DY134" s="58">
        <v>-42.818993587597156</v>
      </c>
      <c r="DZ134" s="58">
        <v>-0.15264760792685705</v>
      </c>
    </row>
    <row r="135" spans="1:130">
      <c r="B135" t="s">
        <v>630</v>
      </c>
      <c r="C135">
        <v>39</v>
      </c>
      <c r="D135">
        <v>47</v>
      </c>
      <c r="E135">
        <v>61</v>
      </c>
      <c r="F135">
        <v>147</v>
      </c>
      <c r="G135">
        <v>81</v>
      </c>
      <c r="H135">
        <v>47</v>
      </c>
      <c r="I135" s="58">
        <v>1</v>
      </c>
      <c r="J135" s="175">
        <v>37.651933701657455</v>
      </c>
      <c r="K135" s="175">
        <v>1.3480662983425447</v>
      </c>
      <c r="L135" s="175">
        <v>0.29731765849886738</v>
      </c>
      <c r="R135" s="83"/>
      <c r="S135" s="83"/>
      <c r="T135" s="83"/>
      <c r="U135" s="83"/>
      <c r="X135">
        <v>0.51417334520629265</v>
      </c>
      <c r="AB135">
        <v>2.3671712674384091E-2</v>
      </c>
      <c r="AC135">
        <v>7.123775601068566E-2</v>
      </c>
      <c r="AD135">
        <v>0.114128821608786</v>
      </c>
      <c r="AE135">
        <v>0.15783615316117541</v>
      </c>
      <c r="AF135">
        <v>3.5470466013653897E-2</v>
      </c>
      <c r="AG135" s="63">
        <v>8.3481745325022394E-2</v>
      </c>
      <c r="BX135" s="345"/>
      <c r="BY135" s="345"/>
      <c r="BZ135" s="345"/>
      <c r="CA135" s="382"/>
      <c r="CB135" s="382"/>
      <c r="CC135" s="382"/>
      <c r="CD135" s="385"/>
      <c r="CE135" s="385"/>
      <c r="CF135" s="385"/>
      <c r="CG135" s="377"/>
      <c r="CH135" s="377"/>
      <c r="CI135" s="377"/>
      <c r="CK135">
        <v>1316.51</v>
      </c>
      <c r="CL135">
        <v>298.3</v>
      </c>
      <c r="DC135" s="58">
        <v>108</v>
      </c>
      <c r="DD135" s="58">
        <v>81.973592765855429</v>
      </c>
      <c r="DE135" s="58">
        <v>-309.97359276585541</v>
      </c>
      <c r="DF135" s="58">
        <v>-1.1050406254739065</v>
      </c>
      <c r="DH135" s="58">
        <v>38.530465949820794</v>
      </c>
      <c r="DI135" s="58">
        <v>1</v>
      </c>
      <c r="DW135" s="58">
        <v>108</v>
      </c>
      <c r="DX135" s="58">
        <v>81.973592765855429</v>
      </c>
      <c r="DY135" s="58">
        <v>-309.97359276585541</v>
      </c>
      <c r="DZ135" s="58">
        <v>-1.1050406254739065</v>
      </c>
    </row>
    <row r="136" spans="1:130">
      <c r="B136" t="s">
        <v>631</v>
      </c>
      <c r="C136">
        <f>C135*C134</f>
        <v>2730</v>
      </c>
      <c r="D136">
        <f t="shared" ref="D136:F136" si="138">D135*D134</f>
        <v>3807</v>
      </c>
      <c r="E136">
        <f t="shared" si="138"/>
        <v>5185</v>
      </c>
      <c r="F136">
        <f t="shared" si="138"/>
        <v>34692</v>
      </c>
      <c r="G136">
        <v>85</v>
      </c>
      <c r="H136">
        <v>61</v>
      </c>
      <c r="I136" s="58">
        <v>2</v>
      </c>
      <c r="J136" s="175">
        <v>52.055248618784518</v>
      </c>
      <c r="K136" s="175">
        <v>-5.0552486187845176</v>
      </c>
      <c r="L136" s="175">
        <v>-1.1149412193707471</v>
      </c>
      <c r="R136" s="83"/>
      <c r="S136" s="83"/>
      <c r="T136" s="83"/>
      <c r="U136" s="83"/>
      <c r="X136">
        <v>0</v>
      </c>
      <c r="AB136">
        <v>0</v>
      </c>
      <c r="AC136">
        <v>0.6648351648351648</v>
      </c>
      <c r="AD136">
        <v>1.098901098901099E-2</v>
      </c>
      <c r="AE136">
        <v>4.3956043956043959E-2</v>
      </c>
      <c r="AF136">
        <v>0.28021978021978022</v>
      </c>
      <c r="AG136" s="63">
        <v>0</v>
      </c>
      <c r="BX136" s="345"/>
      <c r="BY136" s="345"/>
      <c r="BZ136" s="345"/>
      <c r="CA136" s="382"/>
      <c r="CB136" s="382"/>
      <c r="CC136" s="382"/>
      <c r="CD136" s="385"/>
      <c r="CE136" s="385"/>
      <c r="CF136" s="385"/>
      <c r="CG136" s="377"/>
      <c r="CH136" s="377"/>
      <c r="CI136" s="377"/>
      <c r="CK136">
        <v>0</v>
      </c>
      <c r="CL136">
        <v>2</v>
      </c>
      <c r="DC136" s="58">
        <v>109</v>
      </c>
      <c r="DD136" s="58">
        <v>36.145817223701101</v>
      </c>
      <c r="DE136" s="58">
        <v>-99.145817223701101</v>
      </c>
      <c r="DF136" s="58">
        <v>-0.35344996617424335</v>
      </c>
      <c r="DH136" s="58">
        <v>38.888888888888893</v>
      </c>
      <c r="DI136" s="58">
        <v>1</v>
      </c>
      <c r="DW136" s="58">
        <v>109</v>
      </c>
      <c r="DX136" s="58">
        <v>36.145817223701101</v>
      </c>
      <c r="DY136" s="58">
        <v>-99.145817223701101</v>
      </c>
      <c r="DZ136" s="58">
        <v>-0.35344996617424335</v>
      </c>
    </row>
    <row r="137" spans="1:130" ht="17" thickBot="1">
      <c r="B137" t="s">
        <v>632</v>
      </c>
      <c r="C137">
        <f>C134*C134</f>
        <v>4900</v>
      </c>
      <c r="D137">
        <f t="shared" ref="D137:F137" si="139">D134*D134</f>
        <v>6561</v>
      </c>
      <c r="E137">
        <f t="shared" si="139"/>
        <v>7225</v>
      </c>
      <c r="F137">
        <f t="shared" si="139"/>
        <v>55696</v>
      </c>
      <c r="I137" s="59">
        <v>3</v>
      </c>
      <c r="J137" s="192">
        <v>57.292817679557999</v>
      </c>
      <c r="K137" s="192">
        <v>3.7071823204420014</v>
      </c>
      <c r="L137" s="192">
        <v>0.81762356087188603</v>
      </c>
      <c r="R137" s="83"/>
      <c r="S137" s="83"/>
      <c r="T137" s="83"/>
      <c r="U137" s="83"/>
      <c r="X137">
        <v>0.62585034013605445</v>
      </c>
      <c r="AB137">
        <v>0</v>
      </c>
      <c r="AC137">
        <v>1.5873015873015872E-2</v>
      </c>
      <c r="AD137">
        <v>0.1111111111111111</v>
      </c>
      <c r="AE137">
        <v>0</v>
      </c>
      <c r="AF137">
        <v>0.24414210128495842</v>
      </c>
      <c r="AG137" s="63">
        <v>3.023431594860182E-3</v>
      </c>
      <c r="BX137" s="345"/>
      <c r="BY137" s="345"/>
      <c r="BZ137" s="345"/>
      <c r="CA137" s="382"/>
      <c r="CB137" s="382"/>
      <c r="CC137" s="382"/>
      <c r="CD137" s="385"/>
      <c r="CE137" s="385"/>
      <c r="CF137" s="385"/>
      <c r="CG137" s="377"/>
      <c r="CH137" s="377"/>
      <c r="CI137" s="377"/>
      <c r="CK137">
        <v>828</v>
      </c>
      <c r="CL137">
        <v>282</v>
      </c>
      <c r="DC137" s="58">
        <v>110</v>
      </c>
      <c r="DD137" s="58">
        <v>74.775783951889949</v>
      </c>
      <c r="DE137" s="58">
        <v>-465.77578395188993</v>
      </c>
      <c r="DF137" s="58">
        <v>-1.6604677806137671</v>
      </c>
      <c r="DH137" s="58">
        <v>39.247311827956992</v>
      </c>
      <c r="DI137" s="58">
        <v>1</v>
      </c>
      <c r="DW137" s="58">
        <v>110</v>
      </c>
      <c r="DX137" s="58">
        <v>74.775783951889949</v>
      </c>
      <c r="DY137" s="58">
        <v>-465.77578395188993</v>
      </c>
      <c r="DZ137" s="58">
        <v>-1.6604677806137671</v>
      </c>
    </row>
    <row r="138" spans="1:130">
      <c r="R138" s="83"/>
      <c r="S138" s="83"/>
      <c r="T138" s="83"/>
      <c r="U138" s="83"/>
      <c r="X138">
        <v>0.46236559139784944</v>
      </c>
      <c r="AB138">
        <v>0</v>
      </c>
      <c r="AC138">
        <v>0</v>
      </c>
      <c r="AD138">
        <v>0</v>
      </c>
      <c r="AE138">
        <v>0.51254480286738346</v>
      </c>
      <c r="AF138">
        <v>2.5089605734767026E-2</v>
      </c>
      <c r="AG138" s="63">
        <v>0</v>
      </c>
      <c r="BX138" s="345"/>
      <c r="BY138" s="345"/>
      <c r="BZ138" s="345"/>
      <c r="CA138" s="382"/>
      <c r="CB138" s="382"/>
      <c r="CC138" s="382"/>
      <c r="CD138" s="385"/>
      <c r="CE138" s="385"/>
      <c r="CF138" s="385"/>
      <c r="CG138" s="377"/>
      <c r="CH138" s="377"/>
      <c r="CI138" s="377"/>
      <c r="CK138">
        <v>258</v>
      </c>
      <c r="CL138">
        <v>-92</v>
      </c>
      <c r="DC138" s="58">
        <v>111</v>
      </c>
      <c r="DD138" s="58">
        <v>49.936495631739852</v>
      </c>
      <c r="DE138" s="58">
        <v>-12.553318061646394</v>
      </c>
      <c r="DF138" s="58">
        <v>-4.4751961994043306E-2</v>
      </c>
      <c r="DH138" s="58">
        <v>39.605734767025091</v>
      </c>
      <c r="DI138" s="58">
        <v>1.8650306748466259</v>
      </c>
      <c r="DW138" s="58">
        <v>111</v>
      </c>
      <c r="DX138" s="58">
        <v>49.936495631739852</v>
      </c>
      <c r="DY138" s="58">
        <v>-12.553318061646394</v>
      </c>
      <c r="DZ138" s="58">
        <v>-4.4751961994043306E-2</v>
      </c>
    </row>
    <row r="139" spans="1:130">
      <c r="B139" t="s">
        <v>375</v>
      </c>
      <c r="R139" s="83"/>
      <c r="S139" s="83"/>
      <c r="T139" s="83"/>
      <c r="U139" s="83"/>
      <c r="X139">
        <v>0.48214285714285715</v>
      </c>
      <c r="AB139">
        <v>2.232142857142857E-3</v>
      </c>
      <c r="AC139">
        <v>0.17410714285714285</v>
      </c>
      <c r="AD139">
        <v>5.3571428571428568E-2</v>
      </c>
      <c r="AE139">
        <v>0.28794642857142855</v>
      </c>
      <c r="AF139">
        <v>0</v>
      </c>
      <c r="AG139" s="63">
        <v>0</v>
      </c>
      <c r="BX139" s="345"/>
      <c r="BY139" s="345"/>
      <c r="BZ139" s="345"/>
      <c r="CA139" s="382"/>
      <c r="CB139" s="382"/>
      <c r="CC139" s="382"/>
      <c r="CD139" s="385"/>
      <c r="CE139" s="385"/>
      <c r="CF139" s="385"/>
      <c r="CG139" s="377"/>
      <c r="CH139" s="377"/>
      <c r="CI139" s="377"/>
      <c r="CK139">
        <v>216</v>
      </c>
      <c r="CL139">
        <v>-1</v>
      </c>
      <c r="DC139" s="58">
        <v>112</v>
      </c>
      <c r="DD139" s="58">
        <v>67.008364368473963</v>
      </c>
      <c r="DE139" s="58">
        <v>121.99163563152604</v>
      </c>
      <c r="DF139" s="58">
        <v>0.43489418610789388</v>
      </c>
      <c r="DH139" s="58">
        <v>39.964157706093189</v>
      </c>
      <c r="DI139" s="58">
        <v>2</v>
      </c>
      <c r="DW139" s="58">
        <v>112</v>
      </c>
      <c r="DX139" s="58">
        <v>67.008364368473963</v>
      </c>
      <c r="DY139" s="58">
        <v>121.99163563152604</v>
      </c>
      <c r="DZ139" s="58">
        <v>0.43489418610789388</v>
      </c>
    </row>
    <row r="140" spans="1:130">
      <c r="B140" t="s">
        <v>437</v>
      </c>
      <c r="C140" s="6">
        <f>F134/3</f>
        <v>78.666666666666671</v>
      </c>
      <c r="E140" s="83"/>
      <c r="F140" s="138"/>
      <c r="G140" s="138"/>
      <c r="H140" s="138"/>
      <c r="R140" s="83"/>
      <c r="S140" s="83"/>
      <c r="T140" s="83"/>
      <c r="U140" s="83"/>
      <c r="X140">
        <v>0.36496350364963503</v>
      </c>
      <c r="AB140">
        <v>0</v>
      </c>
      <c r="AC140">
        <v>3.6496350364963501E-2</v>
      </c>
      <c r="AD140">
        <v>1.0948905109489052E-2</v>
      </c>
      <c r="AE140">
        <v>0.10948905109489052</v>
      </c>
      <c r="AF140">
        <v>0.47810218978102192</v>
      </c>
      <c r="AG140" s="63">
        <v>0</v>
      </c>
      <c r="BX140" s="345"/>
      <c r="BY140" s="345"/>
      <c r="BZ140" s="345"/>
      <c r="CA140" s="382"/>
      <c r="CB140" s="382"/>
      <c r="CC140" s="382"/>
      <c r="CD140" s="385"/>
      <c r="CE140" s="385"/>
      <c r="CF140" s="385"/>
      <c r="CG140" s="377"/>
      <c r="CH140" s="377"/>
      <c r="CI140" s="377"/>
      <c r="CK140">
        <v>100</v>
      </c>
      <c r="CL140">
        <v>68</v>
      </c>
      <c r="DC140" s="58">
        <v>113</v>
      </c>
      <c r="DD140" s="58">
        <v>48.055860584938948</v>
      </c>
      <c r="DE140" s="58">
        <v>-34.055860584938948</v>
      </c>
      <c r="DF140" s="58">
        <v>-0.1214074694106604</v>
      </c>
      <c r="DH140" s="58">
        <v>40.322580645161295</v>
      </c>
      <c r="DI140" s="58">
        <v>2</v>
      </c>
      <c r="DW140" s="58">
        <v>113</v>
      </c>
      <c r="DX140" s="58">
        <v>48.055860584938948</v>
      </c>
      <c r="DY140" s="58">
        <v>-34.055860584938948</v>
      </c>
      <c r="DZ140" s="58">
        <v>-0.1214074694106604</v>
      </c>
    </row>
    <row r="141" spans="1:130">
      <c r="B141" t="s">
        <v>630</v>
      </c>
      <c r="C141" s="6">
        <f t="shared" ref="C141:C143" si="140">F135/3</f>
        <v>49</v>
      </c>
      <c r="E141" s="83"/>
      <c r="F141" s="58"/>
      <c r="G141" s="58"/>
      <c r="H141" s="58"/>
      <c r="R141" s="83"/>
      <c r="S141" s="83"/>
      <c r="T141" s="83"/>
      <c r="U141" s="83"/>
      <c r="X141">
        <v>0.48125000000000001</v>
      </c>
      <c r="AB141">
        <v>0</v>
      </c>
      <c r="AC141">
        <v>0.18124999999999999</v>
      </c>
      <c r="AD141">
        <v>0.13125000000000001</v>
      </c>
      <c r="AE141">
        <v>0</v>
      </c>
      <c r="AF141">
        <v>0</v>
      </c>
      <c r="AG141" s="63">
        <v>0.20625000000000004</v>
      </c>
      <c r="BX141" s="345"/>
      <c r="BY141" s="345"/>
      <c r="BZ141" s="345"/>
      <c r="CA141" s="382"/>
      <c r="CB141" s="382"/>
      <c r="CC141" s="382"/>
      <c r="CD141" s="385"/>
      <c r="CE141" s="385"/>
      <c r="CF141" s="385"/>
      <c r="CG141" s="377"/>
      <c r="CH141" s="377"/>
      <c r="CI141" s="377"/>
      <c r="CK141">
        <v>77</v>
      </c>
      <c r="CL141">
        <v>-97</v>
      </c>
      <c r="DC141" s="58">
        <v>114</v>
      </c>
      <c r="DD141" s="58">
        <v>38.217129112612028</v>
      </c>
      <c r="DE141" s="58">
        <v>16.782870887387972</v>
      </c>
      <c r="DF141" s="58">
        <v>5.9830109968935057E-2</v>
      </c>
      <c r="DH141" s="58">
        <v>40.681003584229394</v>
      </c>
      <c r="DI141" s="58">
        <v>2.86</v>
      </c>
      <c r="DW141" s="58">
        <v>114</v>
      </c>
      <c r="DX141" s="58">
        <v>38.217129112612028</v>
      </c>
      <c r="DY141" s="58">
        <v>16.782870887387972</v>
      </c>
      <c r="DZ141" s="58">
        <v>5.9830109968935057E-2</v>
      </c>
    </row>
    <row r="142" spans="1:130">
      <c r="B142" t="s">
        <v>631</v>
      </c>
      <c r="C142" s="6">
        <f t="shared" si="140"/>
        <v>11564</v>
      </c>
      <c r="E142" s="83"/>
      <c r="F142" s="58"/>
      <c r="G142" s="58"/>
      <c r="H142" s="58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X142">
        <v>0.1012847965738758</v>
      </c>
      <c r="AB142">
        <v>0.13640256959314775</v>
      </c>
      <c r="AC142">
        <v>5.2890792291220554E-2</v>
      </c>
      <c r="AD142">
        <v>0.20214132762312634</v>
      </c>
      <c r="AE142">
        <v>1.9271948608137045E-3</v>
      </c>
      <c r="AF142">
        <v>0.43083511777301925</v>
      </c>
      <c r="AG142" s="63">
        <v>7.4518201284796581E-2</v>
      </c>
      <c r="BX142" s="345"/>
      <c r="BY142" s="345"/>
      <c r="BZ142" s="345"/>
      <c r="CA142" s="382"/>
      <c r="CB142" s="382"/>
      <c r="CC142" s="382"/>
      <c r="CD142" s="385"/>
      <c r="CE142" s="385"/>
      <c r="CF142" s="385"/>
      <c r="CG142" s="377"/>
      <c r="CH142" s="377"/>
      <c r="CI142" s="377"/>
      <c r="CK142">
        <v>473</v>
      </c>
      <c r="CL142">
        <v>714</v>
      </c>
      <c r="DC142" s="58">
        <v>115</v>
      </c>
      <c r="DD142" s="58">
        <v>37.011987755160554</v>
      </c>
      <c r="DE142" s="58">
        <v>-38.643889595651352</v>
      </c>
      <c r="DF142" s="58">
        <v>-0.1377635673687202</v>
      </c>
      <c r="DH142" s="58">
        <v>41.039426523297493</v>
      </c>
      <c r="DI142" s="58">
        <v>3</v>
      </c>
      <c r="DW142" s="58">
        <v>115</v>
      </c>
      <c r="DX142" s="58">
        <v>37.011987755160554</v>
      </c>
      <c r="DY142" s="58">
        <v>-38.643889595651352</v>
      </c>
      <c r="DZ142" s="58">
        <v>-0.1377635673687202</v>
      </c>
    </row>
    <row r="143" spans="1:130">
      <c r="B143" t="s">
        <v>632</v>
      </c>
      <c r="C143" s="6">
        <f t="shared" si="140"/>
        <v>18565.333333333332</v>
      </c>
      <c r="E143" s="83"/>
      <c r="F143" s="58"/>
      <c r="G143" s="58"/>
      <c r="H143" s="58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X143">
        <v>0.3231292517006803</v>
      </c>
      <c r="AB143">
        <v>0</v>
      </c>
      <c r="AC143">
        <v>6.9727891156462579E-2</v>
      </c>
      <c r="AD143">
        <v>6.8027210884353748E-2</v>
      </c>
      <c r="AE143">
        <v>0.49829931972789115</v>
      </c>
      <c r="AF143">
        <v>0</v>
      </c>
      <c r="AG143" s="63">
        <v>4.081632653061229E-2</v>
      </c>
      <c r="BX143" s="345"/>
      <c r="BY143" s="345"/>
      <c r="BZ143" s="345"/>
      <c r="CA143" s="382"/>
      <c r="CB143" s="382"/>
      <c r="CC143" s="382"/>
      <c r="CD143" s="385"/>
      <c r="CE143" s="385"/>
      <c r="CF143" s="385"/>
      <c r="CG143" s="377"/>
      <c r="CH143" s="377"/>
      <c r="CI143" s="377"/>
      <c r="CK143">
        <v>190</v>
      </c>
      <c r="CL143">
        <v>0</v>
      </c>
      <c r="DC143" s="58">
        <v>116</v>
      </c>
      <c r="DD143" s="58">
        <v>36.145817223701101</v>
      </c>
      <c r="DE143" s="58">
        <v>51.854182776298899</v>
      </c>
      <c r="DF143" s="58">
        <v>0.18485761337690149</v>
      </c>
      <c r="DH143" s="58">
        <v>41.397849462365592</v>
      </c>
      <c r="DI143" s="58">
        <v>4</v>
      </c>
      <c r="DW143" s="58">
        <v>116</v>
      </c>
      <c r="DX143" s="58">
        <v>36.145817223701101</v>
      </c>
      <c r="DY143" s="58">
        <v>51.854182776298899</v>
      </c>
      <c r="DZ143" s="58">
        <v>0.18485761337690149</v>
      </c>
    </row>
    <row r="144" spans="1:130">
      <c r="B144" t="s">
        <v>633</v>
      </c>
      <c r="C144" s="6">
        <f>C140*C140</f>
        <v>6188.4444444444453</v>
      </c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X144">
        <v>0</v>
      </c>
      <c r="AB144">
        <v>0</v>
      </c>
      <c r="AC144">
        <v>0.5220125786163522</v>
      </c>
      <c r="AD144">
        <v>0.13207547169811321</v>
      </c>
      <c r="AE144">
        <v>8.8050314465408799E-2</v>
      </c>
      <c r="AF144">
        <v>0.24528301886792453</v>
      </c>
      <c r="AG144" s="63">
        <v>0</v>
      </c>
      <c r="BX144" s="345"/>
      <c r="BY144" s="345"/>
      <c r="BZ144" s="345"/>
      <c r="CA144" s="382"/>
      <c r="CB144" s="382"/>
      <c r="CC144" s="382"/>
      <c r="CD144" s="385"/>
      <c r="CE144" s="385"/>
      <c r="CF144" s="385"/>
      <c r="CG144" s="377"/>
      <c r="CH144" s="377"/>
      <c r="CI144" s="377"/>
      <c r="CK144">
        <v>0</v>
      </c>
      <c r="CL144">
        <v>48</v>
      </c>
      <c r="DC144" s="58">
        <v>117</v>
      </c>
      <c r="DD144" s="58">
        <v>45.259589534909196</v>
      </c>
      <c r="DE144" s="58">
        <v>-35.259589534909196</v>
      </c>
      <c r="DF144" s="58">
        <v>-0.12569870396360164</v>
      </c>
      <c r="DH144" s="58">
        <v>41.756272401433691</v>
      </c>
      <c r="DI144" s="58">
        <v>4</v>
      </c>
      <c r="DW144" s="58">
        <v>117</v>
      </c>
      <c r="DX144" s="58">
        <v>45.259589534909196</v>
      </c>
      <c r="DY144" s="58">
        <v>-35.259589534909196</v>
      </c>
      <c r="DZ144" s="58">
        <v>-0.12569870396360164</v>
      </c>
    </row>
    <row r="145" spans="1:130" ht="18">
      <c r="A145" s="321" t="s">
        <v>595</v>
      </c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X145">
        <v>0.13053419247557679</v>
      </c>
      <c r="AB145">
        <v>0</v>
      </c>
      <c r="AC145">
        <v>0.19808771565163169</v>
      </c>
      <c r="AD145">
        <v>0.17298898357929743</v>
      </c>
      <c r="AE145">
        <v>0.15994595718145915</v>
      </c>
      <c r="AF145">
        <v>0.30362710455206821</v>
      </c>
      <c r="AG145" s="63">
        <v>3.4816046559966729E-2</v>
      </c>
      <c r="BX145" s="345"/>
      <c r="BY145" s="345"/>
      <c r="BZ145" s="345"/>
      <c r="CA145" s="382"/>
      <c r="CB145" s="382"/>
      <c r="CC145" s="382"/>
      <c r="CD145" s="385"/>
      <c r="CE145" s="385"/>
      <c r="CF145" s="385"/>
      <c r="CG145" s="377"/>
      <c r="CH145" s="377"/>
      <c r="CI145" s="377"/>
      <c r="CK145">
        <v>279.11111111111109</v>
      </c>
      <c r="CL145">
        <v>208</v>
      </c>
      <c r="DC145" s="58">
        <v>118</v>
      </c>
      <c r="DD145" s="58">
        <v>36.145817223701101</v>
      </c>
      <c r="DE145" s="58">
        <v>-20.145817223701101</v>
      </c>
      <c r="DF145" s="58">
        <v>-7.1818848395829832E-2</v>
      </c>
      <c r="DH145" s="58">
        <v>42.114695340501797</v>
      </c>
      <c r="DI145" s="58">
        <v>4</v>
      </c>
      <c r="DW145" s="58">
        <v>118</v>
      </c>
      <c r="DX145" s="58">
        <v>36.145817223701101</v>
      </c>
      <c r="DY145" s="58">
        <v>-20.145817223701101</v>
      </c>
      <c r="DZ145" s="58">
        <v>-7.1818848395829832E-2</v>
      </c>
    </row>
    <row r="146" spans="1:130"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X146">
        <v>0.16778523489932887</v>
      </c>
      <c r="AB146">
        <v>0</v>
      </c>
      <c r="AC146">
        <v>4.0268456375838924E-2</v>
      </c>
      <c r="AD146">
        <v>0.13422818791946309</v>
      </c>
      <c r="AE146">
        <v>0.36241610738255031</v>
      </c>
      <c r="AF146">
        <v>0.25838926174496646</v>
      </c>
      <c r="AG146" s="63">
        <v>3.6912751677852351E-2</v>
      </c>
      <c r="BX146" s="345"/>
      <c r="BY146" s="345"/>
      <c r="BZ146" s="345"/>
      <c r="CA146" s="382"/>
      <c r="CB146" s="382"/>
      <c r="CC146" s="382"/>
      <c r="CD146" s="385"/>
      <c r="CE146" s="385"/>
      <c r="CF146" s="385"/>
      <c r="CG146" s="377"/>
      <c r="CH146" s="377"/>
      <c r="CI146" s="377"/>
      <c r="CK146">
        <v>50</v>
      </c>
      <c r="CL146">
        <v>-15</v>
      </c>
      <c r="DC146" s="58">
        <v>119</v>
      </c>
      <c r="DD146" s="58">
        <v>84.614515424216862</v>
      </c>
      <c r="DE146" s="58">
        <v>-169.61451542421685</v>
      </c>
      <c r="DF146" s="58">
        <v>-0.60466741228311582</v>
      </c>
      <c r="DH146" s="58">
        <v>42.473118279569896</v>
      </c>
      <c r="DI146" s="58">
        <v>5</v>
      </c>
      <c r="DW146" s="58">
        <v>119</v>
      </c>
      <c r="DX146" s="58">
        <v>84.614515424216862</v>
      </c>
      <c r="DY146" s="58">
        <v>-169.61451542421685</v>
      </c>
      <c r="DZ146" s="58">
        <v>-0.60466741228311582</v>
      </c>
    </row>
    <row r="147" spans="1:130">
      <c r="B147" t="s">
        <v>634</v>
      </c>
      <c r="C147" s="6">
        <f>C142-(C140-C141)</f>
        <v>11534.333333333334</v>
      </c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X147">
        <v>0</v>
      </c>
      <c r="AB147">
        <v>0</v>
      </c>
      <c r="AC147">
        <v>0</v>
      </c>
      <c r="AD147">
        <v>0.71984244214672577</v>
      </c>
      <c r="AE147">
        <v>0.13687838503200395</v>
      </c>
      <c r="AF147">
        <v>0.14327917282127031</v>
      </c>
      <c r="AG147" s="63">
        <v>0</v>
      </c>
      <c r="BX147" s="345"/>
      <c r="BY147" s="345"/>
      <c r="BZ147" s="345"/>
      <c r="CA147" s="382"/>
      <c r="CB147" s="382"/>
      <c r="CC147" s="382"/>
      <c r="CD147" s="385"/>
      <c r="CE147" s="385"/>
      <c r="CF147" s="385"/>
      <c r="CG147" s="377"/>
      <c r="CH147" s="377"/>
      <c r="CI147" s="377"/>
      <c r="CK147">
        <v>0</v>
      </c>
      <c r="CL147">
        <v>-10</v>
      </c>
      <c r="DC147" s="58">
        <v>120</v>
      </c>
      <c r="DD147" s="58">
        <v>48.314774571052816</v>
      </c>
      <c r="DE147" s="58">
        <v>-115.31477457105282</v>
      </c>
      <c r="DF147" s="58">
        <v>-0.41109150454191623</v>
      </c>
      <c r="DH147" s="58">
        <v>42.831541218637994</v>
      </c>
      <c r="DI147" s="58">
        <v>6</v>
      </c>
      <c r="DW147" s="58">
        <v>120</v>
      </c>
      <c r="DX147" s="58">
        <v>48.314774571052816</v>
      </c>
      <c r="DY147" s="58">
        <v>-115.31477457105282</v>
      </c>
      <c r="DZ147" s="58">
        <v>-0.41109150454191623</v>
      </c>
    </row>
    <row r="148" spans="1:130">
      <c r="C148" s="6">
        <f>C143-C144</f>
        <v>12376.888888888887</v>
      </c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X148">
        <v>0</v>
      </c>
      <c r="AB148">
        <v>0</v>
      </c>
      <c r="AC148">
        <v>0.43421052631578949</v>
      </c>
      <c r="AD148">
        <v>0.46052631578947367</v>
      </c>
      <c r="AE148">
        <v>0</v>
      </c>
      <c r="AF148">
        <v>3.9473684210526314E-2</v>
      </c>
      <c r="AG148" s="63">
        <v>6.5789473684210509E-2</v>
      </c>
      <c r="BX148" s="345"/>
      <c r="BY148" s="345"/>
      <c r="BZ148" s="345"/>
      <c r="CA148" s="382"/>
      <c r="CB148" s="382"/>
      <c r="CC148" s="382"/>
      <c r="CD148" s="385"/>
      <c r="CE148" s="385"/>
      <c r="CF148" s="385"/>
      <c r="CG148" s="377"/>
      <c r="CH148" s="377"/>
      <c r="CI148" s="377"/>
      <c r="CK148">
        <v>0</v>
      </c>
      <c r="CL148">
        <v>0</v>
      </c>
      <c r="DC148" s="58">
        <v>121</v>
      </c>
      <c r="DD148" s="58">
        <v>43.809671212671546</v>
      </c>
      <c r="DE148" s="58">
        <v>-118.80967121267155</v>
      </c>
      <c r="DF148" s="58">
        <v>-0.42355063932291759</v>
      </c>
      <c r="DH148" s="58">
        <v>43.189964157706093</v>
      </c>
      <c r="DI148" s="58">
        <v>6</v>
      </c>
      <c r="DW148" s="58">
        <v>121</v>
      </c>
      <c r="DX148" s="58">
        <v>43.809671212671546</v>
      </c>
      <c r="DY148" s="58">
        <v>-118.80967121267155</v>
      </c>
      <c r="DZ148" s="58">
        <v>-0.42355063932291759</v>
      </c>
    </row>
    <row r="149" spans="1:130">
      <c r="B149" t="s">
        <v>635</v>
      </c>
      <c r="C149">
        <f>C147/C148</f>
        <v>0.93192509336397611</v>
      </c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X149">
        <v>0.52390852390852394</v>
      </c>
      <c r="AB149">
        <v>0</v>
      </c>
      <c r="AC149">
        <v>0.15176715176715178</v>
      </c>
      <c r="AD149">
        <v>0.11226611226611227</v>
      </c>
      <c r="AE149">
        <v>0.16216216216216217</v>
      </c>
      <c r="AF149">
        <v>4.9896049896049899E-2</v>
      </c>
      <c r="AG149" s="63">
        <v>0</v>
      </c>
      <c r="BX149" s="345"/>
      <c r="BY149" s="345"/>
      <c r="BZ149" s="345"/>
      <c r="CA149" s="382"/>
      <c r="CB149" s="382"/>
      <c r="CC149" s="382"/>
      <c r="CD149" s="385"/>
      <c r="CE149" s="385"/>
      <c r="CF149" s="385"/>
      <c r="CG149" s="377"/>
      <c r="CH149" s="377"/>
      <c r="CI149" s="377"/>
      <c r="CK149">
        <v>252</v>
      </c>
      <c r="CL149">
        <v>39</v>
      </c>
      <c r="DC149" s="58">
        <v>122</v>
      </c>
      <c r="DD149" s="58">
        <v>50.386086459963742</v>
      </c>
      <c r="DE149" s="58">
        <v>-40.386086459963742</v>
      </c>
      <c r="DF149" s="58">
        <v>-0.14397441357487648</v>
      </c>
      <c r="DH149" s="58">
        <v>43.548387096774199</v>
      </c>
      <c r="DI149" s="58">
        <v>6</v>
      </c>
      <c r="DW149" s="58">
        <v>122</v>
      </c>
      <c r="DX149" s="58">
        <v>50.386086459963742</v>
      </c>
      <c r="DY149" s="58">
        <v>-40.386086459963742</v>
      </c>
      <c r="DZ149" s="58">
        <v>-0.14397441357487648</v>
      </c>
    </row>
    <row r="150" spans="1:130"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X150">
        <v>0.4446085672082718</v>
      </c>
      <c r="AB150">
        <v>0</v>
      </c>
      <c r="AC150">
        <v>0.206794682422452</v>
      </c>
      <c r="AD150">
        <v>7.8286558345642535E-2</v>
      </c>
      <c r="AE150">
        <v>8.2717872968980796E-2</v>
      </c>
      <c r="AF150">
        <v>0.18463810930576072</v>
      </c>
      <c r="AG150" s="63">
        <v>2.9542097488921559E-3</v>
      </c>
      <c r="BX150" s="345"/>
      <c r="BY150" s="345"/>
      <c r="BZ150" s="345"/>
      <c r="CA150" s="382"/>
      <c r="CB150" s="382"/>
      <c r="CC150" s="382"/>
      <c r="CD150" s="385"/>
      <c r="CE150" s="385"/>
      <c r="CF150" s="385"/>
      <c r="CG150" s="377"/>
      <c r="CH150" s="377"/>
      <c r="CI150" s="377"/>
      <c r="CK150">
        <v>301</v>
      </c>
      <c r="CL150">
        <v>54</v>
      </c>
      <c r="DC150" s="58">
        <v>123</v>
      </c>
      <c r="DD150" s="58">
        <v>58.464202826716374</v>
      </c>
      <c r="DE150" s="58">
        <v>-26.464202826716374</v>
      </c>
      <c r="DF150" s="58">
        <v>-9.4343582572187126E-2</v>
      </c>
      <c r="DH150" s="58">
        <v>43.906810035842298</v>
      </c>
      <c r="DI150" s="58">
        <v>6.954545454545455</v>
      </c>
      <c r="DW150" s="58">
        <v>123</v>
      </c>
      <c r="DX150" s="58">
        <v>58.464202826716374</v>
      </c>
      <c r="DY150" s="58">
        <v>-26.464202826716374</v>
      </c>
      <c r="DZ150" s="58">
        <v>-9.4343582572187126E-2</v>
      </c>
    </row>
    <row r="151" spans="1:130">
      <c r="B151" t="s">
        <v>636</v>
      </c>
      <c r="C151">
        <f>C141-C149*C140</f>
        <v>-24.311440677966118</v>
      </c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X151">
        <v>0.78749999999999998</v>
      </c>
      <c r="AB151">
        <v>0</v>
      </c>
      <c r="AC151">
        <v>0.15416666666666667</v>
      </c>
      <c r="AD151">
        <v>5.8333333333333334E-2</v>
      </c>
      <c r="AE151">
        <v>0</v>
      </c>
      <c r="AF151">
        <v>0</v>
      </c>
      <c r="AG151" s="63">
        <v>0</v>
      </c>
      <c r="BX151" s="345"/>
      <c r="BY151" s="345"/>
      <c r="BZ151" s="345"/>
      <c r="CA151" s="382"/>
      <c r="CB151" s="382"/>
      <c r="CC151" s="382"/>
      <c r="CD151" s="385"/>
      <c r="CE151" s="385"/>
      <c r="CF151" s="385"/>
      <c r="CG151" s="377"/>
      <c r="CH151" s="377"/>
      <c r="CI151" s="377"/>
      <c r="CK151">
        <v>189</v>
      </c>
      <c r="CL151">
        <v>0</v>
      </c>
      <c r="DC151" s="58">
        <v>124</v>
      </c>
      <c r="DD151" s="58">
        <v>51.680656390533073</v>
      </c>
      <c r="DE151" s="58">
        <v>21.319343609466927</v>
      </c>
      <c r="DF151" s="58">
        <v>7.600241229159807E-2</v>
      </c>
      <c r="DH151" s="58">
        <v>44.265232974910397</v>
      </c>
      <c r="DI151" s="58">
        <v>9</v>
      </c>
      <c r="DW151" s="58">
        <v>124</v>
      </c>
      <c r="DX151" s="58">
        <v>51.680656390533073</v>
      </c>
      <c r="DY151" s="58">
        <v>21.319343609466927</v>
      </c>
      <c r="DZ151" s="58">
        <v>7.600241229159807E-2</v>
      </c>
    </row>
    <row r="152" spans="1:130"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X152">
        <v>0.64321608040201006</v>
      </c>
      <c r="AB152">
        <v>0</v>
      </c>
      <c r="AC152">
        <v>3.8723026899201894E-2</v>
      </c>
      <c r="AD152">
        <v>0.17647058823529413</v>
      </c>
      <c r="AE152">
        <v>6.1483890038427434E-2</v>
      </c>
      <c r="AF152">
        <v>3.6949453148093406E-2</v>
      </c>
      <c r="AG152" s="63">
        <v>4.3156961276973105E-2</v>
      </c>
      <c r="BX152" s="345"/>
      <c r="BY152" s="345"/>
      <c r="BZ152" s="345"/>
      <c r="CA152" s="382"/>
      <c r="CB152" s="382"/>
      <c r="CC152" s="382"/>
      <c r="CD152" s="385"/>
      <c r="CE152" s="385"/>
      <c r="CF152" s="385"/>
      <c r="CG152" s="377"/>
      <c r="CH152" s="377"/>
      <c r="CI152" s="377"/>
      <c r="CK152">
        <v>2176</v>
      </c>
      <c r="CL152">
        <v>5</v>
      </c>
      <c r="DC152" s="58">
        <v>125</v>
      </c>
      <c r="DD152" s="58">
        <v>135.87948467476238</v>
      </c>
      <c r="DE152" s="58">
        <v>-426.87948467476235</v>
      </c>
      <c r="DF152" s="58">
        <v>-1.5218043851345122</v>
      </c>
      <c r="DH152" s="58">
        <v>44.623655913978496</v>
      </c>
      <c r="DI152" s="58">
        <v>9</v>
      </c>
      <c r="DW152" s="58">
        <v>125</v>
      </c>
      <c r="DX152" s="58">
        <v>135.87948467476238</v>
      </c>
      <c r="DY152" s="58">
        <v>-426.87948467476235</v>
      </c>
      <c r="DZ152" s="58">
        <v>-1.5218043851345122</v>
      </c>
    </row>
    <row r="153" spans="1:130">
      <c r="E153" s="83"/>
      <c r="F153" s="138"/>
      <c r="G153" s="138"/>
      <c r="H153" s="138"/>
      <c r="I153" s="138"/>
      <c r="J153" s="138"/>
      <c r="K153" s="138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X153">
        <v>0</v>
      </c>
      <c r="AB153">
        <v>0</v>
      </c>
      <c r="AC153">
        <v>0.43193717277486909</v>
      </c>
      <c r="AD153">
        <v>7.5916230366492143E-2</v>
      </c>
      <c r="AE153">
        <v>1.5706806282722512E-2</v>
      </c>
      <c r="AF153">
        <v>0.47643979057591623</v>
      </c>
      <c r="AG153" s="63">
        <v>0</v>
      </c>
      <c r="BX153" s="345"/>
      <c r="BY153" s="345"/>
      <c r="BZ153" s="345"/>
      <c r="CA153" s="382"/>
      <c r="CB153" s="382"/>
      <c r="CC153" s="382"/>
      <c r="CD153" s="385"/>
      <c r="CE153" s="385"/>
      <c r="CF153" s="385"/>
      <c r="CG153" s="377"/>
      <c r="CH153" s="377"/>
      <c r="CI153" s="377"/>
      <c r="CK153">
        <v>0</v>
      </c>
      <c r="CL153">
        <v>118</v>
      </c>
      <c r="DC153" s="58">
        <v>126</v>
      </c>
      <c r="DD153" s="58">
        <v>70.58137737684531</v>
      </c>
      <c r="DE153" s="58">
        <v>90.41862262315469</v>
      </c>
      <c r="DF153" s="58">
        <v>0.32233794629548868</v>
      </c>
      <c r="DH153" s="58">
        <v>44.982078853046595</v>
      </c>
      <c r="DI153" s="58">
        <v>10</v>
      </c>
      <c r="DW153" s="58">
        <v>126</v>
      </c>
      <c r="DX153" s="58">
        <v>70.58137737684531</v>
      </c>
      <c r="DY153" s="58">
        <v>90.41862262315469</v>
      </c>
      <c r="DZ153" s="58">
        <v>0.32233794629548868</v>
      </c>
    </row>
    <row r="154" spans="1:130">
      <c r="E154" s="83"/>
      <c r="F154" s="58"/>
      <c r="G154" s="58"/>
      <c r="H154" s="58"/>
      <c r="I154" s="58"/>
      <c r="J154" s="58"/>
      <c r="K154" s="58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X154">
        <v>0.18852459016393441</v>
      </c>
      <c r="AB154">
        <v>0</v>
      </c>
      <c r="AC154">
        <v>4.9180327868852458E-2</v>
      </c>
      <c r="AD154">
        <v>3.6065573770491806E-2</v>
      </c>
      <c r="AE154">
        <v>7.3770491803278687E-2</v>
      </c>
      <c r="AF154">
        <v>0.63606557377049178</v>
      </c>
      <c r="AG154" s="63">
        <v>1.6393442622950838E-2</v>
      </c>
      <c r="BX154" s="345"/>
      <c r="BY154" s="345"/>
      <c r="BZ154" s="345"/>
      <c r="CA154" s="382"/>
      <c r="CB154" s="382"/>
      <c r="CC154" s="382"/>
      <c r="CD154" s="385"/>
      <c r="CE154" s="385"/>
      <c r="CF154" s="385"/>
      <c r="CG154" s="377"/>
      <c r="CH154" s="377"/>
      <c r="CI154" s="377"/>
      <c r="CK154">
        <v>115</v>
      </c>
      <c r="CL154">
        <v>91</v>
      </c>
      <c r="DC154" s="58">
        <v>127</v>
      </c>
      <c r="DD154" s="58">
        <v>43.706105618225997</v>
      </c>
      <c r="DE154" s="58">
        <v>-42.706105618225997</v>
      </c>
      <c r="DF154" s="58">
        <v>-0.1522451678635946</v>
      </c>
      <c r="DH154" s="58">
        <v>45.340501792114701</v>
      </c>
      <c r="DI154" s="58">
        <v>10</v>
      </c>
      <c r="DW154" s="58">
        <v>127</v>
      </c>
      <c r="DX154" s="58">
        <v>43.706105618225997</v>
      </c>
      <c r="DY154" s="58">
        <v>-42.706105618225997</v>
      </c>
      <c r="DZ154" s="58">
        <v>-0.1522451678635946</v>
      </c>
    </row>
    <row r="155" spans="1:130">
      <c r="E155" s="83"/>
      <c r="F155" s="58"/>
      <c r="G155" s="58"/>
      <c r="H155" s="58"/>
      <c r="I155" s="58"/>
      <c r="J155" s="58"/>
      <c r="K155" s="58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X155">
        <v>0.29133858267716534</v>
      </c>
      <c r="AB155">
        <v>0</v>
      </c>
      <c r="AC155">
        <v>4.0944881889763779E-2</v>
      </c>
      <c r="AD155">
        <v>3.1496062992125984E-2</v>
      </c>
      <c r="AE155">
        <v>1.4173228346456693E-2</v>
      </c>
      <c r="AF155">
        <v>0.62204724409448819</v>
      </c>
      <c r="AG155" s="63">
        <v>0</v>
      </c>
      <c r="BX155" s="345"/>
      <c r="BY155" s="345"/>
      <c r="BZ155" s="345"/>
      <c r="CA155" s="382"/>
      <c r="CB155" s="382"/>
      <c r="CC155" s="382"/>
      <c r="CD155" s="385"/>
      <c r="CE155" s="385"/>
      <c r="CF155" s="385"/>
      <c r="CG155" s="377"/>
      <c r="CH155" s="377"/>
      <c r="CI155" s="377"/>
      <c r="CK155">
        <v>185</v>
      </c>
      <c r="CL155">
        <v>147</v>
      </c>
      <c r="DC155" s="58">
        <v>128</v>
      </c>
      <c r="DD155" s="58">
        <v>81.403981996404923</v>
      </c>
      <c r="DE155" s="58">
        <v>-121.40398199640492</v>
      </c>
      <c r="DF155" s="58">
        <v>-0.43279922977718877</v>
      </c>
      <c r="DH155" s="58">
        <v>45.6989247311828</v>
      </c>
      <c r="DI155" s="58">
        <v>11</v>
      </c>
      <c r="DW155" s="58">
        <v>128</v>
      </c>
      <c r="DX155" s="58">
        <v>81.403981996404923</v>
      </c>
      <c r="DY155" s="58">
        <v>-121.40398199640492</v>
      </c>
      <c r="DZ155" s="58">
        <v>-0.43279922977718877</v>
      </c>
    </row>
    <row r="156" spans="1:130">
      <c r="E156" s="83"/>
      <c r="F156" s="58"/>
      <c r="G156" s="58"/>
      <c r="H156" s="58"/>
      <c r="I156" s="58"/>
      <c r="J156" s="58"/>
      <c r="K156" s="58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X156">
        <v>0.33953488372093021</v>
      </c>
      <c r="AB156">
        <v>0</v>
      </c>
      <c r="AC156">
        <v>3.255813953488372E-2</v>
      </c>
      <c r="AD156">
        <v>0.11395348837209303</v>
      </c>
      <c r="AE156">
        <v>0</v>
      </c>
      <c r="AF156">
        <v>0.41162790697674417</v>
      </c>
      <c r="AG156" s="63">
        <v>0.10232558139534886</v>
      </c>
      <c r="BX156" s="345"/>
      <c r="BY156" s="345"/>
      <c r="BZ156" s="345"/>
      <c r="CA156" s="382"/>
      <c r="CB156" s="382"/>
      <c r="CC156" s="382"/>
      <c r="CD156" s="385"/>
      <c r="CE156" s="385"/>
      <c r="CF156" s="385"/>
      <c r="CG156" s="377"/>
      <c r="CH156" s="377"/>
      <c r="CI156" s="377"/>
      <c r="CK156">
        <v>146</v>
      </c>
      <c r="CL156">
        <v>121</v>
      </c>
      <c r="DC156" s="58">
        <v>129</v>
      </c>
      <c r="DD156" s="58">
        <v>40.54735498763683</v>
      </c>
      <c r="DE156" s="58">
        <v>-0.54735498763682955</v>
      </c>
      <c r="DF156" s="58">
        <v>-1.9512936327816459E-3</v>
      </c>
      <c r="DH156" s="58">
        <v>46.057347670250898</v>
      </c>
      <c r="DI156" s="58">
        <v>11</v>
      </c>
      <c r="DW156" s="58">
        <v>129</v>
      </c>
      <c r="DX156" s="58">
        <v>40.54735498763683</v>
      </c>
      <c r="DY156" s="58">
        <v>-0.54735498763682955</v>
      </c>
      <c r="DZ156" s="58">
        <v>-1.9512936327816459E-3</v>
      </c>
    </row>
    <row r="157" spans="1:130"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X157">
        <v>0.76350093109869643</v>
      </c>
      <c r="AB157">
        <v>0.11359404096834265</v>
      </c>
      <c r="AC157">
        <v>6.7039106145251395E-2</v>
      </c>
      <c r="AD157">
        <v>0</v>
      </c>
      <c r="AE157">
        <v>1.86219739292365E-2</v>
      </c>
      <c r="AF157">
        <v>0</v>
      </c>
      <c r="AG157" s="63">
        <v>3.724394785847307E-2</v>
      </c>
      <c r="BX157" s="345"/>
      <c r="BY157" s="345"/>
      <c r="BZ157" s="345"/>
      <c r="CA157" s="382"/>
      <c r="CB157" s="382"/>
      <c r="CC157" s="382"/>
      <c r="CD157" s="385"/>
      <c r="CE157" s="385"/>
      <c r="CF157" s="385"/>
      <c r="CG157" s="377"/>
      <c r="CH157" s="377"/>
      <c r="CI157" s="377"/>
      <c r="CK157">
        <v>410</v>
      </c>
      <c r="CL157">
        <v>80</v>
      </c>
      <c r="DC157" s="58">
        <v>130</v>
      </c>
      <c r="DD157" s="58">
        <v>41.116965757087335</v>
      </c>
      <c r="DE157" s="58">
        <v>-356.11696575708731</v>
      </c>
      <c r="DF157" s="58">
        <v>-1.2695394826079178</v>
      </c>
      <c r="DH157" s="58">
        <v>46.415770609318997</v>
      </c>
      <c r="DI157" s="58">
        <v>11</v>
      </c>
      <c r="DW157" s="58">
        <v>130</v>
      </c>
      <c r="DX157" s="58">
        <v>41.116965757087335</v>
      </c>
      <c r="DY157" s="58">
        <v>-356.11696575708731</v>
      </c>
      <c r="DZ157" s="58">
        <v>-1.2695394826079178</v>
      </c>
    </row>
    <row r="158" spans="1:130" ht="18">
      <c r="A158" s="321" t="s">
        <v>596</v>
      </c>
      <c r="K158" s="138"/>
      <c r="L158" s="138"/>
      <c r="M158" s="138"/>
      <c r="N158" s="138"/>
      <c r="O158" s="83"/>
      <c r="P158" s="83"/>
      <c r="Q158" s="83"/>
      <c r="R158" s="83"/>
      <c r="S158" s="83"/>
      <c r="T158" s="83"/>
      <c r="U158" s="83"/>
      <c r="X158">
        <v>0.19753086419753085</v>
      </c>
      <c r="AB158">
        <v>0</v>
      </c>
      <c r="AC158">
        <v>2.7777777777777776E-2</v>
      </c>
      <c r="AD158">
        <v>4.3209876543209874E-2</v>
      </c>
      <c r="AE158">
        <v>0</v>
      </c>
      <c r="AF158">
        <v>0.58024691358024694</v>
      </c>
      <c r="AG158" s="63">
        <v>0.15123456790123457</v>
      </c>
      <c r="BX158" s="345"/>
      <c r="BY158" s="345"/>
      <c r="BZ158" s="345"/>
      <c r="CA158" s="382"/>
      <c r="CB158" s="382"/>
      <c r="CC158" s="382"/>
      <c r="CD158" s="385"/>
      <c r="CE158" s="385"/>
      <c r="CF158" s="385"/>
      <c r="CG158" s="377"/>
      <c r="CH158" s="377"/>
      <c r="CI158" s="377"/>
      <c r="CK158">
        <v>64</v>
      </c>
      <c r="CL158">
        <v>-82</v>
      </c>
      <c r="DC158" s="58">
        <v>131</v>
      </c>
      <c r="DD158" s="58">
        <v>41.324096945978425</v>
      </c>
      <c r="DE158" s="58">
        <v>0.67590305402157469</v>
      </c>
      <c r="DF158" s="58">
        <v>2.4095611723283479E-3</v>
      </c>
      <c r="DH158" s="58">
        <v>46.774193548387096</v>
      </c>
      <c r="DI158" s="58">
        <v>11</v>
      </c>
      <c r="DW158" s="58">
        <v>131</v>
      </c>
      <c r="DX158" s="58">
        <v>41.324096945978425</v>
      </c>
      <c r="DY158" s="58">
        <v>0.67590305402157469</v>
      </c>
      <c r="DZ158" s="58">
        <v>2.4095611723283479E-3</v>
      </c>
    </row>
    <row r="159" spans="1:130" ht="17" thickBot="1">
      <c r="K159" s="58"/>
      <c r="L159" s="58"/>
      <c r="M159" s="58"/>
      <c r="N159" s="58"/>
      <c r="O159" s="83"/>
      <c r="P159" s="83"/>
      <c r="Q159" s="83"/>
      <c r="R159" s="83"/>
      <c r="S159" s="83"/>
      <c r="T159" s="83"/>
      <c r="U159" s="83"/>
      <c r="X159">
        <v>0.36912751677852351</v>
      </c>
      <c r="AB159">
        <v>0</v>
      </c>
      <c r="AC159">
        <v>0</v>
      </c>
      <c r="AD159">
        <v>0.24161073825503357</v>
      </c>
      <c r="AE159">
        <v>0</v>
      </c>
      <c r="AF159">
        <v>0</v>
      </c>
      <c r="AG159" s="63">
        <v>0.38926174496644295</v>
      </c>
      <c r="BX159" s="345"/>
      <c r="BY159" s="345"/>
      <c r="BZ159" s="345"/>
      <c r="CA159" s="382"/>
      <c r="CB159" s="382"/>
      <c r="CC159" s="382"/>
      <c r="CD159" s="385"/>
      <c r="CE159" s="385"/>
      <c r="CF159" s="385"/>
      <c r="CG159" s="377"/>
      <c r="CH159" s="377"/>
      <c r="CI159" s="377"/>
      <c r="CK159">
        <v>55</v>
      </c>
      <c r="CL159">
        <v>21</v>
      </c>
      <c r="DC159" s="58">
        <v>132</v>
      </c>
      <c r="DD159" s="58">
        <v>36.145817223701101</v>
      </c>
      <c r="DE159" s="58">
        <v>-81.145817223701101</v>
      </c>
      <c r="DF159" s="58">
        <v>-0.28928085073106052</v>
      </c>
      <c r="DH159" s="58">
        <v>47.132616487455202</v>
      </c>
      <c r="DI159" s="58">
        <v>12</v>
      </c>
      <c r="DW159" s="58">
        <v>132</v>
      </c>
      <c r="DX159" s="58">
        <v>36.145817223701101</v>
      </c>
      <c r="DY159" s="58">
        <v>-81.145817223701101</v>
      </c>
      <c r="DZ159" s="58">
        <v>-0.28928085073106052</v>
      </c>
    </row>
    <row r="160" spans="1:130">
      <c r="B160" s="61"/>
      <c r="C160" s="61"/>
      <c r="K160" s="58"/>
      <c r="L160" s="58"/>
      <c r="M160" s="58"/>
      <c r="N160" s="58"/>
      <c r="O160" s="83"/>
      <c r="P160" s="83"/>
      <c r="Q160" s="83"/>
      <c r="R160" s="83"/>
      <c r="S160" s="83"/>
      <c r="T160" s="83"/>
      <c r="U160" s="83"/>
      <c r="X160">
        <v>0.36101083032490977</v>
      </c>
      <c r="AB160">
        <v>0</v>
      </c>
      <c r="AC160">
        <v>6.1371841155234655E-2</v>
      </c>
      <c r="AD160">
        <v>0.22021660649819494</v>
      </c>
      <c r="AE160">
        <v>0.21660649819494585</v>
      </c>
      <c r="AF160">
        <v>0</v>
      </c>
      <c r="AG160" s="63">
        <v>0.1407942238267148</v>
      </c>
      <c r="BX160" s="345"/>
      <c r="BY160" s="345"/>
      <c r="BZ160" s="345"/>
      <c r="CA160" s="382"/>
      <c r="CB160" s="382"/>
      <c r="CC160" s="382"/>
      <c r="CD160" s="385"/>
      <c r="CE160" s="385"/>
      <c r="CF160" s="385"/>
      <c r="CG160" s="377"/>
      <c r="CH160" s="377"/>
      <c r="CI160" s="377"/>
      <c r="CK160">
        <v>100</v>
      </c>
      <c r="CL160">
        <v>62</v>
      </c>
      <c r="DC160" s="58">
        <v>133</v>
      </c>
      <c r="DD160" s="58">
        <v>52.198484362760809</v>
      </c>
      <c r="DE160" s="58">
        <v>-87.198484362760809</v>
      </c>
      <c r="DF160" s="58">
        <v>-0.31085831164136507</v>
      </c>
      <c r="DH160" s="58">
        <v>47.491039426523301</v>
      </c>
      <c r="DI160" s="58">
        <v>13</v>
      </c>
      <c r="DW160" s="58">
        <v>133</v>
      </c>
      <c r="DX160" s="58">
        <v>52.198484362760809</v>
      </c>
      <c r="DY160" s="58">
        <v>-87.198484362760809</v>
      </c>
      <c r="DZ160" s="58">
        <v>-0.31085831164136507</v>
      </c>
    </row>
    <row r="161" spans="1:130">
      <c r="B161" t="s">
        <v>643</v>
      </c>
      <c r="K161" s="58"/>
      <c r="L161" s="58"/>
      <c r="M161" s="58"/>
      <c r="N161" s="58"/>
      <c r="O161" s="83"/>
      <c r="P161" s="83"/>
      <c r="Q161" s="83"/>
      <c r="R161" s="83"/>
      <c r="S161" s="83"/>
      <c r="T161" s="83"/>
      <c r="U161" s="83"/>
      <c r="X161">
        <v>0.62367864693446085</v>
      </c>
      <c r="AB161">
        <v>0</v>
      </c>
      <c r="AC161">
        <v>2.9598308668076109E-2</v>
      </c>
      <c r="AD161">
        <v>5.2854122621564484E-2</v>
      </c>
      <c r="AE161">
        <v>0</v>
      </c>
      <c r="AF161">
        <v>0</v>
      </c>
      <c r="AG161" s="63">
        <v>0.29386892177589852</v>
      </c>
      <c r="BX161" s="345"/>
      <c r="BY161" s="345"/>
      <c r="BZ161" s="345"/>
      <c r="CA161" s="382"/>
      <c r="CB161" s="382"/>
      <c r="CC161" s="382"/>
      <c r="CD161" s="385"/>
      <c r="CE161" s="385"/>
      <c r="CF161" s="385"/>
      <c r="CG161" s="377"/>
      <c r="CH161" s="377"/>
      <c r="CI161" s="377"/>
      <c r="CK161">
        <v>295</v>
      </c>
      <c r="CL161">
        <v>28</v>
      </c>
      <c r="DC161" s="58">
        <v>134</v>
      </c>
      <c r="DD161" s="58">
        <v>104.31838759545431</v>
      </c>
      <c r="DE161" s="58">
        <v>193.9816124045457</v>
      </c>
      <c r="DF161" s="58">
        <v>0.69153491556900215</v>
      </c>
      <c r="DH161" s="58">
        <v>47.8494623655914</v>
      </c>
      <c r="DI161" s="58">
        <v>13</v>
      </c>
      <c r="DW161" s="58">
        <v>134</v>
      </c>
      <c r="DX161" s="58">
        <v>104.31838759545431</v>
      </c>
      <c r="DY161" s="58">
        <v>193.9816124045457</v>
      </c>
      <c r="DZ161" s="58">
        <v>0.69153491556900215</v>
      </c>
    </row>
    <row r="162" spans="1:130" ht="17" thickBot="1"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X162">
        <v>0.38059701492537312</v>
      </c>
      <c r="AB162">
        <v>5.9701492537313433E-3</v>
      </c>
      <c r="AC162">
        <v>0</v>
      </c>
      <c r="AD162">
        <v>0.12388059701492538</v>
      </c>
      <c r="AE162">
        <v>0</v>
      </c>
      <c r="AF162">
        <v>0.46417910447761196</v>
      </c>
      <c r="AG162" s="63">
        <v>2.5373134328358082E-2</v>
      </c>
      <c r="BX162" s="345"/>
      <c r="BY162" s="345"/>
      <c r="BZ162" s="345"/>
      <c r="CA162" s="382"/>
      <c r="CB162" s="382"/>
      <c r="CC162" s="382"/>
      <c r="CD162" s="385"/>
      <c r="CE162" s="385"/>
      <c r="CF162" s="385"/>
      <c r="CG162" s="377"/>
      <c r="CH162" s="377"/>
      <c r="CI162" s="377"/>
      <c r="CK162">
        <v>255</v>
      </c>
      <c r="CL162">
        <v>-26</v>
      </c>
      <c r="DC162" s="58">
        <v>135</v>
      </c>
      <c r="DD162" s="58">
        <v>36.145817223701101</v>
      </c>
      <c r="DE162" s="58">
        <v>-34.145817223701101</v>
      </c>
      <c r="DF162" s="58">
        <v>-0.12172816040719425</v>
      </c>
      <c r="DH162" s="58">
        <v>48.207885304659499</v>
      </c>
      <c r="DI162" s="58">
        <v>13</v>
      </c>
      <c r="DW162" s="58">
        <v>135</v>
      </c>
      <c r="DX162" s="58">
        <v>36.145817223701101</v>
      </c>
      <c r="DY162" s="58">
        <v>-34.145817223701101</v>
      </c>
      <c r="DZ162" s="58">
        <v>-0.12172816040719425</v>
      </c>
    </row>
    <row r="163" spans="1:130">
      <c r="B163" s="61" t="s">
        <v>644</v>
      </c>
      <c r="C163" s="61"/>
      <c r="X163">
        <v>0.5179924242424242</v>
      </c>
      <c r="AB163">
        <v>1.231060606060606E-2</v>
      </c>
      <c r="AC163">
        <v>8.7121212121212127E-2</v>
      </c>
      <c r="AD163">
        <v>0.125</v>
      </c>
      <c r="AE163">
        <v>7.575757575757576E-2</v>
      </c>
      <c r="AF163">
        <v>0.18181818181818182</v>
      </c>
      <c r="AG163" s="63">
        <v>0</v>
      </c>
      <c r="BX163" s="345"/>
      <c r="BY163" s="345"/>
      <c r="BZ163" s="345"/>
      <c r="CA163" s="382"/>
      <c r="CB163" s="382"/>
      <c r="CC163" s="382"/>
      <c r="CD163" s="385"/>
      <c r="CE163" s="385"/>
      <c r="CF163" s="385"/>
      <c r="CG163" s="377"/>
      <c r="CH163" s="377"/>
      <c r="CI163" s="377"/>
      <c r="CK163">
        <v>547</v>
      </c>
      <c r="CL163">
        <v>16</v>
      </c>
      <c r="DC163" s="58">
        <v>136</v>
      </c>
      <c r="DD163" s="58">
        <v>79.021973324157358</v>
      </c>
      <c r="DE163" s="58">
        <v>202.97802667584264</v>
      </c>
      <c r="DF163" s="58">
        <v>0.72360669034397729</v>
      </c>
      <c r="DH163" s="58">
        <v>48.566308243727597</v>
      </c>
      <c r="DI163" s="58">
        <v>13.389999999999999</v>
      </c>
      <c r="DW163" s="58">
        <v>136</v>
      </c>
      <c r="DX163" s="58">
        <v>79.021973324157358</v>
      </c>
      <c r="DY163" s="58">
        <v>202.97802667584264</v>
      </c>
      <c r="DZ163" s="58">
        <v>0.72360669034397729</v>
      </c>
    </row>
    <row r="164" spans="1:130">
      <c r="B164" s="58" t="s">
        <v>645</v>
      </c>
      <c r="C164" s="394">
        <v>0.57184932732062854</v>
      </c>
      <c r="X164">
        <v>6.5848934796642999E-2</v>
      </c>
      <c r="AB164">
        <v>2.5823111684958036E-3</v>
      </c>
      <c r="AC164">
        <v>5.9070367979341509E-2</v>
      </c>
      <c r="AD164">
        <v>3.4538411878631374E-2</v>
      </c>
      <c r="AE164">
        <v>2.130406714009038E-2</v>
      </c>
      <c r="AF164">
        <v>0.14202711426726922</v>
      </c>
      <c r="AG164" s="63">
        <v>0.6746287927695287</v>
      </c>
      <c r="BX164" s="345"/>
      <c r="BY164" s="345"/>
      <c r="BZ164" s="345"/>
      <c r="CA164" s="382"/>
      <c r="CB164" s="382"/>
      <c r="CC164" s="382"/>
      <c r="CD164" s="385"/>
      <c r="CE164" s="385"/>
      <c r="CF164" s="385"/>
      <c r="CG164" s="377"/>
      <c r="CH164" s="377"/>
      <c r="CI164" s="377"/>
      <c r="CK164">
        <v>204</v>
      </c>
      <c r="CL164">
        <v>1526</v>
      </c>
      <c r="DC164" s="58">
        <v>137</v>
      </c>
      <c r="DD164" s="58">
        <v>49.505778907176598</v>
      </c>
      <c r="DE164" s="58">
        <v>-141.50577890717659</v>
      </c>
      <c r="DF164" s="58">
        <v>-0.50446114792067331</v>
      </c>
      <c r="DH164" s="58">
        <v>48.924731182795703</v>
      </c>
      <c r="DI164" s="58">
        <v>14</v>
      </c>
      <c r="DW164" s="58">
        <v>137</v>
      </c>
      <c r="DX164" s="58">
        <v>49.505778907176598</v>
      </c>
      <c r="DY164" s="58">
        <v>-141.50577890717659</v>
      </c>
      <c r="DZ164" s="58">
        <v>-0.50446114792067331</v>
      </c>
    </row>
    <row r="165" spans="1:130">
      <c r="B165" s="58" t="s">
        <v>646</v>
      </c>
      <c r="C165" s="394">
        <v>0.32701165315705538</v>
      </c>
      <c r="X165">
        <v>0.21126760563380281</v>
      </c>
      <c r="AB165">
        <v>0</v>
      </c>
      <c r="AC165">
        <v>0</v>
      </c>
      <c r="AD165">
        <v>0.28169014084507044</v>
      </c>
      <c r="AE165">
        <v>3.5211267605633804E-2</v>
      </c>
      <c r="AF165">
        <v>0.47183098591549294</v>
      </c>
      <c r="AG165" s="63">
        <v>0</v>
      </c>
      <c r="BX165" s="345"/>
      <c r="BY165" s="345"/>
      <c r="BZ165" s="345"/>
      <c r="CA165" s="382"/>
      <c r="CB165" s="382"/>
      <c r="CC165" s="382"/>
      <c r="CD165" s="385"/>
      <c r="CE165" s="385"/>
      <c r="CF165" s="385"/>
      <c r="CG165" s="377"/>
      <c r="CH165" s="377"/>
      <c r="CI165" s="377"/>
      <c r="CK165">
        <v>30</v>
      </c>
      <c r="CL165">
        <v>13</v>
      </c>
      <c r="DC165" s="58">
        <v>138</v>
      </c>
      <c r="DD165" s="58">
        <v>47.330901423820123</v>
      </c>
      <c r="DE165" s="58">
        <v>-48.330901423820123</v>
      </c>
      <c r="DF165" s="58">
        <v>-0.17229728849656684</v>
      </c>
      <c r="DH165" s="58">
        <v>49.283154121863802</v>
      </c>
      <c r="DI165" s="58">
        <v>14</v>
      </c>
      <c r="DW165" s="58">
        <v>138</v>
      </c>
      <c r="DX165" s="58">
        <v>47.330901423820123</v>
      </c>
      <c r="DY165" s="58">
        <v>-48.330901423820123</v>
      </c>
      <c r="DZ165" s="58">
        <v>-0.17229728849656684</v>
      </c>
    </row>
    <row r="166" spans="1:130">
      <c r="B166" s="58" t="s">
        <v>647</v>
      </c>
      <c r="C166" s="394">
        <v>0.31961617681812193</v>
      </c>
      <c r="X166">
        <v>0.70992366412213737</v>
      </c>
      <c r="AB166">
        <v>0</v>
      </c>
      <c r="AC166">
        <v>2.9262086513994912E-2</v>
      </c>
      <c r="AD166">
        <v>3.9440203562340966E-2</v>
      </c>
      <c r="AE166">
        <v>0.22137404580152673</v>
      </c>
      <c r="AF166">
        <v>0</v>
      </c>
      <c r="AG166" s="63">
        <v>0</v>
      </c>
      <c r="BX166" s="345"/>
      <c r="BY166" s="345"/>
      <c r="BZ166" s="345"/>
      <c r="CA166" s="382"/>
      <c r="CB166" s="382"/>
      <c r="CC166" s="382"/>
      <c r="CD166" s="385"/>
      <c r="CE166" s="385"/>
      <c r="CF166" s="385"/>
      <c r="CG166" s="377"/>
      <c r="CH166" s="377"/>
      <c r="CI166" s="377"/>
      <c r="CK166">
        <v>558</v>
      </c>
      <c r="CL166">
        <v>43</v>
      </c>
      <c r="DC166" s="58">
        <v>139</v>
      </c>
      <c r="DD166" s="58">
        <v>41.324096945978425</v>
      </c>
      <c r="DE166" s="58">
        <v>26.675903054021575</v>
      </c>
      <c r="DF166" s="58">
        <v>9.5098283479147991E-2</v>
      </c>
      <c r="DH166" s="58">
        <v>49.641577060931901</v>
      </c>
      <c r="DI166" s="58">
        <v>14</v>
      </c>
      <c r="DW166" s="58">
        <v>139</v>
      </c>
      <c r="DX166" s="58">
        <v>41.324096945978425</v>
      </c>
      <c r="DY166" s="58">
        <v>26.675903054021575</v>
      </c>
      <c r="DZ166" s="58">
        <v>9.5098283479147991E-2</v>
      </c>
    </row>
    <row r="167" spans="1:130">
      <c r="B167" s="58" t="s">
        <v>456</v>
      </c>
      <c r="C167" s="394">
        <v>593.29857805007669</v>
      </c>
      <c r="X167">
        <v>0.29304635761589404</v>
      </c>
      <c r="AB167">
        <v>0</v>
      </c>
      <c r="AC167">
        <v>6.1258278145695365E-2</v>
      </c>
      <c r="AD167">
        <v>0.18211920529801323</v>
      </c>
      <c r="AE167">
        <v>0.14569536423841059</v>
      </c>
      <c r="AF167">
        <v>0.28642384105960267</v>
      </c>
      <c r="AG167" s="63">
        <v>3.14569536423841E-2</v>
      </c>
      <c r="BX167" s="345"/>
      <c r="BY167" s="345"/>
      <c r="BZ167" s="345"/>
      <c r="CA167" s="382"/>
      <c r="CB167" s="382"/>
      <c r="CC167" s="382"/>
      <c r="CD167" s="385"/>
      <c r="CE167" s="385"/>
      <c r="CF167" s="385"/>
      <c r="CG167" s="377"/>
      <c r="CH167" s="377"/>
      <c r="CI167" s="377"/>
      <c r="CK167">
        <v>177</v>
      </c>
      <c r="CL167">
        <v>1</v>
      </c>
      <c r="DC167" s="58">
        <v>140</v>
      </c>
      <c r="DD167" s="58">
        <v>40.133092609854643</v>
      </c>
      <c r="DE167" s="58">
        <v>-137.13309260985466</v>
      </c>
      <c r="DF167" s="58">
        <v>-0.48887273615346921</v>
      </c>
      <c r="DH167" s="58">
        <v>50</v>
      </c>
      <c r="DI167" s="58">
        <v>14.355140186915886</v>
      </c>
      <c r="DW167" s="58">
        <v>140</v>
      </c>
      <c r="DX167" s="58">
        <v>40.133092609854643</v>
      </c>
      <c r="DY167" s="58">
        <v>-137.13309260985466</v>
      </c>
      <c r="DZ167" s="58">
        <v>-0.48887273615346921</v>
      </c>
    </row>
    <row r="168" spans="1:130" ht="17" thickBot="1">
      <c r="B168" s="59" t="s">
        <v>648</v>
      </c>
      <c r="C168" s="59">
        <v>93</v>
      </c>
      <c r="X168">
        <v>0.40773286467486819</v>
      </c>
      <c r="AB168">
        <v>0</v>
      </c>
      <c r="AC168">
        <v>0</v>
      </c>
      <c r="AD168">
        <v>0</v>
      </c>
      <c r="AE168">
        <v>0</v>
      </c>
      <c r="AF168">
        <v>0</v>
      </c>
      <c r="AG168" s="32">
        <v>0.59226713532513187</v>
      </c>
      <c r="BX168" s="345"/>
      <c r="BY168" s="345"/>
      <c r="BZ168" s="345"/>
      <c r="CA168" s="382"/>
      <c r="CB168" s="382"/>
      <c r="CC168" s="382"/>
      <c r="CD168" s="385"/>
      <c r="CE168" s="385"/>
      <c r="CF168" s="385"/>
      <c r="CG168" s="377"/>
      <c r="CH168" s="377"/>
      <c r="CI168" s="377"/>
      <c r="CK168">
        <v>232</v>
      </c>
      <c r="CL168">
        <v>66</v>
      </c>
      <c r="DC168" s="58">
        <v>141</v>
      </c>
      <c r="DD168" s="58">
        <v>60.639080310072849</v>
      </c>
      <c r="DE168" s="58">
        <v>653.36091968992719</v>
      </c>
      <c r="DF168" s="58">
        <v>2.3291995712026137</v>
      </c>
      <c r="DH168" s="58">
        <v>50.358422939068106</v>
      </c>
      <c r="DI168" s="58">
        <v>15</v>
      </c>
      <c r="DW168" s="58">
        <v>141</v>
      </c>
      <c r="DX168" s="58">
        <v>60.639080310072849</v>
      </c>
      <c r="DY168" s="58">
        <v>653.36091968992719</v>
      </c>
      <c r="DZ168" s="58">
        <v>2.3291995712026137</v>
      </c>
    </row>
    <row r="169" spans="1:130">
      <c r="A169">
        <f>0.346-0.027</f>
        <v>0.31899999999999995</v>
      </c>
      <c r="X169">
        <v>0</v>
      </c>
      <c r="AB169">
        <v>0</v>
      </c>
      <c r="AC169">
        <v>0.754601226993865</v>
      </c>
      <c r="AD169">
        <v>0.15337423312883436</v>
      </c>
      <c r="AE169">
        <v>9.202453987730061E-2</v>
      </c>
      <c r="AF169">
        <v>0</v>
      </c>
      <c r="AG169" s="133">
        <v>0</v>
      </c>
      <c r="BX169" s="345"/>
      <c r="BY169" s="345"/>
      <c r="BZ169" s="345"/>
      <c r="CA169" s="382"/>
      <c r="CB169" s="382"/>
      <c r="CC169" s="382"/>
      <c r="CD169" s="385"/>
      <c r="CE169" s="385"/>
      <c r="CF169" s="385"/>
      <c r="CG169" s="377"/>
      <c r="CH169" s="377"/>
      <c r="CI169" s="377"/>
      <c r="CK169">
        <v>0</v>
      </c>
      <c r="CL169">
        <v>27</v>
      </c>
      <c r="DC169" s="58">
        <v>142</v>
      </c>
      <c r="DD169" s="58">
        <v>45.984548696028021</v>
      </c>
      <c r="DE169" s="58">
        <v>-45.984548696028021</v>
      </c>
      <c r="DF169" s="58">
        <v>-0.16393265632656026</v>
      </c>
      <c r="DH169" s="58">
        <v>50.716845878136205</v>
      </c>
      <c r="DI169" s="58">
        <v>15.73</v>
      </c>
      <c r="DW169" s="58">
        <v>142</v>
      </c>
      <c r="DX169" s="58">
        <v>45.984548696028021</v>
      </c>
      <c r="DY169" s="58">
        <v>-45.984548696028021</v>
      </c>
      <c r="DZ169" s="58">
        <v>-0.16393265632656026</v>
      </c>
    </row>
    <row r="170" spans="1:130" ht="17" thickBot="1">
      <c r="A170">
        <f>0.346+0.027</f>
        <v>0.373</v>
      </c>
      <c r="B170" t="s">
        <v>637</v>
      </c>
      <c r="X170">
        <v>0.41473430953664908</v>
      </c>
      <c r="AB170">
        <v>0</v>
      </c>
      <c r="AC170">
        <v>3.9117268843074628E-2</v>
      </c>
      <c r="AD170">
        <v>0.11565105570995976</v>
      </c>
      <c r="AE170">
        <v>0.19392707512340815</v>
      </c>
      <c r="AF170">
        <v>0.1323267100842079</v>
      </c>
      <c r="AG170" s="66">
        <v>0.10428506242999958</v>
      </c>
      <c r="BX170" s="345"/>
      <c r="BY170" s="345"/>
      <c r="BZ170" s="345"/>
      <c r="CA170" s="382"/>
      <c r="CB170" s="382"/>
      <c r="CC170" s="382"/>
      <c r="CD170" s="385"/>
      <c r="CE170" s="385"/>
      <c r="CF170" s="385"/>
      <c r="CG170" s="377"/>
      <c r="CH170" s="377"/>
      <c r="CI170" s="377"/>
      <c r="CK170">
        <v>203.10817673946164</v>
      </c>
      <c r="CL170">
        <v>-84.530218384966986</v>
      </c>
      <c r="DC170" s="58">
        <v>143</v>
      </c>
      <c r="DD170" s="58">
        <v>36.145817223701101</v>
      </c>
      <c r="DE170" s="58">
        <v>11.854182776298899</v>
      </c>
      <c r="DF170" s="58">
        <v>4.2259579058717418E-2</v>
      </c>
      <c r="DH170" s="58">
        <v>51.075268817204304</v>
      </c>
      <c r="DI170" s="58">
        <v>16</v>
      </c>
      <c r="DW170" s="58">
        <v>143</v>
      </c>
      <c r="DX170" s="58">
        <v>36.145817223701101</v>
      </c>
      <c r="DY170" s="58">
        <v>11.854182776298899</v>
      </c>
      <c r="DZ170" s="58">
        <v>4.2259579058717418E-2</v>
      </c>
    </row>
    <row r="171" spans="1:130">
      <c r="B171" s="355"/>
      <c r="C171" s="355" t="s">
        <v>653</v>
      </c>
      <c r="D171" s="355" t="s">
        <v>638</v>
      </c>
      <c r="E171" s="355" t="s">
        <v>639</v>
      </c>
      <c r="F171" s="355" t="s">
        <v>640</v>
      </c>
      <c r="G171" s="355" t="s">
        <v>654</v>
      </c>
      <c r="X171">
        <v>0.61428571428571432</v>
      </c>
      <c r="AB171">
        <v>0</v>
      </c>
      <c r="AC171">
        <v>0</v>
      </c>
      <c r="AD171">
        <v>0.12857142857142856</v>
      </c>
      <c r="AE171">
        <v>0.23333333333333334</v>
      </c>
      <c r="AF171">
        <v>2.3809523809523808E-2</v>
      </c>
      <c r="AG171" s="66">
        <v>0</v>
      </c>
      <c r="BX171" s="345"/>
      <c r="BY171" s="345"/>
      <c r="BZ171" s="345"/>
      <c r="CA171" s="382"/>
      <c r="CB171" s="382"/>
      <c r="CC171" s="382"/>
      <c r="CD171" s="385"/>
      <c r="CE171" s="385"/>
      <c r="CF171" s="385"/>
      <c r="CG171" s="377"/>
      <c r="CH171" s="377"/>
      <c r="CI171" s="377"/>
      <c r="CK171">
        <v>129</v>
      </c>
      <c r="CL171">
        <v>31</v>
      </c>
      <c r="DC171" s="58">
        <v>144</v>
      </c>
      <c r="DD171" s="58">
        <v>50.598971292990697</v>
      </c>
      <c r="DE171" s="58">
        <v>157.40102870700929</v>
      </c>
      <c r="DF171" s="58">
        <v>0.56112693233198963</v>
      </c>
      <c r="DH171" s="58">
        <v>51.433691756272403</v>
      </c>
      <c r="DI171" s="58">
        <v>16</v>
      </c>
      <c r="DW171" s="58">
        <v>144</v>
      </c>
      <c r="DX171" s="58">
        <v>50.598971292990697</v>
      </c>
      <c r="DY171" s="58">
        <v>157.40102870700929</v>
      </c>
      <c r="DZ171" s="58">
        <v>0.56112693233198963</v>
      </c>
    </row>
    <row r="172" spans="1:130">
      <c r="B172" s="58" t="s">
        <v>649</v>
      </c>
      <c r="C172" s="58">
        <v>1</v>
      </c>
      <c r="D172" s="191">
        <v>15564805.289258379</v>
      </c>
      <c r="E172" s="191">
        <v>15564805.289258379</v>
      </c>
      <c r="F172" s="429">
        <v>44.21779452332283</v>
      </c>
      <c r="G172" s="58">
        <v>2.1337740965461771E-9</v>
      </c>
      <c r="X172">
        <v>0.63178294573643412</v>
      </c>
      <c r="AB172">
        <v>0</v>
      </c>
      <c r="AC172">
        <v>0</v>
      </c>
      <c r="AD172">
        <v>0.25193798449612403</v>
      </c>
      <c r="AE172">
        <v>0</v>
      </c>
      <c r="AF172">
        <v>0.11627906976744186</v>
      </c>
      <c r="AG172" s="66">
        <v>0</v>
      </c>
      <c r="BX172" s="345"/>
      <c r="BY172" s="345"/>
      <c r="BZ172" s="345"/>
      <c r="CA172" s="382"/>
      <c r="CB172" s="382"/>
      <c r="CC172" s="382"/>
      <c r="CD172" s="385"/>
      <c r="CE172" s="385"/>
      <c r="CF172" s="385"/>
      <c r="CG172" s="377"/>
      <c r="CH172" s="377"/>
      <c r="CI172" s="377"/>
      <c r="CK172">
        <v>163</v>
      </c>
      <c r="CL172">
        <v>-20</v>
      </c>
      <c r="DC172" s="58">
        <v>145</v>
      </c>
      <c r="DD172" s="58">
        <v>38.734957084839763</v>
      </c>
      <c r="DE172" s="58">
        <v>-53.734957084839763</v>
      </c>
      <c r="DF172" s="58">
        <v>-0.19156248136175322</v>
      </c>
      <c r="DH172" s="58">
        <v>51.792114695340501</v>
      </c>
      <c r="DI172" s="58">
        <v>17.225000000000001</v>
      </c>
      <c r="DW172" s="58">
        <v>145</v>
      </c>
      <c r="DX172" s="58">
        <v>38.734957084839763</v>
      </c>
      <c r="DY172" s="58">
        <v>-53.734957084839763</v>
      </c>
      <c r="DZ172" s="58">
        <v>-0.19156248136175322</v>
      </c>
    </row>
    <row r="173" spans="1:130">
      <c r="B173" s="58" t="s">
        <v>650</v>
      </c>
      <c r="C173" s="58">
        <v>91</v>
      </c>
      <c r="D173" s="191">
        <v>32032291.447178099</v>
      </c>
      <c r="E173" s="191">
        <v>352003.20271624287</v>
      </c>
      <c r="F173" s="58"/>
      <c r="G173" s="58"/>
      <c r="X173">
        <v>0.37908496732026142</v>
      </c>
      <c r="AB173">
        <v>0.20915032679738563</v>
      </c>
      <c r="AC173">
        <v>0.1111111111111111</v>
      </c>
      <c r="AD173">
        <v>0.16339869281045752</v>
      </c>
      <c r="AE173">
        <v>0</v>
      </c>
      <c r="AF173">
        <v>0</v>
      </c>
      <c r="AG173" s="66">
        <v>0.13725490196078427</v>
      </c>
      <c r="BX173" s="345"/>
      <c r="BY173" s="345"/>
      <c r="BZ173" s="345"/>
      <c r="CA173" s="382"/>
      <c r="CB173" s="382"/>
      <c r="CC173" s="382"/>
      <c r="CD173" s="385"/>
      <c r="CE173" s="385"/>
      <c r="CF173" s="385"/>
      <c r="CG173" s="377"/>
      <c r="CH173" s="377"/>
      <c r="CI173" s="377"/>
      <c r="CK173">
        <v>58</v>
      </c>
      <c r="CL173">
        <v>15</v>
      </c>
      <c r="DC173" s="58">
        <v>146</v>
      </c>
      <c r="DD173" s="58">
        <v>36.145817223701101</v>
      </c>
      <c r="DE173" s="58">
        <v>-46.145817223701101</v>
      </c>
      <c r="DF173" s="58">
        <v>-0.16450757070264949</v>
      </c>
      <c r="DH173" s="58">
        <v>52.150537634408607</v>
      </c>
      <c r="DI173" s="58">
        <v>18</v>
      </c>
      <c r="DW173" s="58">
        <v>146</v>
      </c>
      <c r="DX173" s="58">
        <v>36.145817223701101</v>
      </c>
      <c r="DY173" s="58">
        <v>-46.145817223701101</v>
      </c>
      <c r="DZ173" s="58">
        <v>-0.16450757070264949</v>
      </c>
    </row>
    <row r="174" spans="1:130" ht="17" thickBot="1">
      <c r="B174" s="59" t="s">
        <v>651</v>
      </c>
      <c r="C174" s="59">
        <v>92</v>
      </c>
      <c r="D174" s="371">
        <v>47597096.736436479</v>
      </c>
      <c r="E174" s="371"/>
      <c r="F174" s="59"/>
      <c r="G174" s="59"/>
      <c r="X174">
        <v>0.33647324792765637</v>
      </c>
      <c r="AB174">
        <v>0</v>
      </c>
      <c r="AC174">
        <v>6.7947751821150482E-2</v>
      </c>
      <c r="AD174">
        <v>0.33402411454408443</v>
      </c>
      <c r="AE174">
        <v>0.21156744536548611</v>
      </c>
      <c r="AF174">
        <v>4.9422255714644564E-2</v>
      </c>
      <c r="AG174" s="45">
        <v>5.6518462697807692E-4</v>
      </c>
      <c r="BX174" s="345"/>
      <c r="BY174" s="345"/>
      <c r="BZ174" s="345"/>
      <c r="CA174" s="382"/>
      <c r="CB174" s="382"/>
      <c r="CC174" s="382"/>
      <c r="CD174" s="385"/>
      <c r="CE174" s="385"/>
      <c r="CF174" s="385"/>
      <c r="CG174" s="377"/>
      <c r="CH174" s="377"/>
      <c r="CI174" s="377"/>
      <c r="CK174">
        <v>482.21999999999997</v>
      </c>
      <c r="CL174">
        <v>-7.4700000000000006</v>
      </c>
      <c r="DC174" s="58">
        <v>147</v>
      </c>
      <c r="DD174" s="58">
        <v>36.145817223701101</v>
      </c>
      <c r="DE174" s="58">
        <v>-36.145817223701101</v>
      </c>
      <c r="DF174" s="58">
        <v>-0.12885806212310347</v>
      </c>
      <c r="DH174" s="58">
        <v>52.508960573476706</v>
      </c>
      <c r="DI174" s="58">
        <v>18</v>
      </c>
      <c r="DW174" s="58">
        <v>147</v>
      </c>
      <c r="DX174" s="58">
        <v>36.145817223701101</v>
      </c>
      <c r="DY174" s="58">
        <v>-36.145817223701101</v>
      </c>
      <c r="DZ174" s="58">
        <v>-0.12885806212310347</v>
      </c>
    </row>
    <row r="175" spans="1:130" ht="17" thickBot="1">
      <c r="X175">
        <v>0.44702842377260982</v>
      </c>
      <c r="AB175">
        <v>0</v>
      </c>
      <c r="AC175">
        <v>0</v>
      </c>
      <c r="AD175">
        <v>0</v>
      </c>
      <c r="AE175">
        <v>3.0361757105943153E-2</v>
      </c>
      <c r="AF175">
        <v>0</v>
      </c>
      <c r="AG175" s="45">
        <v>0.52260981912144699</v>
      </c>
      <c r="BX175" s="345"/>
      <c r="BY175" s="345"/>
      <c r="BZ175" s="345"/>
      <c r="CA175" s="382"/>
      <c r="CB175" s="382"/>
      <c r="CC175" s="382"/>
      <c r="CD175" s="385"/>
      <c r="CE175" s="385"/>
      <c r="CF175" s="385"/>
      <c r="CG175" s="377"/>
      <c r="CH175" s="377"/>
      <c r="CI175" s="377"/>
      <c r="CK175">
        <v>692</v>
      </c>
      <c r="CL175">
        <v>100</v>
      </c>
      <c r="DC175" s="58">
        <v>148</v>
      </c>
      <c r="DD175" s="58">
        <v>49.19508212383996</v>
      </c>
      <c r="DE175" s="58">
        <v>-10.19508212383996</v>
      </c>
      <c r="DF175" s="58">
        <v>-3.6344966764300886E-2</v>
      </c>
      <c r="DH175" s="58">
        <v>52.867383512544805</v>
      </c>
      <c r="DI175" s="58">
        <v>18.542056074766357</v>
      </c>
      <c r="DW175" s="58">
        <v>148</v>
      </c>
      <c r="DX175" s="58">
        <v>49.19508212383996</v>
      </c>
      <c r="DY175" s="58">
        <v>-10.19508212383996</v>
      </c>
      <c r="DZ175" s="58">
        <v>-3.6344966764300886E-2</v>
      </c>
    </row>
    <row r="176" spans="1:130">
      <c r="B176" s="355"/>
      <c r="C176" s="355" t="s">
        <v>655</v>
      </c>
      <c r="D176" s="355" t="s">
        <v>456</v>
      </c>
      <c r="E176" s="355" t="s">
        <v>641</v>
      </c>
      <c r="F176" s="355" t="s">
        <v>656</v>
      </c>
      <c r="G176" s="355" t="s">
        <v>657</v>
      </c>
      <c r="H176" s="355" t="s">
        <v>658</v>
      </c>
      <c r="I176" s="355" t="s">
        <v>659</v>
      </c>
      <c r="J176" s="355" t="s">
        <v>660</v>
      </c>
      <c r="X176">
        <v>0.45474559686888455</v>
      </c>
      <c r="AB176">
        <v>0</v>
      </c>
      <c r="AC176">
        <v>0.10543052837573386</v>
      </c>
      <c r="AD176">
        <v>0.40435420743639922</v>
      </c>
      <c r="AE176">
        <v>0</v>
      </c>
      <c r="AF176">
        <v>3.6203522504892366E-2</v>
      </c>
      <c r="AG176" s="45">
        <v>-7.3385518591018162E-4</v>
      </c>
      <c r="BX176" s="345"/>
      <c r="BY176" s="345"/>
      <c r="BZ176" s="345"/>
      <c r="CA176" s="382"/>
      <c r="CB176" s="382"/>
      <c r="CC176" s="382"/>
      <c r="CD176" s="385"/>
      <c r="CE176" s="385"/>
      <c r="CF176" s="385"/>
      <c r="CG176" s="377"/>
      <c r="CH176" s="377"/>
      <c r="CI176" s="377"/>
      <c r="CK176">
        <v>1859</v>
      </c>
      <c r="CL176">
        <v>-554</v>
      </c>
      <c r="DC176" s="58">
        <v>149</v>
      </c>
      <c r="DD176" s="58">
        <v>51.732439187755851</v>
      </c>
      <c r="DE176" s="58">
        <v>2.2675608122441488</v>
      </c>
      <c r="DF176" s="58">
        <v>8.0837428630740112E-3</v>
      </c>
      <c r="DH176" s="58">
        <v>53.225806451612904</v>
      </c>
      <c r="DI176" s="58">
        <v>19</v>
      </c>
      <c r="DW176" s="58">
        <v>149</v>
      </c>
      <c r="DX176" s="58">
        <v>51.732439187755851</v>
      </c>
      <c r="DY176" s="58">
        <v>2.2675608122441488</v>
      </c>
      <c r="DZ176" s="58">
        <v>8.0837428630740112E-3</v>
      </c>
    </row>
    <row r="177" spans="2:130">
      <c r="B177" s="58" t="s">
        <v>652</v>
      </c>
      <c r="C177" s="175">
        <v>17.04469337324258</v>
      </c>
      <c r="D177" s="175">
        <v>88.530926035600771</v>
      </c>
      <c r="E177" s="175">
        <v>0.19252812702296179</v>
      </c>
      <c r="F177" s="175">
        <v>0.84775755012641418</v>
      </c>
      <c r="G177" s="175">
        <v>-158.81111556339943</v>
      </c>
      <c r="H177" s="175">
        <v>192.90050230988459</v>
      </c>
      <c r="I177" s="175">
        <v>-158.81111556339943</v>
      </c>
      <c r="J177" s="175">
        <v>192.90050230988459</v>
      </c>
      <c r="X177">
        <v>0.3559585492227979</v>
      </c>
      <c r="AB177">
        <v>6.269430051813471E-2</v>
      </c>
      <c r="AC177">
        <v>1.2953367875647668E-2</v>
      </c>
      <c r="AD177">
        <v>0.45699481865284974</v>
      </c>
      <c r="AE177">
        <v>0.11139896373056994</v>
      </c>
      <c r="AF177">
        <v>0</v>
      </c>
      <c r="AG177" s="45">
        <v>0</v>
      </c>
      <c r="BX177" s="345"/>
      <c r="BY177" s="345"/>
      <c r="BZ177" s="345"/>
      <c r="CA177" s="382"/>
      <c r="CB177" s="382"/>
      <c r="CC177" s="382"/>
      <c r="CD177" s="385"/>
      <c r="CE177" s="385"/>
      <c r="CF177" s="385"/>
      <c r="CG177" s="377"/>
      <c r="CH177" s="377"/>
      <c r="CI177" s="377"/>
      <c r="CK177">
        <v>687</v>
      </c>
      <c r="CL177">
        <v>434</v>
      </c>
      <c r="DC177" s="58">
        <v>150</v>
      </c>
      <c r="DD177" s="58">
        <v>45.932765898805243</v>
      </c>
      <c r="DE177" s="58">
        <v>-45.932765898805243</v>
      </c>
      <c r="DF177" s="58">
        <v>-0.16374805319917363</v>
      </c>
      <c r="DH177" s="58">
        <v>53.584229390681003</v>
      </c>
      <c r="DI177" s="58">
        <v>20.041666666666668</v>
      </c>
      <c r="DW177" s="58">
        <v>150</v>
      </c>
      <c r="DX177" s="58">
        <v>45.932765898805243</v>
      </c>
      <c r="DY177" s="58">
        <v>-45.932765898805243</v>
      </c>
      <c r="DZ177" s="58">
        <v>-0.16374805319917363</v>
      </c>
    </row>
    <row r="178" spans="2:130" ht="17" thickBot="1">
      <c r="B178" s="59" t="s">
        <v>722</v>
      </c>
      <c r="C178" s="192">
        <v>4.2955008071930614</v>
      </c>
      <c r="D178" s="192">
        <v>0.64597433923587189</v>
      </c>
      <c r="E178" s="192">
        <v>6.6496461953492503</v>
      </c>
      <c r="F178" s="192">
        <v>2.1337740965462317E-9</v>
      </c>
      <c r="G178" s="192">
        <v>3.0123521373942617</v>
      </c>
      <c r="H178" s="192">
        <v>5.5786494769918615</v>
      </c>
      <c r="I178" s="192">
        <v>3.0123521373942617</v>
      </c>
      <c r="J178" s="192">
        <v>5.5786494769918615</v>
      </c>
      <c r="X178">
        <v>0.46206896551724136</v>
      </c>
      <c r="AB178">
        <v>0</v>
      </c>
      <c r="AC178">
        <v>1.5517241379310345E-2</v>
      </c>
      <c r="AD178">
        <v>0.42586206896551726</v>
      </c>
      <c r="AE178">
        <v>3.2758620689655175E-2</v>
      </c>
      <c r="AF178">
        <v>0</v>
      </c>
      <c r="AG178" s="68">
        <v>6.3793103448275823E-2</v>
      </c>
      <c r="BX178" s="345"/>
      <c r="BY178" s="345"/>
      <c r="BZ178" s="345"/>
      <c r="CA178" s="382"/>
      <c r="CB178" s="382"/>
      <c r="CC178" s="382"/>
      <c r="CD178" s="385"/>
      <c r="CE178" s="385"/>
      <c r="CF178" s="385"/>
      <c r="CG178" s="377"/>
      <c r="CH178" s="377"/>
      <c r="CI178" s="377"/>
      <c r="CK178">
        <v>268</v>
      </c>
      <c r="CL178">
        <v>-39</v>
      </c>
      <c r="DC178" s="58">
        <v>151</v>
      </c>
      <c r="DD178" s="58">
        <v>148.82518398045568</v>
      </c>
      <c r="DE178" s="58">
        <v>-143.82518398045568</v>
      </c>
      <c r="DF178" s="58">
        <v>-0.51272971302660386</v>
      </c>
      <c r="DH178" s="58">
        <v>53.942652329749109</v>
      </c>
      <c r="DI178" s="58">
        <v>21</v>
      </c>
      <c r="DW178" s="58">
        <v>151</v>
      </c>
      <c r="DX178" s="58">
        <v>148.82518398045568</v>
      </c>
      <c r="DY178" s="58">
        <v>-143.82518398045568</v>
      </c>
      <c r="DZ178" s="58">
        <v>-0.51272971302660386</v>
      </c>
    </row>
    <row r="179" spans="2:130">
      <c r="X179">
        <v>0.39060710194730813</v>
      </c>
      <c r="AB179">
        <v>0</v>
      </c>
      <c r="AC179">
        <v>9.736540664375716E-2</v>
      </c>
      <c r="AD179">
        <v>0.34707903780068727</v>
      </c>
      <c r="AE179">
        <v>9.736540664375716E-2</v>
      </c>
      <c r="AF179">
        <v>0</v>
      </c>
      <c r="AG179" s="47">
        <v>6.7583046964490356E-2</v>
      </c>
      <c r="BX179" s="345"/>
      <c r="BY179" s="345"/>
      <c r="BZ179" s="345"/>
      <c r="CA179" s="382"/>
      <c r="CB179" s="382"/>
      <c r="CC179" s="382"/>
      <c r="CD179" s="385"/>
      <c r="CE179" s="385"/>
      <c r="CF179" s="385"/>
      <c r="CG179" s="377"/>
      <c r="CH179" s="377"/>
      <c r="CI179" s="377"/>
      <c r="CK179">
        <v>341</v>
      </c>
      <c r="CL179">
        <v>0</v>
      </c>
      <c r="DC179" s="58">
        <v>152</v>
      </c>
      <c r="DD179" s="58">
        <v>36.145817223701101</v>
      </c>
      <c r="DE179" s="58">
        <v>81.854182776298899</v>
      </c>
      <c r="DF179" s="58">
        <v>0.29180613911553954</v>
      </c>
      <c r="DH179" s="58">
        <v>54.301075268817208</v>
      </c>
      <c r="DI179" s="58">
        <v>22</v>
      </c>
      <c r="DW179" s="58">
        <v>152</v>
      </c>
      <c r="DX179" s="58">
        <v>36.145817223701101</v>
      </c>
      <c r="DY179" s="58">
        <v>81.854182776298899</v>
      </c>
      <c r="DZ179" s="58">
        <v>0.29180613911553954</v>
      </c>
    </row>
    <row r="180" spans="2:130">
      <c r="X180">
        <v>0</v>
      </c>
      <c r="AB180">
        <v>0.61209677419354835</v>
      </c>
      <c r="AC180">
        <v>0.16129032258064516</v>
      </c>
      <c r="AD180">
        <v>8.3064516129032262E-2</v>
      </c>
      <c r="AE180">
        <v>0.1435483870967742</v>
      </c>
      <c r="AF180">
        <v>0</v>
      </c>
      <c r="AG180" s="64">
        <v>0</v>
      </c>
      <c r="BX180" s="345"/>
      <c r="BY180" s="345"/>
      <c r="BZ180" s="345"/>
      <c r="CA180" s="382"/>
      <c r="CB180" s="382"/>
      <c r="CC180" s="382"/>
      <c r="CD180" s="385"/>
      <c r="CE180" s="385"/>
      <c r="CF180" s="385"/>
      <c r="CG180" s="377"/>
      <c r="CH180" s="377"/>
      <c r="CI180" s="377"/>
      <c r="CK180">
        <v>0</v>
      </c>
      <c r="CL180">
        <v>462</v>
      </c>
      <c r="DC180" s="58">
        <v>153</v>
      </c>
      <c r="DD180" s="58">
        <v>42.100838904320028</v>
      </c>
      <c r="DE180" s="58">
        <v>48.899161095679972</v>
      </c>
      <c r="DF180" s="58">
        <v>0.1743231063013046</v>
      </c>
      <c r="DH180" s="58">
        <v>54.659498207885306</v>
      </c>
      <c r="DI180" s="58">
        <v>23</v>
      </c>
      <c r="DW180" s="58">
        <v>153</v>
      </c>
      <c r="DX180" s="58">
        <v>42.100838904320028</v>
      </c>
      <c r="DY180" s="58">
        <v>48.899161095679972</v>
      </c>
      <c r="DZ180" s="58">
        <v>0.1743231063013046</v>
      </c>
    </row>
    <row r="181" spans="2:130">
      <c r="X181">
        <v>0.3108935128518972</v>
      </c>
      <c r="AB181">
        <v>0</v>
      </c>
      <c r="AC181">
        <v>0</v>
      </c>
      <c r="AD181">
        <v>0.23990208078335373</v>
      </c>
      <c r="AE181">
        <v>0</v>
      </c>
      <c r="AF181">
        <v>0.41248470012239902</v>
      </c>
      <c r="AG181" s="64">
        <v>3.6719706242350103E-2</v>
      </c>
      <c r="BX181" s="345"/>
      <c r="BY181" s="345"/>
      <c r="BZ181" s="345"/>
      <c r="CA181" s="382"/>
      <c r="CB181" s="382"/>
      <c r="CC181" s="382"/>
      <c r="CD181" s="385"/>
      <c r="CE181" s="385"/>
      <c r="CF181" s="385"/>
      <c r="CG181" s="377"/>
      <c r="CH181" s="377"/>
      <c r="CI181" s="377"/>
      <c r="CK181">
        <v>254</v>
      </c>
      <c r="CL181">
        <v>-472</v>
      </c>
      <c r="DC181" s="58">
        <v>154</v>
      </c>
      <c r="DD181" s="58">
        <v>45.725634709914154</v>
      </c>
      <c r="DE181" s="58">
        <v>101.27436529008585</v>
      </c>
      <c r="DF181" s="58">
        <v>0.36103813542969931</v>
      </c>
      <c r="DH181" s="58">
        <v>55.017921146953405</v>
      </c>
      <c r="DI181" s="58">
        <v>23</v>
      </c>
      <c r="DW181" s="58">
        <v>154</v>
      </c>
      <c r="DX181" s="58">
        <v>45.725634709914154</v>
      </c>
      <c r="DY181" s="58">
        <v>101.27436529008585</v>
      </c>
      <c r="DZ181" s="58">
        <v>0.36103813542969931</v>
      </c>
    </row>
    <row r="182" spans="2:130">
      <c r="B182" t="s">
        <v>661</v>
      </c>
      <c r="X182">
        <v>0.83913669064748198</v>
      </c>
      <c r="AB182">
        <v>0</v>
      </c>
      <c r="AC182">
        <v>2.3741007194244605E-2</v>
      </c>
      <c r="AD182">
        <v>2.9352517985611511E-2</v>
      </c>
      <c r="AE182">
        <v>4.3165467625899283E-4</v>
      </c>
      <c r="AF182">
        <v>7.9136690647482008E-2</v>
      </c>
      <c r="AG182" s="64">
        <v>2.8201438848921012E-2</v>
      </c>
      <c r="BX182" s="345"/>
      <c r="BY182" s="345"/>
      <c r="BZ182" s="345"/>
      <c r="CA182" s="382"/>
      <c r="CB182" s="382"/>
      <c r="CC182" s="382"/>
      <c r="CD182" s="385"/>
      <c r="CE182" s="385"/>
      <c r="CF182" s="385"/>
      <c r="CG182" s="377"/>
      <c r="CH182" s="377"/>
      <c r="CI182" s="377"/>
      <c r="CK182">
        <v>5832</v>
      </c>
      <c r="CL182">
        <v>238</v>
      </c>
      <c r="DC182" s="58">
        <v>155</v>
      </c>
      <c r="DD182" s="58">
        <v>43.706105618225997</v>
      </c>
      <c r="DE182" s="58">
        <v>77.29389438177401</v>
      </c>
      <c r="DF182" s="58">
        <v>0.27554893509095763</v>
      </c>
      <c r="DH182" s="58">
        <v>55.376344086021504</v>
      </c>
      <c r="DI182" s="58">
        <v>24</v>
      </c>
      <c r="DW182" s="58">
        <v>155</v>
      </c>
      <c r="DX182" s="58">
        <v>43.706105618225997</v>
      </c>
      <c r="DY182" s="58">
        <v>77.29389438177401</v>
      </c>
      <c r="DZ182" s="58">
        <v>0.27554893509095763</v>
      </c>
    </row>
    <row r="183" spans="2:130" ht="17" thickBot="1">
      <c r="X183">
        <v>0.56848772763262079</v>
      </c>
      <c r="AB183">
        <v>2.5336500395882821E-2</v>
      </c>
      <c r="AC183">
        <v>0.21219319081551863</v>
      </c>
      <c r="AD183">
        <v>9.7387173396674589E-2</v>
      </c>
      <c r="AE183">
        <v>7.9176563737133818E-3</v>
      </c>
      <c r="AF183">
        <v>8.6302454473475856E-2</v>
      </c>
      <c r="AG183" s="64">
        <v>1.5835312747427555E-3</v>
      </c>
      <c r="BX183" s="345"/>
      <c r="BY183" s="345"/>
      <c r="BZ183" s="345"/>
      <c r="CA183" s="382"/>
      <c r="CB183" s="382"/>
      <c r="CC183" s="382"/>
      <c r="CD183" s="385"/>
      <c r="CE183" s="385"/>
      <c r="CF183" s="385"/>
      <c r="CG183" s="377"/>
      <c r="CH183" s="377"/>
      <c r="CI183" s="377"/>
      <c r="CK183">
        <v>93.34</v>
      </c>
      <c r="CL183">
        <v>2.86</v>
      </c>
      <c r="DC183" s="58">
        <v>156</v>
      </c>
      <c r="DD183" s="58">
        <v>57.376764085038133</v>
      </c>
      <c r="DE183" s="58">
        <v>22.623235914961867</v>
      </c>
      <c r="DF183" s="58">
        <v>8.0650724284752659E-2</v>
      </c>
      <c r="DH183" s="58">
        <v>55.73476702508961</v>
      </c>
      <c r="DI183" s="58">
        <v>25</v>
      </c>
      <c r="DW183" s="58">
        <v>156</v>
      </c>
      <c r="DX183" s="58">
        <v>57.376764085038133</v>
      </c>
      <c r="DY183" s="58">
        <v>22.623235914961867</v>
      </c>
      <c r="DZ183" s="58">
        <v>8.0650724284752659E-2</v>
      </c>
    </row>
    <row r="184" spans="2:130">
      <c r="B184" s="355" t="s">
        <v>662</v>
      </c>
      <c r="C184" s="355" t="s">
        <v>665</v>
      </c>
      <c r="D184" s="355" t="s">
        <v>663</v>
      </c>
      <c r="E184" s="355" t="s">
        <v>664</v>
      </c>
      <c r="X184">
        <v>0.21135326913329952</v>
      </c>
      <c r="AB184">
        <v>0</v>
      </c>
      <c r="AC184">
        <v>0</v>
      </c>
      <c r="AD184">
        <v>0.63152559553978704</v>
      </c>
      <c r="AE184">
        <v>2.2301064368981247E-2</v>
      </c>
      <c r="AF184">
        <v>4.8150025342118596E-2</v>
      </c>
      <c r="AG184" s="64">
        <v>8.6670045615813596E-2</v>
      </c>
      <c r="BX184" s="345"/>
      <c r="BY184" s="345"/>
      <c r="BZ184" s="345"/>
      <c r="CA184" s="382"/>
      <c r="CB184" s="382"/>
      <c r="CC184" s="382"/>
      <c r="CD184" s="385"/>
      <c r="CE184" s="385"/>
      <c r="CF184" s="385"/>
      <c r="CG184" s="377"/>
      <c r="CH184" s="377"/>
      <c r="CI184" s="377"/>
      <c r="CK184">
        <v>45.174999999999997</v>
      </c>
      <c r="CL184">
        <v>17.225000000000001</v>
      </c>
      <c r="DC184" s="58">
        <v>157</v>
      </c>
      <c r="DD184" s="58">
        <v>39.459916245958588</v>
      </c>
      <c r="DE184" s="58">
        <v>-121.4599162459586</v>
      </c>
      <c r="DF184" s="58">
        <v>-0.43299863262812416</v>
      </c>
      <c r="DH184" s="58">
        <v>56.093189964157709</v>
      </c>
      <c r="DI184" s="58">
        <v>26</v>
      </c>
      <c r="DW184" s="58">
        <v>157</v>
      </c>
      <c r="DX184" s="58">
        <v>39.459916245958588</v>
      </c>
      <c r="DY184" s="58">
        <v>-121.4599162459586</v>
      </c>
      <c r="DZ184" s="58">
        <v>-0.43299863262812416</v>
      </c>
    </row>
    <row r="185" spans="2:130">
      <c r="B185" s="58">
        <v>1</v>
      </c>
      <c r="C185" s="58">
        <v>199.60347767894768</v>
      </c>
      <c r="D185" s="58">
        <v>-33.936811012281026</v>
      </c>
      <c r="E185" s="58">
        <v>-5.7513651297239524E-2</v>
      </c>
      <c r="X185">
        <v>0.74193548387096775</v>
      </c>
      <c r="AB185">
        <v>0</v>
      </c>
      <c r="AC185">
        <v>8.0645161290322578E-2</v>
      </c>
      <c r="AD185">
        <v>0.17741935483870969</v>
      </c>
      <c r="AE185">
        <v>0</v>
      </c>
      <c r="AF185">
        <v>0</v>
      </c>
      <c r="AG185" s="64">
        <v>0</v>
      </c>
      <c r="BX185" s="345"/>
      <c r="BY185" s="345"/>
      <c r="BZ185" s="345"/>
      <c r="CA185" s="382"/>
      <c r="CB185" s="382"/>
      <c r="CC185" s="382"/>
      <c r="CD185" s="385"/>
      <c r="CE185" s="385"/>
      <c r="CF185" s="385"/>
      <c r="CG185" s="377"/>
      <c r="CH185" s="377"/>
      <c r="CI185" s="377"/>
      <c r="CK185">
        <v>138</v>
      </c>
      <c r="CL185">
        <v>40</v>
      </c>
      <c r="DC185" s="58">
        <v>158</v>
      </c>
      <c r="DD185" s="58">
        <v>38.993871070953631</v>
      </c>
      <c r="DE185" s="58">
        <v>-17.993871070953631</v>
      </c>
      <c r="DF185" s="58">
        <v>-6.4147266112320633E-2</v>
      </c>
      <c r="DH185" s="58">
        <v>56.451612903225808</v>
      </c>
      <c r="DI185" s="58">
        <v>26</v>
      </c>
      <c r="DW185" s="58">
        <v>158</v>
      </c>
      <c r="DX185" s="58">
        <v>38.993871070953631</v>
      </c>
      <c r="DY185" s="58">
        <v>-17.993871070953631</v>
      </c>
      <c r="DZ185" s="58">
        <v>-6.4147266112320633E-2</v>
      </c>
    </row>
    <row r="186" spans="2:130">
      <c r="B186" s="58">
        <v>2</v>
      </c>
      <c r="C186" s="58">
        <v>517.38462739509032</v>
      </c>
      <c r="D186" s="58">
        <v>-127.05129406175701</v>
      </c>
      <c r="E186" s="58">
        <v>-0.21531733847610526</v>
      </c>
      <c r="X186">
        <v>0.46714848883048621</v>
      </c>
      <c r="AB186">
        <v>2.1024967148488831E-2</v>
      </c>
      <c r="AC186">
        <v>3.6136662286465178E-2</v>
      </c>
      <c r="AD186">
        <v>0.18134034165571616</v>
      </c>
      <c r="AE186">
        <v>2.2996057818659658E-2</v>
      </c>
      <c r="AF186">
        <v>0.27135348226018396</v>
      </c>
      <c r="AG186" s="64">
        <v>0</v>
      </c>
      <c r="BX186" s="345"/>
      <c r="BY186" s="345"/>
      <c r="BZ186" s="345"/>
      <c r="CA186" s="382"/>
      <c r="CB186" s="382"/>
      <c r="CC186" s="382"/>
      <c r="CD186" s="385"/>
      <c r="CE186" s="385"/>
      <c r="CF186" s="385"/>
      <c r="CG186" s="377"/>
      <c r="CH186" s="377"/>
      <c r="CI186" s="377"/>
      <c r="CK186">
        <v>711</v>
      </c>
      <c r="CL186">
        <v>146</v>
      </c>
      <c r="DC186" s="58">
        <v>159</v>
      </c>
      <c r="DD186" s="58">
        <v>41.324096945978425</v>
      </c>
      <c r="DE186" s="58">
        <v>20.675903054021575</v>
      </c>
      <c r="DF186" s="58">
        <v>7.3708578331420374E-2</v>
      </c>
      <c r="DH186" s="58">
        <v>56.810035842293907</v>
      </c>
      <c r="DI186" s="58">
        <v>26</v>
      </c>
      <c r="DW186" s="58">
        <v>159</v>
      </c>
      <c r="DX186" s="58">
        <v>41.324096945978425</v>
      </c>
      <c r="DY186" s="58">
        <v>20.675903054021575</v>
      </c>
      <c r="DZ186" s="58">
        <v>7.3708578331420374E-2</v>
      </c>
    </row>
    <row r="187" spans="2:130">
      <c r="B187" s="58">
        <v>3</v>
      </c>
      <c r="C187" s="58">
        <v>618.41480638027122</v>
      </c>
      <c r="D187" s="58">
        <v>-331.0814730469379</v>
      </c>
      <c r="E187" s="58">
        <v>-0.56109292015997603</v>
      </c>
      <c r="X187">
        <v>0.47094712376525277</v>
      </c>
      <c r="AB187">
        <v>0</v>
      </c>
      <c r="AC187">
        <v>0.13451481696687972</v>
      </c>
      <c r="AD187">
        <v>0.23184195235328303</v>
      </c>
      <c r="AE187">
        <v>0</v>
      </c>
      <c r="AF187">
        <v>0.16269610691458455</v>
      </c>
      <c r="AG187" s="134">
        <v>0</v>
      </c>
      <c r="BX187" s="345"/>
      <c r="BY187" s="345"/>
      <c r="BZ187" s="345"/>
      <c r="CA187" s="382"/>
      <c r="CB187" s="382"/>
      <c r="CC187" s="382"/>
      <c r="CD187" s="385"/>
      <c r="CE187" s="385"/>
      <c r="CF187" s="385"/>
      <c r="CG187" s="377"/>
      <c r="CH187" s="377"/>
      <c r="CI187" s="377"/>
      <c r="CK187">
        <v>306.67567567567568</v>
      </c>
      <c r="CL187">
        <v>-74.351351351351354</v>
      </c>
      <c r="DC187" s="58">
        <v>160</v>
      </c>
      <c r="DD187" s="58">
        <v>51.421742404419206</v>
      </c>
      <c r="DE187" s="58">
        <v>-23.421742404419206</v>
      </c>
      <c r="DF187" s="58">
        <v>-8.3497360679425925E-2</v>
      </c>
      <c r="DH187" s="58">
        <v>57.168458781362013</v>
      </c>
      <c r="DI187" s="58">
        <v>27</v>
      </c>
      <c r="DW187" s="58">
        <v>160</v>
      </c>
      <c r="DX187" s="58">
        <v>51.421742404419206</v>
      </c>
      <c r="DY187" s="58">
        <v>-23.421742404419206</v>
      </c>
      <c r="DZ187" s="58">
        <v>-8.3497360679425925E-2</v>
      </c>
    </row>
    <row r="188" spans="2:130">
      <c r="B188" s="58">
        <v>4</v>
      </c>
      <c r="C188" s="58">
        <v>1975.7930614532786</v>
      </c>
      <c r="D188" s="58">
        <v>155.87360521338792</v>
      </c>
      <c r="E188" s="58">
        <v>0.26416330554577366</v>
      </c>
      <c r="X188">
        <v>0.65891472868217049</v>
      </c>
      <c r="AB188">
        <v>0</v>
      </c>
      <c r="AC188">
        <v>0</v>
      </c>
      <c r="AD188">
        <v>0.15116279069767441</v>
      </c>
      <c r="AE188">
        <v>0.18217054263565891</v>
      </c>
      <c r="AF188">
        <v>7.7519379844961239E-3</v>
      </c>
      <c r="AG188">
        <v>0</v>
      </c>
      <c r="BX188" s="345"/>
      <c r="BY188" s="345"/>
      <c r="BZ188" s="345"/>
      <c r="CA188" s="382"/>
      <c r="CB188" s="382"/>
      <c r="CC188" s="382"/>
      <c r="CD188" s="385"/>
      <c r="CE188" s="385"/>
      <c r="CF188" s="385"/>
      <c r="CG188" s="377"/>
      <c r="CH188" s="377"/>
      <c r="CI188" s="377"/>
      <c r="CK188" s="25">
        <v>170</v>
      </c>
      <c r="CL188" s="25">
        <v>26</v>
      </c>
      <c r="DC188" s="58">
        <v>161</v>
      </c>
      <c r="DD188" s="58">
        <v>49.350430515508279</v>
      </c>
      <c r="DE188" s="58">
        <v>-75.350430515508279</v>
      </c>
      <c r="DF188" s="58">
        <v>-0.26862058191350985</v>
      </c>
      <c r="DH188" s="58">
        <v>57.526881720430111</v>
      </c>
      <c r="DI188" s="58">
        <v>27</v>
      </c>
      <c r="DW188" s="58">
        <v>161</v>
      </c>
      <c r="DX188" s="58">
        <v>49.350430515508279</v>
      </c>
      <c r="DY188" s="58">
        <v>-75.350430515508279</v>
      </c>
      <c r="DZ188" s="58">
        <v>-0.26862058191350985</v>
      </c>
    </row>
    <row r="189" spans="2:130">
      <c r="B189" s="58">
        <v>5</v>
      </c>
      <c r="C189" s="58">
        <v>1602.0844912274822</v>
      </c>
      <c r="D189" s="58">
        <v>90.582175439184539</v>
      </c>
      <c r="E189" s="58">
        <v>0.15351211550399793</v>
      </c>
      <c r="X189">
        <v>0.57981018119068162</v>
      </c>
      <c r="AB189">
        <v>0</v>
      </c>
      <c r="AC189">
        <v>3.4512510785159621E-2</v>
      </c>
      <c r="AD189">
        <v>0.33477135461604834</v>
      </c>
      <c r="AE189">
        <v>0</v>
      </c>
      <c r="AF189">
        <v>5.0905953408110438E-2</v>
      </c>
      <c r="AG189">
        <v>0</v>
      </c>
      <c r="BX189" s="345"/>
      <c r="BY189" s="345"/>
      <c r="BZ189" s="345"/>
      <c r="CA189" s="382"/>
      <c r="CB189" s="382"/>
      <c r="CC189" s="382"/>
      <c r="CD189" s="385"/>
      <c r="CE189" s="385"/>
      <c r="CF189" s="385"/>
      <c r="CG189" s="377"/>
      <c r="CH189" s="377"/>
      <c r="CI189" s="377"/>
      <c r="CK189" s="25">
        <v>672</v>
      </c>
      <c r="CL189" s="25">
        <v>287</v>
      </c>
      <c r="DC189" s="58">
        <v>162</v>
      </c>
      <c r="DD189" s="58">
        <v>64.471007304558071</v>
      </c>
      <c r="DE189" s="58">
        <v>-48.471007304558071</v>
      </c>
      <c r="DF189" s="58">
        <v>-0.17279675907630807</v>
      </c>
      <c r="DH189" s="58">
        <v>57.88530465949821</v>
      </c>
      <c r="DI189" s="58">
        <v>28</v>
      </c>
      <c r="DW189" s="58">
        <v>162</v>
      </c>
      <c r="DX189" s="58">
        <v>64.471007304558071</v>
      </c>
      <c r="DY189" s="58">
        <v>-48.471007304558071</v>
      </c>
      <c r="DZ189" s="58">
        <v>-0.17279675907630807</v>
      </c>
    </row>
    <row r="190" spans="2:130">
      <c r="B190" s="58">
        <v>6</v>
      </c>
      <c r="C190" s="58">
        <v>1422.7473325271719</v>
      </c>
      <c r="D190" s="58">
        <v>-207.41399919383866</v>
      </c>
      <c r="E190" s="58">
        <v>-0.35151023528649905</v>
      </c>
      <c r="X190">
        <v>9.8694756125486602E-2</v>
      </c>
      <c r="AB190">
        <v>0</v>
      </c>
      <c r="AC190">
        <v>0.5887336844515686</v>
      </c>
      <c r="AD190">
        <v>3.6409434394321046E-2</v>
      </c>
      <c r="AE190">
        <v>0.27604762995191207</v>
      </c>
      <c r="AF190">
        <v>0</v>
      </c>
      <c r="AG190">
        <v>1.1449507671179582E-4</v>
      </c>
      <c r="BX190" s="345"/>
      <c r="BY190" s="345"/>
      <c r="BZ190" s="345"/>
      <c r="CA190" s="382"/>
      <c r="CB190" s="382"/>
      <c r="CC190" s="382"/>
      <c r="CD190" s="385"/>
      <c r="CE190" s="385"/>
      <c r="CF190" s="385"/>
      <c r="CG190" s="377"/>
      <c r="CH190" s="377"/>
      <c r="CI190" s="377"/>
      <c r="CK190" s="25">
        <v>862</v>
      </c>
      <c r="CL190" s="25">
        <v>845</v>
      </c>
      <c r="DC190" s="58">
        <v>163</v>
      </c>
      <c r="DD190" s="58">
        <v>46.709507857146846</v>
      </c>
      <c r="DE190" s="58">
        <v>1479.2904921428531</v>
      </c>
      <c r="DF190" s="58">
        <v>5.2735979091287488</v>
      </c>
      <c r="DH190" s="58">
        <v>58.243727598566309</v>
      </c>
      <c r="DI190" s="58">
        <v>30</v>
      </c>
      <c r="DW190" s="58">
        <v>163</v>
      </c>
      <c r="DX190" s="58">
        <v>46.709507857146846</v>
      </c>
      <c r="DY190" s="58">
        <v>1479.2904921428531</v>
      </c>
      <c r="DZ190" s="58">
        <v>5.2735979091287488</v>
      </c>
    </row>
    <row r="191" spans="2:130">
      <c r="B191" s="58">
        <v>7</v>
      </c>
      <c r="C191" s="58">
        <v>1100.3699969473325</v>
      </c>
      <c r="D191" s="58">
        <v>800.96333638600072</v>
      </c>
      <c r="E191" s="58">
        <v>1.3574146968054117</v>
      </c>
      <c r="X191">
        <v>0.55186304128902319</v>
      </c>
      <c r="AB191">
        <v>0</v>
      </c>
      <c r="AC191">
        <v>0.12604900973481034</v>
      </c>
      <c r="AD191">
        <v>0.11161463578382007</v>
      </c>
      <c r="AE191">
        <v>0.15391070829137293</v>
      </c>
      <c r="AF191">
        <v>5.6562604900973479E-2</v>
      </c>
      <c r="AG191">
        <v>0</v>
      </c>
      <c r="BX191" s="345"/>
      <c r="BY191" s="345"/>
      <c r="BZ191" s="345"/>
      <c r="CA191" s="382"/>
      <c r="CB191" s="382"/>
      <c r="CC191" s="382"/>
      <c r="CD191" s="385"/>
      <c r="CE191" s="385"/>
      <c r="CF191" s="385"/>
      <c r="CG191" s="377"/>
      <c r="CH191" s="377"/>
      <c r="CI191" s="377"/>
      <c r="CK191" s="25">
        <v>3288</v>
      </c>
      <c r="CL191" s="25">
        <v>167</v>
      </c>
      <c r="DC191" s="58">
        <v>164</v>
      </c>
      <c r="DD191" s="58">
        <v>37.6993011403843</v>
      </c>
      <c r="DE191" s="58">
        <v>-24.6993011403843</v>
      </c>
      <c r="DF191" s="58">
        <v>-8.8051794791292076E-2</v>
      </c>
      <c r="DH191" s="58">
        <v>58.602150537634408</v>
      </c>
      <c r="DI191" s="58">
        <v>31</v>
      </c>
      <c r="DW191" s="58">
        <v>164</v>
      </c>
      <c r="DX191" s="58">
        <v>37.6993011403843</v>
      </c>
      <c r="DY191" s="58">
        <v>-24.6993011403843</v>
      </c>
      <c r="DZ191" s="58">
        <v>-8.8051794791292076E-2</v>
      </c>
    </row>
    <row r="192" spans="2:130">
      <c r="B192" s="58">
        <v>8</v>
      </c>
      <c r="C192" s="58">
        <v>29.931195794821765</v>
      </c>
      <c r="D192" s="58">
        <v>-28.243695794821765</v>
      </c>
      <c r="E192" s="58">
        <v>-4.7865371637330727E-2</v>
      </c>
      <c r="X192">
        <v>0.25701786365293472</v>
      </c>
      <c r="AB192">
        <v>1.300279499331632E-2</v>
      </c>
      <c r="AC192">
        <v>0.11495929031474054</v>
      </c>
      <c r="AD192">
        <v>0.17948717948717949</v>
      </c>
      <c r="AE192">
        <v>0</v>
      </c>
      <c r="AF192">
        <v>9.0898043504678575E-2</v>
      </c>
      <c r="AG192">
        <v>0.3446348280471504</v>
      </c>
      <c r="BX192" s="345"/>
      <c r="BY192" s="345"/>
      <c r="BZ192" s="345"/>
      <c r="CA192" s="382"/>
      <c r="CB192" s="382"/>
      <c r="CC192" s="382"/>
      <c r="CD192" s="385"/>
      <c r="CE192" s="385"/>
      <c r="CF192" s="385"/>
      <c r="CG192" s="377"/>
      <c r="CH192" s="377"/>
      <c r="CI192" s="377"/>
      <c r="CK192">
        <v>2115</v>
      </c>
      <c r="CL192">
        <v>580</v>
      </c>
      <c r="DC192" s="58">
        <v>165</v>
      </c>
      <c r="DD192" s="58">
        <v>65.040618074008577</v>
      </c>
      <c r="DE192" s="58">
        <v>-22.040618074008577</v>
      </c>
      <c r="DF192" s="58">
        <v>-7.8573720312786574E-2</v>
      </c>
      <c r="DH192" s="58">
        <v>58.960573476702514</v>
      </c>
      <c r="DI192" s="58">
        <v>32</v>
      </c>
      <c r="DW192" s="58">
        <v>165</v>
      </c>
      <c r="DX192" s="58">
        <v>65.040618074008577</v>
      </c>
      <c r="DY192" s="58">
        <v>-22.040618074008577</v>
      </c>
      <c r="DZ192" s="58">
        <v>-7.8573720312786574E-2</v>
      </c>
    </row>
    <row r="193" spans="1:130">
      <c r="B193" s="58">
        <v>9</v>
      </c>
      <c r="C193" s="58">
        <v>621.85120702602569</v>
      </c>
      <c r="D193" s="58">
        <v>-117.184540359359</v>
      </c>
      <c r="E193" s="58">
        <v>-0.19859587835806092</v>
      </c>
      <c r="X193">
        <v>0.68885324779470725</v>
      </c>
      <c r="AB193">
        <v>0</v>
      </c>
      <c r="AC193">
        <v>2.4057738572574178E-3</v>
      </c>
      <c r="AD193">
        <v>8.700882117080995E-2</v>
      </c>
      <c r="AE193">
        <v>0</v>
      </c>
      <c r="AF193">
        <v>0</v>
      </c>
      <c r="AG193">
        <v>0.22173215717722539</v>
      </c>
      <c r="BX193" s="345"/>
      <c r="BY193" s="345"/>
      <c r="BZ193" s="345"/>
      <c r="CA193" s="382"/>
      <c r="CB193" s="382"/>
      <c r="CC193" s="382"/>
      <c r="CD193" s="385"/>
      <c r="CE193" s="385"/>
      <c r="CF193" s="385"/>
      <c r="CG193" s="377"/>
      <c r="CH193" s="377"/>
      <c r="CI193" s="377"/>
      <c r="CK193">
        <v>1718</v>
      </c>
      <c r="CL193">
        <v>14</v>
      </c>
      <c r="DC193" s="58">
        <v>166</v>
      </c>
      <c r="DD193" s="58">
        <v>45.311372332131967</v>
      </c>
      <c r="DE193" s="58">
        <v>-44.311372332131967</v>
      </c>
      <c r="DF193" s="58">
        <v>-0.15796786481257966</v>
      </c>
      <c r="DH193" s="58">
        <v>59.318996415770613</v>
      </c>
      <c r="DI193" s="58">
        <v>32</v>
      </c>
      <c r="DW193" s="58">
        <v>166</v>
      </c>
      <c r="DX193" s="58">
        <v>45.311372332131967</v>
      </c>
      <c r="DY193" s="58">
        <v>-44.311372332131967</v>
      </c>
      <c r="DZ193" s="58">
        <v>-0.15796786481257966</v>
      </c>
    </row>
    <row r="194" spans="1:130">
      <c r="B194" s="58">
        <v>10</v>
      </c>
      <c r="C194" s="58">
        <v>42.173373095321992</v>
      </c>
      <c r="D194" s="58">
        <v>18.826626904678008</v>
      </c>
      <c r="E194" s="58">
        <v>3.1906004795413459E-2</v>
      </c>
      <c r="X194">
        <v>0.41266079891672308</v>
      </c>
      <c r="AB194">
        <v>8.124576844955992E-3</v>
      </c>
      <c r="AC194">
        <v>9.597156398104266E-2</v>
      </c>
      <c r="AD194">
        <v>0.24678402166553826</v>
      </c>
      <c r="AE194">
        <v>9.7494922139471904E-2</v>
      </c>
      <c r="AF194">
        <v>0.13337846987136087</v>
      </c>
      <c r="AG194">
        <v>5.5856465809072109E-3</v>
      </c>
      <c r="BX194" s="345"/>
      <c r="BY194" s="345"/>
      <c r="BZ194" s="345"/>
      <c r="CA194" s="382"/>
      <c r="CB194" s="382"/>
      <c r="CC194" s="382"/>
      <c r="CD194" s="385"/>
      <c r="CE194" s="385"/>
      <c r="CF194" s="385"/>
      <c r="CG194" s="377"/>
      <c r="CH194" s="377"/>
      <c r="CI194" s="377"/>
      <c r="CK194">
        <v>2438</v>
      </c>
      <c r="CL194">
        <v>32</v>
      </c>
      <c r="DC194" s="58">
        <v>167</v>
      </c>
      <c r="DD194" s="58">
        <v>48.159426179384496</v>
      </c>
      <c r="DE194" s="58">
        <v>17.840573820615504</v>
      </c>
      <c r="DF194" s="58">
        <v>6.3600768948205641E-2</v>
      </c>
      <c r="DH194" s="58">
        <v>59.677419354838712</v>
      </c>
      <c r="DI194" s="58">
        <v>32</v>
      </c>
      <c r="DW194" s="58">
        <v>167</v>
      </c>
      <c r="DX194" s="58">
        <v>48.159426179384496</v>
      </c>
      <c r="DY194" s="58">
        <v>17.840573820615504</v>
      </c>
      <c r="DZ194" s="58">
        <v>6.3600768948205641E-2</v>
      </c>
    </row>
    <row r="195" spans="1:130">
      <c r="B195" s="58">
        <v>11</v>
      </c>
      <c r="C195" s="58">
        <v>1377.8593490920045</v>
      </c>
      <c r="D195" s="58">
        <v>-413.85934909200455</v>
      </c>
      <c r="E195" s="58">
        <v>-0.70137887384782316</v>
      </c>
      <c r="X195">
        <v>1.7371266507134629E-2</v>
      </c>
      <c r="AB195">
        <v>4.8480014180625718E-2</v>
      </c>
      <c r="AC195">
        <v>9.066737569795269E-2</v>
      </c>
      <c r="AD195">
        <v>5.6190729415935482E-2</v>
      </c>
      <c r="AE195">
        <v>0.31667109811220417</v>
      </c>
      <c r="AF195">
        <v>0.18399361871842598</v>
      </c>
      <c r="AG195">
        <v>0.28662589736772126</v>
      </c>
      <c r="BX195" s="345"/>
      <c r="BY195" s="345"/>
      <c r="BZ195" s="345"/>
      <c r="CA195" s="382"/>
      <c r="CB195" s="382"/>
      <c r="CC195" s="382"/>
      <c r="CD195" s="385"/>
      <c r="CE195" s="385"/>
      <c r="CF195" s="385"/>
      <c r="CG195" s="377"/>
      <c r="CH195" s="377"/>
      <c r="CI195" s="377"/>
      <c r="CK195">
        <v>2.4500000000000002</v>
      </c>
      <c r="CL195">
        <v>-12.725</v>
      </c>
      <c r="DC195" s="58">
        <v>168</v>
      </c>
      <c r="DD195" s="58">
        <v>36.145817223701101</v>
      </c>
      <c r="DE195" s="58">
        <v>-9.1458172237011013</v>
      </c>
      <c r="DF195" s="58">
        <v>-3.2604388958329213E-2</v>
      </c>
      <c r="DH195" s="58">
        <v>60.035842293906811</v>
      </c>
      <c r="DI195" s="58">
        <v>33</v>
      </c>
      <c r="DW195" s="58">
        <v>168</v>
      </c>
      <c r="DX195" s="58">
        <v>36.145817223701101</v>
      </c>
      <c r="DY195" s="58">
        <v>-9.1458172237011013</v>
      </c>
      <c r="DZ195" s="58">
        <v>-3.2604388958329213E-2</v>
      </c>
    </row>
    <row r="196" spans="1:130">
      <c r="B196" s="58">
        <v>12</v>
      </c>
      <c r="C196" s="58">
        <v>33.15282140021656</v>
      </c>
      <c r="D196" s="58">
        <v>36.09717859978344</v>
      </c>
      <c r="E196" s="58">
        <v>6.1174885938776957E-2</v>
      </c>
      <c r="X196">
        <v>0.25023386342376053</v>
      </c>
      <c r="AB196">
        <v>9.0271281571562209E-2</v>
      </c>
      <c r="AC196">
        <v>2.4321796071094481E-2</v>
      </c>
      <c r="AD196">
        <v>0.13704396632366697</v>
      </c>
      <c r="AE196">
        <v>5.378858746492049E-2</v>
      </c>
      <c r="AF196">
        <v>0.19317118802619271</v>
      </c>
      <c r="AG196">
        <v>0.25116931711880264</v>
      </c>
      <c r="BX196" s="345"/>
      <c r="BY196" s="345"/>
      <c r="BZ196" s="345"/>
      <c r="CA196" s="382"/>
      <c r="CB196" s="382"/>
      <c r="CC196" s="382"/>
      <c r="CD196" s="385"/>
      <c r="CE196" s="385"/>
      <c r="CF196" s="385"/>
      <c r="CG196" s="377"/>
      <c r="CH196" s="377"/>
      <c r="CI196" s="377"/>
      <c r="CK196">
        <v>535</v>
      </c>
      <c r="CL196">
        <v>46</v>
      </c>
      <c r="DC196" s="58">
        <v>169</v>
      </c>
      <c r="DD196" s="58">
        <v>46.663326754087834</v>
      </c>
      <c r="DE196" s="58">
        <v>-131.19354513905483</v>
      </c>
      <c r="DF196" s="58">
        <v>-0.46769854130157928</v>
      </c>
      <c r="DH196" s="58">
        <v>60.394265232974909</v>
      </c>
      <c r="DI196" s="58">
        <v>35</v>
      </c>
      <c r="DW196" s="58">
        <v>169</v>
      </c>
      <c r="DX196" s="58">
        <v>46.663326754087834</v>
      </c>
      <c r="DY196" s="58">
        <v>-131.19354513905483</v>
      </c>
      <c r="DZ196" s="58">
        <v>-0.46769854130157928</v>
      </c>
    </row>
    <row r="197" spans="1:130">
      <c r="B197" s="58">
        <v>13</v>
      </c>
      <c r="C197" s="58">
        <v>983.53237499168142</v>
      </c>
      <c r="D197" s="58">
        <v>-19.532374991681422</v>
      </c>
      <c r="E197" s="58">
        <v>-3.3102055578291073E-2</v>
      </c>
      <c r="X197">
        <v>0.53797468354430378</v>
      </c>
      <c r="AB197">
        <v>0</v>
      </c>
      <c r="AC197">
        <v>0.44303797468354428</v>
      </c>
      <c r="AD197">
        <v>1.8987341772151899E-2</v>
      </c>
      <c r="AE197">
        <v>0</v>
      </c>
      <c r="AF197">
        <v>0</v>
      </c>
      <c r="AG197">
        <v>0</v>
      </c>
      <c r="BX197" s="345"/>
      <c r="BY197" s="345"/>
      <c r="BZ197" s="345"/>
      <c r="CA197" s="382"/>
      <c r="CB197" s="382"/>
      <c r="CC197" s="382"/>
      <c r="CD197" s="385"/>
      <c r="CE197" s="385"/>
      <c r="CF197" s="385"/>
      <c r="CG197" s="377"/>
      <c r="CH197" s="377"/>
      <c r="CI197" s="377"/>
      <c r="CK197">
        <v>85</v>
      </c>
      <c r="CL197">
        <v>0</v>
      </c>
      <c r="DC197" s="58">
        <v>170</v>
      </c>
      <c r="DD197" s="58">
        <v>42.825798065438853</v>
      </c>
      <c r="DE197" s="58">
        <v>-11.825798065438853</v>
      </c>
      <c r="DF197" s="58">
        <v>-4.2158388959384105E-2</v>
      </c>
      <c r="DH197" s="58">
        <v>60.752688172043015</v>
      </c>
      <c r="DI197" s="58">
        <v>35</v>
      </c>
      <c r="DW197" s="58">
        <v>170</v>
      </c>
      <c r="DX197" s="58">
        <v>42.825798065438853</v>
      </c>
      <c r="DY197" s="58">
        <v>-11.825798065438853</v>
      </c>
      <c r="DZ197" s="58">
        <v>-4.2158388959384105E-2</v>
      </c>
    </row>
    <row r="198" spans="1:130">
      <c r="B198" s="58">
        <v>14</v>
      </c>
      <c r="C198" s="58">
        <v>47.757524144672971</v>
      </c>
      <c r="D198" s="58">
        <v>-35.757524144672971</v>
      </c>
      <c r="E198" s="58">
        <v>-6.0599264149042258E-2</v>
      </c>
      <c r="X198">
        <v>0.37034383954154726</v>
      </c>
      <c r="AB198">
        <v>0</v>
      </c>
      <c r="AC198">
        <v>0.17287488061127029</v>
      </c>
      <c r="AD198">
        <v>0.45678127984718242</v>
      </c>
      <c r="AE198">
        <v>0</v>
      </c>
      <c r="AF198">
        <v>0</v>
      </c>
      <c r="AG198">
        <v>0</v>
      </c>
      <c r="BX198" s="345"/>
      <c r="BY198" s="345"/>
      <c r="BZ198" s="345"/>
      <c r="CA198" s="382"/>
      <c r="CB198" s="382"/>
      <c r="CC198" s="382"/>
      <c r="CD198" s="385"/>
      <c r="CE198" s="385"/>
      <c r="CF198" s="385"/>
      <c r="CG198" s="377"/>
      <c r="CH198" s="377"/>
      <c r="CI198" s="377"/>
      <c r="CK198">
        <v>1551</v>
      </c>
      <c r="CL198">
        <v>1686</v>
      </c>
      <c r="DC198" s="58">
        <v>171</v>
      </c>
      <c r="DD198" s="58">
        <v>44.586413171013142</v>
      </c>
      <c r="DE198" s="58">
        <v>-64.586413171013135</v>
      </c>
      <c r="DF198" s="58">
        <v>-0.23024738904621367</v>
      </c>
      <c r="DH198" s="58">
        <v>61.111111111111114</v>
      </c>
      <c r="DI198" s="58">
        <v>37.383177570093459</v>
      </c>
      <c r="DW198" s="58">
        <v>171</v>
      </c>
      <c r="DX198" s="58">
        <v>44.586413171013142</v>
      </c>
      <c r="DY198" s="58">
        <v>-64.586413171013135</v>
      </c>
      <c r="DZ198" s="58">
        <v>-0.23024738904621367</v>
      </c>
    </row>
    <row r="199" spans="1:130">
      <c r="B199" s="58">
        <v>15</v>
      </c>
      <c r="C199" s="58">
        <v>206.04672888973727</v>
      </c>
      <c r="D199" s="58">
        <v>448.95327111026273</v>
      </c>
      <c r="E199" s="58">
        <v>0.76085351313789107</v>
      </c>
      <c r="X199">
        <v>0.38322567622123538</v>
      </c>
      <c r="AB199">
        <v>0</v>
      </c>
      <c r="AC199">
        <v>8.1146548243843361E-2</v>
      </c>
      <c r="AD199">
        <v>0.32690754945498585</v>
      </c>
      <c r="AE199">
        <v>0.16471538150989101</v>
      </c>
      <c r="AF199">
        <v>4.3399273314493343E-2</v>
      </c>
      <c r="AG199">
        <v>6.0557125555116276E-4</v>
      </c>
      <c r="BX199" s="345"/>
      <c r="BY199" s="345"/>
      <c r="BZ199" s="345"/>
      <c r="CA199" s="382"/>
      <c r="CB199" s="382"/>
      <c r="CC199" s="382"/>
      <c r="CD199" s="385"/>
      <c r="CE199" s="385"/>
      <c r="CF199" s="385"/>
      <c r="CG199" s="377"/>
      <c r="CH199" s="377"/>
      <c r="CI199" s="377"/>
      <c r="CK199">
        <v>86.295454545454547</v>
      </c>
      <c r="CL199">
        <v>40.159090909090914</v>
      </c>
      <c r="DC199" s="58">
        <v>172</v>
      </c>
      <c r="DD199" s="58">
        <v>39.14921946262195</v>
      </c>
      <c r="DE199" s="58">
        <v>-24.14921946262195</v>
      </c>
      <c r="DF199" s="58">
        <v>-8.6090780642208084E-2</v>
      </c>
      <c r="DH199" s="58">
        <v>61.469534050179213</v>
      </c>
      <c r="DI199" s="58">
        <v>39</v>
      </c>
      <c r="DW199" s="58">
        <v>172</v>
      </c>
      <c r="DX199" s="58">
        <v>39.14921946262195</v>
      </c>
      <c r="DY199" s="58">
        <v>-24.14921946262195</v>
      </c>
      <c r="DZ199" s="58">
        <v>-8.6090780642208084E-2</v>
      </c>
    </row>
    <row r="200" spans="1:130">
      <c r="B200" s="58">
        <v>16</v>
      </c>
      <c r="C200" s="58">
        <v>44.10634845855887</v>
      </c>
      <c r="D200" s="58">
        <v>-44.10634845855887</v>
      </c>
      <c r="E200" s="58">
        <v>-7.4748247391957581E-2</v>
      </c>
      <c r="X200">
        <v>0.37034383954154726</v>
      </c>
      <c r="AB200">
        <v>0</v>
      </c>
      <c r="AC200">
        <v>0.17287488061127029</v>
      </c>
      <c r="AD200">
        <v>0.45678127984718242</v>
      </c>
      <c r="AE200">
        <v>0</v>
      </c>
      <c r="AF200">
        <v>0</v>
      </c>
      <c r="AG200">
        <v>0</v>
      </c>
      <c r="BX200" s="345"/>
      <c r="BY200" s="345"/>
      <c r="BZ200" s="345"/>
      <c r="CA200" s="382"/>
      <c r="CB200" s="382"/>
      <c r="CC200" s="382"/>
      <c r="CD200" s="385"/>
      <c r="CE200" s="385"/>
      <c r="CF200" s="385"/>
      <c r="CG200" s="377"/>
      <c r="CH200" s="377"/>
      <c r="CI200" s="377"/>
      <c r="CK200">
        <v>1551</v>
      </c>
      <c r="CL200">
        <v>1686</v>
      </c>
      <c r="DC200" s="58">
        <v>173</v>
      </c>
      <c r="DD200" s="58">
        <v>61.116517700466815</v>
      </c>
      <c r="DE200" s="58">
        <v>-68.586517700466814</v>
      </c>
      <c r="DF200" s="58">
        <v>-0.24450756512039765</v>
      </c>
      <c r="DH200" s="58">
        <v>61.827956989247312</v>
      </c>
      <c r="DI200" s="58">
        <v>40</v>
      </c>
      <c r="DW200" s="58">
        <v>173</v>
      </c>
      <c r="DX200" s="58">
        <v>61.116517700466815</v>
      </c>
      <c r="DY200" s="58">
        <v>-68.586517700466814</v>
      </c>
      <c r="DZ200" s="58">
        <v>-0.24450756512039765</v>
      </c>
    </row>
    <row r="201" spans="1:130" ht="18">
      <c r="A201" s="321" t="s">
        <v>597</v>
      </c>
      <c r="B201" s="58">
        <v>17</v>
      </c>
      <c r="C201" s="58">
        <v>1563.4249839627446</v>
      </c>
      <c r="D201" s="58">
        <v>-1067.7583172960778</v>
      </c>
      <c r="E201" s="58">
        <v>-1.8095595225040622</v>
      </c>
      <c r="X201">
        <v>0.7142857142857143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BX201" s="345"/>
      <c r="BY201" s="345"/>
      <c r="BZ201" s="345"/>
      <c r="CA201" s="382"/>
      <c r="CB201" s="382"/>
      <c r="CC201" s="382"/>
      <c r="CD201" s="385"/>
      <c r="CE201" s="385"/>
      <c r="CF201" s="385"/>
      <c r="CG201" s="377"/>
      <c r="CH201" s="377"/>
      <c r="CI201" s="377"/>
      <c r="CK201">
        <v>10</v>
      </c>
      <c r="CL201">
        <v>2</v>
      </c>
      <c r="DC201" s="58">
        <v>174</v>
      </c>
      <c r="DD201" s="58">
        <v>71.97951290186019</v>
      </c>
      <c r="DE201" s="58">
        <v>28.02048709813981</v>
      </c>
      <c r="DF201" s="58">
        <v>9.9891659520819368E-2</v>
      </c>
      <c r="DH201" s="58">
        <v>62.186379928315411</v>
      </c>
      <c r="DI201" s="58">
        <v>40</v>
      </c>
      <c r="DW201" s="58">
        <v>174</v>
      </c>
      <c r="DX201" s="58">
        <v>71.97951290186019</v>
      </c>
      <c r="DY201" s="58">
        <v>28.02048709813981</v>
      </c>
      <c r="DZ201" s="58">
        <v>9.9891659520819368E-2</v>
      </c>
    </row>
    <row r="202" spans="1:130">
      <c r="B202" s="58">
        <v>18</v>
      </c>
      <c r="C202" s="58">
        <v>274.77474180482625</v>
      </c>
      <c r="D202" s="58">
        <v>-17.728012832863612</v>
      </c>
      <c r="E202" s="58">
        <v>-3.0044153173182129E-2</v>
      </c>
      <c r="X202">
        <v>0.5908096280087527</v>
      </c>
      <c r="AB202">
        <v>0.24343544857768051</v>
      </c>
      <c r="AC202">
        <v>0.10831509846827134</v>
      </c>
      <c r="AD202">
        <v>2.6258205689277898E-2</v>
      </c>
      <c r="AE202">
        <v>1.0940919037199124E-2</v>
      </c>
      <c r="AF202">
        <v>0</v>
      </c>
      <c r="AG202">
        <v>2.0787746170678356E-2</v>
      </c>
      <c r="BX202" s="345"/>
      <c r="BY202" s="345"/>
      <c r="BZ202" s="345"/>
      <c r="CA202" s="382"/>
      <c r="CB202" s="382"/>
      <c r="CC202" s="382"/>
      <c r="CD202" s="385"/>
      <c r="CE202" s="385"/>
      <c r="CF202" s="385"/>
      <c r="CG202" s="377"/>
      <c r="CH202" s="377"/>
      <c r="CI202" s="377"/>
      <c r="CK202">
        <v>1080</v>
      </c>
      <c r="CL202">
        <v>-181</v>
      </c>
      <c r="DC202" s="58">
        <v>175</v>
      </c>
      <c r="DD202" s="58">
        <v>132.41003726083659</v>
      </c>
      <c r="DE202" s="58">
        <v>-686.41003726083659</v>
      </c>
      <c r="DF202" s="58">
        <v>-2.4470180512416695</v>
      </c>
      <c r="DH202" s="58">
        <v>62.544802867383517</v>
      </c>
      <c r="DI202" s="58">
        <v>40.159090909090914</v>
      </c>
      <c r="DW202" s="58">
        <v>175</v>
      </c>
      <c r="DX202" s="58">
        <v>132.41003726083659</v>
      </c>
      <c r="DY202" s="58">
        <v>-686.41003726083659</v>
      </c>
      <c r="DZ202" s="58">
        <v>-2.4470180512416695</v>
      </c>
    </row>
    <row r="203" spans="1:130">
      <c r="B203" s="58">
        <v>19</v>
      </c>
      <c r="C203" s="58">
        <v>1164.7165990390847</v>
      </c>
      <c r="D203" s="58">
        <v>-634.04993237241808</v>
      </c>
      <c r="E203" s="58">
        <v>-1.0745419392030995</v>
      </c>
      <c r="X203">
        <v>0</v>
      </c>
      <c r="AB203">
        <v>0</v>
      </c>
      <c r="AC203">
        <v>0.4391891891891892</v>
      </c>
      <c r="AD203">
        <v>0.16891891891891891</v>
      </c>
      <c r="AE203">
        <v>0.39189189189189189</v>
      </c>
      <c r="AF203">
        <v>0</v>
      </c>
      <c r="AG203">
        <v>0</v>
      </c>
      <c r="BX203" s="345"/>
      <c r="BY203" s="345"/>
      <c r="BZ203" s="345"/>
      <c r="CA203" s="382"/>
      <c r="CB203" s="382"/>
      <c r="CC203" s="382"/>
      <c r="CD203" s="385"/>
      <c r="CE203" s="385"/>
      <c r="CF203" s="385"/>
      <c r="CG203" s="377"/>
      <c r="CH203" s="377"/>
      <c r="CI203" s="377"/>
      <c r="CK203">
        <v>0</v>
      </c>
      <c r="CL203">
        <v>53</v>
      </c>
      <c r="DC203" s="58">
        <v>176</v>
      </c>
      <c r="DD203" s="58">
        <v>71.720598915746322</v>
      </c>
      <c r="DE203" s="58">
        <v>362.27940108425366</v>
      </c>
      <c r="DF203" s="58">
        <v>1.2915082617145894</v>
      </c>
      <c r="DH203" s="58">
        <v>62.903225806451616</v>
      </c>
      <c r="DI203" s="58">
        <v>42</v>
      </c>
      <c r="DW203" s="58">
        <v>176</v>
      </c>
      <c r="DX203" s="58">
        <v>71.720598915746322</v>
      </c>
      <c r="DY203" s="58">
        <v>362.27940108425366</v>
      </c>
      <c r="DZ203" s="58">
        <v>1.2915082617145894</v>
      </c>
    </row>
    <row r="204" spans="1:130">
      <c r="B204" s="58">
        <v>20</v>
      </c>
      <c r="C204" s="58">
        <v>618.41480638027122</v>
      </c>
      <c r="D204" s="58">
        <v>-241.0814730469379</v>
      </c>
      <c r="E204" s="58">
        <v>-0.40856743345828245</v>
      </c>
      <c r="X204">
        <v>0.13258185721953838</v>
      </c>
      <c r="AB204">
        <v>0</v>
      </c>
      <c r="AC204">
        <v>0</v>
      </c>
      <c r="AD204">
        <v>0.84022186437645374</v>
      </c>
      <c r="AE204">
        <v>0</v>
      </c>
      <c r="AF204">
        <v>1.4134907854714617E-2</v>
      </c>
      <c r="AG204">
        <v>1.3061370549293239E-2</v>
      </c>
      <c r="BX204" s="345"/>
      <c r="BY204" s="345"/>
      <c r="BZ204" s="345"/>
      <c r="CA204" s="382"/>
      <c r="CB204" s="382"/>
      <c r="CC204" s="382"/>
      <c r="CD204" s="385"/>
      <c r="CE204" s="385"/>
      <c r="CF204" s="385"/>
      <c r="CG204" s="377"/>
      <c r="CH204" s="377"/>
      <c r="CI204" s="377"/>
      <c r="CK204">
        <v>741</v>
      </c>
      <c r="CL204">
        <v>-348</v>
      </c>
      <c r="DC204" s="58">
        <v>177</v>
      </c>
      <c r="DD204" s="58">
        <v>50.023606879404333</v>
      </c>
      <c r="DE204" s="58">
        <v>-89.023606879404326</v>
      </c>
      <c r="DF204" s="58">
        <v>-0.31736478372294563</v>
      </c>
      <c r="DH204" s="58">
        <v>63.261648745519715</v>
      </c>
      <c r="DI204" s="58">
        <v>43</v>
      </c>
      <c r="DW204" s="58">
        <v>177</v>
      </c>
      <c r="DX204" s="58">
        <v>50.023606879404333</v>
      </c>
      <c r="DY204" s="58">
        <v>-89.023606879404326</v>
      </c>
      <c r="DZ204" s="58">
        <v>-0.31736478372294563</v>
      </c>
    </row>
    <row r="205" spans="1:130">
      <c r="B205" s="58">
        <v>21</v>
      </c>
      <c r="C205" s="58">
        <v>145.90971758903441</v>
      </c>
      <c r="D205" s="58">
        <v>-74.576384255701086</v>
      </c>
      <c r="E205" s="58">
        <v>-0.12638665894503692</v>
      </c>
      <c r="X205">
        <v>0.47194177036863116</v>
      </c>
      <c r="AB205">
        <v>0</v>
      </c>
      <c r="AC205">
        <v>8.2413712138999756E-2</v>
      </c>
      <c r="AD205">
        <v>0.18525475463723876</v>
      </c>
      <c r="AE205">
        <v>0.18948109884949518</v>
      </c>
      <c r="AF205">
        <v>7.0908664005635128E-2</v>
      </c>
      <c r="AG205">
        <v>0</v>
      </c>
      <c r="BX205" s="345"/>
      <c r="BY205" s="345"/>
      <c r="BZ205" s="345"/>
      <c r="CA205" s="382"/>
      <c r="CB205" s="382"/>
      <c r="CC205" s="382"/>
      <c r="CD205" s="385"/>
      <c r="CE205" s="385"/>
      <c r="CF205" s="385"/>
      <c r="CG205" s="377"/>
      <c r="CH205" s="377"/>
      <c r="CI205" s="377"/>
      <c r="CK205">
        <v>300.56074766355141</v>
      </c>
      <c r="CL205">
        <v>18.542056074766357</v>
      </c>
      <c r="DC205" s="58">
        <v>178</v>
      </c>
      <c r="DD205" s="58">
        <v>53.803751076666778</v>
      </c>
      <c r="DE205" s="58">
        <v>-53.803751076666778</v>
      </c>
      <c r="DF205" s="58">
        <v>-0.19180772856193906</v>
      </c>
      <c r="DH205" s="58">
        <v>63.620071684587813</v>
      </c>
      <c r="DI205" s="58">
        <v>44</v>
      </c>
      <c r="DW205" s="58">
        <v>178</v>
      </c>
      <c r="DX205" s="58">
        <v>53.803751076666778</v>
      </c>
      <c r="DY205" s="58">
        <v>-53.803751076666778</v>
      </c>
      <c r="DZ205" s="58">
        <v>-0.19180772856193906</v>
      </c>
    </row>
    <row r="206" spans="1:130">
      <c r="B206" s="58">
        <v>22</v>
      </c>
      <c r="C206" s="58">
        <v>29.286870673742804</v>
      </c>
      <c r="D206" s="58">
        <v>-11.821635499918674</v>
      </c>
      <c r="E206" s="58">
        <v>-2.0034452313723489E-2</v>
      </c>
      <c r="X206">
        <v>0.25711927362773423</v>
      </c>
      <c r="AB206">
        <v>0</v>
      </c>
      <c r="AC206">
        <v>5.2001650846058602E-2</v>
      </c>
      <c r="AD206">
        <v>0.47214197276104003</v>
      </c>
      <c r="AE206">
        <v>1.1968633924886504E-2</v>
      </c>
      <c r="AF206">
        <v>0.19438712340074288</v>
      </c>
      <c r="AG206">
        <v>1.2381345439537839E-2</v>
      </c>
      <c r="BX206" s="345"/>
      <c r="BY206" s="345"/>
      <c r="BZ206" s="345"/>
      <c r="CA206" s="382"/>
      <c r="CB206" s="382"/>
      <c r="CC206" s="382"/>
      <c r="CD206" s="385"/>
      <c r="CE206" s="385"/>
      <c r="CF206" s="385"/>
      <c r="CG206" s="377"/>
      <c r="CH206" s="377"/>
      <c r="CI206" s="377"/>
      <c r="CK206">
        <v>623</v>
      </c>
      <c r="CL206">
        <v>260</v>
      </c>
      <c r="DC206" s="58">
        <v>179</v>
      </c>
      <c r="DD206" s="58">
        <v>36.145817223701101</v>
      </c>
      <c r="DE206" s="58">
        <v>425.8541827762989</v>
      </c>
      <c r="DF206" s="58">
        <v>1.5181492342519225</v>
      </c>
      <c r="DH206" s="58">
        <v>63.978494623655919</v>
      </c>
      <c r="DI206" s="58">
        <v>44</v>
      </c>
      <c r="DW206" s="58">
        <v>179</v>
      </c>
      <c r="DX206" s="58">
        <v>36.145817223701101</v>
      </c>
      <c r="DY206" s="58">
        <v>425.8541827762989</v>
      </c>
      <c r="DZ206" s="58">
        <v>1.5181492342519225</v>
      </c>
    </row>
    <row r="207" spans="1:130">
      <c r="B207" s="58">
        <v>23</v>
      </c>
      <c r="C207" s="58">
        <v>137.31871597464828</v>
      </c>
      <c r="D207" s="58">
        <v>-95.985382641314942</v>
      </c>
      <c r="E207" s="58">
        <v>-0.16266908004016498</v>
      </c>
      <c r="X207">
        <v>0.39361702127659576</v>
      </c>
      <c r="AB207">
        <v>2.1276595744680851E-2</v>
      </c>
      <c r="AC207">
        <v>4.5212765957446811E-2</v>
      </c>
      <c r="AD207">
        <v>0.50731382978723405</v>
      </c>
      <c r="AE207">
        <v>3.2579787234042555E-2</v>
      </c>
      <c r="AF207">
        <v>0</v>
      </c>
      <c r="AG207">
        <v>6.6489361702126715E-4</v>
      </c>
      <c r="BX207" s="345"/>
      <c r="BY207" s="345"/>
      <c r="BZ207" s="345"/>
      <c r="CA207" s="382"/>
      <c r="CB207" s="382"/>
      <c r="CC207" s="382"/>
      <c r="CD207" s="385"/>
      <c r="CE207" s="385"/>
      <c r="CF207" s="385"/>
      <c r="CG207" s="377"/>
      <c r="CH207" s="377"/>
      <c r="CI207" s="377"/>
      <c r="CK207">
        <v>592</v>
      </c>
      <c r="CL207">
        <v>90</v>
      </c>
      <c r="DC207" s="58">
        <v>180</v>
      </c>
      <c r="DD207" s="58">
        <v>49.298647718285508</v>
      </c>
      <c r="DE207" s="58">
        <v>-521.29864771828557</v>
      </c>
      <c r="DF207" s="58">
        <v>-1.8584040614338757</v>
      </c>
      <c r="DH207" s="58">
        <v>64.336917562724011</v>
      </c>
      <c r="DI207" s="58">
        <v>45</v>
      </c>
      <c r="DW207" s="58">
        <v>180</v>
      </c>
      <c r="DX207" s="58">
        <v>49.298647718285508</v>
      </c>
      <c r="DY207" s="58">
        <v>-521.29864771828557</v>
      </c>
      <c r="DZ207" s="58">
        <v>-1.8584040614338757</v>
      </c>
    </row>
    <row r="208" spans="1:130">
      <c r="B208" s="58">
        <v>24</v>
      </c>
      <c r="C208" s="58">
        <v>353.8119566571786</v>
      </c>
      <c r="D208" s="58">
        <v>-158.47862332384526</v>
      </c>
      <c r="E208" s="58">
        <v>-0.26857810171426511</v>
      </c>
      <c r="X208">
        <v>0.41142857142857142</v>
      </c>
      <c r="AB208">
        <v>1.4285714285714285E-2</v>
      </c>
      <c r="AC208">
        <v>2.2857142857142857E-2</v>
      </c>
      <c r="AD208">
        <v>0.54</v>
      </c>
      <c r="AE208">
        <v>1.1428571428571429E-2</v>
      </c>
      <c r="AF208">
        <v>0</v>
      </c>
      <c r="AG208">
        <v>0</v>
      </c>
      <c r="BX208" s="345"/>
      <c r="BY208" s="345"/>
      <c r="BZ208" s="345"/>
      <c r="CA208" s="382"/>
      <c r="CB208" s="382"/>
      <c r="CC208" s="382"/>
      <c r="CD208" s="385"/>
      <c r="CE208" s="385"/>
      <c r="CF208" s="385"/>
      <c r="CG208" s="377"/>
      <c r="CH208" s="377"/>
      <c r="CI208" s="377"/>
      <c r="CK208">
        <v>144</v>
      </c>
      <c r="CL208">
        <v>90</v>
      </c>
      <c r="DC208" s="58">
        <v>181</v>
      </c>
      <c r="DD208" s="58">
        <v>338.14309062691467</v>
      </c>
      <c r="DE208" s="58">
        <v>-100.14309062691467</v>
      </c>
      <c r="DF208" s="58">
        <v>-0.3570051968486449</v>
      </c>
      <c r="DH208" s="58">
        <v>64.695340501792117</v>
      </c>
      <c r="DI208" s="58">
        <v>46</v>
      </c>
      <c r="DW208" s="58">
        <v>181</v>
      </c>
      <c r="DX208" s="58">
        <v>338.14309062691467</v>
      </c>
      <c r="DY208" s="58">
        <v>-100.14309062691467</v>
      </c>
      <c r="DZ208" s="58">
        <v>-0.3570051968486449</v>
      </c>
    </row>
    <row r="209" spans="2:130">
      <c r="B209" s="58">
        <v>25</v>
      </c>
      <c r="C209" s="58">
        <v>564.72104629035789</v>
      </c>
      <c r="D209" s="58">
        <v>-494.72104629035789</v>
      </c>
      <c r="E209" s="58">
        <v>-0.83841742630008775</v>
      </c>
      <c r="X209">
        <v>0.39092664092664092</v>
      </c>
      <c r="AB209">
        <v>0</v>
      </c>
      <c r="AC209">
        <v>5.4054054054054057E-2</v>
      </c>
      <c r="AD209">
        <v>0.2055984555984556</v>
      </c>
      <c r="AE209">
        <v>1.9305019305019305E-2</v>
      </c>
      <c r="AF209">
        <v>0.10231660231660232</v>
      </c>
      <c r="AG209">
        <v>0.22779922779922779</v>
      </c>
      <c r="BX209" s="345"/>
      <c r="BY209" s="345"/>
      <c r="BZ209" s="345"/>
      <c r="CA209" s="382"/>
      <c r="CB209" s="382"/>
      <c r="CC209" s="382"/>
      <c r="CD209" s="385"/>
      <c r="CE209" s="385"/>
      <c r="CF209" s="385"/>
      <c r="CG209" s="377"/>
      <c r="CH209" s="377"/>
      <c r="CI209" s="377"/>
      <c r="CK209">
        <v>23.604294478527606</v>
      </c>
      <c r="CL209">
        <v>-5.3619631901840483</v>
      </c>
      <c r="DC209" s="58">
        <v>182</v>
      </c>
      <c r="DD209" s="58">
        <v>40.979223516474754</v>
      </c>
      <c r="DE209" s="58">
        <v>-38.119223516474754</v>
      </c>
      <c r="DF209" s="58">
        <v>-0.13589315857961989</v>
      </c>
      <c r="DH209" s="58">
        <v>65.053763440860223</v>
      </c>
      <c r="DI209" s="58">
        <v>48</v>
      </c>
      <c r="DW209" s="58">
        <v>182</v>
      </c>
      <c r="DX209" s="58">
        <v>40.979223516474754</v>
      </c>
      <c r="DY209" s="58">
        <v>-38.119223516474754</v>
      </c>
      <c r="DZ209" s="58">
        <v>-0.13589315857961989</v>
      </c>
    </row>
    <row r="210" spans="2:130">
      <c r="B210" s="58">
        <v>26</v>
      </c>
      <c r="C210" s="58">
        <v>767.89823447058961</v>
      </c>
      <c r="D210" s="58">
        <v>99.101765529410386</v>
      </c>
      <c r="E210" s="58">
        <v>0.16795050022633817</v>
      </c>
      <c r="X210">
        <v>0.11460258780036968</v>
      </c>
      <c r="AB210">
        <v>0</v>
      </c>
      <c r="AC210">
        <v>0</v>
      </c>
      <c r="AD210">
        <v>0.47597042513863214</v>
      </c>
      <c r="AE210">
        <v>0.40942698706099817</v>
      </c>
      <c r="AF210">
        <v>0</v>
      </c>
      <c r="AG210">
        <v>0</v>
      </c>
      <c r="BX210" s="345"/>
      <c r="BY210" s="345"/>
      <c r="BZ210" s="345"/>
      <c r="CA210" s="382"/>
      <c r="CB210" s="382"/>
      <c r="CC210" s="382"/>
      <c r="CD210" s="385"/>
      <c r="CE210" s="385"/>
      <c r="CF210" s="385"/>
      <c r="CG210" s="377"/>
      <c r="CH210" s="377"/>
      <c r="CI210" s="377"/>
      <c r="CK210">
        <v>124</v>
      </c>
      <c r="CL210">
        <v>90</v>
      </c>
      <c r="DC210" s="58">
        <v>183</v>
      </c>
      <c r="DD210" s="58">
        <v>38.485105088239884</v>
      </c>
      <c r="DE210" s="58">
        <v>-21.260105088239882</v>
      </c>
      <c r="DF210" s="58">
        <v>-7.5791229874525759E-2</v>
      </c>
      <c r="DH210" s="58">
        <v>65.412186379928315</v>
      </c>
      <c r="DI210" s="58">
        <v>48</v>
      </c>
      <c r="DW210" s="58">
        <v>183</v>
      </c>
      <c r="DX210" s="58">
        <v>38.485105088239884</v>
      </c>
      <c r="DY210" s="58">
        <v>-21.260105088239882</v>
      </c>
      <c r="DZ210" s="58">
        <v>-7.5791229874525759E-2</v>
      </c>
    </row>
    <row r="211" spans="2:130">
      <c r="B211" s="58">
        <v>27</v>
      </c>
      <c r="C211" s="58">
        <v>250.93471232490478</v>
      </c>
      <c r="D211" s="58">
        <v>-46.93471232490478</v>
      </c>
      <c r="E211" s="58">
        <v>-7.9541553784000851E-2</v>
      </c>
      <c r="X211">
        <v>0.52989690721649485</v>
      </c>
      <c r="AB211">
        <v>0</v>
      </c>
      <c r="AC211">
        <v>0</v>
      </c>
      <c r="AD211">
        <v>0.32783505154639175</v>
      </c>
      <c r="AE211">
        <v>0.1154639175257732</v>
      </c>
      <c r="AF211">
        <v>0</v>
      </c>
      <c r="AG211">
        <v>2.6804123711340111E-2</v>
      </c>
      <c r="BX211" s="345"/>
      <c r="BY211" s="345"/>
      <c r="BZ211" s="345"/>
      <c r="CA211" s="382"/>
      <c r="CB211" s="382"/>
      <c r="CC211" s="382"/>
      <c r="CD211" s="385"/>
      <c r="CE211" s="385"/>
      <c r="CF211" s="385"/>
      <c r="CG211" s="377"/>
      <c r="CH211" s="377"/>
      <c r="CI211" s="377"/>
      <c r="CK211">
        <v>257</v>
      </c>
      <c r="CL211">
        <v>0</v>
      </c>
      <c r="DC211" s="58">
        <v>184</v>
      </c>
      <c r="DD211" s="58">
        <v>43.291843240443811</v>
      </c>
      <c r="DE211" s="58">
        <v>-3.2918432404438107</v>
      </c>
      <c r="DF211" s="58">
        <v>-1.173525938427222E-2</v>
      </c>
      <c r="DH211" s="58">
        <v>65.770609318996421</v>
      </c>
      <c r="DI211" s="58">
        <v>50</v>
      </c>
      <c r="DW211" s="58">
        <v>184</v>
      </c>
      <c r="DX211" s="58">
        <v>43.291843240443811</v>
      </c>
      <c r="DY211" s="58">
        <v>-3.2918432404438107</v>
      </c>
      <c r="DZ211" s="58">
        <v>-1.173525938427222E-2</v>
      </c>
    </row>
    <row r="212" spans="2:130">
      <c r="B212" s="58">
        <v>28</v>
      </c>
      <c r="C212" s="58">
        <v>220.00710651311473</v>
      </c>
      <c r="D212" s="58">
        <v>-55.007106513114735</v>
      </c>
      <c r="E212" s="58">
        <v>-9.3222063255163579E-2</v>
      </c>
      <c r="X212">
        <v>0</v>
      </c>
      <c r="AB212">
        <v>0</v>
      </c>
      <c r="AC212">
        <v>0.62803234501347704</v>
      </c>
      <c r="AD212">
        <v>0.3719676549865229</v>
      </c>
      <c r="AE212">
        <v>0</v>
      </c>
      <c r="AF212">
        <v>0</v>
      </c>
      <c r="AG212">
        <v>0</v>
      </c>
      <c r="BX212" s="345"/>
      <c r="BY212" s="345"/>
      <c r="BZ212" s="345"/>
      <c r="CA212" s="382"/>
      <c r="CB212" s="382"/>
      <c r="CC212" s="382"/>
      <c r="CD212" s="385"/>
      <c r="CE212" s="385"/>
      <c r="CF212" s="385"/>
      <c r="CG212" s="377"/>
      <c r="CH212" s="377"/>
      <c r="CI212" s="377"/>
      <c r="CK212">
        <v>0</v>
      </c>
      <c r="CL212">
        <v>165</v>
      </c>
      <c r="DC212" s="58">
        <v>185</v>
      </c>
      <c r="DD212" s="58">
        <v>72.96338604909289</v>
      </c>
      <c r="DE212" s="58">
        <v>73.03661395090711</v>
      </c>
      <c r="DF212" s="58">
        <v>0.26037193956638532</v>
      </c>
      <c r="DH212" s="58">
        <v>66.129032258064512</v>
      </c>
      <c r="DI212" s="58">
        <v>53</v>
      </c>
      <c r="DW212" s="58">
        <v>185</v>
      </c>
      <c r="DX212" s="58">
        <v>72.96338604909289</v>
      </c>
      <c r="DY212" s="58">
        <v>73.03661395090711</v>
      </c>
      <c r="DZ212" s="58">
        <v>0.26037193956638532</v>
      </c>
    </row>
    <row r="213" spans="2:130">
      <c r="B213" s="58">
        <v>29</v>
      </c>
      <c r="C213" s="58">
        <v>364.98025875588053</v>
      </c>
      <c r="D213" s="58">
        <v>-150.98025875588053</v>
      </c>
      <c r="E213" s="58">
        <v>-0.25587041610098116</v>
      </c>
      <c r="X213">
        <v>0.51199216837983352</v>
      </c>
      <c r="AB213">
        <v>0</v>
      </c>
      <c r="AC213">
        <v>7.3421439060205582E-2</v>
      </c>
      <c r="AD213">
        <v>0.29270680372001956</v>
      </c>
      <c r="AE213">
        <v>2.8879099363680862E-2</v>
      </c>
      <c r="AF213">
        <v>9.3000489476260398E-2</v>
      </c>
      <c r="AG213">
        <v>0</v>
      </c>
      <c r="BX213" s="345"/>
      <c r="BY213" s="345"/>
      <c r="BZ213" s="345"/>
      <c r="CA213" s="382"/>
      <c r="CB213" s="382"/>
      <c r="CC213" s="382"/>
      <c r="CD213" s="385"/>
      <c r="CE213" s="385"/>
      <c r="CF213" s="385"/>
      <c r="CG213" s="377"/>
      <c r="CH213" s="377"/>
      <c r="CI213" s="377"/>
      <c r="CK213">
        <v>1046</v>
      </c>
      <c r="CL213">
        <v>202</v>
      </c>
      <c r="DC213" s="58">
        <v>186</v>
      </c>
      <c r="DD213" s="58">
        <v>52.02634155037159</v>
      </c>
      <c r="DE213" s="58">
        <v>-126.37769290172295</v>
      </c>
      <c r="DF213" s="58">
        <v>-0.45053026473632041</v>
      </c>
      <c r="DH213" s="58">
        <v>66.487455197132618</v>
      </c>
      <c r="DI213" s="58">
        <v>53</v>
      </c>
      <c r="DW213" s="58">
        <v>186</v>
      </c>
      <c r="DX213" s="58">
        <v>52.02634155037159</v>
      </c>
      <c r="DY213" s="58">
        <v>-126.37769290172295</v>
      </c>
      <c r="DZ213" s="58">
        <v>-0.45053026473632041</v>
      </c>
    </row>
    <row r="214" spans="2:130">
      <c r="B214" s="58">
        <v>30</v>
      </c>
      <c r="C214" s="58">
        <v>1224.9395203559313</v>
      </c>
      <c r="D214" s="58">
        <v>-703.93952035593134</v>
      </c>
      <c r="E214" s="58">
        <v>-1.1929857550093905</v>
      </c>
      <c r="X214">
        <v>0.64468864468864473</v>
      </c>
      <c r="AB214">
        <v>0</v>
      </c>
      <c r="AC214">
        <v>0</v>
      </c>
      <c r="AD214">
        <v>8.4249084249084255E-2</v>
      </c>
      <c r="AE214">
        <v>0</v>
      </c>
      <c r="AF214">
        <v>0.27106227106227104</v>
      </c>
      <c r="AG214">
        <v>0</v>
      </c>
      <c r="BX214" s="345"/>
      <c r="BY214" s="345"/>
      <c r="BZ214" s="345"/>
      <c r="CA214" s="382"/>
      <c r="CB214" s="382"/>
      <c r="CC214" s="382"/>
      <c r="CD214" s="385"/>
      <c r="CE214" s="385"/>
      <c r="CF214" s="385"/>
      <c r="CG214" s="377"/>
      <c r="CH214" s="377"/>
      <c r="CI214" s="377"/>
      <c r="CK214">
        <v>176</v>
      </c>
      <c r="CL214">
        <v>-76</v>
      </c>
      <c r="DC214" s="58">
        <v>187</v>
      </c>
      <c r="DD214" s="58">
        <v>44.948892751572558</v>
      </c>
      <c r="DE214" s="58">
        <v>-18.948892751572558</v>
      </c>
      <c r="DF214" s="58">
        <v>-6.7551871472008321E-2</v>
      </c>
      <c r="DH214" s="58">
        <v>66.845878136200724</v>
      </c>
      <c r="DI214" s="58">
        <v>54</v>
      </c>
      <c r="DW214" s="58">
        <v>187</v>
      </c>
      <c r="DX214" s="58">
        <v>44.948892751572558</v>
      </c>
      <c r="DY214" s="58">
        <v>-18.948892751572558</v>
      </c>
      <c r="DZ214" s="58">
        <v>-6.7551871472008321E-2</v>
      </c>
    </row>
    <row r="215" spans="2:130">
      <c r="B215" s="58">
        <v>31</v>
      </c>
      <c r="C215" s="58">
        <v>132.42184505444823</v>
      </c>
      <c r="D215" s="58">
        <v>132.24482161221846</v>
      </c>
      <c r="E215" s="58">
        <v>0.22411895311313626</v>
      </c>
      <c r="X215">
        <v>0.27697841726618705</v>
      </c>
      <c r="AB215">
        <v>0</v>
      </c>
      <c r="AC215">
        <v>0.2329136690647482</v>
      </c>
      <c r="AD215">
        <v>0.16636690647482014</v>
      </c>
      <c r="AE215">
        <v>0</v>
      </c>
      <c r="AF215">
        <v>0.16276978417266186</v>
      </c>
      <c r="AG215">
        <v>0.16097122302158273</v>
      </c>
      <c r="BX215" s="345"/>
      <c r="BY215" s="345"/>
      <c r="BZ215" s="345"/>
      <c r="CA215" s="382"/>
      <c r="CB215" s="382"/>
      <c r="CC215" s="382"/>
      <c r="CD215" s="385"/>
      <c r="CE215" s="385"/>
      <c r="CF215" s="385"/>
      <c r="CG215" s="377"/>
      <c r="CH215" s="377"/>
      <c r="CI215" s="377"/>
      <c r="CK215">
        <v>308</v>
      </c>
      <c r="CL215">
        <v>25</v>
      </c>
      <c r="DC215" s="58">
        <v>188</v>
      </c>
      <c r="DD215" s="58">
        <v>70.943856957404734</v>
      </c>
      <c r="DE215" s="58">
        <v>216.05614304259527</v>
      </c>
      <c r="DF215" s="58">
        <v>0.77022953250606208</v>
      </c>
      <c r="DH215" s="58">
        <v>67.204301075268816</v>
      </c>
      <c r="DI215" s="58">
        <v>55</v>
      </c>
      <c r="DW215" s="58">
        <v>188</v>
      </c>
      <c r="DX215" s="58">
        <v>70.943856957404734</v>
      </c>
      <c r="DY215" s="58">
        <v>216.05614304259527</v>
      </c>
      <c r="DZ215" s="58">
        <v>0.77022953250606208</v>
      </c>
    </row>
    <row r="216" spans="2:130">
      <c r="B216" s="58">
        <v>32</v>
      </c>
      <c r="C216" s="58">
        <v>897.62235884782012</v>
      </c>
      <c r="D216" s="58">
        <v>750.04430781884662</v>
      </c>
      <c r="E216" s="58">
        <v>1.2711208121989381</v>
      </c>
      <c r="X216">
        <v>0.15199335548172757</v>
      </c>
      <c r="AB216">
        <v>0</v>
      </c>
      <c r="AC216">
        <v>0</v>
      </c>
      <c r="AD216">
        <v>2.0764119601328904E-2</v>
      </c>
      <c r="AE216">
        <v>0.42026578073089699</v>
      </c>
      <c r="AF216">
        <v>0.39285714285714285</v>
      </c>
      <c r="AG216">
        <v>1.4119601328903775E-2</v>
      </c>
      <c r="BX216" s="345"/>
      <c r="BY216" s="345"/>
      <c r="BZ216" s="345"/>
      <c r="CA216" s="382"/>
      <c r="CB216" s="382"/>
      <c r="CC216" s="382"/>
      <c r="CD216" s="385"/>
      <c r="CE216" s="385"/>
      <c r="CF216" s="385"/>
      <c r="CK216">
        <v>183</v>
      </c>
      <c r="CL216">
        <v>147</v>
      </c>
      <c r="DC216" s="58">
        <v>189</v>
      </c>
      <c r="DD216" s="58">
        <v>80.782588429731646</v>
      </c>
      <c r="DE216" s="58">
        <v>764.21741157026838</v>
      </c>
      <c r="DF216" s="58">
        <v>2.7243975170412731</v>
      </c>
      <c r="DH216" s="58">
        <v>67.562724014336922</v>
      </c>
      <c r="DI216" s="58">
        <v>55</v>
      </c>
      <c r="DW216" s="58">
        <v>189</v>
      </c>
      <c r="DX216" s="58">
        <v>80.782588429731646</v>
      </c>
      <c r="DY216" s="58">
        <v>764.21741157026838</v>
      </c>
      <c r="DZ216" s="58">
        <v>2.7243975170412731</v>
      </c>
    </row>
    <row r="217" spans="2:130">
      <c r="B217" s="58">
        <v>33</v>
      </c>
      <c r="C217" s="58">
        <v>385.77048266269497</v>
      </c>
      <c r="D217" s="58">
        <v>246.89618400397165</v>
      </c>
      <c r="E217" s="58">
        <v>0.41842178477774067</v>
      </c>
      <c r="X217">
        <v>0.65658217497955851</v>
      </c>
      <c r="AB217">
        <v>0</v>
      </c>
      <c r="AC217">
        <v>6.1324611610793132E-2</v>
      </c>
      <c r="AD217">
        <v>0.19623875715453803</v>
      </c>
      <c r="AE217">
        <v>8.1766148814390843E-2</v>
      </c>
      <c r="AF217">
        <v>0</v>
      </c>
      <c r="AG217">
        <v>4.0883074407195297E-3</v>
      </c>
      <c r="BX217" s="345"/>
      <c r="BY217" s="345"/>
      <c r="BZ217" s="345"/>
      <c r="CA217" s="382"/>
      <c r="CB217" s="382"/>
      <c r="CC217" s="382"/>
      <c r="CD217" s="385"/>
      <c r="CE217" s="385"/>
      <c r="CF217" s="385"/>
      <c r="CK217">
        <v>803</v>
      </c>
      <c r="CL217">
        <v>69</v>
      </c>
      <c r="DC217" s="58">
        <v>190</v>
      </c>
      <c r="DD217" s="58">
        <v>206.40765449217955</v>
      </c>
      <c r="DE217" s="58">
        <v>-39.407654492179546</v>
      </c>
      <c r="DF217" s="58">
        <v>-0.14048635169187398</v>
      </c>
      <c r="DH217" s="58">
        <v>67.921146953405014</v>
      </c>
      <c r="DI217" s="58">
        <v>55</v>
      </c>
      <c r="DW217" s="58">
        <v>190</v>
      </c>
      <c r="DX217" s="58">
        <v>206.40765449217955</v>
      </c>
      <c r="DY217" s="58">
        <v>-39.407654492179546</v>
      </c>
      <c r="DZ217" s="58">
        <v>-0.14048635169187398</v>
      </c>
    </row>
    <row r="218" spans="2:130">
      <c r="B218" s="58">
        <v>34</v>
      </c>
      <c r="C218" s="58">
        <v>17.04469337324258</v>
      </c>
      <c r="D218" s="58">
        <v>70.95530662675742</v>
      </c>
      <c r="E218" s="58">
        <v>0.12024991863682308</v>
      </c>
      <c r="X218">
        <v>0.7466666666666667</v>
      </c>
      <c r="AB218">
        <v>0</v>
      </c>
      <c r="AC218">
        <v>5.3333333333333337E-2</v>
      </c>
      <c r="AD218">
        <v>5.8666666666666666E-2</v>
      </c>
      <c r="AE218">
        <v>0</v>
      </c>
      <c r="AF218">
        <v>0.14133333333333334</v>
      </c>
      <c r="AG218">
        <v>0</v>
      </c>
      <c r="BX218" s="345"/>
      <c r="BY218" s="345"/>
      <c r="BZ218" s="345"/>
      <c r="CA218" s="382"/>
      <c r="CB218" s="382"/>
      <c r="CC218" s="382"/>
      <c r="CD218" s="385"/>
      <c r="CE218" s="385"/>
      <c r="CF218" s="385"/>
      <c r="CK218">
        <v>280</v>
      </c>
      <c r="CL218">
        <v>62</v>
      </c>
      <c r="DC218" s="58">
        <v>191</v>
      </c>
      <c r="DD218" s="58">
        <v>145.66643334986651</v>
      </c>
      <c r="DE218" s="58">
        <v>434.33356665013349</v>
      </c>
      <c r="DF218" s="58">
        <v>1.5483778210678756</v>
      </c>
      <c r="DH218" s="58">
        <v>68.27956989247312</v>
      </c>
      <c r="DI218" s="58">
        <v>55</v>
      </c>
      <c r="DW218" s="58">
        <v>191</v>
      </c>
      <c r="DX218" s="58">
        <v>145.66643334986651</v>
      </c>
      <c r="DY218" s="58">
        <v>434.33356665013349</v>
      </c>
      <c r="DZ218" s="58">
        <v>1.5483778210678756</v>
      </c>
    </row>
    <row r="219" spans="2:130">
      <c r="B219" s="58">
        <v>35</v>
      </c>
      <c r="C219" s="58">
        <v>770.90508503562489</v>
      </c>
      <c r="D219" s="58">
        <v>118.09491496437511</v>
      </c>
      <c r="E219" s="58">
        <v>0.20013871535484917</v>
      </c>
      <c r="X219">
        <v>0.4962805526036132</v>
      </c>
      <c r="AB219">
        <v>0</v>
      </c>
      <c r="AC219">
        <v>3.9532412327311368E-2</v>
      </c>
      <c r="AD219">
        <v>6.0148777895855474E-2</v>
      </c>
      <c r="AE219">
        <v>0.20212539851222106</v>
      </c>
      <c r="AF219">
        <v>0</v>
      </c>
      <c r="AG219">
        <v>0.20170031880977679</v>
      </c>
      <c r="BX219" s="345"/>
      <c r="BY219" s="345"/>
      <c r="BZ219" s="345"/>
      <c r="CA219" s="382"/>
      <c r="CB219" s="382"/>
      <c r="CC219" s="382"/>
      <c r="CD219" s="385"/>
      <c r="CE219" s="385"/>
      <c r="CF219" s="385"/>
      <c r="CK219">
        <v>2335</v>
      </c>
      <c r="CL219">
        <v>65</v>
      </c>
      <c r="DC219" s="58">
        <v>192</v>
      </c>
      <c r="DD219" s="58">
        <v>125.10866285242554</v>
      </c>
      <c r="DE219" s="58">
        <v>-111.10866285242554</v>
      </c>
      <c r="DF219" s="58">
        <v>-0.39609692296194299</v>
      </c>
      <c r="DH219" s="58">
        <v>68.637992831541226</v>
      </c>
      <c r="DI219" s="58">
        <v>58</v>
      </c>
      <c r="DW219" s="58">
        <v>192</v>
      </c>
      <c r="DX219" s="58">
        <v>125.10866285242554</v>
      </c>
      <c r="DY219" s="58">
        <v>-111.10866285242554</v>
      </c>
      <c r="DZ219" s="58">
        <v>-0.39609692296194299</v>
      </c>
    </row>
    <row r="220" spans="2:130">
      <c r="B220" s="58">
        <v>36</v>
      </c>
      <c r="C220" s="58">
        <v>430.48664606557475</v>
      </c>
      <c r="D220" s="58">
        <v>-285.48664606557475</v>
      </c>
      <c r="E220" s="58">
        <v>-0.48382210708873236</v>
      </c>
      <c r="X220">
        <v>0.34223859972362969</v>
      </c>
      <c r="AB220">
        <v>0</v>
      </c>
      <c r="AC220">
        <v>4.3758636573007832E-2</v>
      </c>
      <c r="AD220">
        <v>0.22938737908797788</v>
      </c>
      <c r="AE220">
        <v>0.10824504836480885</v>
      </c>
      <c r="AF220">
        <v>0.27637033625057578</v>
      </c>
      <c r="AG220">
        <v>0</v>
      </c>
      <c r="BX220" s="345"/>
      <c r="BY220" s="345"/>
      <c r="BZ220" s="345"/>
      <c r="CA220" s="382"/>
      <c r="CB220" s="382"/>
      <c r="CC220" s="382"/>
      <c r="CD220" s="385"/>
      <c r="CE220" s="385"/>
      <c r="CF220" s="385"/>
      <c r="CK220">
        <v>743</v>
      </c>
      <c r="CL220">
        <v>-31</v>
      </c>
      <c r="DC220" s="58">
        <v>193</v>
      </c>
      <c r="DD220" s="58">
        <v>162.39227685282228</v>
      </c>
      <c r="DE220" s="58">
        <v>-130.39227685282228</v>
      </c>
      <c r="DF220" s="58">
        <v>-0.46484205923712274</v>
      </c>
      <c r="DH220" s="58">
        <v>68.996415770609318</v>
      </c>
      <c r="DI220" s="58">
        <v>59</v>
      </c>
      <c r="DW220" s="58">
        <v>193</v>
      </c>
      <c r="DX220" s="58">
        <v>162.39227685282228</v>
      </c>
      <c r="DY220" s="58">
        <v>-130.39227685282228</v>
      </c>
      <c r="DZ220" s="58">
        <v>-0.46484205923712274</v>
      </c>
    </row>
    <row r="221" spans="2:130">
      <c r="B221" s="58">
        <v>37</v>
      </c>
      <c r="C221" s="58">
        <v>425.11727005658344</v>
      </c>
      <c r="D221" s="58">
        <v>-174.45060338991678</v>
      </c>
      <c r="E221" s="58">
        <v>-0.29564625763834629</v>
      </c>
      <c r="X221">
        <v>0.76129032258064511</v>
      </c>
      <c r="AB221">
        <v>0</v>
      </c>
      <c r="AC221">
        <v>0</v>
      </c>
      <c r="AD221">
        <v>0.18709677419354839</v>
      </c>
      <c r="AE221">
        <v>0</v>
      </c>
      <c r="AF221">
        <v>3.870967741935484E-2</v>
      </c>
      <c r="AG221">
        <v>0.20000000000000007</v>
      </c>
      <c r="BX221" s="345"/>
      <c r="BY221" s="345"/>
      <c r="BZ221" s="345"/>
      <c r="CA221" s="382"/>
      <c r="CB221" s="382"/>
      <c r="CC221" s="382"/>
      <c r="CD221" s="385"/>
      <c r="CE221" s="385"/>
      <c r="CF221" s="385"/>
      <c r="CK221">
        <v>118</v>
      </c>
      <c r="CL221">
        <v>4</v>
      </c>
      <c r="DC221" s="58">
        <v>194</v>
      </c>
      <c r="DD221" s="58">
        <v>36.272685076896899</v>
      </c>
      <c r="DE221" s="58">
        <v>-48.9976850768969</v>
      </c>
      <c r="DF221" s="58">
        <v>-0.17467433945267299</v>
      </c>
      <c r="DH221" s="58">
        <v>69.354838709677423</v>
      </c>
      <c r="DI221" s="58">
        <v>59</v>
      </c>
      <c r="DW221" s="58">
        <v>194</v>
      </c>
      <c r="DX221" s="58">
        <v>36.272685076896899</v>
      </c>
      <c r="DY221" s="58">
        <v>-48.9976850768969</v>
      </c>
      <c r="DZ221" s="58">
        <v>-0.17467433945267299</v>
      </c>
    </row>
    <row r="222" spans="2:130">
      <c r="B222" s="58">
        <v>38</v>
      </c>
      <c r="C222" s="58">
        <v>198.52960247714941</v>
      </c>
      <c r="D222" s="58">
        <v>-95.196269143816082</v>
      </c>
      <c r="E222" s="58">
        <v>-0.16133174759273289</v>
      </c>
      <c r="X222">
        <v>0.34536784741144416</v>
      </c>
      <c r="AB222">
        <v>0</v>
      </c>
      <c r="AC222">
        <v>0.17166212534059946</v>
      </c>
      <c r="AD222">
        <v>5.0408719346049048E-2</v>
      </c>
      <c r="AE222">
        <v>5.7220708446866483E-2</v>
      </c>
      <c r="AF222">
        <v>0.37568119891008173</v>
      </c>
      <c r="AG222">
        <v>0</v>
      </c>
      <c r="BX222" s="345"/>
      <c r="BY222" s="345"/>
      <c r="BZ222" s="345"/>
      <c r="CA222" s="382"/>
      <c r="CB222" s="382"/>
      <c r="CC222" s="382"/>
      <c r="CD222" s="385"/>
      <c r="CE222" s="385"/>
      <c r="CF222" s="385"/>
      <c r="CK222">
        <v>1014</v>
      </c>
      <c r="CL222">
        <v>-195</v>
      </c>
      <c r="DC222" s="58">
        <v>195</v>
      </c>
      <c r="DD222" s="58">
        <v>63.849613737884795</v>
      </c>
      <c r="DE222" s="58">
        <v>-17.849613737884795</v>
      </c>
      <c r="DF222" s="58">
        <v>-6.3632995809030646E-2</v>
      </c>
      <c r="DH222" s="58">
        <v>69.713261648745515</v>
      </c>
      <c r="DI222" s="58">
        <v>59</v>
      </c>
      <c r="DW222" s="58">
        <v>195</v>
      </c>
      <c r="DX222" s="58">
        <v>63.849613737884795</v>
      </c>
      <c r="DY222" s="58">
        <v>-17.849613737884795</v>
      </c>
      <c r="DZ222" s="58">
        <v>-6.3632995809030646E-2</v>
      </c>
    </row>
    <row r="223" spans="2:130">
      <c r="B223" s="58">
        <v>39</v>
      </c>
      <c r="C223" s="58">
        <v>480.95878055009319</v>
      </c>
      <c r="D223" s="58">
        <v>-480.95878055009319</v>
      </c>
      <c r="E223" s="58">
        <v>-0.81509413429839983</v>
      </c>
      <c r="X223">
        <v>0.34113060428849901</v>
      </c>
      <c r="AB223">
        <v>9.7465886939571145E-4</v>
      </c>
      <c r="AC223">
        <v>0.42007797270955166</v>
      </c>
      <c r="AD223">
        <v>4.4834307992202727E-2</v>
      </c>
      <c r="AE223">
        <v>0.19298245614035087</v>
      </c>
      <c r="AF223">
        <v>0</v>
      </c>
      <c r="AG223">
        <v>0</v>
      </c>
      <c r="BX223" s="345"/>
      <c r="BY223" s="345"/>
      <c r="BZ223" s="345"/>
      <c r="CA223" s="382"/>
      <c r="CB223" s="382"/>
      <c r="CC223" s="382"/>
      <c r="CD223" s="385"/>
      <c r="CE223" s="385"/>
      <c r="CF223" s="385"/>
      <c r="CK223">
        <v>350</v>
      </c>
      <c r="CL223">
        <v>204</v>
      </c>
      <c r="DC223" s="58">
        <v>196</v>
      </c>
      <c r="DD223" s="58">
        <v>40.54735498763683</v>
      </c>
      <c r="DE223" s="58">
        <v>-40.54735498763683</v>
      </c>
      <c r="DF223" s="58">
        <v>-0.1445493279509657</v>
      </c>
      <c r="DH223" s="58">
        <v>70.071684587813621</v>
      </c>
      <c r="DI223" s="58">
        <v>60</v>
      </c>
      <c r="DW223" s="58">
        <v>196</v>
      </c>
      <c r="DX223" s="58">
        <v>40.54735498763683</v>
      </c>
      <c r="DY223" s="58">
        <v>-40.54735498763683</v>
      </c>
      <c r="DZ223" s="58">
        <v>-0.1445493279509657</v>
      </c>
    </row>
    <row r="224" spans="2:130">
      <c r="B224" s="58">
        <v>40</v>
      </c>
      <c r="C224" s="58">
        <v>790.23483866799359</v>
      </c>
      <c r="D224" s="58">
        <v>-525.56817200132696</v>
      </c>
      <c r="E224" s="58">
        <v>-0.89069490254913097</v>
      </c>
      <c r="X224">
        <v>0.145748987854251</v>
      </c>
      <c r="AB224">
        <v>0</v>
      </c>
      <c r="AC224">
        <v>5.2631578947368418E-2</v>
      </c>
      <c r="AD224">
        <v>3.8866396761133605E-2</v>
      </c>
      <c r="AE224">
        <v>6.6396761133603238E-2</v>
      </c>
      <c r="AF224">
        <v>0.69554655870445348</v>
      </c>
      <c r="AG224">
        <v>8.0971659919026884E-4</v>
      </c>
      <c r="BX224" s="345"/>
      <c r="BY224" s="345"/>
      <c r="BZ224" s="345"/>
      <c r="CA224" s="382"/>
      <c r="CB224" s="382"/>
      <c r="CC224" s="382"/>
      <c r="CD224" s="385"/>
      <c r="CE224" s="385"/>
      <c r="CF224" s="385"/>
      <c r="CK224">
        <v>180</v>
      </c>
      <c r="CL224">
        <v>55</v>
      </c>
      <c r="DC224" s="58">
        <v>197</v>
      </c>
      <c r="DD224" s="58">
        <v>116.46093571622241</v>
      </c>
      <c r="DE224" s="58">
        <v>1569.5390642837776</v>
      </c>
      <c r="DF224" s="58">
        <v>5.5953296338117156</v>
      </c>
      <c r="DH224" s="58">
        <v>70.430107526881727</v>
      </c>
      <c r="DI224" s="58">
        <v>62</v>
      </c>
      <c r="DW224" s="58">
        <v>197</v>
      </c>
      <c r="DX224" s="58">
        <v>116.46093571622241</v>
      </c>
      <c r="DY224" s="58">
        <v>1569.5390642837776</v>
      </c>
      <c r="DZ224" s="58">
        <v>5.5953296338117156</v>
      </c>
    </row>
    <row r="225" spans="2:130">
      <c r="B225" s="58">
        <v>41</v>
      </c>
      <c r="C225" s="58">
        <v>849.51274980725793</v>
      </c>
      <c r="D225" s="58">
        <v>443.50058352607539</v>
      </c>
      <c r="E225" s="58">
        <v>0.75161269283110821</v>
      </c>
      <c r="X225">
        <v>0.46082949308755761</v>
      </c>
      <c r="AB225">
        <v>0</v>
      </c>
      <c r="AC225">
        <v>0.22119815668202766</v>
      </c>
      <c r="AD225">
        <v>0.10599078341013825</v>
      </c>
      <c r="AE225">
        <v>8.294930875576037E-2</v>
      </c>
      <c r="AF225">
        <v>0.12903225806451613</v>
      </c>
      <c r="AG225">
        <v>0</v>
      </c>
      <c r="BX225" s="345"/>
      <c r="BY225" s="345"/>
      <c r="BZ225" s="345"/>
      <c r="CA225" s="382"/>
      <c r="CB225" s="382"/>
      <c r="CC225" s="382"/>
      <c r="CD225" s="385"/>
      <c r="CE225" s="385"/>
      <c r="CF225" s="385"/>
      <c r="CK225">
        <v>100</v>
      </c>
      <c r="CL225">
        <v>4</v>
      </c>
      <c r="DC225" s="58">
        <v>198</v>
      </c>
      <c r="DD225" s="58">
        <v>40.614437247675419</v>
      </c>
      <c r="DE225" s="58">
        <v>-0.45534633858450491</v>
      </c>
      <c r="DF225" s="58">
        <v>-1.6232873204033173E-3</v>
      </c>
      <c r="DH225" s="58">
        <v>70.788530465949819</v>
      </c>
      <c r="DI225" s="58">
        <v>62</v>
      </c>
      <c r="DW225" s="58">
        <v>198</v>
      </c>
      <c r="DX225" s="58">
        <v>40.614437247675419</v>
      </c>
      <c r="DY225" s="58">
        <v>-0.45534633858450491</v>
      </c>
      <c r="DZ225" s="58">
        <v>-1.6232873204033173E-3</v>
      </c>
    </row>
    <row r="226" spans="2:130">
      <c r="B226" s="58">
        <v>42</v>
      </c>
      <c r="C226" s="58">
        <v>102.95470951710381</v>
      </c>
      <c r="D226" s="58">
        <v>-82.954709517103808</v>
      </c>
      <c r="E226" s="58">
        <v>-0.14058563825882076</v>
      </c>
      <c r="X226">
        <v>0</v>
      </c>
      <c r="AB226">
        <v>0.14035087719298245</v>
      </c>
      <c r="AC226">
        <v>0.33714721586575136</v>
      </c>
      <c r="AD226">
        <v>8.771929824561403E-2</v>
      </c>
      <c r="AE226">
        <v>0.16094584286803967</v>
      </c>
      <c r="AF226">
        <v>0.27383676582761252</v>
      </c>
      <c r="AG226">
        <v>0</v>
      </c>
      <c r="BX226" s="345"/>
      <c r="BY226" s="345"/>
      <c r="BZ226" s="345"/>
      <c r="CA226" s="382"/>
      <c r="CB226" s="382"/>
      <c r="CC226" s="382"/>
      <c r="CD226" s="385"/>
      <c r="CE226" s="385"/>
      <c r="CF226" s="385"/>
      <c r="CK226">
        <v>0</v>
      </c>
      <c r="CL226">
        <v>22</v>
      </c>
      <c r="DC226" s="58">
        <v>199</v>
      </c>
      <c r="DD226" s="58">
        <v>116.46093571622241</v>
      </c>
      <c r="DE226" s="58">
        <v>1569.5390642837776</v>
      </c>
      <c r="DF226" s="58">
        <v>5.5953296338117156</v>
      </c>
      <c r="DH226" s="58">
        <v>71.146953405017925</v>
      </c>
      <c r="DI226" s="58">
        <v>64</v>
      </c>
      <c r="DW226" s="58">
        <v>199</v>
      </c>
      <c r="DX226" s="58">
        <v>116.46093571622241</v>
      </c>
      <c r="DY226" s="58">
        <v>1569.5390642837776</v>
      </c>
      <c r="DZ226" s="58">
        <v>5.5953296338117156</v>
      </c>
    </row>
    <row r="227" spans="2:130">
      <c r="B227" s="58">
        <v>43</v>
      </c>
      <c r="C227" s="58">
        <v>364.98025875588053</v>
      </c>
      <c r="D227" s="58">
        <v>371.35307457745284</v>
      </c>
      <c r="E227" s="58">
        <v>0.62934231597884771</v>
      </c>
      <c r="X227">
        <v>0.51038575667655783</v>
      </c>
      <c r="AB227">
        <v>0</v>
      </c>
      <c r="AC227">
        <v>0</v>
      </c>
      <c r="AD227">
        <v>0.37685459940652821</v>
      </c>
      <c r="AE227">
        <v>9.050445103857567E-2</v>
      </c>
      <c r="AF227">
        <v>2.2255192878338281E-2</v>
      </c>
      <c r="AG227">
        <v>0</v>
      </c>
      <c r="BX227" s="345"/>
      <c r="BY227" s="345"/>
      <c r="BZ227" s="345"/>
      <c r="CA227" s="382"/>
      <c r="CB227" s="382"/>
      <c r="CC227" s="382"/>
      <c r="CD227" s="385"/>
      <c r="CE227" s="385"/>
      <c r="CF227" s="385"/>
      <c r="CK227">
        <v>344</v>
      </c>
      <c r="CL227">
        <v>-36</v>
      </c>
      <c r="DC227" s="58">
        <v>200</v>
      </c>
      <c r="DD227" s="58">
        <v>36.663645195928837</v>
      </c>
      <c r="DE227" s="58">
        <v>-34.663645195928837</v>
      </c>
      <c r="DF227" s="58">
        <v>-0.12357419168106042</v>
      </c>
      <c r="DH227" s="58">
        <v>71.505376344086017</v>
      </c>
      <c r="DI227" s="58">
        <v>65</v>
      </c>
      <c r="DW227" s="58">
        <v>200</v>
      </c>
      <c r="DX227" s="58">
        <v>36.663645195928837</v>
      </c>
      <c r="DY227" s="58">
        <v>-34.663645195928837</v>
      </c>
      <c r="DZ227" s="58">
        <v>-0.12357419168106042</v>
      </c>
    </row>
    <row r="228" spans="2:130">
      <c r="B228" s="58">
        <v>44</v>
      </c>
      <c r="C228" s="58">
        <v>171.6827224321928</v>
      </c>
      <c r="D228" s="58">
        <v>-50.349389098859476</v>
      </c>
      <c r="E228" s="58">
        <v>-8.5328500860405387E-2</v>
      </c>
      <c r="X228">
        <v>0.57429184231935515</v>
      </c>
      <c r="AB228">
        <v>3.4243029361733603E-2</v>
      </c>
      <c r="AC228">
        <v>5.7909917905480369E-2</v>
      </c>
      <c r="AD228">
        <v>0.14769617631831963</v>
      </c>
      <c r="AE228">
        <v>0.12780119813623253</v>
      </c>
      <c r="AF228">
        <v>5.9906811626359004E-2</v>
      </c>
      <c r="AG228">
        <v>-1.8489756674804347E-3</v>
      </c>
      <c r="BX228" s="345"/>
      <c r="BY228" s="345"/>
      <c r="BZ228" s="345"/>
      <c r="CA228" s="382"/>
      <c r="CB228" s="382"/>
      <c r="CC228" s="382"/>
      <c r="CD228" s="385"/>
      <c r="CE228" s="385"/>
      <c r="CF228" s="385"/>
      <c r="CK228">
        <v>1475.3500000000001</v>
      </c>
      <c r="CL228">
        <v>-66.88</v>
      </c>
      <c r="DC228" s="58">
        <v>201</v>
      </c>
      <c r="DD228" s="58">
        <v>92.071238224296209</v>
      </c>
      <c r="DE228" s="58">
        <v>-273.07123822429622</v>
      </c>
      <c r="DF228" s="58">
        <v>-0.97348554499043027</v>
      </c>
      <c r="DH228" s="58">
        <v>71.863799283154123</v>
      </c>
      <c r="DI228" s="58">
        <v>66</v>
      </c>
      <c r="DW228" s="58">
        <v>201</v>
      </c>
      <c r="DX228" s="58">
        <v>92.071238224296209</v>
      </c>
      <c r="DY228" s="58">
        <v>-273.07123822429622</v>
      </c>
      <c r="DZ228" s="58">
        <v>-0.97348554499043027</v>
      </c>
    </row>
    <row r="229" spans="2:130">
      <c r="B229" s="58">
        <v>45</v>
      </c>
      <c r="C229" s="58">
        <v>188.86472566096504</v>
      </c>
      <c r="D229" s="58">
        <v>30.135274339034964</v>
      </c>
      <c r="E229" s="58">
        <v>5.1071082060559603E-2</v>
      </c>
      <c r="X229">
        <v>0</v>
      </c>
      <c r="AB229">
        <v>0</v>
      </c>
      <c r="AC229">
        <v>0.58552631578947367</v>
      </c>
      <c r="AD229">
        <v>6.5789473684210523E-2</v>
      </c>
      <c r="AE229">
        <v>7.2368421052631582E-2</v>
      </c>
      <c r="AF229">
        <v>0.27631578947368424</v>
      </c>
      <c r="AG229">
        <v>0</v>
      </c>
      <c r="BX229" s="345"/>
      <c r="BY229" s="345"/>
      <c r="BZ229" s="345"/>
      <c r="CA229" s="382"/>
      <c r="CB229" s="382"/>
      <c r="CC229" s="382"/>
      <c r="CD229" s="385"/>
      <c r="CE229" s="385"/>
      <c r="CF229" s="385"/>
      <c r="CK229">
        <v>0</v>
      </c>
      <c r="CL229">
        <v>-8</v>
      </c>
      <c r="DC229" s="58">
        <v>202</v>
      </c>
      <c r="DD229" s="58">
        <v>36.145817223701101</v>
      </c>
      <c r="DE229" s="58">
        <v>16.854182776298899</v>
      </c>
      <c r="DF229" s="58">
        <v>6.0084333348490428E-2</v>
      </c>
      <c r="DH229" s="58">
        <v>72.222222222222229</v>
      </c>
      <c r="DI229" s="58">
        <v>68</v>
      </c>
      <c r="DW229" s="58">
        <v>202</v>
      </c>
      <c r="DX229" s="58">
        <v>36.145817223701101</v>
      </c>
      <c r="DY229" s="58">
        <v>16.854182776298899</v>
      </c>
      <c r="DZ229" s="58">
        <v>6.0084333348490428E-2</v>
      </c>
    </row>
    <row r="230" spans="2:130">
      <c r="B230" s="58">
        <v>46</v>
      </c>
      <c r="C230" s="58">
        <v>70.738453463155849</v>
      </c>
      <c r="D230" s="58">
        <v>10.928213203510822</v>
      </c>
      <c r="E230" s="58">
        <v>1.8520344862726242E-2</v>
      </c>
      <c r="X230">
        <v>0.57216940363007773</v>
      </c>
      <c r="AB230">
        <v>0</v>
      </c>
      <c r="AC230">
        <v>0</v>
      </c>
      <c r="AD230">
        <v>0.10371650821089023</v>
      </c>
      <c r="AE230">
        <v>0</v>
      </c>
      <c r="AF230">
        <v>0.32411408815903198</v>
      </c>
      <c r="AG230">
        <v>0</v>
      </c>
      <c r="BX230" s="345"/>
      <c r="BY230" s="345"/>
      <c r="BZ230" s="345"/>
      <c r="CA230" s="382"/>
      <c r="CB230" s="382"/>
      <c r="CC230" s="382"/>
      <c r="CD230" s="385"/>
      <c r="CE230" s="385"/>
      <c r="CF230" s="385"/>
      <c r="CK230">
        <v>662</v>
      </c>
      <c r="CL230">
        <v>-62</v>
      </c>
      <c r="DC230" s="58">
        <v>203</v>
      </c>
      <c r="DD230" s="58">
        <v>74.516869965776081</v>
      </c>
      <c r="DE230" s="58">
        <v>-422.5168699657761</v>
      </c>
      <c r="DF230" s="58">
        <v>-1.5062518780847864</v>
      </c>
      <c r="DH230" s="58">
        <v>72.58064516129032</v>
      </c>
      <c r="DI230" s="58">
        <v>69</v>
      </c>
      <c r="DW230" s="58">
        <v>203</v>
      </c>
      <c r="DX230" s="58">
        <v>74.516869965776081</v>
      </c>
      <c r="DY230" s="58">
        <v>-422.5168699657761</v>
      </c>
      <c r="DZ230" s="58">
        <v>-1.5062518780847864</v>
      </c>
    </row>
    <row r="231" spans="2:130">
      <c r="B231" s="58">
        <v>47</v>
      </c>
      <c r="C231" s="58">
        <v>92.21595749912116</v>
      </c>
      <c r="D231" s="58">
        <v>47.117375834212183</v>
      </c>
      <c r="E231" s="58">
        <v>7.9851118680220309E-2</v>
      </c>
      <c r="X231">
        <v>0.1815068493150685</v>
      </c>
      <c r="AB231">
        <v>0</v>
      </c>
      <c r="AC231">
        <v>0.13013698630136986</v>
      </c>
      <c r="AD231">
        <v>0</v>
      </c>
      <c r="AE231">
        <v>0.60787671232876717</v>
      </c>
      <c r="AF231">
        <v>8.0479452054794523E-2</v>
      </c>
      <c r="AG231">
        <v>0</v>
      </c>
      <c r="BX231" s="345"/>
      <c r="BY231" s="345"/>
      <c r="BZ231" s="345"/>
      <c r="CA231" s="382"/>
      <c r="CB231" s="382"/>
      <c r="CC231" s="382"/>
      <c r="CD231" s="385"/>
      <c r="CE231" s="385"/>
      <c r="CF231" s="385"/>
      <c r="CK231">
        <v>106</v>
      </c>
      <c r="CL231">
        <v>59</v>
      </c>
      <c r="DC231" s="58">
        <v>204</v>
      </c>
      <c r="DD231" s="58">
        <v>51.709693473087903</v>
      </c>
      <c r="DE231" s="58">
        <v>-33.167637398321546</v>
      </c>
      <c r="DF231" s="58">
        <v>-0.11824099739947352</v>
      </c>
      <c r="DH231" s="58">
        <v>72.939068100358426</v>
      </c>
      <c r="DI231" s="58">
        <v>73</v>
      </c>
      <c r="DW231" s="58">
        <v>204</v>
      </c>
      <c r="DX231" s="58">
        <v>51.709693473087903</v>
      </c>
      <c r="DY231" s="58">
        <v>-33.167637398321546</v>
      </c>
      <c r="DZ231" s="58">
        <v>-0.11824099739947352</v>
      </c>
    </row>
    <row r="232" spans="2:130">
      <c r="B232" s="58">
        <v>48</v>
      </c>
      <c r="C232" s="58">
        <v>674.25631687378097</v>
      </c>
      <c r="D232" s="58">
        <v>-62.256316873780975</v>
      </c>
      <c r="E232" s="58">
        <v>-0.10550750034920334</v>
      </c>
      <c r="X232">
        <v>0.54814814814814816</v>
      </c>
      <c r="AB232">
        <v>0</v>
      </c>
      <c r="AC232">
        <v>0.1962962962962963</v>
      </c>
      <c r="AD232">
        <v>4.6296296296296294E-2</v>
      </c>
      <c r="AE232">
        <v>0.2</v>
      </c>
      <c r="AF232">
        <v>0</v>
      </c>
      <c r="AG232">
        <v>9.2592592592593004E-3</v>
      </c>
      <c r="BX232" s="345"/>
      <c r="BY232" s="345"/>
      <c r="BZ232" s="345"/>
      <c r="CA232" s="382"/>
      <c r="CB232" s="382"/>
      <c r="CC232" s="382"/>
      <c r="CD232" s="385"/>
      <c r="CE232" s="385"/>
      <c r="CF232" s="385"/>
      <c r="CK232">
        <v>296</v>
      </c>
      <c r="CL232">
        <v>-17</v>
      </c>
      <c r="DC232" s="58">
        <v>205</v>
      </c>
      <c r="DD232" s="58">
        <v>68.406499893488842</v>
      </c>
      <c r="DE232" s="58">
        <v>191.59350010651116</v>
      </c>
      <c r="DF232" s="58">
        <v>0.68302141258323201</v>
      </c>
      <c r="DH232" s="58">
        <v>73.297491039426532</v>
      </c>
      <c r="DI232" s="58">
        <v>76</v>
      </c>
      <c r="DW232" s="58">
        <v>205</v>
      </c>
      <c r="DX232" s="58">
        <v>68.406499893488842</v>
      </c>
      <c r="DY232" s="58">
        <v>191.59350010651116</v>
      </c>
      <c r="DZ232" s="58">
        <v>0.68302141258323201</v>
      </c>
    </row>
    <row r="233" spans="2:130">
      <c r="B233" s="58">
        <v>49</v>
      </c>
      <c r="C233" s="58">
        <v>511.02728620044462</v>
      </c>
      <c r="D233" s="58">
        <v>-279.69395286711131</v>
      </c>
      <c r="E233" s="58">
        <v>-0.47400506987307434</v>
      </c>
      <c r="X233">
        <v>0.35842293906810035</v>
      </c>
      <c r="AB233">
        <v>0</v>
      </c>
      <c r="AC233">
        <v>9.6774193548387094E-2</v>
      </c>
      <c r="AD233">
        <v>1.0752688172043012E-2</v>
      </c>
      <c r="AE233">
        <v>4.6594982078853049E-2</v>
      </c>
      <c r="AF233">
        <v>0.45519713261648748</v>
      </c>
      <c r="AG233">
        <v>3.2258064516129004E-2</v>
      </c>
      <c r="BX233" s="345"/>
      <c r="BY233" s="345"/>
      <c r="BZ233" s="345"/>
      <c r="CA233" s="382"/>
      <c r="CB233" s="382"/>
      <c r="CC233" s="382"/>
      <c r="CD233" s="385"/>
      <c r="CE233" s="385"/>
      <c r="CF233" s="385"/>
      <c r="CK233">
        <v>100</v>
      </c>
      <c r="CL233">
        <v>-62</v>
      </c>
      <c r="DC233" s="58">
        <v>206</v>
      </c>
      <c r="DD233" s="58">
        <v>66.801233179582866</v>
      </c>
      <c r="DE233" s="58">
        <v>23.198766820417134</v>
      </c>
      <c r="DF233" s="58">
        <v>8.2702463679934807E-2</v>
      </c>
      <c r="DH233" s="58">
        <v>73.655913978494624</v>
      </c>
      <c r="DI233" s="58">
        <v>77</v>
      </c>
      <c r="DW233" s="58">
        <v>206</v>
      </c>
      <c r="DX233" s="58">
        <v>66.801233179582866</v>
      </c>
      <c r="DY233" s="58">
        <v>23.198766820417134</v>
      </c>
      <c r="DZ233" s="58">
        <v>8.2702463679934807E-2</v>
      </c>
    </row>
    <row r="234" spans="2:130">
      <c r="B234" s="58">
        <v>50</v>
      </c>
      <c r="C234" s="58">
        <v>648.48331203062264</v>
      </c>
      <c r="D234" s="58">
        <v>-629.81664536395601</v>
      </c>
      <c r="E234" s="58">
        <v>-1.0673676707440591</v>
      </c>
      <c r="X234">
        <v>0.33021077283372363</v>
      </c>
      <c r="AB234">
        <v>0</v>
      </c>
      <c r="AC234">
        <v>7.7283372365339581E-2</v>
      </c>
      <c r="AD234">
        <v>2.3419203747072601E-2</v>
      </c>
      <c r="AE234">
        <v>0</v>
      </c>
      <c r="AF234">
        <v>0</v>
      </c>
      <c r="AG234">
        <v>0.56908665105386413</v>
      </c>
      <c r="BX234" s="345"/>
      <c r="BY234" s="345"/>
      <c r="BZ234" s="345"/>
      <c r="CA234" s="382"/>
      <c r="CB234" s="382"/>
      <c r="CC234" s="382"/>
      <c r="CD234" s="385"/>
      <c r="CE234" s="385"/>
      <c r="CF234" s="385"/>
      <c r="CK234">
        <v>141</v>
      </c>
      <c r="CL234">
        <v>216</v>
      </c>
      <c r="DC234" s="58">
        <v>207</v>
      </c>
      <c r="DD234" s="58">
        <v>43.602540023780449</v>
      </c>
      <c r="DE234" s="58">
        <v>46.397459976219551</v>
      </c>
      <c r="DF234" s="58">
        <v>0.16540466474913817</v>
      </c>
      <c r="DH234" s="58">
        <v>74.01433691756273</v>
      </c>
      <c r="DI234" s="58">
        <v>78</v>
      </c>
      <c r="DW234" s="58">
        <v>207</v>
      </c>
      <c r="DX234" s="58">
        <v>43.602540023780449</v>
      </c>
      <c r="DY234" s="58">
        <v>46.397459976219551</v>
      </c>
      <c r="DZ234" s="58">
        <v>0.16540466474913817</v>
      </c>
    </row>
    <row r="235" spans="2:130">
      <c r="B235" s="58">
        <v>51</v>
      </c>
      <c r="C235" s="58">
        <v>178.12597364298239</v>
      </c>
      <c r="D235" s="58">
        <v>-70.977825494834249</v>
      </c>
      <c r="E235" s="58">
        <v>-0.12028808198474963</v>
      </c>
      <c r="X235">
        <v>0.18849522292993631</v>
      </c>
      <c r="AB235">
        <v>8.5191082802547766E-2</v>
      </c>
      <c r="AC235">
        <v>1.5326433121019108E-2</v>
      </c>
      <c r="AD235">
        <v>0.20242834394904458</v>
      </c>
      <c r="AE235">
        <v>3.3837579617834396E-3</v>
      </c>
      <c r="AF235">
        <v>0.40684713375796178</v>
      </c>
      <c r="AG235">
        <v>9.8328025477707026E-2</v>
      </c>
      <c r="BX235" s="345"/>
      <c r="BY235" s="345"/>
      <c r="BZ235" s="345"/>
      <c r="CA235" s="382"/>
      <c r="CB235" s="382"/>
      <c r="CC235" s="382"/>
      <c r="CD235" s="385"/>
      <c r="CE235" s="385"/>
      <c r="CF235" s="385"/>
      <c r="CK235">
        <v>947</v>
      </c>
      <c r="CL235">
        <v>287</v>
      </c>
      <c r="DC235" s="58">
        <v>208</v>
      </c>
      <c r="DD235" s="58">
        <v>37.368113618269319</v>
      </c>
      <c r="DE235" s="58">
        <v>-42.730076808453369</v>
      </c>
      <c r="DF235" s="58">
        <v>-0.15233062397876185</v>
      </c>
      <c r="DH235" s="58">
        <v>74.372759856630822</v>
      </c>
      <c r="DI235" s="58">
        <v>78</v>
      </c>
      <c r="DW235" s="58">
        <v>208</v>
      </c>
      <c r="DX235" s="58">
        <v>37.368113618269319</v>
      </c>
      <c r="DY235" s="58">
        <v>-42.730076808453369</v>
      </c>
      <c r="DZ235" s="58">
        <v>-0.15233062397876185</v>
      </c>
    </row>
    <row r="236" spans="2:130">
      <c r="B236" s="58">
        <v>52</v>
      </c>
      <c r="C236" s="58">
        <v>218.93323131131646</v>
      </c>
      <c r="D236" s="58">
        <v>-136.93323131131646</v>
      </c>
      <c r="E236" s="58">
        <v>-0.23206453057104584</v>
      </c>
      <c r="X236">
        <v>0.43790849673202614</v>
      </c>
      <c r="AB236">
        <v>0</v>
      </c>
      <c r="AC236">
        <v>6.2745098039215685E-2</v>
      </c>
      <c r="AD236">
        <v>5.8823529411764705E-2</v>
      </c>
      <c r="AE236">
        <v>0.38300653594771245</v>
      </c>
      <c r="AF236">
        <v>0</v>
      </c>
      <c r="AG236">
        <v>5.7516339869281063E-2</v>
      </c>
      <c r="BX236" s="345"/>
      <c r="BY236" s="345"/>
      <c r="BZ236" s="345"/>
      <c r="CA236" s="382"/>
      <c r="CB236" s="382"/>
      <c r="CC236" s="382"/>
      <c r="CD236" s="385"/>
      <c r="CE236" s="385"/>
      <c r="CF236" s="385"/>
      <c r="CK236">
        <v>335</v>
      </c>
      <c r="CL236">
        <v>-253</v>
      </c>
      <c r="DC236" s="58">
        <v>209</v>
      </c>
      <c r="DD236" s="58">
        <v>42.566884079324986</v>
      </c>
      <c r="DE236" s="58">
        <v>47.433115920675014</v>
      </c>
      <c r="DF236" s="58">
        <v>0.16909672729687047</v>
      </c>
      <c r="DH236" s="58">
        <v>74.731182795698928</v>
      </c>
      <c r="DI236" s="58">
        <v>80</v>
      </c>
      <c r="DW236" s="58">
        <v>209</v>
      </c>
      <c r="DX236" s="58">
        <v>42.566884079324986</v>
      </c>
      <c r="DY236" s="58">
        <v>47.433115920675014</v>
      </c>
      <c r="DZ236" s="58">
        <v>0.16909672729687047</v>
      </c>
    </row>
    <row r="237" spans="2:130">
      <c r="B237" s="58">
        <v>53</v>
      </c>
      <c r="C237" s="58">
        <v>243.20281087195727</v>
      </c>
      <c r="D237" s="58">
        <v>-88.536144205290611</v>
      </c>
      <c r="E237" s="58">
        <v>-0.1500446498400364</v>
      </c>
      <c r="X237">
        <v>0.38620689655172413</v>
      </c>
      <c r="AB237">
        <v>0</v>
      </c>
      <c r="AC237">
        <v>8.9655172413793102E-2</v>
      </c>
      <c r="AD237">
        <v>0.15862068965517243</v>
      </c>
      <c r="AE237">
        <v>9.6551724137931033E-2</v>
      </c>
      <c r="AF237">
        <v>0.26896551724137929</v>
      </c>
      <c r="AG237">
        <v>0</v>
      </c>
      <c r="BX237" s="345"/>
      <c r="BY237" s="345"/>
      <c r="BZ237" s="345"/>
      <c r="CA237" s="382"/>
      <c r="CB237" s="382"/>
      <c r="CC237" s="382"/>
      <c r="CD237" s="385"/>
      <c r="CE237" s="385"/>
      <c r="CF237" s="385"/>
      <c r="CK237">
        <v>56</v>
      </c>
      <c r="CL237">
        <v>48</v>
      </c>
      <c r="DC237" s="58">
        <v>210</v>
      </c>
      <c r="DD237" s="58">
        <v>49.453996109953827</v>
      </c>
      <c r="DE237" s="58">
        <v>-49.453996109953827</v>
      </c>
      <c r="DF237" s="58">
        <v>-0.17630106586146344</v>
      </c>
      <c r="DH237" s="58">
        <v>75.089605734767034</v>
      </c>
      <c r="DI237" s="58">
        <v>83</v>
      </c>
      <c r="DW237" s="58">
        <v>210</v>
      </c>
      <c r="DX237" s="58">
        <v>49.453996109953827</v>
      </c>
      <c r="DY237" s="58">
        <v>-49.453996109953827</v>
      </c>
      <c r="DZ237" s="58">
        <v>-0.17630106586146344</v>
      </c>
    </row>
    <row r="238" spans="2:130">
      <c r="B238" s="58">
        <v>54</v>
      </c>
      <c r="C238" s="58">
        <v>45.910458797579956</v>
      </c>
      <c r="D238" s="58">
        <v>-45.910458797579956</v>
      </c>
      <c r="E238" s="58">
        <v>-7.7805723031099241E-2</v>
      </c>
      <c r="X238">
        <v>0.13070325900514579</v>
      </c>
      <c r="AB238">
        <v>0</v>
      </c>
      <c r="AC238">
        <v>0.27307032590051461</v>
      </c>
      <c r="AD238">
        <v>0.4171526586620925</v>
      </c>
      <c r="AE238">
        <v>1.5780445969125215E-2</v>
      </c>
      <c r="AF238">
        <v>0.14716981132075471</v>
      </c>
      <c r="AG238">
        <v>1.6123499142367104E-2</v>
      </c>
      <c r="BX238" s="345"/>
      <c r="BY238" s="345"/>
      <c r="BZ238" s="345"/>
      <c r="CA238" s="382"/>
      <c r="CB238" s="382"/>
      <c r="CC238" s="382"/>
      <c r="CD238" s="385"/>
      <c r="CE238" s="385"/>
      <c r="CF238" s="385"/>
      <c r="CK238">
        <v>42.333333333333336</v>
      </c>
      <c r="CL238">
        <v>-23.555555555555554</v>
      </c>
      <c r="DC238" s="58">
        <v>211</v>
      </c>
      <c r="DD238" s="58">
        <v>36.145817223701101</v>
      </c>
      <c r="DE238" s="58">
        <v>128.8541827762989</v>
      </c>
      <c r="DF238" s="58">
        <v>0.45935882943940581</v>
      </c>
      <c r="DH238" s="58">
        <v>75.448028673835125</v>
      </c>
      <c r="DI238" s="58">
        <v>85</v>
      </c>
      <c r="DW238" s="58">
        <v>211</v>
      </c>
      <c r="DX238" s="58">
        <v>36.145817223701101</v>
      </c>
      <c r="DY238" s="58">
        <v>128.8541827762989</v>
      </c>
      <c r="DZ238" s="58">
        <v>0.45935882943940581</v>
      </c>
    </row>
    <row r="239" spans="2:130">
      <c r="B239" s="58">
        <v>55</v>
      </c>
      <c r="C239" s="58">
        <v>324.17300108754648</v>
      </c>
      <c r="D239" s="58">
        <v>-140.17300108754648</v>
      </c>
      <c r="E239" s="58">
        <v>-0.23755505792572273</v>
      </c>
      <c r="X239">
        <v>0.33243967828418231</v>
      </c>
      <c r="AB239">
        <v>0</v>
      </c>
      <c r="AC239">
        <v>1.6085790884718499E-2</v>
      </c>
      <c r="AD239">
        <v>0.14209115281501342</v>
      </c>
      <c r="AE239">
        <v>0.24396782841823056</v>
      </c>
      <c r="AF239">
        <v>0.24128686327077747</v>
      </c>
      <c r="AG239">
        <v>2.4128686327077764E-2</v>
      </c>
      <c r="BX239" s="345"/>
      <c r="BY239" s="345"/>
      <c r="BZ239" s="345"/>
      <c r="CA239" s="382"/>
      <c r="CB239" s="382"/>
      <c r="CC239" s="382"/>
      <c r="CD239" s="385"/>
      <c r="CE239" s="385"/>
      <c r="CF239" s="385"/>
      <c r="CK239">
        <v>124</v>
      </c>
      <c r="CL239">
        <v>76</v>
      </c>
      <c r="DC239" s="58">
        <v>212</v>
      </c>
      <c r="DD239" s="58">
        <v>90.310623118721921</v>
      </c>
      <c r="DE239" s="58">
        <v>111.68937688127808</v>
      </c>
      <c r="DF239" s="58">
        <v>0.39816713993732711</v>
      </c>
      <c r="DH239" s="58">
        <v>75.806451612903231</v>
      </c>
      <c r="DI239" s="58">
        <v>87</v>
      </c>
      <c r="DW239" s="58">
        <v>212</v>
      </c>
      <c r="DX239" s="58">
        <v>90.310623118721921</v>
      </c>
      <c r="DY239" s="58">
        <v>111.68937688127808</v>
      </c>
      <c r="DZ239" s="58">
        <v>0.39816713993732711</v>
      </c>
    </row>
    <row r="240" spans="2:130">
      <c r="B240" s="58">
        <v>56</v>
      </c>
      <c r="C240" s="58">
        <v>394.57625931744076</v>
      </c>
      <c r="D240" s="58">
        <v>-85.909592650774073</v>
      </c>
      <c r="E240" s="58">
        <v>-0.14559336034892834</v>
      </c>
      <c r="X240">
        <v>0.37329042638777155</v>
      </c>
      <c r="AB240">
        <v>0</v>
      </c>
      <c r="AC240">
        <v>0.3161705551086082</v>
      </c>
      <c r="AD240">
        <v>0</v>
      </c>
      <c r="AE240">
        <v>0.14722445695897024</v>
      </c>
      <c r="AF240">
        <v>0.16331456154465004</v>
      </c>
      <c r="AG240">
        <v>0</v>
      </c>
      <c r="BX240" s="345"/>
      <c r="BY240" s="345"/>
      <c r="BZ240" s="345"/>
      <c r="CA240" s="382"/>
      <c r="CB240" s="382"/>
      <c r="CC240" s="382"/>
      <c r="CD240" s="385"/>
      <c r="CE240" s="385"/>
      <c r="CF240" s="385"/>
      <c r="CK240">
        <v>464</v>
      </c>
      <c r="CL240">
        <v>-5</v>
      </c>
      <c r="DC240" s="58">
        <v>213</v>
      </c>
      <c r="DD240" s="58">
        <v>45.259589534909196</v>
      </c>
      <c r="DE240" s="58">
        <v>-121.2595895349092</v>
      </c>
      <c r="DF240" s="58">
        <v>-0.43228447774769735</v>
      </c>
      <c r="DH240" s="58">
        <v>76.164874551971323</v>
      </c>
      <c r="DI240" s="58">
        <v>88</v>
      </c>
      <c r="DW240" s="58">
        <v>213</v>
      </c>
      <c r="DX240" s="58">
        <v>45.259589534909196</v>
      </c>
      <c r="DY240" s="58">
        <v>-121.2595895349092</v>
      </c>
      <c r="DZ240" s="58">
        <v>-0.43228447774769735</v>
      </c>
    </row>
    <row r="241" spans="2:130">
      <c r="B241" s="58">
        <v>57</v>
      </c>
      <c r="C241" s="58">
        <v>123.35833835127085</v>
      </c>
      <c r="D241" s="58">
        <v>16.641661648729155</v>
      </c>
      <c r="E241" s="58">
        <v>2.8203083805525803E-2</v>
      </c>
      <c r="X241">
        <v>0</v>
      </c>
      <c r="AB241">
        <v>0</v>
      </c>
      <c r="AC241">
        <v>0.72463768115942029</v>
      </c>
      <c r="AD241">
        <v>0.24637681159420291</v>
      </c>
      <c r="AE241">
        <v>0</v>
      </c>
      <c r="AF241">
        <v>0</v>
      </c>
      <c r="AG241">
        <v>2.8985507246376829E-2</v>
      </c>
      <c r="BX241" s="345"/>
      <c r="BY241" s="345"/>
      <c r="BZ241" s="345"/>
      <c r="CA241" s="382"/>
      <c r="CB241" s="382"/>
      <c r="CC241" s="382"/>
      <c r="CD241" s="385"/>
      <c r="CE241" s="385"/>
      <c r="CF241" s="385"/>
      <c r="CK241">
        <v>0</v>
      </c>
      <c r="CL241">
        <v>0</v>
      </c>
      <c r="DC241" s="58">
        <v>214</v>
      </c>
      <c r="DD241" s="58">
        <v>52.09491876831526</v>
      </c>
      <c r="DE241" s="58">
        <v>-27.09491876831526</v>
      </c>
      <c r="DF241" s="58">
        <v>-9.6592053909315731E-2</v>
      </c>
      <c r="DH241" s="58">
        <v>76.523297491039429</v>
      </c>
      <c r="DI241" s="58">
        <v>90</v>
      </c>
      <c r="DW241" s="58">
        <v>214</v>
      </c>
      <c r="DX241" s="58">
        <v>52.09491876831526</v>
      </c>
      <c r="DY241" s="58">
        <v>-27.09491876831526</v>
      </c>
      <c r="DZ241" s="58">
        <v>-9.6592053909315731E-2</v>
      </c>
    </row>
    <row r="242" spans="2:130">
      <c r="B242" s="58">
        <v>58</v>
      </c>
      <c r="C242" s="58">
        <v>702.60662220125516</v>
      </c>
      <c r="D242" s="58">
        <v>1472.7267111320784</v>
      </c>
      <c r="E242" s="58">
        <v>2.4958706488222746</v>
      </c>
      <c r="X242">
        <v>0.30674846625766872</v>
      </c>
      <c r="AB242">
        <v>0</v>
      </c>
      <c r="AC242">
        <v>0.42331288343558282</v>
      </c>
      <c r="AD242">
        <v>8.5889570552147243E-2</v>
      </c>
      <c r="AE242">
        <v>8.7934560327198361E-2</v>
      </c>
      <c r="AF242">
        <v>9.6114519427402859E-2</v>
      </c>
      <c r="AG242">
        <v>0</v>
      </c>
      <c r="BX242" s="345"/>
      <c r="BY242" s="345"/>
      <c r="BZ242" s="345"/>
      <c r="CA242" s="382"/>
      <c r="CB242" s="382"/>
      <c r="CC242" s="382"/>
      <c r="CD242" s="385"/>
      <c r="CE242" s="385"/>
      <c r="CF242" s="385"/>
      <c r="CK242">
        <v>150</v>
      </c>
      <c r="CL242">
        <v>85</v>
      </c>
      <c r="DC242" s="58">
        <v>215</v>
      </c>
      <c r="DD242" s="58">
        <v>45.622069115468605</v>
      </c>
      <c r="DE242" s="58">
        <v>101.37793088453139</v>
      </c>
      <c r="DF242" s="58">
        <v>0.36140734168447253</v>
      </c>
      <c r="DH242" s="58">
        <v>76.881720430107535</v>
      </c>
      <c r="DI242" s="58">
        <v>90</v>
      </c>
      <c r="DW242" s="58">
        <v>215</v>
      </c>
      <c r="DX242" s="58">
        <v>45.622069115468605</v>
      </c>
      <c r="DY242" s="58">
        <v>101.37793088453139</v>
      </c>
      <c r="DZ242" s="58">
        <v>0.36140734168447253</v>
      </c>
    </row>
    <row r="243" spans="2:130">
      <c r="B243" s="58">
        <v>59</v>
      </c>
      <c r="C243" s="58">
        <v>262.7473395446857</v>
      </c>
      <c r="D243" s="58">
        <v>-76.080672878019044</v>
      </c>
      <c r="E243" s="58">
        <v>-0.12893601843680211</v>
      </c>
      <c r="X243">
        <v>0.60369318181818177</v>
      </c>
      <c r="AB243">
        <v>0</v>
      </c>
      <c r="AC243">
        <v>5.823863636363636E-2</v>
      </c>
      <c r="AD243">
        <v>5.9659090909090912E-2</v>
      </c>
      <c r="AE243">
        <v>8.3806818181818177E-2</v>
      </c>
      <c r="AF243">
        <v>0.19318181818181818</v>
      </c>
      <c r="AG243">
        <v>1.4204545454545858E-3</v>
      </c>
      <c r="BX243" s="345"/>
      <c r="BY243" s="345"/>
      <c r="BZ243" s="345"/>
      <c r="CA243" s="382"/>
      <c r="CB243" s="382"/>
      <c r="CC243" s="382"/>
      <c r="CD243" s="385"/>
      <c r="CE243" s="385"/>
      <c r="CF243" s="385"/>
      <c r="CK243">
        <v>425</v>
      </c>
      <c r="CL243">
        <v>60</v>
      </c>
      <c r="DC243" s="58">
        <v>216</v>
      </c>
      <c r="DD243" s="58">
        <v>77.72740339358802</v>
      </c>
      <c r="DE243" s="58">
        <v>-8.7274033935880198</v>
      </c>
      <c r="DF243" s="58">
        <v>-3.1112764215687514E-2</v>
      </c>
      <c r="DH243" s="58">
        <v>77.240143369175627</v>
      </c>
      <c r="DI243" s="58">
        <v>90</v>
      </c>
      <c r="DW243" s="58">
        <v>216</v>
      </c>
      <c r="DX243" s="58">
        <v>77.72740339358802</v>
      </c>
      <c r="DY243" s="58">
        <v>-8.7274033935880198</v>
      </c>
      <c r="DZ243" s="58">
        <v>-3.1112764215687514E-2</v>
      </c>
    </row>
    <row r="244" spans="2:130">
      <c r="B244" s="58">
        <v>60</v>
      </c>
      <c r="C244" s="58">
        <v>153.42684400162227</v>
      </c>
      <c r="D244" s="58">
        <v>-61.7601773349556</v>
      </c>
      <c r="E244" s="58">
        <v>-0.10466667896441118</v>
      </c>
      <c r="X244">
        <v>0.65625</v>
      </c>
      <c r="AB244">
        <v>0</v>
      </c>
      <c r="AC244">
        <v>0</v>
      </c>
      <c r="AD244">
        <v>0</v>
      </c>
      <c r="AE244">
        <v>0.34375</v>
      </c>
      <c r="AF244">
        <v>0</v>
      </c>
      <c r="AG244">
        <v>0</v>
      </c>
      <c r="BX244" s="345"/>
      <c r="BY244" s="345"/>
      <c r="BZ244" s="345"/>
      <c r="CA244" s="382"/>
      <c r="CB244" s="382"/>
      <c r="CC244" s="382"/>
      <c r="CD244" s="385"/>
      <c r="CE244" s="385"/>
      <c r="CF244" s="385"/>
      <c r="CK244">
        <v>231</v>
      </c>
      <c r="CL244">
        <v>18</v>
      </c>
      <c r="DC244" s="58">
        <v>217</v>
      </c>
      <c r="DD244" s="58">
        <v>50.64500044607761</v>
      </c>
      <c r="DE244" s="58">
        <v>11.35499955392239</v>
      </c>
      <c r="DF244" s="58">
        <v>4.0480015401829744E-2</v>
      </c>
      <c r="DH244" s="58">
        <v>77.598566308243733</v>
      </c>
      <c r="DI244" s="58">
        <v>91</v>
      </c>
      <c r="DW244" s="58">
        <v>217</v>
      </c>
      <c r="DX244" s="58">
        <v>50.64500044607761</v>
      </c>
      <c r="DY244" s="58">
        <v>11.35499955392239</v>
      </c>
      <c r="DZ244" s="58">
        <v>4.0480015401829744E-2</v>
      </c>
    </row>
    <row r="245" spans="2:130">
      <c r="B245" s="58">
        <v>61</v>
      </c>
      <c r="C245" s="58">
        <v>307.50645795563736</v>
      </c>
      <c r="D245" s="58">
        <v>-151.17312462230402</v>
      </c>
      <c r="E245" s="58">
        <v>-0.25619727121369656</v>
      </c>
      <c r="X245">
        <v>0.76664552948636655</v>
      </c>
      <c r="AB245">
        <v>0</v>
      </c>
      <c r="AC245">
        <v>7.9264426125554843E-3</v>
      </c>
      <c r="AD245">
        <v>0.10304375396322131</v>
      </c>
      <c r="AE245">
        <v>7.7679137603043749E-2</v>
      </c>
      <c r="AF245">
        <v>2.2511097019657578E-2</v>
      </c>
      <c r="AG245">
        <v>2.2194039315155289E-2</v>
      </c>
      <c r="BX245" s="345"/>
      <c r="BY245" s="345"/>
      <c r="BZ245" s="345"/>
      <c r="CA245" s="382"/>
      <c r="CB245" s="382"/>
      <c r="CC245" s="382"/>
      <c r="CD245" s="385"/>
      <c r="CE245" s="385"/>
      <c r="CF245" s="385"/>
      <c r="CK245">
        <v>2418</v>
      </c>
      <c r="CL245">
        <v>4</v>
      </c>
      <c r="DC245" s="58">
        <v>218</v>
      </c>
      <c r="DD245" s="58">
        <v>157.05864873887663</v>
      </c>
      <c r="DE245" s="58">
        <v>-92.058648738876627</v>
      </c>
      <c r="DF245" s="58">
        <v>-0.32818455880379954</v>
      </c>
      <c r="DH245" s="58">
        <v>77.956989247311824</v>
      </c>
      <c r="DI245" s="58">
        <v>92</v>
      </c>
      <c r="DW245" s="58">
        <v>218</v>
      </c>
      <c r="DX245" s="58">
        <v>157.05864873887663</v>
      </c>
      <c r="DY245" s="58">
        <v>-92.058648738876627</v>
      </c>
      <c r="DZ245" s="58">
        <v>-0.32818455880379954</v>
      </c>
    </row>
    <row r="246" spans="2:130">
      <c r="B246" s="58">
        <v>62</v>
      </c>
      <c r="C246" s="58">
        <v>90.072502596331816</v>
      </c>
      <c r="D246" s="58">
        <v>13.927497403668184</v>
      </c>
      <c r="E246" s="58">
        <v>2.3603314667011811E-2</v>
      </c>
      <c r="X246">
        <v>0.45396145610278371</v>
      </c>
      <c r="AB246">
        <v>0</v>
      </c>
      <c r="AC246">
        <v>0.11991434689507495</v>
      </c>
      <c r="AD246">
        <v>0.10599571734475374</v>
      </c>
      <c r="AE246">
        <v>1.4989293361884369E-2</v>
      </c>
      <c r="AF246">
        <v>0.30406852248394006</v>
      </c>
      <c r="AG246">
        <v>1.0706638115631772E-3</v>
      </c>
      <c r="BX246" s="345"/>
      <c r="BY246" s="345"/>
      <c r="BZ246" s="345"/>
      <c r="CA246" s="382"/>
      <c r="CB246" s="382"/>
      <c r="CC246" s="382"/>
      <c r="CD246" s="385"/>
      <c r="CE246" s="385"/>
      <c r="CF246" s="385"/>
      <c r="CK246">
        <v>424</v>
      </c>
      <c r="CL246">
        <v>177</v>
      </c>
      <c r="DC246" s="58">
        <v>219</v>
      </c>
      <c r="DD246" s="58">
        <v>74.620435560221622</v>
      </c>
      <c r="DE246" s="58">
        <v>-105.62043556022162</v>
      </c>
      <c r="DF246" s="58">
        <v>-0.37653166236795077</v>
      </c>
      <c r="DH246" s="58">
        <v>78.31541218637993</v>
      </c>
      <c r="DI246" s="58">
        <v>92</v>
      </c>
      <c r="DW246" s="58">
        <v>219</v>
      </c>
      <c r="DX246" s="58">
        <v>74.620435560221622</v>
      </c>
      <c r="DY246" s="58">
        <v>-105.62043556022162</v>
      </c>
      <c r="DZ246" s="58">
        <v>-0.37653166236795077</v>
      </c>
    </row>
    <row r="247" spans="2:130">
      <c r="B247" s="58">
        <v>63</v>
      </c>
      <c r="C247" s="58">
        <v>274.77474180482625</v>
      </c>
      <c r="D247" s="58">
        <v>-38.108075138159592</v>
      </c>
      <c r="E247" s="58">
        <v>-6.4582807863472216E-2</v>
      </c>
      <c r="X247">
        <v>0.11826544021024968</v>
      </c>
      <c r="AB247">
        <v>0</v>
      </c>
      <c r="AC247">
        <v>8.2785808147174775E-2</v>
      </c>
      <c r="AD247">
        <v>0</v>
      </c>
      <c r="AE247">
        <v>5.9132720105124839E-2</v>
      </c>
      <c r="AF247">
        <v>0.66622864651773983</v>
      </c>
      <c r="AG247">
        <v>7.3587385019710849E-2</v>
      </c>
      <c r="BX247" s="345"/>
      <c r="BY247" s="345"/>
      <c r="BZ247" s="345"/>
      <c r="CA247" s="382"/>
      <c r="CB247" s="382"/>
      <c r="CC247" s="382"/>
      <c r="CD247" s="385"/>
      <c r="CE247" s="385"/>
      <c r="CF247" s="385"/>
      <c r="CK247">
        <v>90</v>
      </c>
      <c r="CL247">
        <v>163</v>
      </c>
      <c r="DC247" s="58">
        <v>220</v>
      </c>
      <c r="DD247" s="58">
        <v>42.256187295988347</v>
      </c>
      <c r="DE247" s="58">
        <v>-38.256187295988347</v>
      </c>
      <c r="DF247" s="58">
        <v>-0.1363814277229056</v>
      </c>
      <c r="DH247" s="58">
        <v>78.673835125448036</v>
      </c>
      <c r="DI247" s="58">
        <v>94</v>
      </c>
      <c r="DW247" s="58">
        <v>220</v>
      </c>
      <c r="DX247" s="58">
        <v>42.256187295988347</v>
      </c>
      <c r="DY247" s="58">
        <v>-38.256187295988347</v>
      </c>
      <c r="DZ247" s="58">
        <v>-0.1363814277229056</v>
      </c>
    </row>
    <row r="248" spans="2:130">
      <c r="B248" s="58">
        <v>64</v>
      </c>
      <c r="C248" s="58">
        <v>125.72086379522703</v>
      </c>
      <c r="D248" s="58">
        <v>-32.720863795227032</v>
      </c>
      <c r="E248" s="58">
        <v>-5.5452951951853631E-2</v>
      </c>
      <c r="X248">
        <v>0.36783439490445857</v>
      </c>
      <c r="AB248">
        <v>0</v>
      </c>
      <c r="AC248">
        <v>6.6878980891719744E-2</v>
      </c>
      <c r="AD248">
        <v>8.598726114649681E-2</v>
      </c>
      <c r="AE248">
        <v>3.0254777070063694E-2</v>
      </c>
      <c r="AF248">
        <v>0.44904458598726116</v>
      </c>
      <c r="AG248">
        <v>0</v>
      </c>
      <c r="BX248" s="345"/>
      <c r="BY248" s="345"/>
      <c r="BZ248" s="345"/>
      <c r="CA248" s="382"/>
      <c r="CB248" s="382"/>
      <c r="CC248" s="382"/>
      <c r="CD248" s="385"/>
      <c r="CE248" s="385"/>
      <c r="CF248" s="385"/>
      <c r="CK248">
        <v>231</v>
      </c>
      <c r="CL248">
        <v>87</v>
      </c>
      <c r="DC248" s="58">
        <v>221</v>
      </c>
      <c r="DD248" s="58">
        <v>88.653573607593174</v>
      </c>
      <c r="DE248" s="58">
        <v>-283.65357360759316</v>
      </c>
      <c r="DF248" s="58">
        <v>-1.011211050594278</v>
      </c>
      <c r="DH248" s="58">
        <v>79.032258064516128</v>
      </c>
      <c r="DI248" s="58">
        <v>94</v>
      </c>
      <c r="DW248" s="58">
        <v>221</v>
      </c>
      <c r="DX248" s="58">
        <v>88.653573607593174</v>
      </c>
      <c r="DY248" s="58">
        <v>-283.65357360759316</v>
      </c>
      <c r="DZ248" s="58">
        <v>-1.011211050594278</v>
      </c>
    </row>
    <row r="249" spans="2:130">
      <c r="B249" s="58">
        <v>65</v>
      </c>
      <c r="C249" s="58">
        <v>114.98211177724438</v>
      </c>
      <c r="D249" s="58">
        <v>-55.648778443911048</v>
      </c>
      <c r="E249" s="58">
        <v>-9.4309522405691612E-2</v>
      </c>
      <c r="X249">
        <v>0.54826254826254828</v>
      </c>
      <c r="AB249">
        <v>6.1776061776061778E-2</v>
      </c>
      <c r="AC249">
        <v>8.8803088803088806E-2</v>
      </c>
      <c r="AD249">
        <v>0.19305019305019305</v>
      </c>
      <c r="AE249">
        <v>0</v>
      </c>
      <c r="AF249">
        <v>3.8610038610038609E-2</v>
      </c>
      <c r="AG249">
        <v>6.949806949806947E-2</v>
      </c>
      <c r="BX249" s="345"/>
      <c r="BY249" s="345"/>
      <c r="BZ249" s="345"/>
      <c r="CA249" s="382"/>
      <c r="CB249" s="382"/>
      <c r="CC249" s="382"/>
      <c r="CD249" s="385"/>
      <c r="CE249" s="385"/>
      <c r="CF249" s="385"/>
      <c r="CK249">
        <v>142</v>
      </c>
      <c r="CL249">
        <v>-15</v>
      </c>
      <c r="DC249" s="58">
        <v>222</v>
      </c>
      <c r="DD249" s="58">
        <v>54.269796251671735</v>
      </c>
      <c r="DE249" s="58">
        <v>149.73020374832828</v>
      </c>
      <c r="DF249" s="58">
        <v>0.53378081831432023</v>
      </c>
      <c r="DH249" s="58">
        <v>79.390681003584234</v>
      </c>
      <c r="DI249" s="58">
        <v>95</v>
      </c>
      <c r="DW249" s="58">
        <v>222</v>
      </c>
      <c r="DX249" s="58">
        <v>54.269796251671735</v>
      </c>
      <c r="DY249" s="58">
        <v>149.73020374832828</v>
      </c>
      <c r="DZ249" s="58">
        <v>0.53378081831432023</v>
      </c>
    </row>
    <row r="250" spans="2:130">
      <c r="B250" s="58">
        <v>66</v>
      </c>
      <c r="C250" s="58">
        <v>188.69290562867735</v>
      </c>
      <c r="D250" s="58">
        <v>-84.359572295344023</v>
      </c>
      <c r="E250" s="58">
        <v>-0.14296649802548944</v>
      </c>
      <c r="X250">
        <v>0.82191780821917804</v>
      </c>
      <c r="AB250">
        <v>0</v>
      </c>
      <c r="AC250">
        <v>3.0136986301369864E-2</v>
      </c>
      <c r="AD250">
        <v>9.8630136986301367E-2</v>
      </c>
      <c r="AE250">
        <v>4.9315068493150684E-2</v>
      </c>
      <c r="AF250">
        <v>0</v>
      </c>
      <c r="AG250">
        <v>0</v>
      </c>
      <c r="BX250" s="345"/>
      <c r="BY250" s="345"/>
      <c r="BZ250" s="345"/>
      <c r="CA250" s="382"/>
      <c r="CB250" s="382"/>
      <c r="CC250" s="382"/>
      <c r="CD250" s="385"/>
      <c r="CE250" s="385"/>
      <c r="CF250" s="385"/>
      <c r="CK250">
        <v>300</v>
      </c>
      <c r="CL250">
        <v>3</v>
      </c>
      <c r="DC250" s="58">
        <v>223</v>
      </c>
      <c r="DD250" s="58">
        <v>45.466720723800286</v>
      </c>
      <c r="DE250" s="58">
        <v>9.533279276199714</v>
      </c>
      <c r="DF250" s="58">
        <v>3.3985672134808992E-2</v>
      </c>
      <c r="DH250" s="58">
        <v>79.749103942652326</v>
      </c>
      <c r="DI250" s="58">
        <v>95</v>
      </c>
      <c r="DW250" s="58">
        <v>223</v>
      </c>
      <c r="DX250" s="58">
        <v>45.466720723800286</v>
      </c>
      <c r="DY250" s="58">
        <v>9.533279276199714</v>
      </c>
      <c r="DZ250" s="58">
        <v>3.3985672134808992E-2</v>
      </c>
    </row>
    <row r="251" spans="2:130">
      <c r="B251" s="58">
        <v>67</v>
      </c>
      <c r="C251" s="58">
        <v>265.1098649886419</v>
      </c>
      <c r="D251" s="58">
        <v>-66.109864988641903</v>
      </c>
      <c r="E251" s="58">
        <v>-0.11203821481306507</v>
      </c>
      <c r="X251">
        <v>0.34803921568627449</v>
      </c>
      <c r="AB251">
        <v>0</v>
      </c>
      <c r="AC251">
        <v>1.7156862745098041E-2</v>
      </c>
      <c r="AD251">
        <v>6.1274509803921566E-2</v>
      </c>
      <c r="AE251">
        <v>0</v>
      </c>
      <c r="AF251">
        <v>0.45833333333333331</v>
      </c>
      <c r="AG251">
        <v>0.13235294117647056</v>
      </c>
      <c r="BX251" s="345"/>
      <c r="BY251" s="345"/>
      <c r="BZ251" s="345"/>
      <c r="CA251" s="382"/>
      <c r="CB251" s="382"/>
      <c r="CC251" s="382"/>
      <c r="CD251" s="385"/>
      <c r="CE251" s="385"/>
      <c r="CF251" s="385"/>
      <c r="CK251">
        <v>142</v>
      </c>
      <c r="CL251">
        <v>83</v>
      </c>
      <c r="DC251" s="58">
        <v>224</v>
      </c>
      <c r="DD251" s="58">
        <v>41.324096945978425</v>
      </c>
      <c r="DE251" s="58">
        <v>-37.324096945978425</v>
      </c>
      <c r="DF251" s="58">
        <v>-0.13305857142994651</v>
      </c>
      <c r="DH251" s="58">
        <v>80.107526881720432</v>
      </c>
      <c r="DI251" s="58">
        <v>100</v>
      </c>
      <c r="DW251" s="58">
        <v>224</v>
      </c>
      <c r="DX251" s="58">
        <v>41.324096945978425</v>
      </c>
      <c r="DY251" s="58">
        <v>-37.324096945978425</v>
      </c>
      <c r="DZ251" s="58">
        <v>-0.13305857142994651</v>
      </c>
    </row>
    <row r="252" spans="2:130">
      <c r="B252" s="58">
        <v>68</v>
      </c>
      <c r="C252" s="58">
        <v>580.68312728988724</v>
      </c>
      <c r="D252" s="58">
        <v>-409.01646062322061</v>
      </c>
      <c r="E252" s="58">
        <v>-0.69317149695067559</v>
      </c>
      <c r="X252">
        <v>0.56934306569343063</v>
      </c>
      <c r="AB252">
        <v>0</v>
      </c>
      <c r="AC252">
        <v>0</v>
      </c>
      <c r="AD252">
        <v>0.22627737226277372</v>
      </c>
      <c r="AE252">
        <v>0</v>
      </c>
      <c r="AF252">
        <v>0</v>
      </c>
      <c r="AG252">
        <v>0.20437956204379559</v>
      </c>
      <c r="BX252" s="345"/>
      <c r="BY252" s="345"/>
      <c r="BZ252" s="345"/>
      <c r="CA252" s="382"/>
      <c r="CB252" s="382"/>
      <c r="CC252" s="382"/>
      <c r="CD252" s="385"/>
      <c r="CE252" s="385"/>
      <c r="CF252" s="385"/>
      <c r="CK252">
        <v>78</v>
      </c>
      <c r="CL252">
        <v>9</v>
      </c>
      <c r="DC252" s="58">
        <v>225</v>
      </c>
      <c r="DD252" s="58">
        <v>36.145817223701101</v>
      </c>
      <c r="DE252" s="58">
        <v>-14.145817223701101</v>
      </c>
      <c r="DF252" s="58">
        <v>-5.0429143248102222E-2</v>
      </c>
      <c r="DH252" s="58">
        <v>80.465949820788538</v>
      </c>
      <c r="DI252" s="58">
        <v>100</v>
      </c>
      <c r="DW252" s="58">
        <v>225</v>
      </c>
      <c r="DX252" s="58">
        <v>36.145817223701101</v>
      </c>
      <c r="DY252" s="58">
        <v>-14.145817223701101</v>
      </c>
      <c r="DZ252" s="58">
        <v>-5.0429143248102222E-2</v>
      </c>
    </row>
    <row r="253" spans="2:130">
      <c r="B253" s="58">
        <v>69</v>
      </c>
      <c r="C253" s="58">
        <v>372.71216020882798</v>
      </c>
      <c r="D253" s="58">
        <v>367.62117312450539</v>
      </c>
      <c r="E253" s="58">
        <v>0.62301775947403037</v>
      </c>
      <c r="X253">
        <v>0.48417721518987344</v>
      </c>
      <c r="AB253">
        <v>0</v>
      </c>
      <c r="AC253">
        <v>3.1645569620253167E-2</v>
      </c>
      <c r="AD253">
        <v>0.13924050632911392</v>
      </c>
      <c r="AE253">
        <v>0.16772151898734178</v>
      </c>
      <c r="AF253">
        <v>0</v>
      </c>
      <c r="AG253">
        <v>0.17721518987341767</v>
      </c>
      <c r="BX253" s="345"/>
      <c r="BY253" s="345"/>
      <c r="BZ253" s="345"/>
      <c r="CA253" s="382"/>
      <c r="CB253" s="382"/>
      <c r="CC253" s="382"/>
      <c r="CD253" s="385"/>
      <c r="CE253" s="385"/>
      <c r="CF253" s="385"/>
      <c r="CK253">
        <v>153</v>
      </c>
      <c r="CL253">
        <v>11</v>
      </c>
      <c r="DC253" s="58">
        <v>226</v>
      </c>
      <c r="DD253" s="58">
        <v>53.959099468335097</v>
      </c>
      <c r="DE253" s="58">
        <v>-89.959099468335097</v>
      </c>
      <c r="DF253" s="58">
        <v>-0.32069976883046453</v>
      </c>
      <c r="DH253" s="58">
        <v>80.82437275985663</v>
      </c>
      <c r="DI253" s="58">
        <v>102</v>
      </c>
      <c r="DW253" s="58">
        <v>226</v>
      </c>
      <c r="DX253" s="58">
        <v>53.959099468335097</v>
      </c>
      <c r="DY253" s="58">
        <v>-89.959099468335097</v>
      </c>
      <c r="DZ253" s="58">
        <v>-0.32069976883046453</v>
      </c>
    </row>
    <row r="254" spans="2:130">
      <c r="B254" s="58">
        <v>70</v>
      </c>
      <c r="C254" s="58">
        <v>220.00710651311473</v>
      </c>
      <c r="D254" s="58">
        <v>-70.007106513114735</v>
      </c>
      <c r="E254" s="58">
        <v>-0.11864297770544584</v>
      </c>
      <c r="X254">
        <v>0.64096385542168677</v>
      </c>
      <c r="AB254">
        <v>0</v>
      </c>
      <c r="AC254">
        <v>4.8192771084337352E-2</v>
      </c>
      <c r="AD254">
        <v>5.5421686746987948E-2</v>
      </c>
      <c r="AE254">
        <v>0</v>
      </c>
      <c r="AF254">
        <v>0</v>
      </c>
      <c r="AG254">
        <v>0.25542168674698795</v>
      </c>
      <c r="BX254" s="345"/>
      <c r="BY254" s="345"/>
      <c r="BZ254" s="345"/>
      <c r="CA254" s="382"/>
      <c r="CB254" s="382"/>
      <c r="CC254" s="382"/>
      <c r="CD254" s="385"/>
      <c r="CE254" s="385"/>
      <c r="CF254" s="385"/>
      <c r="CK254">
        <v>266</v>
      </c>
      <c r="CL254">
        <v>6</v>
      </c>
      <c r="DC254" s="58">
        <v>227</v>
      </c>
      <c r="DD254" s="58">
        <v>112.54356710631963</v>
      </c>
      <c r="DE254" s="58">
        <v>-179.42356710631964</v>
      </c>
      <c r="DF254" s="58">
        <v>-0.63963619949294925</v>
      </c>
      <c r="DH254" s="58">
        <v>81.182795698924735</v>
      </c>
      <c r="DI254" s="58">
        <v>105</v>
      </c>
      <c r="DW254" s="58">
        <v>227</v>
      </c>
      <c r="DX254" s="58">
        <v>112.54356710631963</v>
      </c>
      <c r="DY254" s="58">
        <v>-179.42356710631964</v>
      </c>
      <c r="DZ254" s="58">
        <v>-0.63963619949294925</v>
      </c>
    </row>
    <row r="255" spans="2:130">
      <c r="B255" s="58">
        <v>71</v>
      </c>
      <c r="C255" s="58">
        <v>203.46942840542147</v>
      </c>
      <c r="D255" s="58">
        <v>-151.80276173875481</v>
      </c>
      <c r="E255" s="58">
        <v>-0.25726433463183113</v>
      </c>
      <c r="X255">
        <v>0</v>
      </c>
      <c r="AB255">
        <v>0</v>
      </c>
      <c r="AC255">
        <v>0.57879234167893967</v>
      </c>
      <c r="AD255">
        <v>0.13254786450662739</v>
      </c>
      <c r="AE255">
        <v>1.4727540500736377E-2</v>
      </c>
      <c r="AF255">
        <v>0.24153166421207659</v>
      </c>
      <c r="AG255">
        <v>3.2400589101620025E-2</v>
      </c>
      <c r="BX255" s="345"/>
      <c r="BY255" s="345"/>
      <c r="BZ255" s="345"/>
      <c r="CA255" s="382"/>
      <c r="CB255" s="382"/>
      <c r="CC255" s="382"/>
      <c r="CD255" s="385"/>
      <c r="CE255" s="385"/>
      <c r="CF255" s="385"/>
      <c r="CK255">
        <v>0</v>
      </c>
      <c r="CL255">
        <v>-91</v>
      </c>
      <c r="DC255" s="58">
        <v>228</v>
      </c>
      <c r="DD255" s="58">
        <v>36.145817223701101</v>
      </c>
      <c r="DE255" s="58">
        <v>-44.145817223701101</v>
      </c>
      <c r="DF255" s="58">
        <v>-0.15737766898674027</v>
      </c>
      <c r="DH255" s="58">
        <v>81.541218637992827</v>
      </c>
      <c r="DI255" s="58">
        <v>109</v>
      </c>
      <c r="DW255" s="58">
        <v>228</v>
      </c>
      <c r="DX255" s="58">
        <v>36.145817223701101</v>
      </c>
      <c r="DY255" s="58">
        <v>-44.145817223701101</v>
      </c>
      <c r="DZ255" s="58">
        <v>-0.15737766898674027</v>
      </c>
    </row>
    <row r="256" spans="2:130">
      <c r="B256" s="58">
        <v>72</v>
      </c>
      <c r="C256" s="58">
        <v>194.87842679103531</v>
      </c>
      <c r="D256" s="58">
        <v>289.78823987563135</v>
      </c>
      <c r="E256" s="58">
        <v>0.49111213697175321</v>
      </c>
      <c r="X256">
        <v>0.76242424242424245</v>
      </c>
      <c r="AB256">
        <v>0</v>
      </c>
      <c r="AC256">
        <v>1.3333333333333334E-2</v>
      </c>
      <c r="AD256">
        <v>7.2727272727272724E-2</v>
      </c>
      <c r="AE256">
        <v>5.6363636363636366E-2</v>
      </c>
      <c r="AF256">
        <v>9.5151515151515154E-2</v>
      </c>
      <c r="AG256">
        <v>0</v>
      </c>
      <c r="BX256" s="345"/>
      <c r="BY256" s="345"/>
      <c r="BZ256" s="345"/>
      <c r="CA256" s="382"/>
      <c r="CB256" s="382"/>
      <c r="CC256" s="382"/>
      <c r="CD256" s="385"/>
      <c r="CE256" s="385"/>
      <c r="CF256" s="385"/>
      <c r="CK256">
        <v>1258</v>
      </c>
      <c r="CL256">
        <v>629</v>
      </c>
      <c r="DC256" s="58">
        <v>229</v>
      </c>
      <c r="DD256" s="58">
        <v>70.426028985176998</v>
      </c>
      <c r="DE256" s="58">
        <v>-132.426028985177</v>
      </c>
      <c r="DF256" s="58">
        <v>-0.47209228564622768</v>
      </c>
      <c r="DH256" s="58">
        <v>81.899641577060933</v>
      </c>
      <c r="DI256" s="58">
        <v>117</v>
      </c>
      <c r="DW256" s="58">
        <v>229</v>
      </c>
      <c r="DX256" s="58">
        <v>70.426028985176998</v>
      </c>
      <c r="DY256" s="58">
        <v>-132.426028985177</v>
      </c>
      <c r="DZ256" s="58">
        <v>-0.47209228564622768</v>
      </c>
    </row>
    <row r="257" spans="2:130">
      <c r="B257" s="58">
        <v>73</v>
      </c>
      <c r="C257" s="58">
        <v>236.11523454008872</v>
      </c>
      <c r="D257" s="58">
        <v>-32.115234540088721</v>
      </c>
      <c r="E257" s="58">
        <v>-5.442657531962302E-2</v>
      </c>
      <c r="X257">
        <v>8.0203691915977079E-2</v>
      </c>
      <c r="AB257">
        <v>1.6549968173138127E-2</v>
      </c>
      <c r="AC257">
        <v>0.16868236791852323</v>
      </c>
      <c r="AD257">
        <v>5.6651814131126674E-2</v>
      </c>
      <c r="AE257">
        <v>6.6199872692552508E-2</v>
      </c>
      <c r="AF257">
        <v>0.59770846594525784</v>
      </c>
      <c r="AG257">
        <v>1.400381922342453E-2</v>
      </c>
      <c r="BX257" s="345"/>
      <c r="BY257" s="345"/>
      <c r="BZ257" s="345"/>
      <c r="CA257" s="382"/>
      <c r="CB257" s="382"/>
      <c r="CC257" s="382"/>
      <c r="CD257" s="385"/>
      <c r="CE257" s="385"/>
      <c r="CF257" s="385"/>
      <c r="CK257">
        <v>126</v>
      </c>
      <c r="CL257">
        <v>102</v>
      </c>
      <c r="DC257" s="58">
        <v>230</v>
      </c>
      <c r="DD257" s="58">
        <v>41.634793729315064</v>
      </c>
      <c r="DE257" s="58">
        <v>17.365206270684936</v>
      </c>
      <c r="DF257" s="58">
        <v>6.1906106993236891E-2</v>
      </c>
      <c r="DH257" s="58">
        <v>82.258064516129039</v>
      </c>
      <c r="DI257" s="58">
        <v>118</v>
      </c>
      <c r="DW257" s="58">
        <v>230</v>
      </c>
      <c r="DX257" s="58">
        <v>41.634793729315064</v>
      </c>
      <c r="DY257" s="58">
        <v>17.365206270684936</v>
      </c>
      <c r="DZ257" s="58">
        <v>6.1906106993236891E-2</v>
      </c>
    </row>
    <row r="258" spans="2:130">
      <c r="B258" s="58">
        <v>74</v>
      </c>
      <c r="C258" s="58">
        <v>261.88823938324708</v>
      </c>
      <c r="D258" s="58">
        <v>-82.55490604991374</v>
      </c>
      <c r="E258" s="58">
        <v>-0.13990808027639642</v>
      </c>
      <c r="X258">
        <v>0.3183673469387755</v>
      </c>
      <c r="AB258">
        <v>0</v>
      </c>
      <c r="AC258">
        <v>0</v>
      </c>
      <c r="AD258">
        <v>0.27346938775510204</v>
      </c>
      <c r="AE258">
        <v>0.15102040816326531</v>
      </c>
      <c r="AF258">
        <v>0.25714285714285712</v>
      </c>
      <c r="AG258">
        <v>0</v>
      </c>
      <c r="BX258" s="345"/>
      <c r="BY258" s="345"/>
      <c r="BZ258" s="345"/>
      <c r="CA258" s="382"/>
      <c r="CB258" s="382"/>
      <c r="CC258" s="382"/>
      <c r="CD258" s="385"/>
      <c r="CE258" s="385"/>
      <c r="CF258" s="385"/>
      <c r="CK258">
        <v>78</v>
      </c>
      <c r="CL258">
        <v>18</v>
      </c>
      <c r="DC258" s="58">
        <v>231</v>
      </c>
      <c r="DD258" s="58">
        <v>51.473525201641984</v>
      </c>
      <c r="DE258" s="58">
        <v>-68.473525201641991</v>
      </c>
      <c r="DF258" s="58">
        <v>-0.24410475241476964</v>
      </c>
      <c r="DH258" s="58">
        <v>82.616487455197131</v>
      </c>
      <c r="DI258" s="58">
        <v>119</v>
      </c>
      <c r="DW258" s="58">
        <v>231</v>
      </c>
      <c r="DX258" s="58">
        <v>51.473525201641984</v>
      </c>
      <c r="DY258" s="58">
        <v>-68.473525201641991</v>
      </c>
      <c r="DZ258" s="58">
        <v>-0.24410475241476964</v>
      </c>
    </row>
    <row r="259" spans="2:130">
      <c r="B259" s="58">
        <v>75</v>
      </c>
      <c r="C259" s="58">
        <v>188.86472566096504</v>
      </c>
      <c r="D259" s="58">
        <v>-188.86472566096504</v>
      </c>
      <c r="E259" s="58">
        <v>-0.32007426891356139</v>
      </c>
      <c r="X259">
        <v>0.69302325581395352</v>
      </c>
      <c r="AB259">
        <v>0</v>
      </c>
      <c r="AC259">
        <v>2.0155038759689922E-2</v>
      </c>
      <c r="AD259">
        <v>2.9457364341085271E-2</v>
      </c>
      <c r="AE259">
        <v>6.2015503875968991E-2</v>
      </c>
      <c r="AF259">
        <v>0.19534883720930232</v>
      </c>
      <c r="AG259">
        <v>0</v>
      </c>
      <c r="BX259" s="345"/>
      <c r="BY259" s="345"/>
      <c r="BZ259" s="345"/>
      <c r="CA259" s="382"/>
      <c r="CB259" s="382"/>
      <c r="CC259" s="382"/>
      <c r="CD259" s="385"/>
      <c r="CE259" s="385"/>
      <c r="CF259" s="385"/>
      <c r="CK259">
        <v>447</v>
      </c>
      <c r="CL259">
        <v>13</v>
      </c>
      <c r="DC259" s="58">
        <v>232</v>
      </c>
      <c r="DD259" s="58">
        <v>41.324096945978425</v>
      </c>
      <c r="DE259" s="58">
        <v>-103.32409694597843</v>
      </c>
      <c r="DF259" s="58">
        <v>-0.36834532805495024</v>
      </c>
      <c r="DH259" s="58">
        <v>82.974910394265237</v>
      </c>
      <c r="DI259" s="58">
        <v>121</v>
      </c>
      <c r="DW259" s="58">
        <v>232</v>
      </c>
      <c r="DX259" s="58">
        <v>41.324096945978425</v>
      </c>
      <c r="DY259" s="58">
        <v>-103.32409694597843</v>
      </c>
      <c r="DZ259" s="58">
        <v>-0.36834532805495024</v>
      </c>
    </row>
    <row r="260" spans="2:130">
      <c r="B260" s="58">
        <v>76</v>
      </c>
      <c r="C260" s="58">
        <v>85.772706288331563</v>
      </c>
      <c r="D260" s="58">
        <v>95.51051700606493</v>
      </c>
      <c r="E260" s="58">
        <v>0.16186431212756036</v>
      </c>
      <c r="X260">
        <v>0.32920110192837465</v>
      </c>
      <c r="AB260">
        <v>0</v>
      </c>
      <c r="AC260">
        <v>5.9228650137741048E-2</v>
      </c>
      <c r="AD260">
        <v>0.1184573002754821</v>
      </c>
      <c r="AE260">
        <v>0.1184573002754821</v>
      </c>
      <c r="AF260">
        <v>0.37052341597796146</v>
      </c>
      <c r="AG260">
        <v>4.1322314049586639E-3</v>
      </c>
      <c r="BX260" s="345"/>
      <c r="BY260" s="345"/>
      <c r="BZ260" s="345"/>
      <c r="CA260" s="382"/>
      <c r="CB260" s="382"/>
      <c r="CC260" s="382"/>
      <c r="CD260" s="385"/>
      <c r="CE260" s="385"/>
      <c r="CF260" s="385"/>
      <c r="CK260">
        <v>239</v>
      </c>
      <c r="CL260">
        <v>55</v>
      </c>
      <c r="DC260" s="58">
        <v>233</v>
      </c>
      <c r="DD260" s="58">
        <v>43.44719163211213</v>
      </c>
      <c r="DE260" s="58">
        <v>172.55280836788788</v>
      </c>
      <c r="DF260" s="58">
        <v>0.61514228223357781</v>
      </c>
      <c r="DH260" s="58">
        <v>83.333333333333329</v>
      </c>
      <c r="DI260" s="58">
        <v>126</v>
      </c>
      <c r="DW260" s="58">
        <v>233</v>
      </c>
      <c r="DX260" s="58">
        <v>43.44719163211213</v>
      </c>
      <c r="DY260" s="58">
        <v>172.55280836788788</v>
      </c>
      <c r="DZ260" s="58">
        <v>0.61514228223357781</v>
      </c>
    </row>
    <row r="261" spans="2:130">
      <c r="B261" s="58">
        <v>77</v>
      </c>
      <c r="C261" s="58">
        <v>75.033954270348914</v>
      </c>
      <c r="D261" s="58">
        <v>87.299379062984428</v>
      </c>
      <c r="E261" s="58">
        <v>0.14794866978152596</v>
      </c>
      <c r="X261">
        <v>0.42557251908396948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0.57442748091603058</v>
      </c>
      <c r="BX261" s="345"/>
      <c r="BY261" s="345"/>
      <c r="BZ261" s="345"/>
      <c r="CA261" s="382"/>
      <c r="CB261" s="382"/>
      <c r="CC261" s="382"/>
      <c r="CD261" s="385"/>
      <c r="CE261" s="385"/>
      <c r="CF261" s="385"/>
      <c r="CK261">
        <v>223</v>
      </c>
      <c r="CL261">
        <v>126</v>
      </c>
      <c r="DC261" s="58">
        <v>234</v>
      </c>
      <c r="DD261" s="58">
        <v>85.184126193667367</v>
      </c>
      <c r="DE261" s="58">
        <v>201.81587380633263</v>
      </c>
      <c r="DF261" s="58">
        <v>0.71946367247474308</v>
      </c>
      <c r="DH261" s="58">
        <v>83.691756272401435</v>
      </c>
      <c r="DI261" s="58">
        <v>143</v>
      </c>
      <c r="DW261" s="58">
        <v>234</v>
      </c>
      <c r="DX261" s="58">
        <v>85.184126193667367</v>
      </c>
      <c r="DY261" s="58">
        <v>201.81587380633263</v>
      </c>
      <c r="DZ261" s="58">
        <v>0.71946367247474308</v>
      </c>
    </row>
    <row r="262" spans="2:130">
      <c r="B262" s="58">
        <v>78</v>
      </c>
      <c r="C262" s="58">
        <v>223.22873211850953</v>
      </c>
      <c r="D262" s="58">
        <v>-83.228732118509527</v>
      </c>
      <c r="E262" s="58">
        <v>-0.14105003193267265</v>
      </c>
      <c r="X262">
        <v>0</v>
      </c>
      <c r="AB262">
        <v>0</v>
      </c>
      <c r="AC262">
        <v>0.36046511627906974</v>
      </c>
      <c r="AD262">
        <v>0.14534883720930233</v>
      </c>
      <c r="AE262">
        <v>0.4941860465116279</v>
      </c>
      <c r="AF262">
        <v>0</v>
      </c>
      <c r="AG262">
        <v>0</v>
      </c>
      <c r="BX262" s="345"/>
      <c r="BY262" s="345"/>
      <c r="BZ262" s="345"/>
      <c r="CA262" s="382"/>
      <c r="CB262" s="382"/>
      <c r="CC262" s="382"/>
      <c r="CD262" s="385"/>
      <c r="CE262" s="385"/>
      <c r="CF262" s="385"/>
      <c r="CK262">
        <v>0</v>
      </c>
      <c r="CL262">
        <v>11</v>
      </c>
      <c r="DC262" s="58">
        <v>235</v>
      </c>
      <c r="DD262" s="58">
        <v>53.49305429333014</v>
      </c>
      <c r="DE262" s="58">
        <v>-306.49305429333015</v>
      </c>
      <c r="DF262" s="58">
        <v>-1.0926326768601335</v>
      </c>
      <c r="DH262" s="58">
        <v>84.050179211469541</v>
      </c>
      <c r="DI262" s="58">
        <v>144</v>
      </c>
      <c r="DW262" s="58">
        <v>235</v>
      </c>
      <c r="DX262" s="58">
        <v>53.49305429333014</v>
      </c>
      <c r="DY262" s="58">
        <v>-306.49305429333015</v>
      </c>
      <c r="DZ262" s="58">
        <v>-1.0926326768601335</v>
      </c>
    </row>
    <row r="263" spans="2:130">
      <c r="B263" s="58">
        <v>79</v>
      </c>
      <c r="C263" s="58">
        <v>76.966929633585792</v>
      </c>
      <c r="D263" s="58">
        <v>-21.966929633585792</v>
      </c>
      <c r="E263" s="58">
        <v>-3.7227962596716978E-2</v>
      </c>
      <c r="X263">
        <v>0.30973330418624984</v>
      </c>
      <c r="AB263">
        <v>0</v>
      </c>
      <c r="AC263">
        <v>5.8203082304076944E-3</v>
      </c>
      <c r="AD263">
        <v>8.8862170729041429E-2</v>
      </c>
      <c r="AE263">
        <v>0.12832003497650016</v>
      </c>
      <c r="AF263">
        <v>0.42501912777352713</v>
      </c>
      <c r="AG263">
        <v>4.2245054104273816E-2</v>
      </c>
      <c r="BX263" s="345"/>
      <c r="BY263" s="345"/>
      <c r="BZ263" s="345"/>
      <c r="CA263" s="382"/>
      <c r="CB263" s="382"/>
      <c r="CC263" s="382"/>
      <c r="CD263" s="385"/>
      <c r="CE263" s="385"/>
      <c r="CF263" s="385"/>
      <c r="CK263">
        <v>230.26917216861349</v>
      </c>
      <c r="CL263">
        <v>202.19400711020822</v>
      </c>
      <c r="DC263" s="58">
        <v>236</v>
      </c>
      <c r="DD263" s="58">
        <v>39.045653868176402</v>
      </c>
      <c r="DE263" s="58">
        <v>8.9543461318235984</v>
      </c>
      <c r="DF263" s="58">
        <v>3.1921803925067008E-2</v>
      </c>
      <c r="DH263" s="58">
        <v>84.408602150537632</v>
      </c>
      <c r="DI263" s="58">
        <v>144.22222222222223</v>
      </c>
      <c r="DW263" s="58">
        <v>236</v>
      </c>
      <c r="DX263" s="58">
        <v>39.045653868176402</v>
      </c>
      <c r="DY263" s="58">
        <v>8.9543461318235984</v>
      </c>
      <c r="DZ263" s="58">
        <v>3.1921803925067008E-2</v>
      </c>
    </row>
    <row r="264" spans="2:130">
      <c r="B264" s="58">
        <v>80</v>
      </c>
      <c r="C264" s="58">
        <v>576.31889846977913</v>
      </c>
      <c r="D264" s="58">
        <v>-131.17889846977909</v>
      </c>
      <c r="E264" s="58">
        <v>-0.22231250371216776</v>
      </c>
      <c r="X264">
        <v>0.71672354948805461</v>
      </c>
      <c r="AB264">
        <v>0</v>
      </c>
      <c r="AC264">
        <v>0</v>
      </c>
      <c r="AD264">
        <v>7.5085324232081918E-2</v>
      </c>
      <c r="AE264">
        <v>0.19795221843003413</v>
      </c>
      <c r="AF264">
        <v>1.0238907849829351E-2</v>
      </c>
      <c r="AG264">
        <v>0</v>
      </c>
      <c r="BX264" s="345"/>
      <c r="BY264" s="345"/>
      <c r="BZ264" s="345"/>
      <c r="CA264" s="382"/>
      <c r="CB264" s="382"/>
      <c r="CC264" s="382"/>
      <c r="CD264" s="385"/>
      <c r="CE264" s="385"/>
      <c r="CF264" s="385"/>
      <c r="CK264">
        <v>210</v>
      </c>
      <c r="CL264">
        <v>-3</v>
      </c>
      <c r="DC264" s="58">
        <v>237</v>
      </c>
      <c r="DD264" s="58">
        <v>38.337955639465171</v>
      </c>
      <c r="DE264" s="58">
        <v>-61.893511195020722</v>
      </c>
      <c r="DF264" s="58">
        <v>-0.22064732583651187</v>
      </c>
      <c r="DH264" s="58">
        <v>84.767025089605738</v>
      </c>
      <c r="DI264" s="58">
        <v>146</v>
      </c>
      <c r="DW264" s="58">
        <v>237</v>
      </c>
      <c r="DX264" s="58">
        <v>38.337955639465171</v>
      </c>
      <c r="DY264" s="58">
        <v>-61.893511195020722</v>
      </c>
      <c r="DZ264" s="58">
        <v>-0.22064732583651187</v>
      </c>
    </row>
    <row r="265" spans="2:130">
      <c r="B265" s="58">
        <v>81</v>
      </c>
      <c r="C265" s="58">
        <v>620.13300670314845</v>
      </c>
      <c r="D265" s="58">
        <v>40.200326630184918</v>
      </c>
      <c r="E265" s="58">
        <v>6.8128604275955629E-2</v>
      </c>
      <c r="X265">
        <v>0.68831168831168832</v>
      </c>
      <c r="AB265">
        <v>0</v>
      </c>
      <c r="AC265">
        <v>0</v>
      </c>
      <c r="AD265">
        <v>0.21645021645021645</v>
      </c>
      <c r="AE265">
        <v>9.5238095238095233E-2</v>
      </c>
      <c r="AF265">
        <v>0</v>
      </c>
      <c r="AG265">
        <v>0</v>
      </c>
      <c r="BX265" s="345"/>
      <c r="BY265" s="345"/>
      <c r="BZ265" s="345"/>
      <c r="CA265" s="382"/>
      <c r="CB265" s="382"/>
      <c r="CC265" s="382"/>
      <c r="CD265" s="385"/>
      <c r="CE265" s="385"/>
      <c r="CF265" s="385"/>
      <c r="CK265">
        <v>159</v>
      </c>
      <c r="CL265">
        <v>50</v>
      </c>
      <c r="DC265" s="58">
        <v>238</v>
      </c>
      <c r="DD265" s="58">
        <v>42.566884079324986</v>
      </c>
      <c r="DE265" s="58">
        <v>33.433115920675014</v>
      </c>
      <c r="DF265" s="58">
        <v>0.11918741528550604</v>
      </c>
      <c r="DH265" s="58">
        <v>85.12544802867383</v>
      </c>
      <c r="DI265" s="58">
        <v>147</v>
      </c>
      <c r="DW265" s="58">
        <v>238</v>
      </c>
      <c r="DX265" s="58">
        <v>42.566884079324986</v>
      </c>
      <c r="DY265" s="58">
        <v>33.433115920675014</v>
      </c>
      <c r="DZ265" s="58">
        <v>0.11918741528550604</v>
      </c>
    </row>
    <row r="266" spans="2:130">
      <c r="B266" s="58">
        <v>82</v>
      </c>
      <c r="C266" s="58">
        <v>1309.9904363383541</v>
      </c>
      <c r="D266" s="58">
        <v>692.67623032831261</v>
      </c>
      <c r="E266" s="58">
        <v>1.1738975461946697</v>
      </c>
      <c r="X266">
        <v>0.18181818181818182</v>
      </c>
      <c r="AB266">
        <v>0.28030303030303028</v>
      </c>
      <c r="AC266">
        <v>3.4090909090909088E-2</v>
      </c>
      <c r="AD266">
        <v>0.15909090909090909</v>
      </c>
      <c r="AE266">
        <v>0</v>
      </c>
      <c r="AF266">
        <v>0</v>
      </c>
      <c r="AG266">
        <v>0.34469696969696972</v>
      </c>
      <c r="BX266" s="345"/>
      <c r="BY266" s="345"/>
      <c r="BZ266" s="345"/>
      <c r="CA266" s="382"/>
      <c r="CB266" s="382"/>
      <c r="CC266" s="382"/>
      <c r="CD266" s="385"/>
      <c r="CE266" s="385"/>
      <c r="CF266" s="385"/>
      <c r="CK266">
        <v>48</v>
      </c>
      <c r="CL266">
        <v>35</v>
      </c>
      <c r="DC266" s="58">
        <v>239</v>
      </c>
      <c r="DD266" s="58">
        <v>60.173035135067892</v>
      </c>
      <c r="DE266" s="58">
        <v>-65.173035135067892</v>
      </c>
      <c r="DF266" s="58">
        <v>-0.23233866752026566</v>
      </c>
      <c r="DH266" s="58">
        <v>85.483870967741936</v>
      </c>
      <c r="DI266" s="58">
        <v>147</v>
      </c>
      <c r="DW266" s="58">
        <v>239</v>
      </c>
      <c r="DX266" s="58">
        <v>60.173035135067892</v>
      </c>
      <c r="DY266" s="58">
        <v>-65.173035135067892</v>
      </c>
      <c r="DZ266" s="58">
        <v>-0.23233866752026566</v>
      </c>
    </row>
    <row r="267" spans="2:130">
      <c r="B267" s="58">
        <v>83</v>
      </c>
      <c r="C267" s="58">
        <v>819.87379423762582</v>
      </c>
      <c r="D267" s="58">
        <v>-252.54046090429244</v>
      </c>
      <c r="E267" s="58">
        <v>-0.42798729679219127</v>
      </c>
      <c r="X267">
        <v>0.39239212310341121</v>
      </c>
      <c r="AB267">
        <v>0</v>
      </c>
      <c r="AC267">
        <v>2.8731303131389222E-2</v>
      </c>
      <c r="AD267">
        <v>0.31787366835252345</v>
      </c>
      <c r="AE267">
        <v>0.23835144732594429</v>
      </c>
      <c r="AF267">
        <v>1.9799849348972345E-2</v>
      </c>
      <c r="AG267">
        <v>2.8516087377594701E-3</v>
      </c>
      <c r="BX267" s="345"/>
      <c r="BY267" s="345"/>
      <c r="BZ267" s="345"/>
      <c r="CA267" s="382"/>
      <c r="CB267" s="382"/>
      <c r="CC267" s="382"/>
      <c r="CD267" s="385"/>
      <c r="CE267" s="385"/>
      <c r="CF267" s="385"/>
      <c r="CK267">
        <v>656.37</v>
      </c>
      <c r="CL267">
        <v>-15.120000000000001</v>
      </c>
      <c r="DC267" s="58">
        <v>240</v>
      </c>
      <c r="DD267" s="58">
        <v>36.145817223701101</v>
      </c>
      <c r="DE267" s="58">
        <v>-36.145817223701101</v>
      </c>
      <c r="DF267" s="58">
        <v>-0.12885806212310347</v>
      </c>
      <c r="DH267" s="58">
        <v>85.842293906810042</v>
      </c>
      <c r="DI267" s="58">
        <v>161</v>
      </c>
      <c r="DW267" s="58">
        <v>240</v>
      </c>
      <c r="DX267" s="58">
        <v>36.145817223701101</v>
      </c>
      <c r="DY267" s="58">
        <v>-36.145817223701101</v>
      </c>
      <c r="DZ267" s="58">
        <v>-0.12885806212310347</v>
      </c>
    </row>
    <row r="268" spans="2:130">
      <c r="B268" s="58">
        <v>84</v>
      </c>
      <c r="C268" s="58">
        <v>285.77122387124052</v>
      </c>
      <c r="D268" s="58">
        <v>-15.771223871240522</v>
      </c>
      <c r="E268" s="58">
        <v>-2.6727928853803647E-2</v>
      </c>
      <c r="X268">
        <v>0.47586675730795375</v>
      </c>
      <c r="AB268">
        <v>0</v>
      </c>
      <c r="AC268">
        <v>0</v>
      </c>
      <c r="AD268">
        <v>0</v>
      </c>
      <c r="AE268">
        <v>5.4384772263766146E-2</v>
      </c>
      <c r="AF268">
        <v>0</v>
      </c>
      <c r="AG268">
        <v>0.46974847042828016</v>
      </c>
      <c r="BX268" s="345"/>
      <c r="BY268" s="345"/>
      <c r="BZ268" s="345"/>
      <c r="CA268" s="382"/>
      <c r="CB268" s="382"/>
      <c r="CC268" s="382"/>
      <c r="CD268" s="385"/>
      <c r="CE268" s="385"/>
      <c r="CF268" s="385"/>
      <c r="CK268">
        <v>700</v>
      </c>
      <c r="CL268">
        <v>24</v>
      </c>
      <c r="DC268" s="58">
        <v>241</v>
      </c>
      <c r="DD268" s="58">
        <v>43.913236807117087</v>
      </c>
      <c r="DE268" s="58">
        <v>41.086763192882913</v>
      </c>
      <c r="DF268" s="58">
        <v>0.1464722916950455</v>
      </c>
      <c r="DH268" s="58">
        <v>86.200716845878134</v>
      </c>
      <c r="DI268" s="58">
        <v>163</v>
      </c>
      <c r="DW268" s="58">
        <v>241</v>
      </c>
      <c r="DX268" s="58">
        <v>43.913236807117087</v>
      </c>
      <c r="DY268" s="58">
        <v>41.086763192882913</v>
      </c>
      <c r="DZ268" s="58">
        <v>0.1464722916950455</v>
      </c>
    </row>
    <row r="269" spans="2:130">
      <c r="B269" s="58">
        <v>85</v>
      </c>
      <c r="C269" s="58">
        <v>332.76400270193261</v>
      </c>
      <c r="D269" s="58">
        <v>120.5693306314007</v>
      </c>
      <c r="E269" s="58">
        <v>0.2043321759539089</v>
      </c>
      <c r="X269">
        <v>0.46293406164650802</v>
      </c>
      <c r="AB269">
        <v>0</v>
      </c>
      <c r="AC269">
        <v>0.12075692547795552</v>
      </c>
      <c r="AD269">
        <v>0.38490050721810376</v>
      </c>
      <c r="AE269">
        <v>1.2485368708544674E-2</v>
      </c>
      <c r="AF269">
        <v>1.872805306281701E-2</v>
      </c>
      <c r="AG269">
        <v>1.9508388607103466E-4</v>
      </c>
      <c r="BX269" s="345"/>
      <c r="BY269" s="345"/>
      <c r="BZ269" s="345"/>
      <c r="CA269" s="382"/>
      <c r="CB269" s="382"/>
      <c r="CC269" s="382"/>
      <c r="CD269" s="385"/>
      <c r="CE269" s="385"/>
      <c r="CF269" s="385"/>
      <c r="CK269">
        <v>2373</v>
      </c>
      <c r="CL269">
        <v>-180</v>
      </c>
      <c r="DC269" s="58">
        <v>242</v>
      </c>
      <c r="DD269" s="58">
        <v>58.153506043379736</v>
      </c>
      <c r="DE269" s="58">
        <v>1.8464939566202645</v>
      </c>
      <c r="DF269" s="58">
        <v>6.5826602148613992E-3</v>
      </c>
      <c r="DH269" s="58">
        <v>86.55913978494624</v>
      </c>
      <c r="DI269" s="58">
        <v>165</v>
      </c>
      <c r="DW269" s="58">
        <v>242</v>
      </c>
      <c r="DX269" s="58">
        <v>58.153506043379736</v>
      </c>
      <c r="DY269" s="58">
        <v>1.8464939566202645</v>
      </c>
      <c r="DZ269" s="58">
        <v>6.5826602148613992E-3</v>
      </c>
    </row>
    <row r="270" spans="2:130">
      <c r="B270" s="58">
        <v>86</v>
      </c>
      <c r="C270" s="58">
        <v>732.07375773859951</v>
      </c>
      <c r="D270" s="58">
        <v>-636.74042440526614</v>
      </c>
      <c r="E270" s="58">
        <v>-1.0791015903895125</v>
      </c>
      <c r="X270">
        <v>0.38825851011346818</v>
      </c>
      <c r="AB270">
        <v>0.42081894425259003</v>
      </c>
      <c r="AC270">
        <v>0</v>
      </c>
      <c r="AD270">
        <v>1.4800197335964479E-3</v>
      </c>
      <c r="AE270">
        <v>0.18944252590034533</v>
      </c>
      <c r="AF270">
        <v>0</v>
      </c>
      <c r="AG270">
        <v>0</v>
      </c>
      <c r="BX270" s="345"/>
      <c r="BY270" s="345"/>
      <c r="BZ270" s="345"/>
      <c r="CA270" s="382"/>
      <c r="CB270" s="382"/>
      <c r="CC270" s="382"/>
      <c r="CD270" s="385"/>
      <c r="CE270" s="385"/>
      <c r="CF270" s="385"/>
      <c r="CK270">
        <v>787</v>
      </c>
      <c r="CL270">
        <v>284</v>
      </c>
      <c r="DC270" s="58">
        <v>243</v>
      </c>
      <c r="DD270" s="58">
        <v>48.107643382161726</v>
      </c>
      <c r="DE270" s="58">
        <v>-30.107643382161726</v>
      </c>
      <c r="DF270" s="58">
        <v>-0.10733226910622863</v>
      </c>
      <c r="DH270" s="58">
        <v>86.917562724014346</v>
      </c>
      <c r="DI270" s="58">
        <v>167</v>
      </c>
      <c r="DW270" s="58">
        <v>243</v>
      </c>
      <c r="DX270" s="58">
        <v>48.107643382161726</v>
      </c>
      <c r="DY270" s="58">
        <v>-30.107643382161726</v>
      </c>
      <c r="DZ270" s="58">
        <v>-0.10733226910622863</v>
      </c>
    </row>
    <row r="271" spans="2:130">
      <c r="B271" s="58">
        <v>87</v>
      </c>
      <c r="C271" s="58">
        <v>171.6827224321928</v>
      </c>
      <c r="D271" s="58">
        <v>38.650610901140539</v>
      </c>
      <c r="E271" s="58">
        <v>6.5502258211269371E-2</v>
      </c>
      <c r="X271">
        <v>0.54716981132075471</v>
      </c>
      <c r="AB271">
        <v>0</v>
      </c>
      <c r="AC271">
        <v>1.8867924528301886E-2</v>
      </c>
      <c r="AD271">
        <v>0.36792452830188677</v>
      </c>
      <c r="AE271">
        <v>3.638814016172507E-2</v>
      </c>
      <c r="AF271">
        <v>0</v>
      </c>
      <c r="AG271">
        <v>2.9649595687331498E-2</v>
      </c>
      <c r="BX271" s="345"/>
      <c r="BY271" s="345"/>
      <c r="BZ271" s="345"/>
      <c r="CA271" s="382"/>
      <c r="CB271" s="382"/>
      <c r="CC271" s="382"/>
      <c r="CD271" s="385"/>
      <c r="CE271" s="385"/>
      <c r="CF271" s="385"/>
      <c r="CK271">
        <v>406</v>
      </c>
      <c r="CL271">
        <v>94</v>
      </c>
      <c r="DC271" s="58">
        <v>244</v>
      </c>
      <c r="DD271" s="58">
        <v>161.35662090836684</v>
      </c>
      <c r="DE271" s="58">
        <v>-157.35662090836684</v>
      </c>
      <c r="DF271" s="58">
        <v>-0.56096862071211939</v>
      </c>
      <c r="DH271" s="58">
        <v>87.275985663082437</v>
      </c>
      <c r="DI271" s="58">
        <v>177</v>
      </c>
      <c r="DW271" s="58">
        <v>244</v>
      </c>
      <c r="DX271" s="58">
        <v>161.35662090836684</v>
      </c>
      <c r="DY271" s="58">
        <v>-157.35662090836684</v>
      </c>
      <c r="DZ271" s="58">
        <v>-0.56096862071211939</v>
      </c>
    </row>
    <row r="272" spans="2:130">
      <c r="B272" s="58">
        <v>88</v>
      </c>
      <c r="C272" s="58">
        <v>779.28131160965131</v>
      </c>
      <c r="D272" s="58">
        <v>4663.3853550570157</v>
      </c>
      <c r="E272" s="58">
        <v>7.9031680106402362</v>
      </c>
      <c r="X272">
        <v>0.5772285966460724</v>
      </c>
      <c r="AB272">
        <v>0</v>
      </c>
      <c r="AC272">
        <v>4.7661076787290382E-2</v>
      </c>
      <c r="AD272">
        <v>0.25772285966460723</v>
      </c>
      <c r="AE272">
        <v>1.8534863195057368E-2</v>
      </c>
      <c r="AF272">
        <v>0</v>
      </c>
      <c r="AG272">
        <v>9.8852603706972686E-2</v>
      </c>
      <c r="BX272" s="345"/>
      <c r="BY272" s="345"/>
      <c r="BZ272" s="345"/>
      <c r="CA272" s="382"/>
      <c r="CB272" s="382"/>
      <c r="CC272" s="382"/>
      <c r="CD272" s="385"/>
      <c r="CE272" s="385"/>
      <c r="CF272" s="385"/>
      <c r="CK272">
        <v>654</v>
      </c>
      <c r="CL272">
        <v>0</v>
      </c>
      <c r="DC272" s="58">
        <v>245</v>
      </c>
      <c r="DD272" s="58">
        <v>58.101723246156958</v>
      </c>
      <c r="DE272" s="58">
        <v>118.89827675384305</v>
      </c>
      <c r="DF272" s="58">
        <v>0.42386651372293643</v>
      </c>
      <c r="DH272" s="58">
        <v>87.634408602150543</v>
      </c>
      <c r="DI272" s="58">
        <v>189</v>
      </c>
      <c r="DW272" s="58">
        <v>245</v>
      </c>
      <c r="DX272" s="58">
        <v>58.101723246156958</v>
      </c>
      <c r="DY272" s="58">
        <v>118.89827675384305</v>
      </c>
      <c r="DZ272" s="58">
        <v>0.42386651372293643</v>
      </c>
    </row>
    <row r="273" spans="2:130">
      <c r="B273" s="58">
        <v>89</v>
      </c>
      <c r="C273" s="58">
        <v>72.886203866752382</v>
      </c>
      <c r="D273" s="58">
        <v>21.667129466580946</v>
      </c>
      <c r="E273" s="58">
        <v>3.6719882970209602E-2</v>
      </c>
      <c r="X273">
        <v>0.13059360730593608</v>
      </c>
      <c r="AB273">
        <v>0.59726027397260273</v>
      </c>
      <c r="AC273">
        <v>4.3378995433789952E-2</v>
      </c>
      <c r="AD273">
        <v>0.11324200913242009</v>
      </c>
      <c r="AE273">
        <v>9.0410958904109592E-2</v>
      </c>
      <c r="AF273">
        <v>0</v>
      </c>
      <c r="AG273">
        <v>2.5114155251141579E-2</v>
      </c>
      <c r="BX273" s="345"/>
      <c r="BY273" s="345"/>
      <c r="BZ273" s="345"/>
      <c r="CA273" s="382"/>
      <c r="CB273" s="382"/>
      <c r="CC273" s="382"/>
      <c r="CD273" s="385"/>
      <c r="CE273" s="385"/>
      <c r="CF273" s="385"/>
      <c r="CK273">
        <v>286</v>
      </c>
      <c r="CL273">
        <v>237</v>
      </c>
      <c r="DC273" s="58">
        <v>246</v>
      </c>
      <c r="DD273" s="58">
        <v>40.80626897375069</v>
      </c>
      <c r="DE273" s="58">
        <v>122.19373102624931</v>
      </c>
      <c r="DF273" s="58">
        <v>0.43561464625870128</v>
      </c>
      <c r="DH273" s="58">
        <v>87.992831541218635</v>
      </c>
      <c r="DI273" s="58">
        <v>202</v>
      </c>
      <c r="DW273" s="58">
        <v>246</v>
      </c>
      <c r="DX273" s="58">
        <v>40.80626897375069</v>
      </c>
      <c r="DY273" s="58">
        <v>122.19373102624931</v>
      </c>
      <c r="DZ273" s="58">
        <v>0.43561464625870128</v>
      </c>
    </row>
    <row r="274" spans="2:130">
      <c r="B274" s="58">
        <v>90</v>
      </c>
      <c r="C274" s="58">
        <v>30.575520915900725</v>
      </c>
      <c r="D274" s="58">
        <v>22.543923528543715</v>
      </c>
      <c r="E274" s="58">
        <v>3.8205810092854342E-2</v>
      </c>
      <c r="X274">
        <v>0.26844783715012721</v>
      </c>
      <c r="AB274">
        <v>0</v>
      </c>
      <c r="AC274">
        <v>0</v>
      </c>
      <c r="AD274">
        <v>0.21119592875318066</v>
      </c>
      <c r="AE274">
        <v>0</v>
      </c>
      <c r="AF274">
        <v>0.52035623409669207</v>
      </c>
      <c r="AG274">
        <v>0</v>
      </c>
      <c r="BX274" s="345"/>
      <c r="BY274" s="345"/>
      <c r="BZ274" s="345"/>
      <c r="CA274" s="382"/>
      <c r="CB274" s="382"/>
      <c r="CC274" s="382"/>
      <c r="CD274" s="385"/>
      <c r="CE274" s="385"/>
      <c r="CF274" s="385"/>
      <c r="CK274">
        <v>211</v>
      </c>
      <c r="CL274">
        <v>-303</v>
      </c>
      <c r="DC274" s="58">
        <v>247</v>
      </c>
      <c r="DD274" s="58">
        <v>48.107643382161726</v>
      </c>
      <c r="DE274" s="58">
        <v>38.892356617838274</v>
      </c>
      <c r="DF274" s="58">
        <v>0.13864934009263888</v>
      </c>
      <c r="DH274" s="58">
        <v>88.351254480286741</v>
      </c>
      <c r="DI274" s="58">
        <v>202.19400711020822</v>
      </c>
      <c r="DW274" s="58">
        <v>247</v>
      </c>
      <c r="DX274" s="58">
        <v>48.107643382161726</v>
      </c>
      <c r="DY274" s="58">
        <v>38.892356617838274</v>
      </c>
      <c r="DZ274" s="58">
        <v>0.13864934009263888</v>
      </c>
    </row>
    <row r="275" spans="2:130">
      <c r="B275" s="58">
        <v>91</v>
      </c>
      <c r="C275" s="58">
        <v>921.20465827931002</v>
      </c>
      <c r="D275" s="58">
        <v>-875.20465827931002</v>
      </c>
      <c r="E275" s="58">
        <v>-1.483233516307124</v>
      </c>
      <c r="X275">
        <v>0.83315817130846037</v>
      </c>
      <c r="AB275">
        <v>0</v>
      </c>
      <c r="AC275">
        <v>4.2564372044140833E-2</v>
      </c>
      <c r="AD275">
        <v>2.8244876510772465E-2</v>
      </c>
      <c r="AE275">
        <v>2.6274303730951129E-4</v>
      </c>
      <c r="AF275">
        <v>6.3189700472937468E-2</v>
      </c>
      <c r="AG275">
        <v>3.2580136626379264E-2</v>
      </c>
      <c r="BX275" s="345"/>
      <c r="BY275" s="345"/>
      <c r="BZ275" s="345"/>
      <c r="CA275" s="382"/>
      <c r="CB275" s="382"/>
      <c r="CC275" s="382"/>
      <c r="CD275" s="385"/>
      <c r="CE275" s="385"/>
      <c r="CF275" s="385"/>
      <c r="CK275">
        <v>6342</v>
      </c>
      <c r="CL275">
        <v>278</v>
      </c>
      <c r="DC275" s="58">
        <v>248</v>
      </c>
      <c r="DD275" s="58">
        <v>43.498974429334901</v>
      </c>
      <c r="DE275" s="58">
        <v>-58.498974429334901</v>
      </c>
      <c r="DF275" s="58">
        <v>-0.20854596908132175</v>
      </c>
      <c r="DH275" s="58">
        <v>88.709677419354847</v>
      </c>
      <c r="DI275" s="58">
        <v>204</v>
      </c>
      <c r="DW275" s="58">
        <v>248</v>
      </c>
      <c r="DX275" s="58">
        <v>43.498974429334901</v>
      </c>
      <c r="DY275" s="58">
        <v>-58.498974429334901</v>
      </c>
      <c r="DZ275" s="58">
        <v>-0.20854596908132175</v>
      </c>
    </row>
    <row r="276" spans="2:130">
      <c r="B276" s="58">
        <v>92</v>
      </c>
      <c r="C276" s="58">
        <v>617.89934628340802</v>
      </c>
      <c r="D276" s="58">
        <v>-0.56601295007465069</v>
      </c>
      <c r="E276" s="58">
        <v>-9.592377854399719E-4</v>
      </c>
      <c r="X276">
        <v>0.67195431472081213</v>
      </c>
      <c r="AB276">
        <v>2.9822335025380713E-2</v>
      </c>
      <c r="AC276">
        <v>0.1199238578680203</v>
      </c>
      <c r="AD276">
        <v>0.10913705583756345</v>
      </c>
      <c r="AE276">
        <v>1.2055837563451776E-2</v>
      </c>
      <c r="AF276">
        <v>5.5837563451776651E-2</v>
      </c>
      <c r="AG276">
        <v>1.2690355329949554E-3</v>
      </c>
      <c r="BX276" s="345"/>
      <c r="BY276" s="345"/>
      <c r="BZ276" s="345"/>
      <c r="CA276" s="382"/>
      <c r="CB276" s="382"/>
      <c r="CC276" s="382"/>
      <c r="CD276" s="385"/>
      <c r="CE276" s="385"/>
      <c r="CF276" s="385"/>
      <c r="CK276">
        <v>137.66999999999999</v>
      </c>
      <c r="CL276">
        <v>13.389999999999999</v>
      </c>
      <c r="DC276" s="58">
        <v>249</v>
      </c>
      <c r="DD276" s="58">
        <v>51.680656390533073</v>
      </c>
      <c r="DE276" s="58">
        <v>-48.680656390533073</v>
      </c>
      <c r="DF276" s="58">
        <v>-0.17354414776522403</v>
      </c>
      <c r="DH276" s="58">
        <v>89.068100358422939</v>
      </c>
      <c r="DI276" s="58">
        <v>208</v>
      </c>
      <c r="DW276" s="58">
        <v>249</v>
      </c>
      <c r="DX276" s="58">
        <v>51.680656390533073</v>
      </c>
      <c r="DY276" s="58">
        <v>-48.680656390533073</v>
      </c>
      <c r="DZ276" s="58">
        <v>-0.17354414776522403</v>
      </c>
    </row>
    <row r="277" spans="2:130" ht="17" thickBot="1">
      <c r="B277" s="59">
        <v>93</v>
      </c>
      <c r="C277" s="59">
        <v>242.5584857508783</v>
      </c>
      <c r="D277" s="59">
        <v>49.045117852725326</v>
      </c>
      <c r="E277" s="59">
        <v>8.3118116342542778E-2</v>
      </c>
      <c r="X277">
        <v>0.38993710691823896</v>
      </c>
      <c r="AB277">
        <v>2.1827598964113949E-2</v>
      </c>
      <c r="AC277">
        <v>2.7007029226785058E-2</v>
      </c>
      <c r="AD277">
        <v>0.36219015908250091</v>
      </c>
      <c r="AE277">
        <v>2.1827598964113949E-2</v>
      </c>
      <c r="AF277">
        <v>0.15094339622641512</v>
      </c>
      <c r="AG277">
        <v>2.6267110617832046E-2</v>
      </c>
      <c r="BX277" s="345"/>
      <c r="BY277" s="345"/>
      <c r="BZ277" s="345"/>
      <c r="CA277" s="382"/>
      <c r="CB277" s="382"/>
      <c r="CC277" s="382"/>
      <c r="CD277" s="385"/>
      <c r="CE277" s="385"/>
      <c r="CF277" s="385"/>
      <c r="CK277">
        <v>114.18333333333332</v>
      </c>
      <c r="CL277">
        <v>20.041666666666668</v>
      </c>
      <c r="DC277" s="58">
        <v>250</v>
      </c>
      <c r="DD277" s="58">
        <v>43.498974429334901</v>
      </c>
      <c r="DE277" s="58">
        <v>39.501025570665099</v>
      </c>
      <c r="DF277" s="58">
        <v>0.14081921499822919</v>
      </c>
      <c r="DH277" s="58">
        <v>89.426523297491045</v>
      </c>
      <c r="DI277" s="58">
        <v>216</v>
      </c>
      <c r="DW277" s="58">
        <v>250</v>
      </c>
      <c r="DX277" s="58">
        <v>43.498974429334901</v>
      </c>
      <c r="DY277" s="58">
        <v>39.501025570665099</v>
      </c>
      <c r="DZ277" s="58">
        <v>0.14081921499822919</v>
      </c>
    </row>
    <row r="278" spans="2:130">
      <c r="X278">
        <v>0</v>
      </c>
      <c r="AB278">
        <v>0</v>
      </c>
      <c r="AC278">
        <v>0.67</v>
      </c>
      <c r="AD278">
        <v>0.33</v>
      </c>
      <c r="AE278">
        <v>0</v>
      </c>
      <c r="AF278">
        <v>0</v>
      </c>
      <c r="AG278">
        <v>0</v>
      </c>
      <c r="BX278" s="345"/>
      <c r="BY278" s="345"/>
      <c r="BZ278" s="345"/>
      <c r="CA278" s="382"/>
      <c r="CB278" s="382"/>
      <c r="CC278" s="382"/>
      <c r="CD278" s="385"/>
      <c r="CE278" s="385"/>
      <c r="CF278" s="385"/>
      <c r="CK278">
        <v>0</v>
      </c>
      <c r="CL278">
        <v>-27</v>
      </c>
      <c r="DC278" s="58">
        <v>251</v>
      </c>
      <c r="DD278" s="58">
        <v>40.184875407077413</v>
      </c>
      <c r="DE278" s="58">
        <v>-31.184875407077413</v>
      </c>
      <c r="DF278" s="58">
        <v>-0.11117254833766799</v>
      </c>
      <c r="DH278" s="58">
        <v>89.784946236559136</v>
      </c>
      <c r="DI278" s="58">
        <v>224</v>
      </c>
      <c r="DW278" s="58">
        <v>251</v>
      </c>
      <c r="DX278" s="58">
        <v>40.184875407077413</v>
      </c>
      <c r="DY278" s="58">
        <v>-31.184875407077413</v>
      </c>
      <c r="DZ278" s="58">
        <v>-0.11117254833766799</v>
      </c>
    </row>
    <row r="279" spans="2:130">
      <c r="X279">
        <v>0.28963585434173672</v>
      </c>
      <c r="AB279">
        <v>0.15854341736694677</v>
      </c>
      <c r="AC279">
        <v>1.4005602240896359E-2</v>
      </c>
      <c r="AD279">
        <v>0.12156862745098039</v>
      </c>
      <c r="AE279">
        <v>3.0252100840336135E-2</v>
      </c>
      <c r="AF279">
        <v>0.37871148459383752</v>
      </c>
      <c r="AG279">
        <v>7.2829131652660806E-3</v>
      </c>
      <c r="BX279" s="345"/>
      <c r="BY279" s="345"/>
      <c r="BZ279" s="345"/>
      <c r="CA279" s="382"/>
      <c r="CB279" s="382"/>
      <c r="CC279" s="382"/>
      <c r="CD279" s="385"/>
      <c r="CE279" s="385"/>
      <c r="CF279" s="385"/>
      <c r="CK279">
        <v>517</v>
      </c>
      <c r="CL279">
        <v>58</v>
      </c>
      <c r="DC279" s="58">
        <v>252</v>
      </c>
      <c r="DD279" s="58">
        <v>44.068585198785406</v>
      </c>
      <c r="DE279" s="58">
        <v>-33.068585198785406</v>
      </c>
      <c r="DF279" s="58">
        <v>-0.11788788117575487</v>
      </c>
      <c r="DH279" s="58">
        <v>90.143369175627242</v>
      </c>
      <c r="DI279" s="58">
        <v>237</v>
      </c>
      <c r="DW279" s="58">
        <v>252</v>
      </c>
      <c r="DX279" s="58">
        <v>44.068585198785406</v>
      </c>
      <c r="DY279" s="58">
        <v>-33.068585198785406</v>
      </c>
      <c r="DZ279" s="58">
        <v>-0.11788788117575487</v>
      </c>
    </row>
    <row r="280" spans="2:130">
      <c r="X280">
        <v>0.4418848167539266</v>
      </c>
      <c r="AB280">
        <v>0</v>
      </c>
      <c r="AC280">
        <v>0.12539267015706806</v>
      </c>
      <c r="AD280">
        <v>0.17460732984293195</v>
      </c>
      <c r="AE280">
        <v>0</v>
      </c>
      <c r="AF280">
        <v>0.13481675392670156</v>
      </c>
      <c r="AG280">
        <v>0.12356020942408386</v>
      </c>
      <c r="BX280" s="345"/>
      <c r="BY280" s="345"/>
      <c r="BZ280" s="345"/>
      <c r="CA280" s="382"/>
      <c r="CB280" s="382"/>
      <c r="CC280" s="382"/>
      <c r="CD280" s="385"/>
      <c r="CE280" s="385"/>
      <c r="CF280" s="385"/>
      <c r="CK280">
        <v>319.3513513513513</v>
      </c>
      <c r="CL280">
        <v>-13.054054054054054</v>
      </c>
      <c r="DC280" s="58">
        <v>253</v>
      </c>
      <c r="DD280" s="58">
        <v>49.920041284958785</v>
      </c>
      <c r="DE280" s="58">
        <v>-43.920041284958785</v>
      </c>
      <c r="DF280" s="58">
        <v>-0.15657278886021533</v>
      </c>
      <c r="DH280" s="58">
        <v>90.501792114695348</v>
      </c>
      <c r="DI280" s="58">
        <v>238</v>
      </c>
      <c r="DW280" s="58">
        <v>253</v>
      </c>
      <c r="DX280" s="58">
        <v>49.920041284958785</v>
      </c>
      <c r="DY280" s="58">
        <v>-43.920041284958785</v>
      </c>
      <c r="DZ280" s="58">
        <v>-0.15657278886021533</v>
      </c>
    </row>
    <row r="281" spans="2:130">
      <c r="DC281" s="58">
        <v>254</v>
      </c>
      <c r="DD281" s="58">
        <v>36.145817223701101</v>
      </c>
      <c r="DE281" s="58">
        <v>-127.1458172237011</v>
      </c>
      <c r="DF281" s="58">
        <v>-0.45326859019697219</v>
      </c>
      <c r="DH281" s="58">
        <v>90.86021505376344</v>
      </c>
      <c r="DI281" s="58">
        <v>260</v>
      </c>
      <c r="DW281" s="58">
        <v>254</v>
      </c>
      <c r="DX281" s="58">
        <v>36.145817223701101</v>
      </c>
      <c r="DY281" s="58">
        <v>-127.1458172237011</v>
      </c>
      <c r="DZ281" s="58">
        <v>-0.45326859019697219</v>
      </c>
    </row>
    <row r="282" spans="2:130">
      <c r="DC282" s="58">
        <v>255</v>
      </c>
      <c r="DD282" s="58">
        <v>101.28857612994985</v>
      </c>
      <c r="DE282" s="58">
        <v>527.71142387005011</v>
      </c>
      <c r="DF282" s="58">
        <v>1.8812652932779796</v>
      </c>
      <c r="DH282" s="58">
        <v>91.218637992831546</v>
      </c>
      <c r="DI282" s="58">
        <v>267</v>
      </c>
      <c r="DW282" s="58">
        <v>255</v>
      </c>
      <c r="DX282" s="58">
        <v>101.28857612994985</v>
      </c>
      <c r="DY282" s="58">
        <v>527.71142387005011</v>
      </c>
      <c r="DZ282" s="58">
        <v>1.8812652932779796</v>
      </c>
    </row>
    <row r="283" spans="2:130">
      <c r="DC283" s="58">
        <v>256</v>
      </c>
      <c r="DD283" s="58">
        <v>42.670449673770534</v>
      </c>
      <c r="DE283" s="58">
        <v>59.329550326229466</v>
      </c>
      <c r="DF283" s="58">
        <v>0.21150693133755244</v>
      </c>
      <c r="DH283" s="58">
        <v>91.577060931899638</v>
      </c>
      <c r="DI283" s="58">
        <v>275</v>
      </c>
      <c r="DW283" s="58">
        <v>256</v>
      </c>
      <c r="DX283" s="58">
        <v>42.670449673770534</v>
      </c>
      <c r="DY283" s="58">
        <v>59.329550326229466</v>
      </c>
      <c r="DZ283" s="58">
        <v>0.21150693133755244</v>
      </c>
    </row>
    <row r="284" spans="2:130">
      <c r="DC284" s="58">
        <v>257</v>
      </c>
      <c r="DD284" s="58">
        <v>40.184875407077413</v>
      </c>
      <c r="DE284" s="58">
        <v>-22.184875407077413</v>
      </c>
      <c r="DF284" s="58">
        <v>-7.9087990616076562E-2</v>
      </c>
      <c r="DH284" s="58">
        <v>91.935483870967744</v>
      </c>
      <c r="DI284" s="58">
        <v>278</v>
      </c>
      <c r="DW284" s="58">
        <v>257</v>
      </c>
      <c r="DX284" s="58">
        <v>40.184875407077413</v>
      </c>
      <c r="DY284" s="58">
        <v>-22.184875407077413</v>
      </c>
      <c r="DZ284" s="58">
        <v>-7.9087990616076562E-2</v>
      </c>
    </row>
    <row r="285" spans="2:130">
      <c r="DC285" s="58">
        <v>258</v>
      </c>
      <c r="DD285" s="58">
        <v>59.292727582280747</v>
      </c>
      <c r="DE285" s="58">
        <v>-46.292727582280747</v>
      </c>
      <c r="DF285" s="58">
        <v>-0.16503129891151039</v>
      </c>
      <c r="DH285" s="58">
        <v>92.29390681003585</v>
      </c>
      <c r="DI285" s="58">
        <v>282</v>
      </c>
      <c r="DW285" s="58">
        <v>258</v>
      </c>
      <c r="DX285" s="58">
        <v>59.292727582280747</v>
      </c>
      <c r="DY285" s="58">
        <v>-46.292727582280747</v>
      </c>
      <c r="DZ285" s="58">
        <v>-0.16503129891151039</v>
      </c>
    </row>
    <row r="286" spans="2:130" ht="17" thickBot="1">
      <c r="DC286" s="58">
        <v>259</v>
      </c>
      <c r="DD286" s="58">
        <v>48.521905759943905</v>
      </c>
      <c r="DE286" s="58">
        <v>6.4780942400560946</v>
      </c>
      <c r="DF286" s="58">
        <v>2.3094087618998737E-2</v>
      </c>
      <c r="DH286" s="58">
        <v>92.652329749103941</v>
      </c>
      <c r="DI286" s="58">
        <v>284</v>
      </c>
      <c r="DW286" s="58">
        <v>259</v>
      </c>
      <c r="DX286" s="58">
        <v>48.521905759943905</v>
      </c>
      <c r="DY286" s="58">
        <v>6.4780942400560946</v>
      </c>
      <c r="DZ286" s="58">
        <v>2.3094087618998737E-2</v>
      </c>
    </row>
    <row r="287" spans="2:130" ht="17" thickBot="1">
      <c r="B287" s="360"/>
      <c r="C287" s="426" t="s">
        <v>474</v>
      </c>
      <c r="D287" s="427"/>
      <c r="E287" s="428"/>
      <c r="F287" s="426" t="s">
        <v>475</v>
      </c>
      <c r="G287" s="427"/>
      <c r="H287" s="428"/>
      <c r="I287" s="426" t="s">
        <v>476</v>
      </c>
      <c r="J287" s="427"/>
      <c r="K287" s="428"/>
      <c r="L287" s="361"/>
      <c r="M287" s="361"/>
      <c r="N287" s="361"/>
      <c r="DC287" s="58">
        <v>260</v>
      </c>
      <c r="DD287" s="58">
        <v>47.693381004379532</v>
      </c>
      <c r="DE287" s="58">
        <v>78.306618995620468</v>
      </c>
      <c r="DF287" s="58">
        <v>0.27915924857196128</v>
      </c>
      <c r="DH287" s="58">
        <v>93.010752688172047</v>
      </c>
      <c r="DI287" s="58">
        <v>287</v>
      </c>
      <c r="DW287" s="58">
        <v>260</v>
      </c>
      <c r="DX287" s="58">
        <v>47.693381004379532</v>
      </c>
      <c r="DY287" s="58">
        <v>78.306618995620468</v>
      </c>
      <c r="DZ287" s="58">
        <v>0.27915924857196128</v>
      </c>
    </row>
    <row r="288" spans="2:130" ht="17" thickBot="1">
      <c r="B288" s="362"/>
      <c r="C288" s="363">
        <v>2015</v>
      </c>
      <c r="D288" s="363">
        <v>2016</v>
      </c>
      <c r="E288" s="363">
        <v>2017</v>
      </c>
      <c r="F288" s="363">
        <v>2015</v>
      </c>
      <c r="G288" s="363">
        <v>2016</v>
      </c>
      <c r="H288" s="363">
        <v>2017</v>
      </c>
      <c r="I288" s="363">
        <v>2015</v>
      </c>
      <c r="J288" s="363">
        <v>2016</v>
      </c>
      <c r="K288" s="363">
        <v>2017</v>
      </c>
      <c r="L288" s="363" t="s">
        <v>480</v>
      </c>
      <c r="M288" s="363" t="s">
        <v>481</v>
      </c>
      <c r="N288" s="363">
        <v>0</v>
      </c>
      <c r="O288" s="368" t="s">
        <v>477</v>
      </c>
      <c r="P288" s="368" t="s">
        <v>678</v>
      </c>
      <c r="Q288" s="368" t="s">
        <v>679</v>
      </c>
      <c r="DC288" s="58">
        <v>261</v>
      </c>
      <c r="DD288" s="58">
        <v>36.145817223701101</v>
      </c>
      <c r="DE288" s="58">
        <v>-25.145817223701101</v>
      </c>
      <c r="DF288" s="58">
        <v>-8.9643602685602841E-2</v>
      </c>
      <c r="DH288" s="58">
        <v>93.369175627240139</v>
      </c>
      <c r="DI288" s="58">
        <v>287</v>
      </c>
      <c r="DW288" s="58">
        <v>261</v>
      </c>
      <c r="DX288" s="58">
        <v>36.145817223701101</v>
      </c>
      <c r="DY288" s="58">
        <v>-25.145817223701101</v>
      </c>
      <c r="DZ288" s="58">
        <v>-8.9643602685602841E-2</v>
      </c>
    </row>
    <row r="289" spans="2:130" ht="17" thickBot="1">
      <c r="B289" s="364" t="s">
        <v>31</v>
      </c>
      <c r="C289" s="365">
        <v>7</v>
      </c>
      <c r="D289" s="365">
        <v>6</v>
      </c>
      <c r="E289" s="365">
        <v>11</v>
      </c>
      <c r="F289" s="365">
        <v>5</v>
      </c>
      <c r="G289" s="365">
        <v>6</v>
      </c>
      <c r="H289" s="365">
        <v>1</v>
      </c>
      <c r="I289" s="365">
        <v>1</v>
      </c>
      <c r="J289" s="365">
        <v>1</v>
      </c>
      <c r="K289" s="365">
        <v>1</v>
      </c>
      <c r="L289" s="366">
        <v>0.62</v>
      </c>
      <c r="M289" s="366">
        <v>0.31</v>
      </c>
      <c r="N289" s="366">
        <v>0.08</v>
      </c>
      <c r="O289">
        <f>SUM(C289:E289)</f>
        <v>24</v>
      </c>
      <c r="P289">
        <f>SUM(F289:H289)</f>
        <v>12</v>
      </c>
      <c r="Q289">
        <f>SUM(I289:K289)</f>
        <v>3</v>
      </c>
      <c r="DC289" s="58">
        <v>262</v>
      </c>
      <c r="DD289" s="58">
        <v>48.069799072764276</v>
      </c>
      <c r="DE289" s="58">
        <v>154.12420803744394</v>
      </c>
      <c r="DF289" s="58">
        <v>0.54944522767465931</v>
      </c>
      <c r="DH289" s="58">
        <v>93.727598566308245</v>
      </c>
      <c r="DI289" s="58">
        <v>298.3</v>
      </c>
      <c r="DW289" s="58">
        <v>262</v>
      </c>
      <c r="DX289" s="58">
        <v>48.069799072764276</v>
      </c>
      <c r="DY289" s="58">
        <v>154.12420803744394</v>
      </c>
      <c r="DZ289" s="58">
        <v>0.54944522767465931</v>
      </c>
    </row>
    <row r="290" spans="2:130" ht="17" thickBot="1">
      <c r="B290" s="364" t="s">
        <v>36</v>
      </c>
      <c r="C290" s="363">
        <v>0</v>
      </c>
      <c r="D290" s="363">
        <v>0</v>
      </c>
      <c r="E290" s="363">
        <v>1</v>
      </c>
      <c r="F290" s="363">
        <v>2</v>
      </c>
      <c r="G290" s="363">
        <v>2</v>
      </c>
      <c r="H290" s="363">
        <v>1</v>
      </c>
      <c r="I290" s="363">
        <v>0</v>
      </c>
      <c r="J290" s="363">
        <v>0</v>
      </c>
      <c r="K290" s="363">
        <v>0</v>
      </c>
      <c r="L290" s="367">
        <v>0.17</v>
      </c>
      <c r="M290" s="367">
        <v>0.83</v>
      </c>
      <c r="N290" s="367">
        <v>0</v>
      </c>
      <c r="O290">
        <f t="shared" ref="O290:O301" si="141">SUM(C290:E290)</f>
        <v>1</v>
      </c>
      <c r="P290">
        <f t="shared" ref="P290:P301" si="142">SUM(F290:H290)</f>
        <v>5</v>
      </c>
      <c r="Q290">
        <f t="shared" ref="Q290:Q301" si="143">SUM(I290:K290)</f>
        <v>0</v>
      </c>
      <c r="DC290" s="58">
        <v>263</v>
      </c>
      <c r="DD290" s="58">
        <v>47.020204640483485</v>
      </c>
      <c r="DE290" s="58">
        <v>-50.020204640483485</v>
      </c>
      <c r="DF290" s="58">
        <v>-0.17831957144815636</v>
      </c>
      <c r="DH290" s="58">
        <v>94.086021505376351</v>
      </c>
      <c r="DI290" s="58">
        <v>356</v>
      </c>
      <c r="DW290" s="58">
        <v>263</v>
      </c>
      <c r="DX290" s="58">
        <v>47.020204640483485</v>
      </c>
      <c r="DY290" s="58">
        <v>-50.020204640483485</v>
      </c>
      <c r="DZ290" s="58">
        <v>-0.17831957144815636</v>
      </c>
    </row>
    <row r="291" spans="2:130" ht="17" thickBot="1">
      <c r="B291" s="364" t="s">
        <v>46</v>
      </c>
      <c r="C291" s="365">
        <v>1</v>
      </c>
      <c r="D291" s="365">
        <v>0</v>
      </c>
      <c r="E291" s="365">
        <v>1</v>
      </c>
      <c r="F291" s="365">
        <v>0</v>
      </c>
      <c r="G291" s="365">
        <v>1</v>
      </c>
      <c r="H291" s="365">
        <v>0</v>
      </c>
      <c r="I291" s="365">
        <v>0</v>
      </c>
      <c r="J291" s="365">
        <v>0</v>
      </c>
      <c r="K291" s="365">
        <v>0</v>
      </c>
      <c r="L291" s="366">
        <v>0.67</v>
      </c>
      <c r="M291" s="366">
        <v>0.33</v>
      </c>
      <c r="N291" s="366">
        <v>0</v>
      </c>
      <c r="O291">
        <f t="shared" si="141"/>
        <v>2</v>
      </c>
      <c r="P291">
        <f t="shared" si="142"/>
        <v>1</v>
      </c>
      <c r="Q291">
        <f t="shared" si="143"/>
        <v>0</v>
      </c>
      <c r="DC291" s="58">
        <v>264</v>
      </c>
      <c r="DD291" s="58">
        <v>44.379281982122052</v>
      </c>
      <c r="DE291" s="58">
        <v>5.6207180178779481</v>
      </c>
      <c r="DF291" s="58">
        <v>2.0037583520154879E-2</v>
      </c>
      <c r="DH291" s="58">
        <v>94.444444444444443</v>
      </c>
      <c r="DI291" s="58">
        <v>434</v>
      </c>
      <c r="DW291" s="58">
        <v>264</v>
      </c>
      <c r="DX291" s="58">
        <v>44.379281982122052</v>
      </c>
      <c r="DY291" s="58">
        <v>5.6207180178779481</v>
      </c>
      <c r="DZ291" s="58">
        <v>2.0037583520154879E-2</v>
      </c>
    </row>
    <row r="292" spans="2:130" ht="17" thickBot="1">
      <c r="B292" s="364" t="s">
        <v>37</v>
      </c>
      <c r="C292" s="363">
        <v>5</v>
      </c>
      <c r="D292" s="363">
        <v>7</v>
      </c>
      <c r="E292" s="363">
        <v>7</v>
      </c>
      <c r="F292" s="363">
        <v>5</v>
      </c>
      <c r="G292" s="363">
        <v>3</v>
      </c>
      <c r="H292" s="363">
        <v>2</v>
      </c>
      <c r="I292" s="363">
        <v>0</v>
      </c>
      <c r="J292" s="363">
        <v>0</v>
      </c>
      <c r="K292" s="363">
        <v>1</v>
      </c>
      <c r="L292" s="367">
        <v>0.63</v>
      </c>
      <c r="M292" s="367">
        <v>0.33</v>
      </c>
      <c r="N292" s="367">
        <v>0.03</v>
      </c>
      <c r="O292">
        <f t="shared" si="141"/>
        <v>19</v>
      </c>
      <c r="P292">
        <f t="shared" si="142"/>
        <v>10</v>
      </c>
      <c r="Q292">
        <f t="shared" si="143"/>
        <v>1</v>
      </c>
      <c r="DC292" s="58">
        <v>265</v>
      </c>
      <c r="DD292" s="58">
        <v>38.631391490394215</v>
      </c>
      <c r="DE292" s="58">
        <v>-3.6313914903942148</v>
      </c>
      <c r="DF292" s="58">
        <v>-1.2945732209249895E-2</v>
      </c>
      <c r="DH292" s="58">
        <v>94.802867383512549</v>
      </c>
      <c r="DI292" s="58">
        <v>462</v>
      </c>
      <c r="DW292" s="58">
        <v>265</v>
      </c>
      <c r="DX292" s="58">
        <v>38.631391490394215</v>
      </c>
      <c r="DY292" s="58">
        <v>-3.6313914903942148</v>
      </c>
      <c r="DZ292" s="58">
        <v>-1.2945732209249895E-2</v>
      </c>
    </row>
    <row r="293" spans="2:130" ht="17" thickBot="1">
      <c r="B293" s="364" t="s">
        <v>38</v>
      </c>
      <c r="C293" s="365">
        <v>28</v>
      </c>
      <c r="D293" s="365">
        <v>30</v>
      </c>
      <c r="E293" s="365">
        <v>32</v>
      </c>
      <c r="F293" s="365">
        <v>16</v>
      </c>
      <c r="G293" s="365">
        <v>14</v>
      </c>
      <c r="H293" s="365">
        <v>14</v>
      </c>
      <c r="I293" s="365">
        <v>3</v>
      </c>
      <c r="J293" s="365">
        <v>3</v>
      </c>
      <c r="K293" s="365">
        <v>1</v>
      </c>
      <c r="L293" s="366">
        <v>0.64</v>
      </c>
      <c r="M293" s="366">
        <v>0.31</v>
      </c>
      <c r="N293" s="366">
        <v>0.05</v>
      </c>
      <c r="O293">
        <f t="shared" si="141"/>
        <v>90</v>
      </c>
      <c r="P293">
        <f t="shared" si="142"/>
        <v>44</v>
      </c>
      <c r="Q293">
        <f t="shared" si="143"/>
        <v>7</v>
      </c>
      <c r="DC293" s="58">
        <v>266</v>
      </c>
      <c r="DD293" s="58">
        <v>70.134491836812771</v>
      </c>
      <c r="DE293" s="58">
        <v>-85.254491836812775</v>
      </c>
      <c r="DF293" s="58">
        <v>-0.30392807381812931</v>
      </c>
      <c r="DH293" s="58">
        <v>95.161290322580641</v>
      </c>
      <c r="DI293" s="58">
        <v>475</v>
      </c>
      <c r="DW293" s="58">
        <v>266</v>
      </c>
      <c r="DX293" s="58">
        <v>70.134491836812771</v>
      </c>
      <c r="DY293" s="58">
        <v>-85.254491836812775</v>
      </c>
      <c r="DZ293" s="58">
        <v>-0.30392807381812931</v>
      </c>
    </row>
    <row r="294" spans="2:130" ht="17" thickBot="1">
      <c r="B294" s="364" t="s">
        <v>39</v>
      </c>
      <c r="C294" s="363">
        <v>1</v>
      </c>
      <c r="D294" s="363">
        <v>1</v>
      </c>
      <c r="E294" s="363">
        <v>1</v>
      </c>
      <c r="F294" s="363">
        <v>0</v>
      </c>
      <c r="G294" s="363">
        <v>0</v>
      </c>
      <c r="H294" s="363">
        <v>0</v>
      </c>
      <c r="I294" s="363">
        <v>0</v>
      </c>
      <c r="J294" s="363">
        <v>0</v>
      </c>
      <c r="K294" s="363">
        <v>0</v>
      </c>
      <c r="L294" s="367">
        <v>1</v>
      </c>
      <c r="M294" s="367">
        <v>0</v>
      </c>
      <c r="N294" s="367">
        <v>0</v>
      </c>
      <c r="O294">
        <f t="shared" si="141"/>
        <v>3</v>
      </c>
      <c r="P294">
        <f t="shared" si="142"/>
        <v>0</v>
      </c>
      <c r="Q294">
        <f t="shared" si="143"/>
        <v>0</v>
      </c>
      <c r="DC294" s="58">
        <v>267</v>
      </c>
      <c r="DD294" s="58">
        <v>72.393775279642369</v>
      </c>
      <c r="DE294" s="58">
        <v>-48.393775279642369</v>
      </c>
      <c r="DF294" s="58">
        <v>-0.17252143070282325</v>
      </c>
      <c r="DH294" s="58">
        <v>95.519713261648747</v>
      </c>
      <c r="DI294" s="58">
        <v>572</v>
      </c>
      <c r="DW294" s="58">
        <v>267</v>
      </c>
      <c r="DX294" s="58">
        <v>72.393775279642369</v>
      </c>
      <c r="DY294" s="58">
        <v>-48.393775279642369</v>
      </c>
      <c r="DZ294" s="58">
        <v>-0.17252143070282325</v>
      </c>
    </row>
    <row r="295" spans="2:130" ht="17" thickBot="1">
      <c r="B295" s="364" t="s">
        <v>40</v>
      </c>
      <c r="C295" s="365">
        <v>1</v>
      </c>
      <c r="D295" s="365">
        <v>1</v>
      </c>
      <c r="E295" s="365">
        <v>1</v>
      </c>
      <c r="F295" s="365">
        <v>0</v>
      </c>
      <c r="G295" s="365">
        <v>0</v>
      </c>
      <c r="H295" s="365">
        <v>0</v>
      </c>
      <c r="I295" s="365">
        <v>0</v>
      </c>
      <c r="J295" s="365">
        <v>0</v>
      </c>
      <c r="K295" s="365">
        <v>0</v>
      </c>
      <c r="L295" s="366">
        <v>1</v>
      </c>
      <c r="M295" s="366">
        <v>0</v>
      </c>
      <c r="N295" s="366">
        <v>0</v>
      </c>
      <c r="O295">
        <f t="shared" si="141"/>
        <v>3</v>
      </c>
      <c r="P295">
        <f t="shared" si="142"/>
        <v>0</v>
      </c>
      <c r="Q295">
        <f t="shared" si="143"/>
        <v>0</v>
      </c>
      <c r="DC295" s="58">
        <v>268</v>
      </c>
      <c r="DD295" s="58">
        <v>159.02639503334203</v>
      </c>
      <c r="DE295" s="58">
        <v>-339.02639503334206</v>
      </c>
      <c r="DF295" s="58">
        <v>-1.2086124378433685</v>
      </c>
      <c r="DH295" s="58">
        <v>95.878136200716852</v>
      </c>
      <c r="DI295" s="58">
        <v>580</v>
      </c>
      <c r="DW295" s="58">
        <v>268</v>
      </c>
      <c r="DX295" s="58">
        <v>159.02639503334203</v>
      </c>
      <c r="DY295" s="58">
        <v>-339.02639503334206</v>
      </c>
      <c r="DZ295" s="58">
        <v>-1.2086124378433685</v>
      </c>
    </row>
    <row r="296" spans="2:130" ht="17" thickBot="1">
      <c r="B296" s="364" t="s">
        <v>41</v>
      </c>
      <c r="C296" s="363">
        <v>1</v>
      </c>
      <c r="D296" s="363">
        <v>2</v>
      </c>
      <c r="E296" s="363">
        <v>3</v>
      </c>
      <c r="F296" s="363">
        <v>2</v>
      </c>
      <c r="G296" s="363">
        <v>2</v>
      </c>
      <c r="H296" s="363">
        <v>1</v>
      </c>
      <c r="I296" s="363">
        <v>1</v>
      </c>
      <c r="J296" s="363">
        <v>0</v>
      </c>
      <c r="K296" s="363">
        <v>0</v>
      </c>
      <c r="L296" s="367">
        <v>0.5</v>
      </c>
      <c r="M296" s="367">
        <v>0.42</v>
      </c>
      <c r="N296" s="367">
        <v>0.08</v>
      </c>
      <c r="O296">
        <f t="shared" si="141"/>
        <v>6</v>
      </c>
      <c r="P296">
        <f t="shared" si="142"/>
        <v>5</v>
      </c>
      <c r="Q296">
        <f t="shared" si="143"/>
        <v>1</v>
      </c>
      <c r="DC296" s="58">
        <v>269</v>
      </c>
      <c r="DD296" s="58">
        <v>76.898878638023646</v>
      </c>
      <c r="DE296" s="58">
        <v>207.10112136197637</v>
      </c>
      <c r="DF296" s="58">
        <v>0.73830532028273776</v>
      </c>
      <c r="DH296" s="58">
        <v>96.236559139784944</v>
      </c>
      <c r="DI296" s="58">
        <v>587</v>
      </c>
      <c r="DW296" s="58">
        <v>269</v>
      </c>
      <c r="DX296" s="58">
        <v>76.898878638023646</v>
      </c>
      <c r="DY296" s="58">
        <v>207.10112136197637</v>
      </c>
      <c r="DZ296" s="58">
        <v>0.73830532028273776</v>
      </c>
    </row>
    <row r="297" spans="2:130" ht="17" thickBot="1">
      <c r="B297" s="364" t="s">
        <v>34</v>
      </c>
      <c r="C297" s="365">
        <v>3</v>
      </c>
      <c r="D297" s="365">
        <v>2</v>
      </c>
      <c r="E297" s="365">
        <v>2</v>
      </c>
      <c r="F297" s="365">
        <v>1</v>
      </c>
      <c r="G297" s="365">
        <v>2</v>
      </c>
      <c r="H297" s="365">
        <v>2</v>
      </c>
      <c r="I297" s="365">
        <v>0</v>
      </c>
      <c r="J297" s="365">
        <v>0</v>
      </c>
      <c r="K297" s="365">
        <v>0</v>
      </c>
      <c r="L297" s="366">
        <v>0.57999999999999996</v>
      </c>
      <c r="M297" s="366">
        <v>0.42</v>
      </c>
      <c r="N297" s="366">
        <v>0</v>
      </c>
      <c r="O297">
        <f t="shared" si="141"/>
        <v>7</v>
      </c>
      <c r="P297">
        <f t="shared" si="142"/>
        <v>5</v>
      </c>
      <c r="Q297">
        <f t="shared" si="143"/>
        <v>0</v>
      </c>
      <c r="DC297" s="58">
        <v>270</v>
      </c>
      <c r="DD297" s="58">
        <v>57.169632896147036</v>
      </c>
      <c r="DE297" s="58">
        <v>36.830367103852964</v>
      </c>
      <c r="DF297" s="58">
        <v>0.13129844880566355</v>
      </c>
      <c r="DH297" s="58">
        <v>96.59498207885305</v>
      </c>
      <c r="DI297" s="58">
        <v>587</v>
      </c>
      <c r="DW297" s="58">
        <v>270</v>
      </c>
      <c r="DX297" s="58">
        <v>57.169632896147036</v>
      </c>
      <c r="DY297" s="58">
        <v>36.830367103852964</v>
      </c>
      <c r="DZ297" s="58">
        <v>0.13129844880566355</v>
      </c>
    </row>
    <row r="298" spans="2:130" ht="17" thickBot="1">
      <c r="B298" s="364" t="s">
        <v>42</v>
      </c>
      <c r="C298" s="363">
        <v>1</v>
      </c>
      <c r="D298" s="363">
        <v>0</v>
      </c>
      <c r="E298" s="363">
        <v>1</v>
      </c>
      <c r="F298" s="363">
        <v>0</v>
      </c>
      <c r="G298" s="363">
        <v>1</v>
      </c>
      <c r="H298" s="363">
        <v>0</v>
      </c>
      <c r="I298" s="363">
        <v>0</v>
      </c>
      <c r="J298" s="363">
        <v>0</v>
      </c>
      <c r="K298" s="363">
        <v>0</v>
      </c>
      <c r="L298" s="367">
        <v>0.67</v>
      </c>
      <c r="M298" s="367">
        <v>0.33</v>
      </c>
      <c r="N298" s="367">
        <v>0</v>
      </c>
      <c r="O298">
        <f t="shared" si="141"/>
        <v>2</v>
      </c>
      <c r="P298">
        <f t="shared" si="142"/>
        <v>1</v>
      </c>
      <c r="Q298">
        <f t="shared" si="143"/>
        <v>0</v>
      </c>
      <c r="DC298" s="58">
        <v>271</v>
      </c>
      <c r="DD298" s="58">
        <v>70.011766607394804</v>
      </c>
      <c r="DE298" s="58">
        <v>-70.011766607394804</v>
      </c>
      <c r="DF298" s="58">
        <v>-0.24958850743394945</v>
      </c>
      <c r="DH298" s="58">
        <v>96.953405017921142</v>
      </c>
      <c r="DI298" s="58">
        <v>629</v>
      </c>
      <c r="DW298" s="58">
        <v>271</v>
      </c>
      <c r="DX298" s="58">
        <v>70.011766607394804</v>
      </c>
      <c r="DY298" s="58">
        <v>-70.011766607394804</v>
      </c>
      <c r="DZ298" s="58">
        <v>-0.24958850743394945</v>
      </c>
    </row>
    <row r="299" spans="2:130" ht="17" thickBot="1">
      <c r="B299" s="364" t="s">
        <v>43</v>
      </c>
      <c r="C299" s="365">
        <v>0</v>
      </c>
      <c r="D299" s="365">
        <v>0</v>
      </c>
      <c r="E299" s="365">
        <v>0</v>
      </c>
      <c r="F299" s="365">
        <v>0</v>
      </c>
      <c r="G299" s="365">
        <v>0</v>
      </c>
      <c r="H299" s="365">
        <v>0</v>
      </c>
      <c r="I299" s="365">
        <v>1</v>
      </c>
      <c r="J299" s="365">
        <v>1</v>
      </c>
      <c r="K299" s="365">
        <v>1</v>
      </c>
      <c r="L299" s="366">
        <v>0</v>
      </c>
      <c r="M299" s="366">
        <v>0</v>
      </c>
      <c r="N299" s="366">
        <v>1</v>
      </c>
      <c r="O299">
        <f t="shared" si="141"/>
        <v>0</v>
      </c>
      <c r="P299">
        <f t="shared" si="142"/>
        <v>0</v>
      </c>
      <c r="Q299">
        <f t="shared" si="143"/>
        <v>3</v>
      </c>
      <c r="DC299" s="58">
        <v>272</v>
      </c>
      <c r="DD299" s="58">
        <v>50.955697229414248</v>
      </c>
      <c r="DE299" s="58">
        <v>186.04430277058574</v>
      </c>
      <c r="DF299" s="58">
        <v>0.66323879677956532</v>
      </c>
      <c r="DH299" s="58">
        <v>97.311827956989248</v>
      </c>
      <c r="DI299" s="58">
        <v>714</v>
      </c>
      <c r="DW299" s="58">
        <v>272</v>
      </c>
      <c r="DX299" s="58">
        <v>50.955697229414248</v>
      </c>
      <c r="DY299" s="58">
        <v>186.04430277058574</v>
      </c>
      <c r="DZ299" s="58">
        <v>0.66323879677956532</v>
      </c>
    </row>
    <row r="300" spans="2:130" ht="17" thickBot="1">
      <c r="B300" s="364" t="s">
        <v>44</v>
      </c>
      <c r="C300" s="363">
        <v>6</v>
      </c>
      <c r="D300" s="363">
        <v>6</v>
      </c>
      <c r="E300" s="363">
        <v>5</v>
      </c>
      <c r="F300" s="363">
        <v>1</v>
      </c>
      <c r="G300" s="363">
        <v>1</v>
      </c>
      <c r="H300" s="363">
        <v>2</v>
      </c>
      <c r="I300" s="363">
        <v>0</v>
      </c>
      <c r="J300" s="363">
        <v>0</v>
      </c>
      <c r="K300" s="363">
        <v>0</v>
      </c>
      <c r="L300" s="367">
        <v>0.81</v>
      </c>
      <c r="M300" s="367">
        <v>0.19</v>
      </c>
      <c r="N300" s="367">
        <v>0</v>
      </c>
      <c r="O300">
        <f t="shared" si="141"/>
        <v>17</v>
      </c>
      <c r="P300">
        <f t="shared" si="142"/>
        <v>4</v>
      </c>
      <c r="Q300">
        <f t="shared" si="143"/>
        <v>0</v>
      </c>
      <c r="DC300" s="58">
        <v>273</v>
      </c>
      <c r="DD300" s="58">
        <v>47.071987437706255</v>
      </c>
      <c r="DE300" s="58">
        <v>-350.07198743770624</v>
      </c>
      <c r="DF300" s="58">
        <v>-1.2479894319619234</v>
      </c>
      <c r="DH300" s="58">
        <v>97.670250896057354</v>
      </c>
      <c r="DI300" s="58">
        <v>845</v>
      </c>
      <c r="DW300" s="58">
        <v>273</v>
      </c>
      <c r="DX300" s="58">
        <v>47.071987437706255</v>
      </c>
      <c r="DY300" s="58">
        <v>-350.07198743770624</v>
      </c>
      <c r="DZ300" s="58">
        <v>-1.2479894319619234</v>
      </c>
    </row>
    <row r="301" spans="2:130" ht="17" thickBot="1">
      <c r="B301" s="364" t="s">
        <v>45</v>
      </c>
      <c r="C301" s="365">
        <v>0</v>
      </c>
      <c r="D301" s="365">
        <v>0</v>
      </c>
      <c r="E301" s="365">
        <v>0</v>
      </c>
      <c r="F301" s="365">
        <v>1</v>
      </c>
      <c r="G301" s="365">
        <v>1</v>
      </c>
      <c r="H301" s="365">
        <v>1</v>
      </c>
      <c r="I301" s="365">
        <v>0</v>
      </c>
      <c r="J301" s="365">
        <v>0</v>
      </c>
      <c r="K301" s="365">
        <v>0</v>
      </c>
      <c r="L301" s="366">
        <v>0</v>
      </c>
      <c r="M301" s="366">
        <v>1</v>
      </c>
      <c r="N301" s="366">
        <v>0</v>
      </c>
      <c r="O301">
        <f t="shared" si="141"/>
        <v>0</v>
      </c>
      <c r="P301">
        <f t="shared" si="142"/>
        <v>3</v>
      </c>
      <c r="Q301">
        <f t="shared" si="143"/>
        <v>0</v>
      </c>
      <c r="DC301" s="58">
        <v>274</v>
      </c>
      <c r="DD301" s="58">
        <v>364.55231721052905</v>
      </c>
      <c r="DE301" s="58">
        <v>-86.552317210529054</v>
      </c>
      <c r="DF301" s="58">
        <v>-0.30855475749763439</v>
      </c>
      <c r="DH301" s="58">
        <v>98.028673835125446</v>
      </c>
      <c r="DI301" s="58">
        <v>1193</v>
      </c>
      <c r="DW301" s="58">
        <v>274</v>
      </c>
      <c r="DX301" s="58">
        <v>364.55231721052905</v>
      </c>
      <c r="DY301" s="58">
        <v>-86.552317210529054</v>
      </c>
      <c r="DZ301" s="58">
        <v>-0.30855475749763439</v>
      </c>
    </row>
    <row r="302" spans="2:130" ht="17" thickBot="1">
      <c r="B302" s="364" t="s">
        <v>376</v>
      </c>
      <c r="C302" s="363">
        <v>54</v>
      </c>
      <c r="D302" s="363">
        <v>55</v>
      </c>
      <c r="E302" s="363">
        <v>65</v>
      </c>
      <c r="F302" s="363">
        <v>33</v>
      </c>
      <c r="G302" s="363">
        <v>33</v>
      </c>
      <c r="H302" s="363">
        <v>24</v>
      </c>
      <c r="I302" s="363">
        <v>6</v>
      </c>
      <c r="J302" s="363">
        <v>5</v>
      </c>
      <c r="K302" s="363">
        <v>4</v>
      </c>
      <c r="L302" s="367">
        <v>0.62</v>
      </c>
      <c r="M302" s="367">
        <v>0.33</v>
      </c>
      <c r="N302" s="367">
        <v>0.05</v>
      </c>
      <c r="O302">
        <f>SUM(O289:O301)</f>
        <v>174</v>
      </c>
      <c r="P302">
        <f t="shared" ref="P302:Q302" si="144">SUM(P289:P301)</f>
        <v>90</v>
      </c>
      <c r="Q302">
        <f t="shared" si="144"/>
        <v>15</v>
      </c>
      <c r="DC302" s="58">
        <v>275</v>
      </c>
      <c r="DD302" s="58">
        <v>43.274754917360298</v>
      </c>
      <c r="DE302" s="58">
        <v>-29.884754917360297</v>
      </c>
      <c r="DF302" s="58">
        <v>-0.10653768268240658</v>
      </c>
      <c r="DH302" s="58">
        <v>98.387096774193552</v>
      </c>
      <c r="DI302" s="58">
        <v>1193</v>
      </c>
      <c r="DW302" s="58">
        <v>275</v>
      </c>
      <c r="DX302" s="58">
        <v>43.274754917360298</v>
      </c>
      <c r="DY302" s="58">
        <v>-29.884754917360297</v>
      </c>
      <c r="DZ302" s="58">
        <v>-0.10653768268240658</v>
      </c>
    </row>
    <row r="303" spans="2:130">
      <c r="B303" s="58"/>
      <c r="C303" s="58"/>
      <c r="DC303" s="58">
        <v>276</v>
      </c>
      <c r="DD303" s="58">
        <v>42.058549619921429</v>
      </c>
      <c r="DE303" s="58">
        <v>-22.016882953254761</v>
      </c>
      <c r="DF303" s="58">
        <v>-7.84891057736916E-2</v>
      </c>
      <c r="DH303" s="58">
        <v>98.745519713261658</v>
      </c>
      <c r="DI303" s="58">
        <v>1526</v>
      </c>
      <c r="DW303" s="58">
        <v>276</v>
      </c>
      <c r="DX303" s="58">
        <v>42.058549619921429</v>
      </c>
      <c r="DY303" s="58">
        <v>-22.016882953254761</v>
      </c>
      <c r="DZ303" s="58">
        <v>-7.84891057736916E-2</v>
      </c>
    </row>
    <row r="304" spans="2:130">
      <c r="B304" s="58"/>
      <c r="C304" s="58"/>
      <c r="DC304" s="58">
        <v>277</v>
      </c>
      <c r="DD304" s="58">
        <v>36.145817223701101</v>
      </c>
      <c r="DE304" s="58">
        <v>-63.145817223701101</v>
      </c>
      <c r="DF304" s="58">
        <v>-0.2251117352878777</v>
      </c>
      <c r="DH304" s="58">
        <v>99.103942652329749</v>
      </c>
      <c r="DI304" s="58">
        <v>1686</v>
      </c>
      <c r="DW304" s="58">
        <v>277</v>
      </c>
      <c r="DX304" s="58">
        <v>36.145817223701101</v>
      </c>
      <c r="DY304" s="58">
        <v>-63.145817223701101</v>
      </c>
      <c r="DZ304" s="58">
        <v>-0.2251117352878777</v>
      </c>
    </row>
    <row r="305" spans="2:130" ht="17" thickBot="1">
      <c r="B305" s="59"/>
      <c r="C305" s="59"/>
      <c r="DC305" s="58">
        <v>278</v>
      </c>
      <c r="DD305" s="58">
        <v>62.917523387874873</v>
      </c>
      <c r="DE305" s="58">
        <v>-4.9175233878748728</v>
      </c>
      <c r="DF305" s="58">
        <v>-1.7530729220616346E-2</v>
      </c>
      <c r="DH305" s="58">
        <v>99.462365591397855</v>
      </c>
      <c r="DI305" s="58">
        <v>1686</v>
      </c>
      <c r="DW305" s="58">
        <v>278</v>
      </c>
      <c r="DX305" s="58">
        <v>62.917523387874873</v>
      </c>
      <c r="DY305" s="58">
        <v>-4.9175233878748728</v>
      </c>
      <c r="DZ305" s="58">
        <v>-1.7530729220616346E-2</v>
      </c>
    </row>
    <row r="306" spans="2:130" ht="17" thickBot="1">
      <c r="DC306" s="59">
        <v>279</v>
      </c>
      <c r="DD306" s="59">
        <v>52.682723493546739</v>
      </c>
      <c r="DE306" s="59">
        <v>-65.736777547600795</v>
      </c>
      <c r="DF306" s="59">
        <v>-0.23434838151749024</v>
      </c>
      <c r="DH306" s="59">
        <v>99.820788530465947</v>
      </c>
      <c r="DI306" s="59">
        <v>1869</v>
      </c>
      <c r="DW306" s="59">
        <v>279</v>
      </c>
      <c r="DX306" s="59">
        <v>52.682723493546739</v>
      </c>
      <c r="DY306" s="59">
        <v>-65.736777547600795</v>
      </c>
      <c r="DZ306" s="59">
        <v>-0.23434838151749024</v>
      </c>
    </row>
    <row r="307" spans="2:130" ht="17" thickBot="1"/>
    <row r="308" spans="2:130" ht="17" thickBot="1">
      <c r="B308" s="389" t="s">
        <v>696</v>
      </c>
      <c r="C308" s="397" t="s">
        <v>403</v>
      </c>
      <c r="D308" s="397" t="s">
        <v>472</v>
      </c>
      <c r="E308" s="397" t="s">
        <v>376</v>
      </c>
      <c r="F308" s="397" t="s">
        <v>472</v>
      </c>
      <c r="G308" s="355"/>
    </row>
    <row r="309" spans="2:130" ht="17" thickBot="1">
      <c r="B309" s="390" t="s">
        <v>385</v>
      </c>
      <c r="C309" s="391">
        <v>17</v>
      </c>
      <c r="D309" s="392">
        <v>0.183</v>
      </c>
      <c r="E309" s="420">
        <v>51</v>
      </c>
      <c r="F309" s="423">
        <v>0.54800000000000004</v>
      </c>
      <c r="G309" s="58"/>
    </row>
    <row r="310" spans="2:130" ht="17" thickBot="1">
      <c r="B310" s="390" t="s">
        <v>384</v>
      </c>
      <c r="C310" s="363">
        <v>16</v>
      </c>
      <c r="D310" s="393">
        <v>0.17199999999999999</v>
      </c>
      <c r="E310" s="421"/>
      <c r="F310" s="424"/>
      <c r="G310" s="58"/>
    </row>
    <row r="311" spans="2:130" ht="17" thickBot="1">
      <c r="B311" s="390" t="s">
        <v>386</v>
      </c>
      <c r="C311" s="391">
        <v>18</v>
      </c>
      <c r="D311" s="392">
        <v>0.19400000000000001</v>
      </c>
      <c r="E311" s="422"/>
      <c r="F311" s="425"/>
      <c r="G311" s="59"/>
      <c r="L311">
        <f>51+17</f>
        <v>68</v>
      </c>
    </row>
    <row r="312" spans="2:130" ht="17" thickBot="1">
      <c r="B312" s="390" t="s">
        <v>387</v>
      </c>
      <c r="C312" s="363">
        <v>17</v>
      </c>
      <c r="D312" s="393">
        <v>0.183</v>
      </c>
      <c r="E312" s="363">
        <v>17</v>
      </c>
      <c r="F312" s="393">
        <v>0.183</v>
      </c>
      <c r="L312">
        <f>54.8+18.3</f>
        <v>73.099999999999994</v>
      </c>
    </row>
    <row r="313" spans="2:130" ht="17" thickBot="1">
      <c r="B313" s="390" t="s">
        <v>388</v>
      </c>
      <c r="C313" s="391">
        <v>16</v>
      </c>
      <c r="D313" s="392">
        <v>0.17199999999999999</v>
      </c>
      <c r="E313" s="420">
        <v>25</v>
      </c>
      <c r="F313" s="423">
        <v>0.26900000000000002</v>
      </c>
      <c r="G313" s="355"/>
      <c r="H313" s="355"/>
      <c r="I313" s="355"/>
      <c r="J313" s="355"/>
    </row>
    <row r="314" spans="2:130" ht="17" thickBot="1">
      <c r="B314" s="390" t="s">
        <v>389</v>
      </c>
      <c r="C314" s="363">
        <v>6</v>
      </c>
      <c r="D314" s="393">
        <v>6.5000000000000002E-2</v>
      </c>
      <c r="E314" s="421"/>
      <c r="F314" s="424"/>
      <c r="G314" s="58"/>
      <c r="H314" s="58"/>
      <c r="I314" s="58"/>
      <c r="J314" s="58"/>
    </row>
    <row r="315" spans="2:130" ht="17" thickBot="1">
      <c r="B315" s="390" t="s">
        <v>390</v>
      </c>
      <c r="C315" s="391">
        <v>3</v>
      </c>
      <c r="D315" s="392">
        <v>3.2000000000000001E-2</v>
      </c>
      <c r="E315" s="422"/>
      <c r="F315" s="425"/>
      <c r="G315" s="59"/>
      <c r="H315" s="59"/>
      <c r="I315" s="59"/>
      <c r="J315" s="59"/>
    </row>
    <row r="319" spans="2:130">
      <c r="G319" t="s">
        <v>716</v>
      </c>
      <c r="K319" t="s">
        <v>719</v>
      </c>
    </row>
    <row r="320" spans="2:130" ht="17" thickBot="1">
      <c r="K320" t="s">
        <v>720</v>
      </c>
      <c r="L320" t="s">
        <v>721</v>
      </c>
    </row>
    <row r="321" spans="2:10">
      <c r="B321" s="355"/>
      <c r="C321" s="355"/>
      <c r="D321" s="355"/>
      <c r="E321" s="355"/>
      <c r="F321" t="s">
        <v>717</v>
      </c>
      <c r="G321">
        <v>68</v>
      </c>
      <c r="H321" s="95">
        <v>0.26900000000000002</v>
      </c>
      <c r="I321" s="398">
        <v>0.24</v>
      </c>
      <c r="J321" s="398"/>
    </row>
    <row r="322" spans="2:10">
      <c r="B322" s="58"/>
      <c r="C322" s="58"/>
      <c r="D322" s="58"/>
      <c r="E322" s="58"/>
      <c r="F322" t="s">
        <v>718</v>
      </c>
      <c r="G322">
        <v>25</v>
      </c>
      <c r="H322" s="95">
        <v>0.73099999999999998</v>
      </c>
      <c r="I322" s="398">
        <v>0.76</v>
      </c>
      <c r="J322" s="398"/>
    </row>
    <row r="323" spans="2:10">
      <c r="B323" s="58"/>
      <c r="C323" s="58"/>
      <c r="D323" s="58"/>
      <c r="E323" s="58"/>
      <c r="F323" t="s">
        <v>376</v>
      </c>
      <c r="G323">
        <v>93</v>
      </c>
    </row>
    <row r="324" spans="2:10">
      <c r="B324" s="58"/>
      <c r="C324" s="58"/>
      <c r="D324" s="58"/>
      <c r="E324" s="58"/>
    </row>
    <row r="325" spans="2:10">
      <c r="B325" s="58"/>
      <c r="C325" s="58"/>
      <c r="D325" s="58"/>
      <c r="E325" s="58"/>
    </row>
    <row r="326" spans="2:10">
      <c r="B326" s="58"/>
      <c r="C326" s="58"/>
      <c r="D326" s="58"/>
      <c r="E326" s="58"/>
    </row>
    <row r="327" spans="2:10">
      <c r="B327" s="58"/>
      <c r="C327" s="58"/>
      <c r="D327" s="58"/>
      <c r="E327" s="58"/>
    </row>
    <row r="328" spans="2:10">
      <c r="B328" s="58"/>
      <c r="C328" s="58"/>
      <c r="D328" s="58"/>
      <c r="E328" s="58"/>
    </row>
    <row r="329" spans="2:10">
      <c r="B329" s="58"/>
      <c r="C329" s="58"/>
      <c r="D329" s="58"/>
      <c r="E329" s="58"/>
    </row>
    <row r="330" spans="2:10">
      <c r="B330" s="58"/>
      <c r="C330" s="58"/>
      <c r="D330" s="58"/>
      <c r="E330" s="58"/>
    </row>
    <row r="331" spans="2:10">
      <c r="B331" s="58"/>
      <c r="C331" s="58"/>
      <c r="D331" s="58"/>
      <c r="E331" s="58"/>
    </row>
    <row r="332" spans="2:10">
      <c r="B332" s="58"/>
      <c r="C332" s="58"/>
      <c r="D332" s="58"/>
      <c r="E332" s="58"/>
    </row>
    <row r="333" spans="2:10">
      <c r="B333" s="58"/>
      <c r="C333" s="58"/>
      <c r="D333" s="58"/>
      <c r="E333" s="58"/>
    </row>
    <row r="334" spans="2:10">
      <c r="B334" s="58"/>
      <c r="C334" s="58"/>
      <c r="D334" s="58"/>
      <c r="E334" s="58"/>
    </row>
    <row r="335" spans="2:10">
      <c r="B335" s="58"/>
      <c r="C335" s="58"/>
      <c r="D335" s="58"/>
      <c r="E335" s="58"/>
    </row>
    <row r="336" spans="2:10">
      <c r="B336" s="58"/>
      <c r="C336" s="58"/>
      <c r="D336" s="58"/>
      <c r="E336" s="58"/>
    </row>
    <row r="337" spans="2:5">
      <c r="B337" s="58"/>
      <c r="C337" s="58"/>
      <c r="D337" s="58"/>
      <c r="E337" s="58"/>
    </row>
    <row r="338" spans="2:5">
      <c r="B338" s="58"/>
      <c r="C338" s="58"/>
      <c r="D338" s="58"/>
      <c r="E338" s="58"/>
    </row>
    <row r="339" spans="2:5">
      <c r="B339" s="58"/>
      <c r="C339" s="58"/>
      <c r="D339" s="58"/>
      <c r="E339" s="58"/>
    </row>
    <row r="340" spans="2:5">
      <c r="B340" s="58"/>
      <c r="C340" s="58"/>
      <c r="D340" s="58"/>
      <c r="E340" s="58"/>
    </row>
    <row r="341" spans="2:5">
      <c r="B341" s="58"/>
      <c r="C341" s="58"/>
      <c r="D341" s="58"/>
      <c r="E341" s="58"/>
    </row>
    <row r="342" spans="2:5">
      <c r="B342" s="58"/>
      <c r="C342" s="58"/>
      <c r="D342" s="58"/>
      <c r="E342" s="58"/>
    </row>
    <row r="343" spans="2:5">
      <c r="B343" s="58"/>
      <c r="C343" s="58"/>
      <c r="D343" s="58"/>
      <c r="E343" s="58"/>
    </row>
    <row r="344" spans="2:5">
      <c r="B344" s="58"/>
      <c r="C344" s="58"/>
      <c r="D344" s="58"/>
      <c r="E344" s="58"/>
    </row>
    <row r="345" spans="2:5">
      <c r="B345" s="58"/>
      <c r="C345" s="58"/>
      <c r="D345" s="58"/>
      <c r="E345" s="58"/>
    </row>
    <row r="346" spans="2:5">
      <c r="B346" s="58"/>
      <c r="C346" s="58"/>
      <c r="D346" s="58"/>
      <c r="E346" s="58"/>
    </row>
    <row r="347" spans="2:5">
      <c r="B347" s="58"/>
      <c r="C347" s="58"/>
      <c r="D347" s="58"/>
      <c r="E347" s="58"/>
    </row>
    <row r="348" spans="2:5">
      <c r="B348" s="58"/>
      <c r="C348" s="58"/>
      <c r="D348" s="58"/>
      <c r="E348" s="58"/>
    </row>
    <row r="349" spans="2:5">
      <c r="B349" s="58"/>
      <c r="C349" s="58"/>
      <c r="D349" s="58"/>
      <c r="E349" s="58"/>
    </row>
    <row r="350" spans="2:5">
      <c r="B350" s="58"/>
      <c r="C350" s="58"/>
      <c r="D350" s="58"/>
      <c r="E350" s="58"/>
    </row>
    <row r="351" spans="2:5">
      <c r="B351" s="58"/>
      <c r="C351" s="58"/>
      <c r="D351" s="58"/>
      <c r="E351" s="58"/>
    </row>
    <row r="352" spans="2:5">
      <c r="B352" s="58"/>
      <c r="C352" s="58"/>
      <c r="D352" s="58"/>
      <c r="E352" s="58"/>
    </row>
    <row r="353" spans="2:6">
      <c r="B353" s="58"/>
      <c r="C353" s="58"/>
      <c r="D353" s="58"/>
      <c r="E353" s="58"/>
    </row>
    <row r="354" spans="2:6">
      <c r="B354" s="58"/>
      <c r="C354" s="58"/>
      <c r="D354" s="58"/>
      <c r="E354" s="58"/>
    </row>
    <row r="355" spans="2:6">
      <c r="B355" s="58"/>
      <c r="C355" s="58"/>
      <c r="D355" s="58"/>
      <c r="E355" s="58"/>
    </row>
    <row r="356" spans="2:6">
      <c r="B356" s="58"/>
      <c r="C356" s="58"/>
      <c r="D356" s="58"/>
      <c r="E356" s="58"/>
    </row>
    <row r="357" spans="2:6">
      <c r="B357" s="58"/>
      <c r="C357" s="58"/>
      <c r="D357" s="58"/>
      <c r="E357" s="58"/>
    </row>
    <row r="358" spans="2:6">
      <c r="B358" s="58"/>
      <c r="C358" s="58"/>
      <c r="D358" s="58"/>
      <c r="E358" s="58"/>
    </row>
    <row r="359" spans="2:6" ht="17" thickBot="1">
      <c r="B359" s="58"/>
      <c r="C359" s="58"/>
      <c r="D359" s="58"/>
      <c r="E359" s="58"/>
    </row>
    <row r="360" spans="2:6" ht="17" thickBot="1">
      <c r="B360" s="389" t="s">
        <v>696</v>
      </c>
      <c r="C360" s="373" t="s">
        <v>403</v>
      </c>
      <c r="D360" s="373" t="s">
        <v>472</v>
      </c>
      <c r="E360" s="373" t="s">
        <v>376</v>
      </c>
      <c r="F360" s="373" t="s">
        <v>472</v>
      </c>
    </row>
    <row r="361" spans="2:6" ht="17" thickBot="1">
      <c r="B361" s="390" t="s">
        <v>385</v>
      </c>
      <c r="C361" s="391">
        <v>17</v>
      </c>
      <c r="D361" s="392">
        <v>0.183</v>
      </c>
      <c r="E361" s="420">
        <v>51</v>
      </c>
      <c r="F361" s="423">
        <v>0.54800000000000004</v>
      </c>
    </row>
    <row r="362" spans="2:6" ht="17" thickBot="1">
      <c r="B362" s="390" t="s">
        <v>384</v>
      </c>
      <c r="C362" s="363">
        <v>16</v>
      </c>
      <c r="D362" s="393">
        <v>0.17199999999999999</v>
      </c>
      <c r="E362" s="421"/>
      <c r="F362" s="424"/>
    </row>
    <row r="363" spans="2:6" ht="17" thickBot="1">
      <c r="B363" s="390" t="s">
        <v>386</v>
      </c>
      <c r="C363" s="391">
        <v>18</v>
      </c>
      <c r="D363" s="392">
        <v>0.19400000000000001</v>
      </c>
      <c r="E363" s="422"/>
      <c r="F363" s="425"/>
    </row>
    <row r="364" spans="2:6" ht="17" thickBot="1">
      <c r="B364" s="390" t="s">
        <v>387</v>
      </c>
      <c r="C364" s="363">
        <v>17</v>
      </c>
      <c r="D364" s="393">
        <v>0.183</v>
      </c>
      <c r="E364" s="363">
        <v>17</v>
      </c>
      <c r="F364" s="393">
        <v>0.183</v>
      </c>
    </row>
    <row r="365" spans="2:6" ht="17" thickBot="1">
      <c r="B365" s="390" t="s">
        <v>388</v>
      </c>
      <c r="C365" s="391">
        <v>16</v>
      </c>
      <c r="D365" s="392">
        <v>0.17199999999999999</v>
      </c>
      <c r="E365" s="420">
        <v>25</v>
      </c>
      <c r="F365" s="423">
        <v>0.26900000000000002</v>
      </c>
    </row>
    <row r="366" spans="2:6" ht="17" thickBot="1">
      <c r="B366" s="390" t="s">
        <v>389</v>
      </c>
      <c r="C366" s="363">
        <v>6</v>
      </c>
      <c r="D366" s="393">
        <v>6.5000000000000002E-2</v>
      </c>
      <c r="E366" s="421"/>
      <c r="F366" s="424"/>
    </row>
    <row r="367" spans="2:6" ht="17" thickBot="1">
      <c r="B367" s="390" t="s">
        <v>390</v>
      </c>
      <c r="C367" s="391">
        <v>3</v>
      </c>
      <c r="D367" s="392">
        <v>3.2000000000000001E-2</v>
      </c>
      <c r="E367" s="422"/>
      <c r="F367" s="425"/>
    </row>
    <row r="368" spans="2:6">
      <c r="B368" s="58"/>
      <c r="C368" s="58"/>
      <c r="D368" s="58"/>
      <c r="E368" s="58"/>
    </row>
    <row r="369" spans="2:14">
      <c r="B369" s="58"/>
      <c r="C369" s="58"/>
      <c r="D369" s="58"/>
      <c r="E369" s="58"/>
    </row>
    <row r="370" spans="2:14">
      <c r="B370" s="58"/>
      <c r="C370" s="58"/>
      <c r="D370" s="58"/>
      <c r="E370" s="58"/>
    </row>
    <row r="371" spans="2:14" ht="17" thickBot="1">
      <c r="B371" s="58"/>
      <c r="C371" s="58"/>
      <c r="D371" s="58"/>
      <c r="E371" s="58"/>
    </row>
    <row r="372" spans="2:14" ht="17" thickBot="1">
      <c r="B372" s="389" t="s">
        <v>696</v>
      </c>
      <c r="C372" s="373" t="s">
        <v>403</v>
      </c>
      <c r="D372" s="373" t="s">
        <v>472</v>
      </c>
      <c r="E372" s="373" t="s">
        <v>376</v>
      </c>
      <c r="F372" s="373" t="s">
        <v>472</v>
      </c>
    </row>
    <row r="373" spans="2:14" ht="17" thickBot="1">
      <c r="B373" s="390" t="s">
        <v>385</v>
      </c>
      <c r="C373" s="391">
        <v>7</v>
      </c>
      <c r="D373" s="392">
        <v>7.4999999999999997E-2</v>
      </c>
      <c r="E373" s="420">
        <v>30</v>
      </c>
      <c r="F373" s="423">
        <v>0.32300000000000001</v>
      </c>
    </row>
    <row r="374" spans="2:14" ht="17" thickBot="1">
      <c r="B374" s="390" t="s">
        <v>384</v>
      </c>
      <c r="C374" s="363">
        <v>15</v>
      </c>
      <c r="D374" s="393">
        <v>0.161</v>
      </c>
      <c r="E374" s="421"/>
      <c r="F374" s="424"/>
    </row>
    <row r="375" spans="2:14" ht="17" thickBot="1">
      <c r="B375" s="390" t="s">
        <v>386</v>
      </c>
      <c r="C375" s="391">
        <v>8</v>
      </c>
      <c r="D375" s="392">
        <v>8.5999999999999993E-2</v>
      </c>
      <c r="E375" s="422"/>
      <c r="F375" s="425"/>
    </row>
    <row r="376" spans="2:14" ht="17" thickBot="1">
      <c r="B376" s="390" t="s">
        <v>387</v>
      </c>
      <c r="C376" s="363">
        <v>8</v>
      </c>
      <c r="D376" s="393">
        <v>8.5999999999999993E-2</v>
      </c>
      <c r="E376" s="363">
        <v>8</v>
      </c>
      <c r="F376" s="393">
        <v>8.5999999999999993E-2</v>
      </c>
    </row>
    <row r="377" spans="2:14" ht="17" thickBot="1">
      <c r="B377" s="390" t="s">
        <v>388</v>
      </c>
      <c r="C377" s="391">
        <v>22</v>
      </c>
      <c r="D377" s="392">
        <v>0.23699999999999999</v>
      </c>
      <c r="E377" s="420">
        <v>55</v>
      </c>
      <c r="F377" s="423">
        <v>0.59099999999999997</v>
      </c>
    </row>
    <row r="378" spans="2:14" ht="17" thickBot="1">
      <c r="B378" s="390" t="s">
        <v>389</v>
      </c>
      <c r="C378" s="363">
        <v>20</v>
      </c>
      <c r="D378" s="393">
        <v>0.215</v>
      </c>
      <c r="E378" s="421"/>
      <c r="F378" s="424"/>
    </row>
    <row r="379" spans="2:14" ht="17" thickBot="1">
      <c r="B379" s="390" t="s">
        <v>390</v>
      </c>
      <c r="C379" s="391">
        <v>13</v>
      </c>
      <c r="D379" s="392">
        <v>0.14000000000000001</v>
      </c>
      <c r="E379" s="422"/>
      <c r="F379" s="425"/>
    </row>
    <row r="380" spans="2:14">
      <c r="B380" s="58"/>
      <c r="C380" s="58"/>
      <c r="D380" s="58"/>
      <c r="E380" s="58"/>
    </row>
    <row r="381" spans="2:14">
      <c r="B381" s="58"/>
      <c r="C381" s="58"/>
      <c r="D381" s="58"/>
      <c r="E381" s="58"/>
    </row>
    <row r="382" spans="2:14" ht="17" thickBot="1">
      <c r="B382" s="58"/>
      <c r="C382" s="58"/>
      <c r="D382" s="58"/>
      <c r="E382" s="58"/>
    </row>
    <row r="383" spans="2:14" ht="17" thickBot="1">
      <c r="B383" s="360"/>
      <c r="C383" s="426" t="s">
        <v>474</v>
      </c>
      <c r="D383" s="427"/>
      <c r="E383" s="428"/>
      <c r="F383" s="426" t="s">
        <v>475</v>
      </c>
      <c r="G383" s="427"/>
      <c r="H383" s="428"/>
      <c r="I383" s="426" t="s">
        <v>476</v>
      </c>
      <c r="J383" s="427"/>
      <c r="K383" s="428"/>
      <c r="L383" s="361"/>
      <c r="M383" s="361"/>
      <c r="N383" s="361"/>
    </row>
    <row r="384" spans="2:14" ht="17" thickBot="1">
      <c r="B384" s="362"/>
      <c r="C384" s="363">
        <v>2015</v>
      </c>
      <c r="D384" s="363">
        <v>2016</v>
      </c>
      <c r="E384" s="363">
        <v>2017</v>
      </c>
      <c r="F384" s="363">
        <v>2015</v>
      </c>
      <c r="G384" s="363">
        <v>2016</v>
      </c>
      <c r="H384" s="363">
        <v>2017</v>
      </c>
      <c r="I384" s="363">
        <v>2015</v>
      </c>
      <c r="J384" s="363">
        <v>2016</v>
      </c>
      <c r="K384" s="363">
        <v>2017</v>
      </c>
      <c r="L384" s="363" t="s">
        <v>480</v>
      </c>
      <c r="M384" s="363" t="s">
        <v>481</v>
      </c>
      <c r="N384" s="363">
        <v>0</v>
      </c>
    </row>
    <row r="385" spans="2:14" ht="17" thickBot="1">
      <c r="B385" s="364" t="s">
        <v>31</v>
      </c>
      <c r="C385" s="365">
        <v>7</v>
      </c>
      <c r="D385" s="365">
        <v>6</v>
      </c>
      <c r="E385" s="365">
        <v>11</v>
      </c>
      <c r="F385" s="365">
        <v>5</v>
      </c>
      <c r="G385" s="365">
        <v>6</v>
      </c>
      <c r="H385" s="365">
        <v>1</v>
      </c>
      <c r="I385" s="365">
        <v>1</v>
      </c>
      <c r="J385" s="365">
        <v>1</v>
      </c>
      <c r="K385" s="365">
        <v>1</v>
      </c>
      <c r="L385" s="366">
        <v>0.62</v>
      </c>
      <c r="M385" s="366">
        <v>0.31</v>
      </c>
      <c r="N385" s="366">
        <v>0.08</v>
      </c>
    </row>
    <row r="386" spans="2:14" ht="17" thickBot="1">
      <c r="B386" s="364" t="s">
        <v>36</v>
      </c>
      <c r="C386" s="363">
        <v>0</v>
      </c>
      <c r="D386" s="363">
        <v>0</v>
      </c>
      <c r="E386" s="363">
        <v>1</v>
      </c>
      <c r="F386" s="363">
        <v>2</v>
      </c>
      <c r="G386" s="363">
        <v>2</v>
      </c>
      <c r="H386" s="363">
        <v>1</v>
      </c>
      <c r="I386" s="363">
        <v>0</v>
      </c>
      <c r="J386" s="363">
        <v>0</v>
      </c>
      <c r="K386" s="363">
        <v>0</v>
      </c>
      <c r="L386" s="367">
        <v>0.17</v>
      </c>
      <c r="M386" s="367">
        <v>0.83</v>
      </c>
      <c r="N386" s="367">
        <v>0</v>
      </c>
    </row>
    <row r="387" spans="2:14" ht="17" thickBot="1">
      <c r="B387" s="364" t="s">
        <v>46</v>
      </c>
      <c r="C387" s="365">
        <v>1</v>
      </c>
      <c r="D387" s="365">
        <v>0</v>
      </c>
      <c r="E387" s="365">
        <v>1</v>
      </c>
      <c r="F387" s="365">
        <v>0</v>
      </c>
      <c r="G387" s="365">
        <v>1</v>
      </c>
      <c r="H387" s="365">
        <v>0</v>
      </c>
      <c r="I387" s="365">
        <v>0</v>
      </c>
      <c r="J387" s="365">
        <v>0</v>
      </c>
      <c r="K387" s="365">
        <v>0</v>
      </c>
      <c r="L387" s="366">
        <v>0.67</v>
      </c>
      <c r="M387" s="366">
        <v>0.33</v>
      </c>
      <c r="N387" s="366">
        <v>0</v>
      </c>
    </row>
    <row r="388" spans="2:14" ht="17" thickBot="1">
      <c r="B388" s="364" t="s">
        <v>37</v>
      </c>
      <c r="C388" s="363">
        <v>5</v>
      </c>
      <c r="D388" s="363">
        <v>7</v>
      </c>
      <c r="E388" s="363">
        <v>7</v>
      </c>
      <c r="F388" s="363">
        <v>5</v>
      </c>
      <c r="G388" s="363">
        <v>3</v>
      </c>
      <c r="H388" s="363">
        <v>2</v>
      </c>
      <c r="I388" s="363">
        <v>0</v>
      </c>
      <c r="J388" s="363">
        <v>0</v>
      </c>
      <c r="K388" s="363">
        <v>1</v>
      </c>
      <c r="L388" s="367">
        <v>0.63</v>
      </c>
      <c r="M388" s="367">
        <v>0.33</v>
      </c>
      <c r="N388" s="367">
        <v>0.03</v>
      </c>
    </row>
    <row r="389" spans="2:14" ht="17" thickBot="1">
      <c r="B389" s="364" t="s">
        <v>38</v>
      </c>
      <c r="C389" s="365">
        <v>28</v>
      </c>
      <c r="D389" s="365">
        <v>30</v>
      </c>
      <c r="E389" s="365">
        <v>32</v>
      </c>
      <c r="F389" s="365">
        <v>16</v>
      </c>
      <c r="G389" s="365">
        <v>14</v>
      </c>
      <c r="H389" s="365">
        <v>14</v>
      </c>
      <c r="I389" s="365">
        <v>3</v>
      </c>
      <c r="J389" s="365">
        <v>3</v>
      </c>
      <c r="K389" s="365">
        <v>1</v>
      </c>
      <c r="L389" s="366">
        <v>0.64</v>
      </c>
      <c r="M389" s="366">
        <v>0.31</v>
      </c>
      <c r="N389" s="366">
        <v>0.05</v>
      </c>
    </row>
    <row r="390" spans="2:14" ht="17" thickBot="1">
      <c r="B390" s="364" t="s">
        <v>39</v>
      </c>
      <c r="C390" s="363">
        <v>1</v>
      </c>
      <c r="D390" s="363">
        <v>1</v>
      </c>
      <c r="E390" s="363">
        <v>1</v>
      </c>
      <c r="F390" s="363">
        <v>0</v>
      </c>
      <c r="G390" s="363">
        <v>0</v>
      </c>
      <c r="H390" s="363">
        <v>0</v>
      </c>
      <c r="I390" s="363">
        <v>0</v>
      </c>
      <c r="J390" s="363">
        <v>0</v>
      </c>
      <c r="K390" s="363">
        <v>0</v>
      </c>
      <c r="L390" s="367">
        <v>1</v>
      </c>
      <c r="M390" s="367">
        <v>0</v>
      </c>
      <c r="N390" s="367">
        <v>0</v>
      </c>
    </row>
    <row r="391" spans="2:14" ht="17" thickBot="1">
      <c r="B391" s="364" t="s">
        <v>40</v>
      </c>
      <c r="C391" s="365">
        <v>1</v>
      </c>
      <c r="D391" s="365">
        <v>1</v>
      </c>
      <c r="E391" s="365">
        <v>1</v>
      </c>
      <c r="F391" s="365">
        <v>0</v>
      </c>
      <c r="G391" s="365">
        <v>0</v>
      </c>
      <c r="H391" s="365">
        <v>0</v>
      </c>
      <c r="I391" s="365">
        <v>0</v>
      </c>
      <c r="J391" s="365">
        <v>0</v>
      </c>
      <c r="K391" s="365">
        <v>0</v>
      </c>
      <c r="L391" s="366">
        <v>1</v>
      </c>
      <c r="M391" s="366">
        <v>0</v>
      </c>
      <c r="N391" s="366">
        <v>0</v>
      </c>
    </row>
    <row r="392" spans="2:14" ht="17" thickBot="1">
      <c r="B392" s="364" t="s">
        <v>41</v>
      </c>
      <c r="C392" s="363">
        <v>1</v>
      </c>
      <c r="D392" s="363">
        <v>2</v>
      </c>
      <c r="E392" s="363">
        <v>3</v>
      </c>
      <c r="F392" s="363">
        <v>2</v>
      </c>
      <c r="G392" s="363">
        <v>2</v>
      </c>
      <c r="H392" s="363">
        <v>1</v>
      </c>
      <c r="I392" s="363">
        <v>1</v>
      </c>
      <c r="J392" s="363">
        <v>0</v>
      </c>
      <c r="K392" s="363">
        <v>0</v>
      </c>
      <c r="L392" s="367">
        <v>0.5</v>
      </c>
      <c r="M392" s="367">
        <v>0.42</v>
      </c>
      <c r="N392" s="367">
        <v>0.08</v>
      </c>
    </row>
    <row r="393" spans="2:14" ht="17" thickBot="1">
      <c r="B393" s="364" t="s">
        <v>34</v>
      </c>
      <c r="C393" s="365">
        <v>3</v>
      </c>
      <c r="D393" s="365">
        <v>2</v>
      </c>
      <c r="E393" s="365">
        <v>2</v>
      </c>
      <c r="F393" s="365">
        <v>1</v>
      </c>
      <c r="G393" s="365">
        <v>2</v>
      </c>
      <c r="H393" s="365">
        <v>2</v>
      </c>
      <c r="I393" s="365">
        <v>0</v>
      </c>
      <c r="J393" s="365">
        <v>0</v>
      </c>
      <c r="K393" s="365">
        <v>0</v>
      </c>
      <c r="L393" s="366">
        <v>0.57999999999999996</v>
      </c>
      <c r="M393" s="366">
        <v>0.42</v>
      </c>
      <c r="N393" s="366">
        <v>0</v>
      </c>
    </row>
    <row r="394" spans="2:14" ht="17" thickBot="1">
      <c r="B394" s="364" t="s">
        <v>42</v>
      </c>
      <c r="C394" s="363">
        <v>1</v>
      </c>
      <c r="D394" s="363">
        <v>0</v>
      </c>
      <c r="E394" s="363">
        <v>1</v>
      </c>
      <c r="F394" s="363">
        <v>0</v>
      </c>
      <c r="G394" s="363">
        <v>1</v>
      </c>
      <c r="H394" s="363">
        <v>0</v>
      </c>
      <c r="I394" s="363">
        <v>0</v>
      </c>
      <c r="J394" s="363">
        <v>0</v>
      </c>
      <c r="K394" s="363">
        <v>0</v>
      </c>
      <c r="L394" s="367">
        <v>0.67</v>
      </c>
      <c r="M394" s="367">
        <v>0.33</v>
      </c>
      <c r="N394" s="367">
        <v>0</v>
      </c>
    </row>
    <row r="395" spans="2:14" ht="17" thickBot="1">
      <c r="B395" s="364" t="s">
        <v>43</v>
      </c>
      <c r="C395" s="365">
        <v>0</v>
      </c>
      <c r="D395" s="365">
        <v>0</v>
      </c>
      <c r="E395" s="365">
        <v>0</v>
      </c>
      <c r="F395" s="365">
        <v>0</v>
      </c>
      <c r="G395" s="365">
        <v>0</v>
      </c>
      <c r="H395" s="365">
        <v>0</v>
      </c>
      <c r="I395" s="365">
        <v>1</v>
      </c>
      <c r="J395" s="365">
        <v>1</v>
      </c>
      <c r="K395" s="365">
        <v>1</v>
      </c>
      <c r="L395" s="366">
        <v>0</v>
      </c>
      <c r="M395" s="366">
        <v>0</v>
      </c>
      <c r="N395" s="366">
        <v>1</v>
      </c>
    </row>
    <row r="396" spans="2:14" ht="17" thickBot="1">
      <c r="B396" s="364" t="s">
        <v>44</v>
      </c>
      <c r="C396" s="363">
        <v>6</v>
      </c>
      <c r="D396" s="363">
        <v>6</v>
      </c>
      <c r="E396" s="363">
        <v>5</v>
      </c>
      <c r="F396" s="363">
        <v>1</v>
      </c>
      <c r="G396" s="363">
        <v>1</v>
      </c>
      <c r="H396" s="363">
        <v>2</v>
      </c>
      <c r="I396" s="363">
        <v>0</v>
      </c>
      <c r="J396" s="363">
        <v>0</v>
      </c>
      <c r="K396" s="363">
        <v>0</v>
      </c>
      <c r="L396" s="367">
        <v>0.81</v>
      </c>
      <c r="M396" s="367">
        <v>0.19</v>
      </c>
      <c r="N396" s="367">
        <v>0</v>
      </c>
    </row>
    <row r="397" spans="2:14" ht="17" thickBot="1">
      <c r="B397" s="364" t="s">
        <v>45</v>
      </c>
      <c r="C397" s="365">
        <v>0</v>
      </c>
      <c r="D397" s="365">
        <v>0</v>
      </c>
      <c r="E397" s="365">
        <v>0</v>
      </c>
      <c r="F397" s="365">
        <v>1</v>
      </c>
      <c r="G397" s="365">
        <v>1</v>
      </c>
      <c r="H397" s="365">
        <v>1</v>
      </c>
      <c r="I397" s="365">
        <v>0</v>
      </c>
      <c r="J397" s="365">
        <v>0</v>
      </c>
      <c r="K397" s="365">
        <v>0</v>
      </c>
      <c r="L397" s="366">
        <v>0</v>
      </c>
      <c r="M397" s="366">
        <v>1</v>
      </c>
      <c r="N397" s="366">
        <v>0</v>
      </c>
    </row>
    <row r="398" spans="2:14" ht="17" thickBot="1">
      <c r="B398" s="364" t="s">
        <v>376</v>
      </c>
      <c r="C398" s="363">
        <v>54</v>
      </c>
      <c r="D398" s="363">
        <v>55</v>
      </c>
      <c r="E398" s="363">
        <v>65</v>
      </c>
      <c r="F398" s="363">
        <v>33</v>
      </c>
      <c r="G398" s="363">
        <v>33</v>
      </c>
      <c r="H398" s="363">
        <v>24</v>
      </c>
      <c r="I398" s="363">
        <v>6</v>
      </c>
      <c r="J398" s="363">
        <v>5</v>
      </c>
      <c r="K398" s="363">
        <v>4</v>
      </c>
      <c r="L398" s="393">
        <v>0.624</v>
      </c>
      <c r="M398" s="393">
        <v>0.32300000000000001</v>
      </c>
      <c r="N398" s="393">
        <v>5.3999999999999999E-2</v>
      </c>
    </row>
    <row r="399" spans="2:14">
      <c r="B399" s="58"/>
      <c r="C399" s="58"/>
      <c r="D399" s="58"/>
      <c r="E399" s="58"/>
    </row>
    <row r="400" spans="2:14">
      <c r="B400" s="58"/>
      <c r="C400" s="58"/>
      <c r="D400" s="58"/>
      <c r="E400" s="58"/>
    </row>
    <row r="401" spans="2:5">
      <c r="B401" s="58"/>
      <c r="C401" s="58"/>
      <c r="D401" s="58"/>
      <c r="E401" s="58"/>
    </row>
    <row r="402" spans="2:5">
      <c r="B402" s="58"/>
      <c r="C402" s="58"/>
      <c r="D402" s="58"/>
      <c r="E402" s="58"/>
    </row>
    <row r="403" spans="2:5">
      <c r="B403" s="58"/>
      <c r="C403" s="58"/>
      <c r="D403" s="58"/>
      <c r="E403" s="58"/>
    </row>
    <row r="404" spans="2:5">
      <c r="B404" s="58"/>
      <c r="C404" s="58"/>
      <c r="D404" s="58"/>
      <c r="E404" s="58"/>
    </row>
    <row r="405" spans="2:5">
      <c r="B405" s="58"/>
      <c r="C405" s="58"/>
      <c r="D405" s="58"/>
      <c r="E405" s="58"/>
    </row>
    <row r="406" spans="2:5">
      <c r="B406" s="58"/>
      <c r="C406" s="58"/>
      <c r="D406" s="58"/>
      <c r="E406" s="58"/>
    </row>
    <row r="407" spans="2:5">
      <c r="B407" s="58"/>
      <c r="C407" s="58"/>
      <c r="D407" s="58"/>
      <c r="E407" s="58"/>
    </row>
    <row r="408" spans="2:5">
      <c r="B408" s="58"/>
      <c r="C408" s="58"/>
      <c r="D408" s="58"/>
      <c r="E408" s="58"/>
    </row>
    <row r="409" spans="2:5">
      <c r="B409" s="58"/>
      <c r="C409" s="58"/>
      <c r="D409" s="58"/>
      <c r="E409" s="58"/>
    </row>
    <row r="410" spans="2:5">
      <c r="B410" s="58"/>
      <c r="C410" s="58"/>
      <c r="D410" s="58"/>
      <c r="E410" s="58"/>
    </row>
    <row r="411" spans="2:5">
      <c r="B411" s="58"/>
      <c r="C411" s="58"/>
      <c r="D411" s="58"/>
      <c r="E411" s="58"/>
    </row>
    <row r="412" spans="2:5">
      <c r="B412" s="58"/>
      <c r="C412" s="58"/>
      <c r="D412" s="58"/>
      <c r="E412" s="58"/>
    </row>
    <row r="413" spans="2:5">
      <c r="B413" s="58"/>
      <c r="C413" s="58"/>
      <c r="D413" s="58"/>
      <c r="E413" s="58"/>
    </row>
    <row r="414" spans="2:5" ht="17" thickBot="1">
      <c r="B414" s="59"/>
      <c r="C414" s="59"/>
      <c r="D414" s="59"/>
      <c r="E414" s="59"/>
    </row>
  </sheetData>
  <sortState xmlns:xlrd2="http://schemas.microsoft.com/office/spreadsheetml/2017/richdata2" ref="DI28:DI306">
    <sortCondition ref="DI28"/>
  </sortState>
  <mergeCells count="18">
    <mergeCell ref="C287:E287"/>
    <mergeCell ref="F287:H287"/>
    <mergeCell ref="I287:K287"/>
    <mergeCell ref="E373:E375"/>
    <mergeCell ref="F373:F375"/>
    <mergeCell ref="E361:E363"/>
    <mergeCell ref="F361:F363"/>
    <mergeCell ref="E365:E367"/>
    <mergeCell ref="F365:F367"/>
    <mergeCell ref="E309:E311"/>
    <mergeCell ref="F309:F311"/>
    <mergeCell ref="E313:E315"/>
    <mergeCell ref="F313:F315"/>
    <mergeCell ref="E377:E379"/>
    <mergeCell ref="F377:F379"/>
    <mergeCell ref="C383:E383"/>
    <mergeCell ref="F383:H383"/>
    <mergeCell ref="I383:K383"/>
  </mergeCells>
  <phoneticPr fontId="3" type="noConversion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Data</vt:lpstr>
      <vt:lpstr>Úspěšnost sběru dat</vt:lpstr>
      <vt:lpstr>Členská základna</vt:lpstr>
      <vt:lpstr>Výsledek hospodaření </vt:lpstr>
      <vt:lpstr>!Diverzifikace zdrojů</vt:lpstr>
      <vt:lpstr>!Rentabilita</vt:lpstr>
      <vt:lpstr>!Autarkie</vt:lpstr>
      <vt:lpstr>VO 2</vt:lpstr>
      <vt:lpstr>VO 1,3,4,5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2019-05-15T12:58:04Z</dcterms:created>
  <dcterms:modified xsi:type="dcterms:W3CDTF">2019-07-07T19:45:57Z</dcterms:modified>
</cp:coreProperties>
</file>