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_práce\other\dp\"/>
    </mc:Choice>
  </mc:AlternateContent>
  <xr:revisionPtr revIDLastSave="0" documentId="13_ncr:1_{24CC0502-B938-428D-816B-9201234AD6EE}" xr6:coauthVersionLast="43" xr6:coauthVersionMax="43" xr10:uidLastSave="{00000000-0000-0000-0000-000000000000}"/>
  <bookViews>
    <workbookView xWindow="-120" yWindow="-120" windowWidth="20730" windowHeight="11160" firstSheet="7" activeTab="13" xr2:uid="{00000000-000D-0000-FFFF-FFFF00000000}"/>
  </bookViews>
  <sheets>
    <sheet name="konkurence" sheetId="8" r:id="rId1"/>
    <sheet name="rozvaha" sheetId="1" r:id="rId2"/>
    <sheet name="výsledovka" sheetId="3" r:id="rId3"/>
    <sheet name="hor.an" sheetId="2" r:id="rId4"/>
    <sheet name="ver.an_rozv" sheetId="5" r:id="rId5"/>
    <sheet name="ver.an_výsl" sheetId="6" r:id="rId6"/>
    <sheet name="rentabilita" sheetId="7" r:id="rId7"/>
    <sheet name="likvidita" sheetId="9" r:id="rId8"/>
    <sheet name="aktivita" sheetId="10" r:id="rId9"/>
    <sheet name="zadluženost" sheetId="11" r:id="rId10"/>
    <sheet name="produktivita" sheetId="12" r:id="rId11"/>
    <sheet name="EVA" sheetId="13" r:id="rId12"/>
    <sheet name="ČPK" sheetId="14" r:id="rId13"/>
    <sheet name="Alt.index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5" l="1"/>
  <c r="H9" i="15"/>
  <c r="I9" i="15"/>
  <c r="J9" i="15"/>
  <c r="F9" i="15"/>
  <c r="G8" i="15"/>
  <c r="H8" i="15"/>
  <c r="I8" i="15"/>
  <c r="J8" i="15"/>
  <c r="F8" i="15"/>
  <c r="G7" i="15"/>
  <c r="H7" i="15"/>
  <c r="I7" i="15"/>
  <c r="J7" i="15"/>
  <c r="F7" i="15"/>
  <c r="G6" i="15"/>
  <c r="H6" i="15"/>
  <c r="I6" i="15"/>
  <c r="J6" i="15"/>
  <c r="F6" i="15"/>
  <c r="G5" i="15"/>
  <c r="H5" i="15"/>
  <c r="I5" i="15"/>
  <c r="J5" i="15"/>
  <c r="F5" i="15"/>
  <c r="F5" i="7"/>
  <c r="E8" i="14"/>
  <c r="F8" i="14"/>
  <c r="G8" i="14"/>
  <c r="H8" i="14"/>
  <c r="I8" i="14"/>
  <c r="F7" i="14"/>
  <c r="G7" i="14"/>
  <c r="H7" i="14"/>
  <c r="I7" i="14"/>
  <c r="E7" i="14"/>
  <c r="F6" i="14"/>
  <c r="G6" i="14"/>
  <c r="H6" i="14"/>
  <c r="I6" i="14"/>
  <c r="E6" i="14"/>
  <c r="F5" i="14"/>
  <c r="G5" i="14"/>
  <c r="H5" i="14"/>
  <c r="I5" i="14"/>
  <c r="E5" i="14"/>
  <c r="G16" i="13"/>
  <c r="F16" i="13"/>
  <c r="G15" i="13"/>
  <c r="H15" i="13"/>
  <c r="I15" i="13"/>
  <c r="J15" i="13"/>
  <c r="F15" i="13"/>
  <c r="G14" i="13"/>
  <c r="F14" i="13"/>
  <c r="G13" i="13"/>
  <c r="H13" i="13"/>
  <c r="I13" i="13"/>
  <c r="J13" i="13"/>
  <c r="F13" i="13"/>
  <c r="G7" i="13"/>
  <c r="H7" i="13"/>
  <c r="I7" i="13"/>
  <c r="J7" i="13"/>
  <c r="F7" i="13"/>
  <c r="F6" i="13"/>
  <c r="V7" i="13"/>
  <c r="S7" i="13"/>
  <c r="T7" i="13"/>
  <c r="U7" i="13"/>
  <c r="R7" i="13"/>
  <c r="F5" i="12" l="1"/>
  <c r="G5" i="12"/>
  <c r="H5" i="12"/>
  <c r="E5" i="12"/>
  <c r="P7" i="12"/>
  <c r="Q7" i="12"/>
  <c r="R7" i="12"/>
  <c r="O7" i="12"/>
  <c r="F4" i="12"/>
  <c r="G4" i="12"/>
  <c r="H4" i="12"/>
  <c r="E4" i="12"/>
  <c r="E14" i="11"/>
  <c r="D14" i="11"/>
  <c r="E13" i="11"/>
  <c r="F13" i="11"/>
  <c r="G13" i="11"/>
  <c r="H13" i="11"/>
  <c r="D13" i="11"/>
  <c r="E12" i="11"/>
  <c r="D12" i="11"/>
  <c r="E11" i="11"/>
  <c r="F11" i="11"/>
  <c r="G11" i="11"/>
  <c r="H11" i="11"/>
  <c r="D11" i="11"/>
  <c r="E6" i="11"/>
  <c r="F6" i="11"/>
  <c r="G6" i="11"/>
  <c r="H6" i="11"/>
  <c r="D6" i="11"/>
  <c r="E5" i="11"/>
  <c r="F5" i="11"/>
  <c r="G5" i="11"/>
  <c r="H5" i="11"/>
  <c r="D5" i="11"/>
  <c r="I22" i="10" l="1"/>
  <c r="J22" i="10"/>
  <c r="K22" i="10"/>
  <c r="L22" i="10"/>
  <c r="M22" i="10"/>
  <c r="I23" i="10"/>
  <c r="J23" i="10"/>
  <c r="I24" i="10"/>
  <c r="J24" i="10"/>
  <c r="K24" i="10"/>
  <c r="L24" i="10"/>
  <c r="M24" i="10"/>
  <c r="I25" i="10"/>
  <c r="J25" i="10"/>
  <c r="J21" i="10"/>
  <c r="K21" i="10"/>
  <c r="L21" i="10"/>
  <c r="M21" i="10"/>
  <c r="I21" i="10"/>
  <c r="F8" i="10"/>
  <c r="G8" i="10"/>
  <c r="H8" i="10"/>
  <c r="I8" i="10"/>
  <c r="E8" i="10"/>
  <c r="E7" i="10"/>
  <c r="F7" i="10"/>
  <c r="G7" i="10"/>
  <c r="H7" i="10"/>
  <c r="I7" i="10"/>
  <c r="E6" i="10"/>
  <c r="F6" i="10"/>
  <c r="G6" i="10"/>
  <c r="H6" i="10"/>
  <c r="I6" i="10"/>
  <c r="F5" i="10"/>
  <c r="G5" i="10"/>
  <c r="H5" i="10"/>
  <c r="I5" i="10"/>
  <c r="E5" i="10"/>
  <c r="F15" i="9"/>
  <c r="E15" i="9"/>
  <c r="F14" i="9"/>
  <c r="G14" i="9"/>
  <c r="H14" i="9"/>
  <c r="I14" i="9"/>
  <c r="E14" i="9"/>
  <c r="F13" i="9"/>
  <c r="E13" i="9"/>
  <c r="F12" i="9"/>
  <c r="G12" i="9"/>
  <c r="H12" i="9"/>
  <c r="I12" i="9"/>
  <c r="E12" i="9"/>
  <c r="F7" i="9" l="1"/>
  <c r="G7" i="9"/>
  <c r="H7" i="9"/>
  <c r="I7" i="9"/>
  <c r="E7" i="9"/>
  <c r="F6" i="9"/>
  <c r="G6" i="9"/>
  <c r="H6" i="9"/>
  <c r="I6" i="9"/>
  <c r="E6" i="9"/>
  <c r="F5" i="9"/>
  <c r="G5" i="9"/>
  <c r="H5" i="9"/>
  <c r="I5" i="9"/>
  <c r="E5" i="9"/>
  <c r="G16" i="7"/>
  <c r="F16" i="7"/>
  <c r="G15" i="7"/>
  <c r="H15" i="7"/>
  <c r="I15" i="7"/>
  <c r="J15" i="7"/>
  <c r="F15" i="7"/>
  <c r="G14" i="7"/>
  <c r="F14" i="7"/>
  <c r="G13" i="7"/>
  <c r="H13" i="7"/>
  <c r="I13" i="7"/>
  <c r="J13" i="7"/>
  <c r="F13" i="7"/>
  <c r="BC29" i="8" l="1"/>
  <c r="BC28" i="8"/>
  <c r="BC18" i="8"/>
  <c r="BC17" i="8"/>
  <c r="BC15" i="8"/>
  <c r="AR29" i="8"/>
  <c r="AR28" i="8"/>
  <c r="AQ29" i="8"/>
  <c r="AP29" i="8"/>
  <c r="AQ28" i="8"/>
  <c r="AP28" i="8"/>
  <c r="AK11" i="8"/>
  <c r="AJ11" i="8"/>
  <c r="AI11" i="8"/>
  <c r="AO29" i="8"/>
  <c r="AN29" i="8"/>
  <c r="AO28" i="8"/>
  <c r="AN28" i="8"/>
  <c r="AO23" i="8"/>
  <c r="AN23" i="8"/>
  <c r="AO22" i="8"/>
  <c r="AN22" i="8"/>
  <c r="AO18" i="8"/>
  <c r="AN18" i="8"/>
  <c r="AO15" i="8" l="1"/>
  <c r="AN15" i="8"/>
  <c r="Z18" i="8" l="1"/>
  <c r="Y18" i="8"/>
  <c r="Z17" i="8"/>
  <c r="Y17" i="8"/>
  <c r="K29" i="8"/>
  <c r="J29" i="8"/>
  <c r="K22" i="8"/>
  <c r="J22" i="8"/>
  <c r="K18" i="8"/>
  <c r="J18" i="8"/>
  <c r="J17" i="8"/>
  <c r="K17" i="8"/>
  <c r="K15" i="8"/>
  <c r="J15" i="8"/>
  <c r="G8" i="7"/>
  <c r="H8" i="7"/>
  <c r="I8" i="7"/>
  <c r="J8" i="7"/>
  <c r="F8" i="7"/>
  <c r="G7" i="7"/>
  <c r="H7" i="7"/>
  <c r="I7" i="7"/>
  <c r="J7" i="7"/>
  <c r="F7" i="7"/>
  <c r="G6" i="7"/>
  <c r="H6" i="7"/>
  <c r="I6" i="7"/>
  <c r="J6" i="7"/>
  <c r="F6" i="7"/>
  <c r="G5" i="7"/>
  <c r="H5" i="7"/>
  <c r="I5" i="7"/>
  <c r="J5" i="7"/>
  <c r="F3" i="5" l="1"/>
  <c r="F4" i="5"/>
  <c r="F5" i="5"/>
  <c r="F6" i="5"/>
  <c r="F7" i="5"/>
  <c r="F9" i="5"/>
  <c r="F10" i="5"/>
  <c r="F11" i="5"/>
  <c r="F13" i="5"/>
  <c r="F14" i="5"/>
  <c r="F15" i="5"/>
  <c r="F17" i="5"/>
  <c r="F18" i="5"/>
  <c r="F19" i="5"/>
  <c r="F20" i="5"/>
  <c r="F21" i="5"/>
  <c r="F22" i="5"/>
  <c r="F23" i="5"/>
  <c r="F24" i="5"/>
  <c r="F25" i="5"/>
  <c r="F26" i="5"/>
  <c r="F28" i="5"/>
  <c r="F29" i="5"/>
  <c r="F30" i="5"/>
  <c r="F31" i="5"/>
  <c r="F32" i="5"/>
  <c r="F33" i="5"/>
  <c r="F34" i="5"/>
  <c r="F35" i="5"/>
  <c r="F36" i="5"/>
  <c r="F37" i="5"/>
  <c r="F2" i="5"/>
  <c r="I3" i="5"/>
  <c r="J3" i="5"/>
  <c r="K3" i="5"/>
  <c r="L3" i="5"/>
  <c r="M3" i="5"/>
  <c r="I4" i="5"/>
  <c r="J4" i="5"/>
  <c r="K4" i="5"/>
  <c r="L4" i="5"/>
  <c r="M4" i="5"/>
  <c r="J5" i="5"/>
  <c r="K5" i="5"/>
  <c r="L5" i="5"/>
  <c r="M5" i="5"/>
  <c r="I6" i="5"/>
  <c r="J6" i="5"/>
  <c r="K6" i="5"/>
  <c r="L6" i="5"/>
  <c r="M6" i="5"/>
  <c r="I7" i="5"/>
  <c r="J7" i="5"/>
  <c r="K7" i="5"/>
  <c r="L7" i="5"/>
  <c r="M7" i="5"/>
  <c r="I8" i="5"/>
  <c r="J8" i="5"/>
  <c r="K8" i="5"/>
  <c r="L8" i="5"/>
  <c r="M8" i="5"/>
  <c r="I9" i="5"/>
  <c r="J9" i="5"/>
  <c r="K9" i="5"/>
  <c r="L9" i="5"/>
  <c r="M9" i="5"/>
  <c r="I10" i="5"/>
  <c r="J10" i="5"/>
  <c r="K10" i="5"/>
  <c r="L10" i="5"/>
  <c r="M10" i="5"/>
  <c r="I11" i="5"/>
  <c r="J11" i="5"/>
  <c r="K11" i="5"/>
  <c r="L11" i="5"/>
  <c r="M11" i="5"/>
  <c r="I12" i="5"/>
  <c r="J13" i="5"/>
  <c r="K13" i="5"/>
  <c r="L13" i="5"/>
  <c r="M13" i="5"/>
  <c r="I14" i="5"/>
  <c r="J14" i="5"/>
  <c r="K14" i="5"/>
  <c r="L14" i="5"/>
  <c r="M14" i="5"/>
  <c r="I15" i="5"/>
  <c r="J15" i="5"/>
  <c r="I16" i="5"/>
  <c r="J16" i="5"/>
  <c r="K16" i="5"/>
  <c r="L16" i="5"/>
  <c r="M16" i="5"/>
  <c r="I17" i="5"/>
  <c r="J17" i="5"/>
  <c r="K17" i="5"/>
  <c r="L17" i="5"/>
  <c r="M17" i="5"/>
  <c r="I18" i="5"/>
  <c r="J18" i="5"/>
  <c r="K18" i="5"/>
  <c r="L18" i="5"/>
  <c r="M18" i="5"/>
  <c r="I19" i="5"/>
  <c r="J19" i="5"/>
  <c r="K19" i="5"/>
  <c r="L19" i="5"/>
  <c r="M19" i="5"/>
  <c r="I20" i="5"/>
  <c r="J20" i="5"/>
  <c r="K20" i="5"/>
  <c r="L20" i="5"/>
  <c r="M20" i="5"/>
  <c r="I21" i="5"/>
  <c r="J21" i="5"/>
  <c r="K21" i="5"/>
  <c r="L21" i="5"/>
  <c r="M21" i="5"/>
  <c r="M2" i="5"/>
  <c r="L2" i="5"/>
  <c r="K2" i="5"/>
  <c r="J15" i="6"/>
  <c r="K15" i="6"/>
  <c r="L15" i="6"/>
  <c r="M15" i="6"/>
  <c r="N15" i="6"/>
  <c r="J16" i="6"/>
  <c r="K16" i="6"/>
  <c r="L16" i="6"/>
  <c r="M16" i="6"/>
  <c r="N16" i="6"/>
  <c r="J17" i="6"/>
  <c r="K17" i="6"/>
  <c r="L17" i="6"/>
  <c r="M17" i="6"/>
  <c r="N17" i="6"/>
  <c r="J18" i="6"/>
  <c r="K18" i="6"/>
  <c r="L18" i="6"/>
  <c r="M18" i="6"/>
  <c r="N18" i="6"/>
  <c r="N14" i="6"/>
  <c r="M14" i="6"/>
  <c r="L14" i="6"/>
  <c r="K14" i="6"/>
  <c r="J14" i="6"/>
  <c r="J3" i="6"/>
  <c r="K3" i="6"/>
  <c r="L3" i="6"/>
  <c r="M3" i="6"/>
  <c r="N3" i="6"/>
  <c r="J4" i="6"/>
  <c r="K4" i="6"/>
  <c r="L4" i="6"/>
  <c r="M4" i="6"/>
  <c r="N4" i="6"/>
  <c r="J5" i="6"/>
  <c r="K5" i="6"/>
  <c r="L5" i="6"/>
  <c r="M5" i="6"/>
  <c r="N5" i="6"/>
  <c r="J6" i="6"/>
  <c r="K6" i="6"/>
  <c r="L6" i="6"/>
  <c r="M6" i="6"/>
  <c r="N6" i="6"/>
  <c r="J7" i="6"/>
  <c r="K7" i="6"/>
  <c r="L7" i="6"/>
  <c r="M7" i="6"/>
  <c r="N7" i="6"/>
  <c r="J8" i="6"/>
  <c r="K8" i="6"/>
  <c r="L8" i="6"/>
  <c r="M8" i="6"/>
  <c r="N8" i="6"/>
  <c r="J9" i="6"/>
  <c r="K9" i="6"/>
  <c r="L9" i="6"/>
  <c r="M9" i="6"/>
  <c r="N9" i="6"/>
  <c r="J10" i="6"/>
  <c r="K10" i="6"/>
  <c r="L10" i="6"/>
  <c r="M10" i="6"/>
  <c r="N10" i="6"/>
  <c r="J11" i="6"/>
  <c r="K11" i="6"/>
  <c r="L11" i="6"/>
  <c r="M11" i="6"/>
  <c r="N11" i="6"/>
  <c r="N2" i="6"/>
  <c r="M2" i="6"/>
  <c r="L2" i="6"/>
  <c r="K2" i="6"/>
  <c r="J2" i="6"/>
  <c r="H5" i="3"/>
  <c r="J2" i="5"/>
  <c r="I2" i="5"/>
  <c r="E7" i="5"/>
  <c r="B4" i="5"/>
  <c r="D4" i="5"/>
  <c r="D5" i="5"/>
  <c r="C5" i="5"/>
  <c r="B5" i="5"/>
  <c r="B6" i="5"/>
  <c r="C6" i="5"/>
  <c r="D6" i="5"/>
  <c r="B3" i="5"/>
  <c r="C3" i="5"/>
  <c r="D3" i="5"/>
  <c r="E3" i="5"/>
  <c r="C4" i="5"/>
  <c r="E4" i="5"/>
  <c r="E5" i="5"/>
  <c r="E6" i="5"/>
  <c r="B8" i="5"/>
  <c r="C8" i="5"/>
  <c r="D8" i="5"/>
  <c r="C9" i="5"/>
  <c r="B10" i="5"/>
  <c r="C10" i="5"/>
  <c r="D10" i="5"/>
  <c r="E10" i="5"/>
  <c r="B11" i="5"/>
  <c r="C11" i="5"/>
  <c r="D11" i="5"/>
  <c r="E11" i="5"/>
  <c r="C12" i="5"/>
  <c r="D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D26" i="5"/>
  <c r="E26" i="5"/>
  <c r="B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37" i="5"/>
  <c r="C37" i="5"/>
  <c r="D37" i="5"/>
  <c r="E37" i="5"/>
  <c r="E2" i="5"/>
  <c r="D2" i="5"/>
  <c r="C2" i="5"/>
  <c r="B2" i="5"/>
  <c r="S5" i="2"/>
  <c r="S6" i="2"/>
  <c r="S7" i="2"/>
  <c r="S8" i="2"/>
  <c r="S9" i="2"/>
  <c r="S10" i="2"/>
  <c r="S11" i="2"/>
  <c r="S12" i="2"/>
  <c r="S13" i="2"/>
  <c r="S15" i="2"/>
  <c r="S16" i="2"/>
  <c r="S18" i="2"/>
  <c r="S19" i="2"/>
  <c r="S20" i="2"/>
  <c r="S21" i="2"/>
  <c r="S22" i="2"/>
  <c r="S23" i="2"/>
  <c r="S4" i="2"/>
  <c r="B21" i="2"/>
  <c r="C21" i="2"/>
  <c r="X11" i="2"/>
  <c r="V5" i="2"/>
  <c r="W5" i="2"/>
  <c r="X5" i="2"/>
  <c r="Y5" i="2"/>
  <c r="Z5" i="2"/>
  <c r="AA5" i="2"/>
  <c r="AB5" i="2"/>
  <c r="AC5" i="2"/>
  <c r="V6" i="2"/>
  <c r="W6" i="2"/>
  <c r="X6" i="2"/>
  <c r="Y6" i="2"/>
  <c r="Z6" i="2"/>
  <c r="AA6" i="2"/>
  <c r="AB6" i="2"/>
  <c r="AC6" i="2"/>
  <c r="V7" i="2"/>
  <c r="W7" i="2"/>
  <c r="X7" i="2"/>
  <c r="Y7" i="2"/>
  <c r="Z7" i="2"/>
  <c r="AA7" i="2"/>
  <c r="AB7" i="2"/>
  <c r="AC7" i="2"/>
  <c r="V8" i="2"/>
  <c r="W8" i="2"/>
  <c r="X8" i="2"/>
  <c r="Y8" i="2"/>
  <c r="Z8" i="2"/>
  <c r="AA8" i="2"/>
  <c r="AB8" i="2"/>
  <c r="AC8" i="2"/>
  <c r="V9" i="2"/>
  <c r="W9" i="2"/>
  <c r="X9" i="2"/>
  <c r="Y9" i="2"/>
  <c r="Z9" i="2"/>
  <c r="AA9" i="2"/>
  <c r="AB9" i="2"/>
  <c r="AC9" i="2"/>
  <c r="V10" i="2"/>
  <c r="W10" i="2"/>
  <c r="X10" i="2"/>
  <c r="Y10" i="2"/>
  <c r="Z10" i="2"/>
  <c r="AA10" i="2"/>
  <c r="AB10" i="2"/>
  <c r="AC10" i="2"/>
  <c r="V11" i="2"/>
  <c r="W11" i="2"/>
  <c r="Y11" i="2"/>
  <c r="Z11" i="2"/>
  <c r="AA11" i="2"/>
  <c r="AB11" i="2"/>
  <c r="AC11" i="2"/>
  <c r="V12" i="2"/>
  <c r="W12" i="2"/>
  <c r="X12" i="2"/>
  <c r="Y12" i="2"/>
  <c r="Z12" i="2"/>
  <c r="AA12" i="2"/>
  <c r="AB12" i="2"/>
  <c r="AC12" i="2"/>
  <c r="V13" i="2"/>
  <c r="W13" i="2"/>
  <c r="X13" i="2"/>
  <c r="Y13" i="2"/>
  <c r="Z13" i="2"/>
  <c r="AA13" i="2"/>
  <c r="AB13" i="2"/>
  <c r="AC13" i="2"/>
  <c r="V14" i="2"/>
  <c r="W14" i="2"/>
  <c r="X14" i="2"/>
  <c r="Y14" i="2"/>
  <c r="Z14" i="2"/>
  <c r="AA14" i="2"/>
  <c r="AB14" i="2"/>
  <c r="AC14" i="2"/>
  <c r="V15" i="2"/>
  <c r="W15" i="2"/>
  <c r="X15" i="2"/>
  <c r="Y15" i="2"/>
  <c r="Z15" i="2"/>
  <c r="AA15" i="2"/>
  <c r="AB15" i="2"/>
  <c r="AC15" i="2"/>
  <c r="V16" i="2"/>
  <c r="W16" i="2"/>
  <c r="X16" i="2"/>
  <c r="Y16" i="2"/>
  <c r="Z16" i="2"/>
  <c r="AA16" i="2"/>
  <c r="AB16" i="2"/>
  <c r="AC16" i="2"/>
  <c r="V17" i="2"/>
  <c r="W17" i="2"/>
  <c r="X17" i="2"/>
  <c r="Y17" i="2"/>
  <c r="Z17" i="2"/>
  <c r="AA17" i="2"/>
  <c r="AB17" i="2"/>
  <c r="AC17" i="2"/>
  <c r="V18" i="2"/>
  <c r="W18" i="2"/>
  <c r="X18" i="2"/>
  <c r="Y18" i="2"/>
  <c r="Z18" i="2"/>
  <c r="AA18" i="2"/>
  <c r="AB18" i="2"/>
  <c r="AC18" i="2"/>
  <c r="V19" i="2"/>
  <c r="W19" i="2"/>
  <c r="X19" i="2"/>
  <c r="Y19" i="2"/>
  <c r="Z19" i="2"/>
  <c r="AA19" i="2"/>
  <c r="AB19" i="2"/>
  <c r="AC19" i="2"/>
  <c r="V20" i="2"/>
  <c r="W20" i="2"/>
  <c r="X20" i="2"/>
  <c r="Y20" i="2"/>
  <c r="Z20" i="2"/>
  <c r="AA20" i="2"/>
  <c r="AB20" i="2"/>
  <c r="AC20" i="2"/>
  <c r="V21" i="2"/>
  <c r="W21" i="2"/>
  <c r="X21" i="2"/>
  <c r="Y21" i="2"/>
  <c r="Z21" i="2"/>
  <c r="AA21" i="2"/>
  <c r="AB21" i="2"/>
  <c r="AC21" i="2"/>
  <c r="V22" i="2"/>
  <c r="W22" i="2"/>
  <c r="X22" i="2"/>
  <c r="Y22" i="2"/>
  <c r="Z22" i="2"/>
  <c r="AA22" i="2"/>
  <c r="AB22" i="2"/>
  <c r="AC22" i="2"/>
  <c r="V23" i="2"/>
  <c r="W23" i="2"/>
  <c r="X23" i="2"/>
  <c r="Y23" i="2"/>
  <c r="Z23" i="2"/>
  <c r="AA23" i="2"/>
  <c r="AB23" i="2"/>
  <c r="AC23" i="2"/>
  <c r="V24" i="2"/>
  <c r="W24" i="2"/>
  <c r="X24" i="2"/>
  <c r="Y24" i="2"/>
  <c r="Z24" i="2"/>
  <c r="AA24" i="2"/>
  <c r="AB24" i="2"/>
  <c r="AC24" i="2"/>
  <c r="V25" i="2"/>
  <c r="W25" i="2"/>
  <c r="X25" i="2"/>
  <c r="Y25" i="2"/>
  <c r="Z25" i="2"/>
  <c r="AA25" i="2"/>
  <c r="AB25" i="2"/>
  <c r="AC25" i="2"/>
  <c r="V26" i="2"/>
  <c r="W26" i="2"/>
  <c r="X26" i="2"/>
  <c r="Y26" i="2"/>
  <c r="Z26" i="2"/>
  <c r="AA26" i="2"/>
  <c r="AB26" i="2"/>
  <c r="AC26" i="2"/>
  <c r="V27" i="2"/>
  <c r="W27" i="2"/>
  <c r="X27" i="2"/>
  <c r="Y27" i="2"/>
  <c r="Z27" i="2"/>
  <c r="AA27" i="2"/>
  <c r="AB27" i="2"/>
  <c r="AC27" i="2"/>
  <c r="V28" i="2"/>
  <c r="W28" i="2"/>
  <c r="X28" i="2"/>
  <c r="Y28" i="2"/>
  <c r="Z28" i="2"/>
  <c r="AA28" i="2"/>
  <c r="AB28" i="2"/>
  <c r="AC28" i="2"/>
  <c r="V29" i="2"/>
  <c r="W29" i="2"/>
  <c r="X29" i="2"/>
  <c r="Y29" i="2"/>
  <c r="Z29" i="2"/>
  <c r="AA29" i="2"/>
  <c r="AB29" i="2"/>
  <c r="AC29" i="2"/>
  <c r="AC4" i="2"/>
  <c r="AB4" i="2"/>
  <c r="AA4" i="2"/>
  <c r="Z4" i="2"/>
  <c r="Y4" i="2"/>
  <c r="X4" i="2"/>
  <c r="W4" i="2"/>
  <c r="V4" i="2"/>
  <c r="L5" i="2"/>
  <c r="M5" i="2"/>
  <c r="N5" i="2"/>
  <c r="O5" i="2"/>
  <c r="P5" i="2"/>
  <c r="Q5" i="2"/>
  <c r="R5" i="2"/>
  <c r="L6" i="2"/>
  <c r="M6" i="2"/>
  <c r="N6" i="2"/>
  <c r="O6" i="2"/>
  <c r="P6" i="2"/>
  <c r="Q6" i="2"/>
  <c r="R6" i="2"/>
  <c r="L7" i="2"/>
  <c r="M7" i="2"/>
  <c r="N7" i="2"/>
  <c r="O7" i="2"/>
  <c r="P7" i="2"/>
  <c r="Q7" i="2"/>
  <c r="R7" i="2"/>
  <c r="L8" i="2"/>
  <c r="M8" i="2"/>
  <c r="N8" i="2"/>
  <c r="O8" i="2"/>
  <c r="P8" i="2"/>
  <c r="Q8" i="2"/>
  <c r="R8" i="2"/>
  <c r="L9" i="2"/>
  <c r="M9" i="2"/>
  <c r="N9" i="2"/>
  <c r="O9" i="2"/>
  <c r="P9" i="2"/>
  <c r="Q9" i="2"/>
  <c r="R9" i="2"/>
  <c r="L10" i="2"/>
  <c r="M10" i="2"/>
  <c r="N10" i="2"/>
  <c r="O10" i="2"/>
  <c r="P10" i="2"/>
  <c r="Q10" i="2"/>
  <c r="R10" i="2"/>
  <c r="L11" i="2"/>
  <c r="M11" i="2"/>
  <c r="N11" i="2"/>
  <c r="O11" i="2"/>
  <c r="P11" i="2"/>
  <c r="Q11" i="2"/>
  <c r="R11" i="2"/>
  <c r="L12" i="2"/>
  <c r="M12" i="2"/>
  <c r="N12" i="2"/>
  <c r="O12" i="2"/>
  <c r="P12" i="2"/>
  <c r="Q12" i="2"/>
  <c r="R12" i="2"/>
  <c r="L13" i="2"/>
  <c r="M13" i="2"/>
  <c r="N13" i="2"/>
  <c r="O13" i="2"/>
  <c r="P13" i="2"/>
  <c r="Q13" i="2"/>
  <c r="R13" i="2"/>
  <c r="L14" i="2"/>
  <c r="N14" i="2"/>
  <c r="P14" i="2"/>
  <c r="R14" i="2"/>
  <c r="L15" i="2"/>
  <c r="M15" i="2"/>
  <c r="N15" i="2"/>
  <c r="O15" i="2"/>
  <c r="P15" i="2"/>
  <c r="Q15" i="2"/>
  <c r="R15" i="2"/>
  <c r="L16" i="2"/>
  <c r="M16" i="2"/>
  <c r="N16" i="2"/>
  <c r="O16" i="2"/>
  <c r="P16" i="2"/>
  <c r="Q16" i="2"/>
  <c r="R16" i="2"/>
  <c r="L17" i="2"/>
  <c r="M17" i="2"/>
  <c r="N17" i="2"/>
  <c r="P17" i="2"/>
  <c r="R17" i="2"/>
  <c r="L18" i="2"/>
  <c r="M18" i="2"/>
  <c r="N18" i="2"/>
  <c r="O18" i="2"/>
  <c r="P18" i="2"/>
  <c r="Q18" i="2"/>
  <c r="R18" i="2"/>
  <c r="L19" i="2"/>
  <c r="M19" i="2"/>
  <c r="N19" i="2"/>
  <c r="O19" i="2"/>
  <c r="P19" i="2"/>
  <c r="Q19" i="2"/>
  <c r="R19" i="2"/>
  <c r="L20" i="2"/>
  <c r="M20" i="2"/>
  <c r="N20" i="2"/>
  <c r="O20" i="2"/>
  <c r="P20" i="2"/>
  <c r="Q20" i="2"/>
  <c r="R20" i="2"/>
  <c r="L21" i="2"/>
  <c r="M21" i="2"/>
  <c r="N21" i="2"/>
  <c r="O21" i="2"/>
  <c r="P21" i="2"/>
  <c r="Q21" i="2"/>
  <c r="R21" i="2"/>
  <c r="L22" i="2"/>
  <c r="M22" i="2"/>
  <c r="N22" i="2"/>
  <c r="O22" i="2"/>
  <c r="P22" i="2"/>
  <c r="Q22" i="2"/>
  <c r="R22" i="2"/>
  <c r="L23" i="2"/>
  <c r="M23" i="2"/>
  <c r="N23" i="2"/>
  <c r="O23" i="2"/>
  <c r="P23" i="2"/>
  <c r="Q23" i="2"/>
  <c r="R23" i="2"/>
  <c r="R4" i="2"/>
  <c r="Q4" i="2"/>
  <c r="P4" i="2"/>
  <c r="O4" i="2"/>
  <c r="N4" i="2"/>
  <c r="M4" i="2"/>
  <c r="L4" i="2"/>
  <c r="D5" i="2"/>
  <c r="E5" i="2"/>
  <c r="F5" i="2"/>
  <c r="G5" i="2"/>
  <c r="H5" i="2"/>
  <c r="I5" i="2"/>
  <c r="D6" i="2"/>
  <c r="E6" i="2"/>
  <c r="F6" i="2"/>
  <c r="G6" i="2"/>
  <c r="H6" i="2"/>
  <c r="I6" i="2"/>
  <c r="D7" i="2"/>
  <c r="E7" i="2"/>
  <c r="F7" i="2"/>
  <c r="G7" i="2"/>
  <c r="H7" i="2"/>
  <c r="I7" i="2"/>
  <c r="D8" i="2"/>
  <c r="E8" i="2"/>
  <c r="F8" i="2"/>
  <c r="G8" i="2"/>
  <c r="H8" i="2"/>
  <c r="I8" i="2"/>
  <c r="D9" i="2"/>
  <c r="F9" i="2"/>
  <c r="G9" i="2"/>
  <c r="H9" i="2"/>
  <c r="I9" i="2"/>
  <c r="D10" i="2"/>
  <c r="E10" i="2"/>
  <c r="F10" i="2"/>
  <c r="H10" i="2"/>
  <c r="D11" i="2"/>
  <c r="F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H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F29" i="2"/>
  <c r="G29" i="2"/>
  <c r="H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I4" i="2"/>
  <c r="H4" i="2"/>
  <c r="G4" i="2"/>
  <c r="F4" i="2"/>
  <c r="D4" i="2"/>
  <c r="E4" i="2"/>
  <c r="B5" i="2"/>
  <c r="C5" i="2"/>
  <c r="B6" i="2"/>
  <c r="C6" i="2"/>
  <c r="B7" i="2"/>
  <c r="C7" i="2"/>
  <c r="B8" i="2"/>
  <c r="C8" i="2"/>
  <c r="B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B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C4" i="2"/>
  <c r="B4" i="2"/>
</calcChain>
</file>

<file path=xl/sharedStrings.xml><?xml version="1.0" encoding="utf-8"?>
<sst xmlns="http://schemas.openxmlformats.org/spreadsheetml/2006/main" count="541" uniqueCount="131">
  <si>
    <t>AKTIVA CELKEM</t>
  </si>
  <si>
    <t>Dlouhodobý majetek</t>
  </si>
  <si>
    <t>Dl.nehmotný majetek</t>
  </si>
  <si>
    <t>Ocenitelná práva</t>
  </si>
  <si>
    <t>Software</t>
  </si>
  <si>
    <t>Ostatní ocenitelná práva</t>
  </si>
  <si>
    <t>Ostatní dl.nehmotný majetek</t>
  </si>
  <si>
    <t>Nedokončený dl.nehmotný majetek</t>
  </si>
  <si>
    <t>Dl.hmotný majetek</t>
  </si>
  <si>
    <t>Pozemky a stavby</t>
  </si>
  <si>
    <t>Pozemky</t>
  </si>
  <si>
    <t>Stavby</t>
  </si>
  <si>
    <t>Hmotné movité věci</t>
  </si>
  <si>
    <t>Oceňovací rozdíl</t>
  </si>
  <si>
    <t>Ostatní dl.hmotný majetek</t>
  </si>
  <si>
    <t>Nedokončený dl.hmotný majetek</t>
  </si>
  <si>
    <t>Dl.finanční majetek</t>
  </si>
  <si>
    <t>Podíly ovládána nebo ovládací osoba</t>
  </si>
  <si>
    <t>Ostatní dl.finanční majetek</t>
  </si>
  <si>
    <t>Oběžná aktiva</t>
  </si>
  <si>
    <t>Zásoby</t>
  </si>
  <si>
    <t>Materiál</t>
  </si>
  <si>
    <t xml:space="preserve">Pohledávky </t>
  </si>
  <si>
    <t>Dlouhodobé pohledávky</t>
  </si>
  <si>
    <t>Pohledávky z obchodních vztahů</t>
  </si>
  <si>
    <t>Odložena daňová pohledávka</t>
  </si>
  <si>
    <t>Pohledávky ostatní</t>
  </si>
  <si>
    <t>Krátkodobé pohledávky</t>
  </si>
  <si>
    <t>Peněžní prostředky</t>
  </si>
  <si>
    <t>Pokladna</t>
  </si>
  <si>
    <t>Účty</t>
  </si>
  <si>
    <t>Časové rozlišení aktiv</t>
  </si>
  <si>
    <t>Náklady příštích období</t>
  </si>
  <si>
    <t>PASIVA CELKEM</t>
  </si>
  <si>
    <t>Vlastní kapitál</t>
  </si>
  <si>
    <t>Základní kapitál</t>
  </si>
  <si>
    <t>Kapitálové fondy</t>
  </si>
  <si>
    <t>Ostatní rezervní fondy</t>
  </si>
  <si>
    <t>Nerozdělený zisk minulých let</t>
  </si>
  <si>
    <t>Výsledek hospodaření běžného období</t>
  </si>
  <si>
    <t>Cizí zdroje</t>
  </si>
  <si>
    <t>Rezervy</t>
  </si>
  <si>
    <t xml:space="preserve">Dlouhodobé závazky </t>
  </si>
  <si>
    <t>Závazky k ovládané nebo ovládací osobě</t>
  </si>
  <si>
    <t>Odložený daňový závazek</t>
  </si>
  <si>
    <t>Krátkodobý závazek</t>
  </si>
  <si>
    <t>Závazek k úvěrovým institucím</t>
  </si>
  <si>
    <t>Kr. přijaté zálohy</t>
  </si>
  <si>
    <t>Závazky z obchodních vztahů</t>
  </si>
  <si>
    <t>Závazky – ovládaná nebo ovládací osoba</t>
  </si>
  <si>
    <t>Závazky ostatní</t>
  </si>
  <si>
    <t xml:space="preserve">Časové rozlišení pasiv </t>
  </si>
  <si>
    <t>Výnosy příštích období</t>
  </si>
  <si>
    <t>2017/2016</t>
  </si>
  <si>
    <t>2016/2015</t>
  </si>
  <si>
    <t>2015/2014</t>
  </si>
  <si>
    <t>2014/2013</t>
  </si>
  <si>
    <t>abs.</t>
  </si>
  <si>
    <t>rel.</t>
  </si>
  <si>
    <t>Tržby za prodané zboží</t>
  </si>
  <si>
    <t>Náklady na prodané zboží</t>
  </si>
  <si>
    <t>Obchodní marže</t>
  </si>
  <si>
    <t xml:space="preserve">Výkony </t>
  </si>
  <si>
    <t>Výkonová spotřeba</t>
  </si>
  <si>
    <t>Spotřeba materiálu a energie</t>
  </si>
  <si>
    <t xml:space="preserve">Služby </t>
  </si>
  <si>
    <t>Přidaná hodnota</t>
  </si>
  <si>
    <t xml:space="preserve">Osobní náklady </t>
  </si>
  <si>
    <t xml:space="preserve">Mzdové náklady  </t>
  </si>
  <si>
    <t>Soc. a zdravotní náklady</t>
  </si>
  <si>
    <t>Ostatní sociální náklady</t>
  </si>
  <si>
    <t xml:space="preserve">Daně a poplatky </t>
  </si>
  <si>
    <t xml:space="preserve">Odpisy </t>
  </si>
  <si>
    <t>Tržby z prodeje dl.majetku a materiálu</t>
  </si>
  <si>
    <t>Zůstatková cena prodaného dl.majetku a materiálu</t>
  </si>
  <si>
    <t>Změna stavu rezerv</t>
  </si>
  <si>
    <t>Ostatní provozní výnosy</t>
  </si>
  <si>
    <t>Ostatní provozní náklady</t>
  </si>
  <si>
    <t>Provozní výsledek hospodaření</t>
  </si>
  <si>
    <t>Finanční výnosy, vč. ostatních</t>
  </si>
  <si>
    <t>Finanční náklady, vč. ostatních</t>
  </si>
  <si>
    <t>Finanční výsledek hospodaření</t>
  </si>
  <si>
    <t>Daň z příjmů PO</t>
  </si>
  <si>
    <t>Výsledek hospodaření před zdaněním</t>
  </si>
  <si>
    <t>Výsledek hospodaření za účetní období</t>
  </si>
  <si>
    <t>ROA</t>
  </si>
  <si>
    <t>ROE</t>
  </si>
  <si>
    <t>ROS</t>
  </si>
  <si>
    <t>ROCE</t>
  </si>
  <si>
    <t>Awigo s.r.o., SSI Group s.r.o., AVE CZ s.r.o. a OKIN Facility a.s</t>
  </si>
  <si>
    <t>Awigo s.r.o.</t>
  </si>
  <si>
    <t>SSI group s.r.o.</t>
  </si>
  <si>
    <t>AVE CZ</t>
  </si>
  <si>
    <t>Okin facitlity</t>
  </si>
  <si>
    <t>Atalian CZ</t>
  </si>
  <si>
    <t>AVE</t>
  </si>
  <si>
    <t xml:space="preserve">Awigo </t>
  </si>
  <si>
    <t>SSI Group</t>
  </si>
  <si>
    <t>OKIN F</t>
  </si>
  <si>
    <t>n/a</t>
  </si>
  <si>
    <t>Běžná</t>
  </si>
  <si>
    <t>Pohotová</t>
  </si>
  <si>
    <t>Hotovostní</t>
  </si>
  <si>
    <t>běžná likvidita</t>
  </si>
  <si>
    <t xml:space="preserve">Doba inkasa pohledávek </t>
  </si>
  <si>
    <t>Obrat aktiv</t>
  </si>
  <si>
    <t xml:space="preserve">Doba obratu zásob </t>
  </si>
  <si>
    <t xml:space="preserve">Doba splatnosti krátkodobých závazků </t>
  </si>
  <si>
    <t xml:space="preserve">Doba inkasa pohledávek /Doba splatnosti krátkodobých závazků </t>
  </si>
  <si>
    <t>fin.páka</t>
  </si>
  <si>
    <t>věřitelské riziko</t>
  </si>
  <si>
    <t>Produktivita práce z přidané hodnoty</t>
  </si>
  <si>
    <t>Průměrná měsíční mzda</t>
  </si>
  <si>
    <t>položka/rok</t>
  </si>
  <si>
    <t>vedoucí zaměstnanci</t>
  </si>
  <si>
    <t>ostatní zaměstnanci</t>
  </si>
  <si>
    <t>mzdové náklady</t>
  </si>
  <si>
    <t>re</t>
  </si>
  <si>
    <t>Rf</t>
  </si>
  <si>
    <t>Rm</t>
  </si>
  <si>
    <t>risk premium</t>
  </si>
  <si>
    <t>EVA</t>
  </si>
  <si>
    <t>NWC</t>
  </si>
  <si>
    <t>OCP</t>
  </si>
  <si>
    <t>Potřeba NWC</t>
  </si>
  <si>
    <t>NWC/Potřeba NWC</t>
  </si>
  <si>
    <t>NWC/A</t>
  </si>
  <si>
    <t>NZM/A</t>
  </si>
  <si>
    <t>EBIT/A</t>
  </si>
  <si>
    <t>VK/CK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</si>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</sst>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0%"/>
    <numFmt numFmtId="166" formatCode="0.0%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9"/>
      <color rgb="FFFFFFFF"/>
      <name val="Times New Roman"/>
      <family val="1"/>
      <charset val="238"/>
    </font>
    <font>
      <sz val="12"/>
      <color rgb="FFFFFFFF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3" fontId="3" fillId="2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0" fillId="0" borderId="0" xfId="1" applyFont="1"/>
    <xf numFmtId="0" fontId="2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9" fontId="2" fillId="0" borderId="11" xfId="1" applyFont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9" fontId="5" fillId="5" borderId="11" xfId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9" fontId="2" fillId="5" borderId="11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9" fontId="2" fillId="0" borderId="13" xfId="1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9" fontId="5" fillId="5" borderId="7" xfId="1" applyFont="1" applyFill="1" applyBorder="1" applyAlignment="1">
      <alignment horizontal="center" vertical="center" wrapText="1"/>
    </xf>
    <xf numFmtId="9" fontId="2" fillId="5" borderId="7" xfId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9" fontId="3" fillId="2" borderId="14" xfId="1" applyFont="1" applyFill="1" applyBorder="1" applyAlignment="1">
      <alignment horizontal="center" vertical="center" wrapText="1"/>
    </xf>
    <xf numFmtId="9" fontId="3" fillId="2" borderId="16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9" fontId="3" fillId="2" borderId="23" xfId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9" fontId="3" fillId="2" borderId="25" xfId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9" fontId="5" fillId="4" borderId="20" xfId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9" fontId="5" fillId="4" borderId="18" xfId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3" fontId="4" fillId="3" borderId="27" xfId="0" applyNumberFormat="1" applyFont="1" applyFill="1" applyBorder="1" applyAlignment="1">
      <alignment horizontal="center" vertical="center" wrapText="1"/>
    </xf>
    <xf numFmtId="9" fontId="4" fillId="3" borderId="28" xfId="1" applyFont="1" applyFill="1" applyBorder="1" applyAlignment="1">
      <alignment horizontal="center" vertical="center" wrapText="1"/>
    </xf>
    <xf numFmtId="3" fontId="4" fillId="3" borderId="29" xfId="0" applyNumberFormat="1" applyFont="1" applyFill="1" applyBorder="1" applyAlignment="1">
      <alignment horizontal="center" vertical="center" wrapText="1"/>
    </xf>
    <xf numFmtId="9" fontId="4" fillId="3" borderId="30" xfId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9" fontId="2" fillId="0" borderId="34" xfId="1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9" fontId="5" fillId="4" borderId="28" xfId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9" fontId="5" fillId="4" borderId="30" xfId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9" fontId="4" fillId="3" borderId="23" xfId="1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9" fontId="4" fillId="3" borderId="25" xfId="1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9" fontId="5" fillId="5" borderId="13" xfId="1" applyFont="1" applyFill="1" applyBorder="1" applyAlignment="1">
      <alignment horizontal="center" vertical="center" wrapText="1"/>
    </xf>
    <xf numFmtId="3" fontId="5" fillId="5" borderId="33" xfId="0" applyNumberFormat="1" applyFont="1" applyFill="1" applyBorder="1" applyAlignment="1">
      <alignment horizontal="center" vertical="center" wrapText="1"/>
    </xf>
    <xf numFmtId="9" fontId="5" fillId="5" borderId="34" xfId="1" applyFont="1" applyFill="1" applyBorder="1" applyAlignment="1">
      <alignment horizontal="center" vertical="center" wrapText="1"/>
    </xf>
    <xf numFmtId="3" fontId="3" fillId="2" borderId="40" xfId="0" applyNumberFormat="1" applyFont="1" applyFill="1" applyBorder="1" applyAlignment="1">
      <alignment horizontal="center" vertical="center" wrapText="1"/>
    </xf>
    <xf numFmtId="9" fontId="3" fillId="2" borderId="41" xfId="1" applyFont="1" applyFill="1" applyBorder="1" applyAlignment="1">
      <alignment horizontal="center" vertical="center" wrapText="1"/>
    </xf>
    <xf numFmtId="3" fontId="3" fillId="2" borderId="42" xfId="0" applyNumberFormat="1" applyFont="1" applyFill="1" applyBorder="1" applyAlignment="1">
      <alignment horizontal="center" vertical="center" wrapText="1"/>
    </xf>
    <xf numFmtId="9" fontId="3" fillId="2" borderId="43" xfId="1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9" fontId="2" fillId="0" borderId="20" xfId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9" fontId="2" fillId="0" borderId="18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9" fontId="2" fillId="0" borderId="23" xfId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9" fontId="2" fillId="0" borderId="25" xfId="1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9" fontId="5" fillId="6" borderId="28" xfId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9" fontId="5" fillId="7" borderId="11" xfId="1" applyFont="1" applyFill="1" applyBorder="1" applyAlignment="1">
      <alignment horizontal="center" vertical="center" wrapText="1"/>
    </xf>
    <xf numFmtId="9" fontId="5" fillId="6" borderId="11" xfId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9" fontId="5" fillId="8" borderId="11" xfId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3" fontId="5" fillId="6" borderId="29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3" fontId="5" fillId="6" borderId="27" xfId="0" applyNumberFormat="1" applyFont="1" applyFill="1" applyBorder="1" applyAlignment="1">
      <alignment horizontal="center"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3" fontId="5" fillId="8" borderId="10" xfId="0" applyNumberFormat="1" applyFont="1" applyFill="1" applyBorder="1" applyAlignment="1">
      <alignment horizontal="center" vertical="center" wrapText="1"/>
    </xf>
    <xf numFmtId="9" fontId="5" fillId="6" borderId="30" xfId="1" applyFont="1" applyFill="1" applyBorder="1" applyAlignment="1">
      <alignment horizontal="center" vertical="center" wrapText="1"/>
    </xf>
    <xf numFmtId="9" fontId="5" fillId="7" borderId="7" xfId="1" applyFont="1" applyFill="1" applyBorder="1" applyAlignment="1">
      <alignment horizontal="center" vertical="center" wrapText="1"/>
    </xf>
    <xf numFmtId="9" fontId="5" fillId="6" borderId="7" xfId="1" applyFont="1" applyFill="1" applyBorder="1" applyAlignment="1">
      <alignment horizontal="center" vertical="center" wrapText="1"/>
    </xf>
    <xf numFmtId="9" fontId="5" fillId="8" borderId="7" xfId="1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3" fontId="5" fillId="7" borderId="15" xfId="0" applyNumberFormat="1" applyFont="1" applyFill="1" applyBorder="1" applyAlignment="1">
      <alignment horizontal="center" vertical="center" wrapText="1"/>
    </xf>
    <xf numFmtId="9" fontId="5" fillId="7" borderId="16" xfId="1" applyFont="1" applyFill="1" applyBorder="1" applyAlignment="1">
      <alignment horizontal="center" vertical="center" wrapText="1"/>
    </xf>
    <xf numFmtId="3" fontId="5" fillId="7" borderId="17" xfId="0" applyNumberFormat="1" applyFont="1" applyFill="1" applyBorder="1" applyAlignment="1">
      <alignment horizontal="center" vertical="center" wrapText="1"/>
    </xf>
    <xf numFmtId="9" fontId="5" fillId="7" borderId="14" xfId="1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3" fontId="5" fillId="6" borderId="19" xfId="0" applyNumberFormat="1" applyFont="1" applyFill="1" applyBorder="1" applyAlignment="1">
      <alignment horizontal="center" vertical="center" wrapText="1"/>
    </xf>
    <xf numFmtId="9" fontId="5" fillId="6" borderId="20" xfId="1" applyFont="1" applyFill="1" applyBorder="1" applyAlignment="1">
      <alignment horizontal="center" vertical="center" wrapText="1"/>
    </xf>
    <xf numFmtId="3" fontId="5" fillId="6" borderId="21" xfId="0" applyNumberFormat="1" applyFont="1" applyFill="1" applyBorder="1" applyAlignment="1">
      <alignment horizontal="center" vertical="center" wrapText="1"/>
    </xf>
    <xf numFmtId="9" fontId="5" fillId="6" borderId="18" xfId="1" applyFont="1" applyFill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center" vertical="center" wrapText="1"/>
    </xf>
    <xf numFmtId="3" fontId="5" fillId="8" borderId="15" xfId="0" applyNumberFormat="1" applyFont="1" applyFill="1" applyBorder="1" applyAlignment="1">
      <alignment horizontal="center" vertical="center" wrapText="1"/>
    </xf>
    <xf numFmtId="9" fontId="5" fillId="8" borderId="16" xfId="1" applyFont="1" applyFill="1" applyBorder="1" applyAlignment="1">
      <alignment horizontal="center"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9" fontId="5" fillId="8" borderId="14" xfId="1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center" vertical="center" wrapText="1"/>
    </xf>
    <xf numFmtId="9" fontId="5" fillId="7" borderId="20" xfId="1" applyFont="1" applyFill="1" applyBorder="1" applyAlignment="1">
      <alignment horizontal="center" vertical="center" wrapText="1"/>
    </xf>
    <xf numFmtId="3" fontId="5" fillId="7" borderId="21" xfId="0" applyNumberFormat="1" applyFont="1" applyFill="1" applyBorder="1" applyAlignment="1">
      <alignment horizontal="center" vertical="center" wrapText="1"/>
    </xf>
    <xf numFmtId="9" fontId="5" fillId="7" borderId="18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9" fontId="5" fillId="7" borderId="36" xfId="1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9" fontId="5" fillId="7" borderId="38" xfId="1" applyFont="1" applyFill="1" applyBorder="1" applyAlignment="1">
      <alignment horizontal="center" vertical="center" wrapText="1"/>
    </xf>
    <xf numFmtId="3" fontId="5" fillId="7" borderId="37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3" fontId="3" fillId="2" borderId="45" xfId="0" applyNumberFormat="1" applyFont="1" applyFill="1" applyBorder="1" applyAlignment="1">
      <alignment horizontal="center" vertical="center" wrapText="1"/>
    </xf>
    <xf numFmtId="9" fontId="3" fillId="2" borderId="46" xfId="1" applyFont="1" applyFill="1" applyBorder="1" applyAlignment="1">
      <alignment horizontal="center" vertical="center" wrapText="1"/>
    </xf>
    <xf numFmtId="3" fontId="3" fillId="2" borderId="50" xfId="0" applyNumberFormat="1" applyFont="1" applyFill="1" applyBorder="1" applyAlignment="1">
      <alignment horizontal="center" vertical="center" wrapText="1"/>
    </xf>
    <xf numFmtId="9" fontId="3" fillId="2" borderId="51" xfId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10" fontId="5" fillId="4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0" fontId="5" fillId="5" borderId="1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>
      <alignment horizontal="center" vertical="center" wrapText="1"/>
    </xf>
    <xf numFmtId="10" fontId="0" fillId="0" borderId="0" xfId="0" applyNumberFormat="1"/>
    <xf numFmtId="164" fontId="5" fillId="4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10" fontId="5" fillId="6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5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6" fontId="2" fillId="0" borderId="1" xfId="1" applyNumberFormat="1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0" xfId="0" applyBorder="1"/>
    <xf numFmtId="0" fontId="0" fillId="0" borderId="54" xfId="0" applyBorder="1"/>
    <xf numFmtId="0" fontId="0" fillId="0" borderId="49" xfId="0" applyBorder="1"/>
    <xf numFmtId="0" fontId="0" fillId="0" borderId="53" xfId="0" applyBorder="1"/>
    <xf numFmtId="0" fontId="0" fillId="9" borderId="0" xfId="0" applyFill="1"/>
    <xf numFmtId="0" fontId="3" fillId="2" borderId="2" xfId="0" applyFont="1" applyFill="1" applyBorder="1" applyAlignment="1">
      <alignment horizontal="center" vertical="center" wrapText="1"/>
    </xf>
    <xf numFmtId="0" fontId="0" fillId="10" borderId="0" xfId="0" applyFill="1"/>
    <xf numFmtId="0" fontId="2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5" xfId="0" applyBorder="1" applyAlignment="1">
      <alignment horizontal="center" vertical="center"/>
    </xf>
    <xf numFmtId="166" fontId="0" fillId="0" borderId="5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justify" vertical="center" wrapText="1"/>
    </xf>
    <xf numFmtId="2" fontId="0" fillId="0" borderId="55" xfId="1" applyNumberFormat="1" applyFont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167" fontId="2" fillId="0" borderId="1" xfId="1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1" fontId="0" fillId="0" borderId="55" xfId="1" applyNumberFormat="1" applyFont="1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2" fontId="0" fillId="0" borderId="0" xfId="0" applyNumberFormat="1"/>
    <xf numFmtId="166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6" fontId="0" fillId="0" borderId="0" xfId="1" applyNumberFormat="1" applyFont="1"/>
    <xf numFmtId="2" fontId="2" fillId="0" borderId="54" xfId="1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2" fillId="0" borderId="1" xfId="1" applyFont="1" applyBorder="1" applyAlignment="1">
      <alignment horizontal="justify" vertical="center" wrapText="1"/>
    </xf>
    <xf numFmtId="1" fontId="2" fillId="0" borderId="1" xfId="1" applyNumberFormat="1" applyFont="1" applyBorder="1" applyAlignment="1">
      <alignment horizontal="justify" vertical="center" wrapText="1"/>
    </xf>
    <xf numFmtId="0" fontId="2" fillId="0" borderId="56" xfId="0" applyFont="1" applyFill="1" applyBorder="1" applyAlignment="1">
      <alignment horizontal="justify" vertical="center" wrapText="1"/>
    </xf>
    <xf numFmtId="0" fontId="2" fillId="0" borderId="48" xfId="0" applyFont="1" applyFill="1" applyBorder="1" applyAlignment="1">
      <alignment horizontal="justify" vertical="center" wrapText="1"/>
    </xf>
    <xf numFmtId="2" fontId="2" fillId="0" borderId="54" xfId="1" applyNumberFormat="1" applyFont="1" applyBorder="1" applyAlignment="1">
      <alignment horizontal="justify" vertical="center" wrapText="1"/>
    </xf>
    <xf numFmtId="2" fontId="0" fillId="0" borderId="55" xfId="0" applyNumberFormat="1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7948-7F92-4366-871A-AC7940285B5D}">
  <dimension ref="A1:BZ337"/>
  <sheetViews>
    <sheetView showGridLines="0" topLeftCell="AE1" zoomScale="60" zoomScaleNormal="60" workbookViewId="0">
      <selection activeCell="BE34" sqref="BE34"/>
    </sheetView>
  </sheetViews>
  <sheetFormatPr defaultRowHeight="15" x14ac:dyDescent="0.25"/>
  <cols>
    <col min="15" max="15" width="4.28515625" style="191" customWidth="1"/>
    <col min="30" max="30" width="4.7109375" style="191" customWidth="1"/>
    <col min="33" max="37" width="11.140625" bestFit="1" customWidth="1"/>
    <col min="40" max="44" width="11.140625" bestFit="1" customWidth="1"/>
    <col min="45" max="45" width="4.7109375" style="191" customWidth="1"/>
    <col min="48" max="52" width="11.140625" bestFit="1" customWidth="1"/>
    <col min="55" max="59" width="11.140625" bestFit="1" customWidth="1"/>
    <col min="60" max="78" width="9.140625" style="193"/>
  </cols>
  <sheetData>
    <row r="1" spans="1:59" x14ac:dyDescent="0.25">
      <c r="A1" s="222" t="s">
        <v>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  <c r="P1" s="222" t="s">
        <v>91</v>
      </c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4"/>
      <c r="AE1" s="222" t="s">
        <v>92</v>
      </c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4"/>
      <c r="AT1" s="222" t="s">
        <v>93</v>
      </c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4"/>
    </row>
    <row r="2" spans="1:59" ht="15.75" thickBo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  <c r="P2" s="225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7"/>
      <c r="AE2" s="225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7"/>
      <c r="AT2" s="225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7"/>
    </row>
    <row r="3" spans="1:59" ht="16.5" thickBot="1" x14ac:dyDescent="0.3">
      <c r="A3" s="186"/>
      <c r="B3" s="1"/>
      <c r="C3" s="185">
        <v>2017</v>
      </c>
      <c r="D3" s="185">
        <v>2016</v>
      </c>
      <c r="E3" s="185">
        <v>2015</v>
      </c>
      <c r="F3" s="185">
        <v>2014</v>
      </c>
      <c r="G3" s="185">
        <v>2013</v>
      </c>
      <c r="H3" s="187"/>
      <c r="I3" s="1"/>
      <c r="J3" s="185">
        <v>2017</v>
      </c>
      <c r="K3" s="185">
        <v>2016</v>
      </c>
      <c r="L3" s="185">
        <v>2015</v>
      </c>
      <c r="M3" s="185">
        <v>2014</v>
      </c>
      <c r="N3" s="185">
        <v>2013</v>
      </c>
      <c r="P3" s="186"/>
      <c r="Q3" s="1"/>
      <c r="R3" s="185">
        <v>2017</v>
      </c>
      <c r="S3" s="185">
        <v>2016</v>
      </c>
      <c r="T3" s="185">
        <v>2015</v>
      </c>
      <c r="U3" s="185">
        <v>2014</v>
      </c>
      <c r="V3" s="185">
        <v>2013</v>
      </c>
      <c r="W3" s="187"/>
      <c r="X3" s="1"/>
      <c r="Y3" s="185">
        <v>2017</v>
      </c>
      <c r="Z3" s="185">
        <v>2016</v>
      </c>
      <c r="AA3" s="185">
        <v>2015</v>
      </c>
      <c r="AB3" s="185">
        <v>2014</v>
      </c>
      <c r="AC3" s="185">
        <v>2013</v>
      </c>
      <c r="AE3" s="186"/>
      <c r="AF3" s="1"/>
      <c r="AG3" s="185">
        <v>2017</v>
      </c>
      <c r="AH3" s="185">
        <v>2016</v>
      </c>
      <c r="AI3" s="185">
        <v>2015</v>
      </c>
      <c r="AJ3" s="185">
        <v>2014</v>
      </c>
      <c r="AK3" s="185">
        <v>2013</v>
      </c>
      <c r="AL3" s="187"/>
      <c r="AM3" s="1"/>
      <c r="AN3" s="185">
        <v>2017</v>
      </c>
      <c r="AO3" s="185">
        <v>2016</v>
      </c>
      <c r="AP3" s="185">
        <v>2015</v>
      </c>
      <c r="AQ3" s="185">
        <v>2014</v>
      </c>
      <c r="AR3" s="185">
        <v>2013</v>
      </c>
      <c r="AT3" s="186"/>
      <c r="AU3" s="1"/>
      <c r="AV3" s="185">
        <v>2017</v>
      </c>
      <c r="AW3" s="185">
        <v>2016</v>
      </c>
      <c r="AX3" s="185">
        <v>2015</v>
      </c>
      <c r="AY3" s="185">
        <v>2014</v>
      </c>
      <c r="AZ3" s="185">
        <v>2013</v>
      </c>
      <c r="BA3" s="187"/>
      <c r="BB3" s="1"/>
      <c r="BC3" s="185">
        <v>2017</v>
      </c>
      <c r="BD3" s="185">
        <v>2016</v>
      </c>
      <c r="BE3" s="185">
        <v>2015</v>
      </c>
      <c r="BF3" s="185">
        <v>2014</v>
      </c>
      <c r="BG3" s="185">
        <v>2013</v>
      </c>
    </row>
    <row r="4" spans="1:59" ht="63.75" thickBot="1" x14ac:dyDescent="0.3">
      <c r="A4" s="186"/>
      <c r="B4" s="3" t="s">
        <v>0</v>
      </c>
      <c r="C4" s="5">
        <v>103830</v>
      </c>
      <c r="D4" s="5">
        <v>77772</v>
      </c>
      <c r="E4" s="5"/>
      <c r="F4" s="5"/>
      <c r="G4" s="5"/>
      <c r="H4" s="187"/>
      <c r="I4" s="3" t="s">
        <v>33</v>
      </c>
      <c r="J4" s="5">
        <v>103830</v>
      </c>
      <c r="K4" s="5">
        <v>77772</v>
      </c>
      <c r="L4" s="5"/>
      <c r="M4" s="5"/>
      <c r="N4" s="5"/>
      <c r="P4" s="186"/>
      <c r="Q4" s="3" t="s">
        <v>0</v>
      </c>
      <c r="R4" s="5">
        <v>173919</v>
      </c>
      <c r="S4" s="5">
        <v>175282</v>
      </c>
      <c r="T4" s="5">
        <v>103998</v>
      </c>
      <c r="U4" s="5">
        <v>91711</v>
      </c>
      <c r="V4" s="5">
        <v>72112</v>
      </c>
      <c r="W4" s="187"/>
      <c r="X4" s="3" t="s">
        <v>33</v>
      </c>
      <c r="Y4" s="5">
        <v>173919</v>
      </c>
      <c r="Z4" s="5">
        <v>175282</v>
      </c>
      <c r="AA4" s="5">
        <v>103998</v>
      </c>
      <c r="AB4" s="5">
        <v>91711</v>
      </c>
      <c r="AC4" s="5">
        <v>72112</v>
      </c>
      <c r="AE4" s="186"/>
      <c r="AF4" s="3" t="s">
        <v>0</v>
      </c>
      <c r="AG4" s="5">
        <v>3720172</v>
      </c>
      <c r="AH4" s="5">
        <v>4635811</v>
      </c>
      <c r="AI4" s="5">
        <v>4277637</v>
      </c>
      <c r="AJ4" s="5">
        <v>3311449</v>
      </c>
      <c r="AK4" s="5">
        <v>3041232</v>
      </c>
      <c r="AL4" s="187"/>
      <c r="AM4" s="3" t="s">
        <v>33</v>
      </c>
      <c r="AN4" s="5">
        <v>3720172</v>
      </c>
      <c r="AO4" s="5">
        <v>4635811</v>
      </c>
      <c r="AP4" s="5">
        <v>4277637</v>
      </c>
      <c r="AQ4" s="5">
        <v>3311449</v>
      </c>
      <c r="AR4" s="5">
        <v>3041232</v>
      </c>
      <c r="AT4" s="186"/>
      <c r="AU4" s="3" t="s">
        <v>0</v>
      </c>
      <c r="AV4" s="5">
        <v>317728</v>
      </c>
      <c r="AW4" s="5">
        <v>28720</v>
      </c>
      <c r="AX4" s="5">
        <v>1950</v>
      </c>
      <c r="AY4" s="5"/>
      <c r="AZ4" s="5"/>
      <c r="BA4" s="187"/>
      <c r="BB4" s="3" t="s">
        <v>33</v>
      </c>
      <c r="BC4" s="5">
        <v>317728</v>
      </c>
      <c r="BD4" s="5">
        <v>28720</v>
      </c>
      <c r="BE4" s="5">
        <v>1950</v>
      </c>
      <c r="BF4" s="5"/>
      <c r="BG4" s="5"/>
    </row>
    <row r="5" spans="1:59" ht="48" thickBot="1" x14ac:dyDescent="0.3">
      <c r="A5" s="186"/>
      <c r="B5" s="6" t="s">
        <v>1</v>
      </c>
      <c r="C5" s="7">
        <v>46049</v>
      </c>
      <c r="D5" s="7">
        <v>46669</v>
      </c>
      <c r="E5" s="7"/>
      <c r="F5" s="7"/>
      <c r="G5" s="7"/>
      <c r="H5" s="187"/>
      <c r="I5" s="6" t="s">
        <v>34</v>
      </c>
      <c r="J5" s="7">
        <v>26840</v>
      </c>
      <c r="K5" s="7">
        <v>25022</v>
      </c>
      <c r="L5" s="7"/>
      <c r="M5" s="7"/>
      <c r="N5" s="7"/>
      <c r="P5" s="186"/>
      <c r="Q5" s="6" t="s">
        <v>1</v>
      </c>
      <c r="R5" s="7">
        <v>17358</v>
      </c>
      <c r="S5" s="7">
        <v>18929</v>
      </c>
      <c r="T5" s="7">
        <v>4898</v>
      </c>
      <c r="U5" s="7">
        <v>10004</v>
      </c>
      <c r="V5" s="7">
        <v>7009</v>
      </c>
      <c r="W5" s="187"/>
      <c r="X5" s="6" t="s">
        <v>34</v>
      </c>
      <c r="Y5" s="7">
        <v>29671</v>
      </c>
      <c r="Z5" s="7">
        <v>40235</v>
      </c>
      <c r="AA5" s="7">
        <v>38435</v>
      </c>
      <c r="AB5" s="7">
        <v>31338</v>
      </c>
      <c r="AC5" s="7">
        <v>30393</v>
      </c>
      <c r="AE5" s="186"/>
      <c r="AF5" s="6" t="s">
        <v>1</v>
      </c>
      <c r="AG5" s="7">
        <v>2662482</v>
      </c>
      <c r="AH5" s="7">
        <v>3533656</v>
      </c>
      <c r="AI5" s="7">
        <v>3378328</v>
      </c>
      <c r="AJ5" s="7">
        <v>2443067</v>
      </c>
      <c r="AK5" s="7">
        <v>2130503</v>
      </c>
      <c r="AL5" s="187"/>
      <c r="AM5" s="6" t="s">
        <v>34</v>
      </c>
      <c r="AN5" s="7">
        <v>1646900</v>
      </c>
      <c r="AO5" s="7">
        <v>2397179</v>
      </c>
      <c r="AP5" s="7">
        <v>1778720</v>
      </c>
      <c r="AQ5" s="7">
        <v>939005</v>
      </c>
      <c r="AR5" s="7">
        <v>1123388</v>
      </c>
      <c r="AT5" s="186"/>
      <c r="AU5" s="6" t="s">
        <v>1</v>
      </c>
      <c r="AV5" s="7">
        <v>71217</v>
      </c>
      <c r="AW5" s="7">
        <v>1077</v>
      </c>
      <c r="AX5" s="7">
        <v>0</v>
      </c>
      <c r="AY5" s="7"/>
      <c r="AZ5" s="7"/>
      <c r="BA5" s="187"/>
      <c r="BB5" s="6" t="s">
        <v>34</v>
      </c>
      <c r="BC5" s="7">
        <v>111252</v>
      </c>
      <c r="BD5" s="7">
        <v>1819</v>
      </c>
      <c r="BE5" s="7">
        <v>1949</v>
      </c>
      <c r="BF5" s="7"/>
      <c r="BG5" s="7"/>
    </row>
    <row r="6" spans="1:59" ht="48" thickBot="1" x14ac:dyDescent="0.3">
      <c r="A6" s="186"/>
      <c r="B6" s="8" t="s">
        <v>2</v>
      </c>
      <c r="C6" s="9">
        <v>0</v>
      </c>
      <c r="D6" s="9">
        <v>225</v>
      </c>
      <c r="E6" s="9"/>
      <c r="F6" s="9"/>
      <c r="G6" s="9"/>
      <c r="H6" s="187"/>
      <c r="I6" s="6" t="s">
        <v>40</v>
      </c>
      <c r="J6" s="7">
        <v>68125</v>
      </c>
      <c r="K6" s="7">
        <v>51493</v>
      </c>
      <c r="L6" s="7"/>
      <c r="M6" s="7"/>
      <c r="N6" s="7"/>
      <c r="P6" s="186"/>
      <c r="Q6" s="8" t="s">
        <v>2</v>
      </c>
      <c r="R6" s="9">
        <v>13479</v>
      </c>
      <c r="S6" s="9">
        <v>15917</v>
      </c>
      <c r="T6" s="9">
        <v>255</v>
      </c>
      <c r="U6" s="9">
        <v>869</v>
      </c>
      <c r="V6" s="9">
        <v>1878</v>
      </c>
      <c r="W6" s="187"/>
      <c r="X6" s="6" t="s">
        <v>40</v>
      </c>
      <c r="Y6" s="7">
        <v>142029</v>
      </c>
      <c r="Z6" s="7">
        <v>109307</v>
      </c>
      <c r="AA6" s="7">
        <v>64063</v>
      </c>
      <c r="AB6" s="7">
        <v>58606</v>
      </c>
      <c r="AC6" s="7">
        <v>40786</v>
      </c>
      <c r="AE6" s="186"/>
      <c r="AF6" s="8" t="s">
        <v>2</v>
      </c>
      <c r="AG6" s="9">
        <v>17085</v>
      </c>
      <c r="AH6" s="9">
        <v>17330</v>
      </c>
      <c r="AI6" s="9">
        <v>16334</v>
      </c>
      <c r="AJ6" s="9">
        <v>21151</v>
      </c>
      <c r="AK6" s="9">
        <v>15935</v>
      </c>
      <c r="AL6" s="187"/>
      <c r="AM6" s="6" t="s">
        <v>40</v>
      </c>
      <c r="AN6" s="7">
        <v>2066762</v>
      </c>
      <c r="AO6" s="7">
        <v>2233353</v>
      </c>
      <c r="AP6" s="7">
        <v>2489097</v>
      </c>
      <c r="AQ6" s="7">
        <v>2339112</v>
      </c>
      <c r="AR6" s="7">
        <v>1882505</v>
      </c>
      <c r="AT6" s="186"/>
      <c r="AU6" s="8" t="s">
        <v>2</v>
      </c>
      <c r="AV6" s="9">
        <v>3824</v>
      </c>
      <c r="AW6" s="9"/>
      <c r="AX6" s="9"/>
      <c r="AY6" s="9"/>
      <c r="AZ6" s="9"/>
      <c r="BA6" s="187"/>
      <c r="BB6" s="6" t="s">
        <v>40</v>
      </c>
      <c r="BC6" s="7">
        <v>190021</v>
      </c>
      <c r="BD6" s="7">
        <v>26901</v>
      </c>
      <c r="BE6" s="7">
        <v>1</v>
      </c>
      <c r="BF6" s="7"/>
      <c r="BG6" s="7"/>
    </row>
    <row r="7" spans="1:59" ht="48" thickBot="1" x14ac:dyDescent="0.3">
      <c r="A7" s="186"/>
      <c r="B7" s="8" t="s">
        <v>8</v>
      </c>
      <c r="C7" s="9">
        <v>45939</v>
      </c>
      <c r="D7" s="9">
        <v>43444</v>
      </c>
      <c r="E7" s="9"/>
      <c r="F7" s="9"/>
      <c r="G7" s="9"/>
      <c r="H7" s="187"/>
      <c r="I7" s="10" t="s">
        <v>41</v>
      </c>
      <c r="J7" s="11"/>
      <c r="K7" s="11"/>
      <c r="L7" s="11"/>
      <c r="M7" s="11"/>
      <c r="N7" s="11"/>
      <c r="P7" s="186"/>
      <c r="Q7" s="8" t="s">
        <v>8</v>
      </c>
      <c r="R7" s="9">
        <v>3879</v>
      </c>
      <c r="S7" s="9">
        <v>2842</v>
      </c>
      <c r="T7" s="9">
        <v>4643</v>
      </c>
      <c r="U7" s="9">
        <v>9135</v>
      </c>
      <c r="V7" s="9">
        <v>5131</v>
      </c>
      <c r="W7" s="187"/>
      <c r="X7" s="10" t="s">
        <v>41</v>
      </c>
      <c r="Y7" s="11">
        <v>3002</v>
      </c>
      <c r="Z7" s="11">
        <v>0</v>
      </c>
      <c r="AA7" s="11">
        <v>0</v>
      </c>
      <c r="AB7" s="11">
        <v>0</v>
      </c>
      <c r="AC7" s="11">
        <v>0</v>
      </c>
      <c r="AE7" s="186"/>
      <c r="AF7" s="8" t="s">
        <v>8</v>
      </c>
      <c r="AG7" s="9">
        <v>964144</v>
      </c>
      <c r="AH7" s="9">
        <v>1026856</v>
      </c>
      <c r="AI7" s="9">
        <v>836688</v>
      </c>
      <c r="AJ7" s="9">
        <v>918636</v>
      </c>
      <c r="AK7" s="9">
        <v>945888</v>
      </c>
      <c r="AL7" s="187"/>
      <c r="AM7" s="10" t="s">
        <v>41</v>
      </c>
      <c r="AN7" s="11">
        <v>328982</v>
      </c>
      <c r="AO7" s="11">
        <v>300005</v>
      </c>
      <c r="AP7" s="11">
        <v>289520</v>
      </c>
      <c r="AQ7" s="11">
        <v>320314</v>
      </c>
      <c r="AR7" s="11">
        <v>336978</v>
      </c>
      <c r="AT7" s="186"/>
      <c r="AU7" s="8" t="s">
        <v>8</v>
      </c>
      <c r="AV7" s="9">
        <v>30136</v>
      </c>
      <c r="AW7" s="9"/>
      <c r="AX7" s="9"/>
      <c r="AY7" s="9"/>
      <c r="AZ7" s="9"/>
      <c r="BA7" s="187"/>
      <c r="BB7" s="10" t="s">
        <v>41</v>
      </c>
      <c r="BC7" s="11">
        <v>5546</v>
      </c>
      <c r="BD7" s="11"/>
      <c r="BE7" s="11"/>
      <c r="BF7" s="11"/>
      <c r="BG7" s="11"/>
    </row>
    <row r="8" spans="1:59" ht="48" thickBot="1" x14ac:dyDescent="0.3">
      <c r="A8" s="186"/>
      <c r="B8" s="8" t="s">
        <v>16</v>
      </c>
      <c r="C8" s="9">
        <v>110</v>
      </c>
      <c r="D8" s="9">
        <v>3000</v>
      </c>
      <c r="E8" s="9"/>
      <c r="F8" s="9"/>
      <c r="G8" s="9"/>
      <c r="H8" s="187"/>
      <c r="I8" s="8" t="s">
        <v>42</v>
      </c>
      <c r="J8" s="9">
        <v>15314</v>
      </c>
      <c r="K8" s="9">
        <v>17412</v>
      </c>
      <c r="L8" s="9"/>
      <c r="M8" s="9"/>
      <c r="N8" s="9"/>
      <c r="P8" s="186"/>
      <c r="Q8" s="8" t="s">
        <v>16</v>
      </c>
      <c r="R8" s="9">
        <v>0</v>
      </c>
      <c r="S8" s="9">
        <v>170</v>
      </c>
      <c r="T8" s="9">
        <v>0</v>
      </c>
      <c r="U8" s="9">
        <v>0</v>
      </c>
      <c r="V8" s="9">
        <v>0</v>
      </c>
      <c r="W8" s="187"/>
      <c r="X8" s="8" t="s">
        <v>42</v>
      </c>
      <c r="Y8" s="9">
        <v>322</v>
      </c>
      <c r="Z8" s="9">
        <v>1244</v>
      </c>
      <c r="AA8" s="9">
        <v>3121</v>
      </c>
      <c r="AB8" s="9">
        <v>5738</v>
      </c>
      <c r="AC8" s="9">
        <v>3091</v>
      </c>
      <c r="AE8" s="186"/>
      <c r="AF8" s="8" t="s">
        <v>16</v>
      </c>
      <c r="AG8" s="9">
        <v>1681253</v>
      </c>
      <c r="AH8" s="9">
        <v>2489470</v>
      </c>
      <c r="AI8" s="9">
        <v>2525306</v>
      </c>
      <c r="AJ8" s="9">
        <v>1503280</v>
      </c>
      <c r="AK8" s="9">
        <v>1168680</v>
      </c>
      <c r="AL8" s="187"/>
      <c r="AM8" s="8" t="s">
        <v>42</v>
      </c>
      <c r="AN8" s="9">
        <v>830152</v>
      </c>
      <c r="AO8" s="9">
        <v>1004843</v>
      </c>
      <c r="AP8" s="9">
        <v>127373</v>
      </c>
      <c r="AQ8" s="9">
        <v>138983</v>
      </c>
      <c r="AR8" s="9">
        <v>58720</v>
      </c>
      <c r="AT8" s="186"/>
      <c r="AU8" s="8" t="s">
        <v>16</v>
      </c>
      <c r="AV8" s="9">
        <v>37257</v>
      </c>
      <c r="AW8" s="9">
        <v>1077</v>
      </c>
      <c r="AX8" s="9"/>
      <c r="AY8" s="9"/>
      <c r="AZ8" s="9"/>
      <c r="BA8" s="187"/>
      <c r="BB8" s="8" t="s">
        <v>42</v>
      </c>
      <c r="BC8" s="9">
        <v>3178</v>
      </c>
      <c r="BD8" s="9"/>
      <c r="BE8" s="9">
        <v>1</v>
      </c>
      <c r="BF8" s="9"/>
      <c r="BG8" s="9"/>
    </row>
    <row r="9" spans="1:59" ht="48" thickBot="1" x14ac:dyDescent="0.3">
      <c r="A9" s="186"/>
      <c r="B9" s="6" t="s">
        <v>19</v>
      </c>
      <c r="C9" s="7">
        <v>52561</v>
      </c>
      <c r="D9" s="7">
        <v>29030</v>
      </c>
      <c r="E9" s="7"/>
      <c r="F9" s="7"/>
      <c r="G9" s="7"/>
      <c r="H9" s="187"/>
      <c r="I9" s="8" t="s">
        <v>45</v>
      </c>
      <c r="J9" s="9">
        <v>52811</v>
      </c>
      <c r="K9" s="9">
        <v>34081</v>
      </c>
      <c r="L9" s="9"/>
      <c r="M9" s="9"/>
      <c r="N9" s="9"/>
      <c r="P9" s="186"/>
      <c r="Q9" s="6" t="s">
        <v>19</v>
      </c>
      <c r="R9" s="7">
        <v>146530</v>
      </c>
      <c r="S9" s="7">
        <v>148439</v>
      </c>
      <c r="T9" s="7">
        <v>93158</v>
      </c>
      <c r="U9" s="7">
        <v>78968</v>
      </c>
      <c r="V9" s="7">
        <v>61491</v>
      </c>
      <c r="W9" s="187"/>
      <c r="X9" s="8" t="s">
        <v>45</v>
      </c>
      <c r="Y9" s="9">
        <v>138695</v>
      </c>
      <c r="Z9" s="9">
        <v>108063</v>
      </c>
      <c r="AA9" s="9">
        <v>41453</v>
      </c>
      <c r="AB9" s="9">
        <v>52868</v>
      </c>
      <c r="AC9" s="9">
        <v>37695</v>
      </c>
      <c r="AE9" s="186"/>
      <c r="AF9" s="6" t="s">
        <v>19</v>
      </c>
      <c r="AG9" s="7">
        <v>1012535</v>
      </c>
      <c r="AH9" s="7">
        <v>1019445</v>
      </c>
      <c r="AI9" s="7">
        <v>832824</v>
      </c>
      <c r="AJ9" s="7">
        <v>803244</v>
      </c>
      <c r="AK9" s="7">
        <v>861631</v>
      </c>
      <c r="AL9" s="187"/>
      <c r="AM9" s="8" t="s">
        <v>45</v>
      </c>
      <c r="AN9" s="9">
        <v>907628</v>
      </c>
      <c r="AO9" s="9">
        <v>928505</v>
      </c>
      <c r="AP9" s="9">
        <v>689952</v>
      </c>
      <c r="AQ9" s="9">
        <v>387129</v>
      </c>
      <c r="AR9" s="9">
        <v>1443890</v>
      </c>
      <c r="AT9" s="186"/>
      <c r="AU9" s="6" t="s">
        <v>19</v>
      </c>
      <c r="AV9" s="7">
        <v>239997</v>
      </c>
      <c r="AW9" s="7">
        <v>27643</v>
      </c>
      <c r="AX9" s="7">
        <v>1950</v>
      </c>
      <c r="AY9" s="7"/>
      <c r="AZ9" s="7"/>
      <c r="BA9" s="187"/>
      <c r="BB9" s="8" t="s">
        <v>45</v>
      </c>
      <c r="BC9" s="9">
        <v>181297</v>
      </c>
      <c r="BD9" s="9">
        <v>26901</v>
      </c>
      <c r="BE9" s="9"/>
      <c r="BF9" s="9"/>
      <c r="BG9" s="9"/>
    </row>
    <row r="10" spans="1:59" ht="48" thickBot="1" x14ac:dyDescent="0.3">
      <c r="A10" s="186"/>
      <c r="B10" s="8" t="s">
        <v>20</v>
      </c>
      <c r="C10" s="17">
        <v>0</v>
      </c>
      <c r="D10" s="17">
        <v>375</v>
      </c>
      <c r="E10" s="17"/>
      <c r="F10" s="17"/>
      <c r="G10" s="17"/>
      <c r="H10" s="187"/>
      <c r="I10" s="6" t="s">
        <v>51</v>
      </c>
      <c r="J10" s="7">
        <v>8865</v>
      </c>
      <c r="K10" s="7">
        <v>1257</v>
      </c>
      <c r="L10" s="7"/>
      <c r="M10" s="19"/>
      <c r="N10" s="19"/>
      <c r="P10" s="186"/>
      <c r="Q10" s="8" t="s">
        <v>20</v>
      </c>
      <c r="R10" s="17">
        <v>69</v>
      </c>
      <c r="S10" s="17">
        <v>104</v>
      </c>
      <c r="T10" s="17">
        <v>98</v>
      </c>
      <c r="U10" s="17">
        <v>355</v>
      </c>
      <c r="V10" s="17">
        <v>196</v>
      </c>
      <c r="W10" s="187"/>
      <c r="X10" s="6" t="s">
        <v>51</v>
      </c>
      <c r="Y10" s="7">
        <v>2219</v>
      </c>
      <c r="Z10" s="7">
        <v>25740</v>
      </c>
      <c r="AA10" s="7">
        <v>1500</v>
      </c>
      <c r="AB10" s="19">
        <v>1767</v>
      </c>
      <c r="AC10" s="19">
        <v>933</v>
      </c>
      <c r="AE10" s="186"/>
      <c r="AF10" s="8" t="s">
        <v>20</v>
      </c>
      <c r="AG10" s="17">
        <v>19386</v>
      </c>
      <c r="AH10" s="17">
        <v>13922</v>
      </c>
      <c r="AI10" s="17">
        <v>15302</v>
      </c>
      <c r="AJ10" s="17">
        <v>15274</v>
      </c>
      <c r="AK10" s="17">
        <v>51623</v>
      </c>
      <c r="AL10" s="187"/>
      <c r="AM10" s="6" t="s">
        <v>51</v>
      </c>
      <c r="AN10" s="7">
        <v>6510</v>
      </c>
      <c r="AO10" s="7">
        <v>5279</v>
      </c>
      <c r="AP10" s="7">
        <v>9820</v>
      </c>
      <c r="AQ10" s="19">
        <v>33332</v>
      </c>
      <c r="AR10" s="19">
        <v>35339</v>
      </c>
      <c r="AT10" s="186"/>
      <c r="AU10" s="8" t="s">
        <v>20</v>
      </c>
      <c r="AV10" s="17">
        <v>1856</v>
      </c>
      <c r="AW10" s="17"/>
      <c r="AX10" s="17"/>
      <c r="AY10" s="17"/>
      <c r="AZ10" s="17"/>
      <c r="BA10" s="187"/>
      <c r="BB10" s="6" t="s">
        <v>51</v>
      </c>
      <c r="BC10" s="7">
        <v>16455</v>
      </c>
      <c r="BD10" s="7"/>
      <c r="BE10" s="7"/>
      <c r="BF10" s="19"/>
      <c r="BG10" s="19"/>
    </row>
    <row r="11" spans="1:59" ht="32.25" thickBot="1" x14ac:dyDescent="0.3">
      <c r="A11" s="186"/>
      <c r="B11" s="8" t="s">
        <v>22</v>
      </c>
      <c r="C11" s="9">
        <v>49067</v>
      </c>
      <c r="D11" s="9">
        <v>18301</v>
      </c>
      <c r="E11" s="9"/>
      <c r="F11" s="9"/>
      <c r="G11" s="18"/>
      <c r="H11" s="187"/>
      <c r="I11" s="187"/>
      <c r="J11" s="187"/>
      <c r="K11" s="187"/>
      <c r="L11" s="187"/>
      <c r="M11" s="187"/>
      <c r="N11" s="188"/>
      <c r="P11" s="186"/>
      <c r="Q11" s="8" t="s">
        <v>22</v>
      </c>
      <c r="R11" s="9">
        <v>142368</v>
      </c>
      <c r="S11" s="9">
        <v>144888</v>
      </c>
      <c r="T11" s="9">
        <v>86480</v>
      </c>
      <c r="U11" s="9">
        <v>65177</v>
      </c>
      <c r="V11" s="18">
        <v>49519</v>
      </c>
      <c r="W11" s="187"/>
      <c r="X11" s="187"/>
      <c r="Y11" s="187"/>
      <c r="Z11" s="187"/>
      <c r="AA11" s="187"/>
      <c r="AB11" s="187"/>
      <c r="AC11" s="188"/>
      <c r="AE11" s="186"/>
      <c r="AF11" s="8" t="s">
        <v>22</v>
      </c>
      <c r="AG11" s="9">
        <v>719518</v>
      </c>
      <c r="AH11" s="9">
        <v>678733</v>
      </c>
      <c r="AI11" s="9">
        <f>AI12+AI13</f>
        <v>568220</v>
      </c>
      <c r="AJ11" s="9">
        <f t="shared" ref="AJ11:AK11" si="0">AJ12+AJ13</f>
        <v>509988</v>
      </c>
      <c r="AK11" s="9">
        <f t="shared" si="0"/>
        <v>513010</v>
      </c>
      <c r="AL11" s="187"/>
      <c r="AM11" s="187"/>
      <c r="AN11" s="187"/>
      <c r="AO11" s="187"/>
      <c r="AP11" s="187"/>
      <c r="AQ11" s="187"/>
      <c r="AR11" s="188"/>
      <c r="AT11" s="186"/>
      <c r="AU11" s="8" t="s">
        <v>22</v>
      </c>
      <c r="AV11" s="9">
        <v>223123</v>
      </c>
      <c r="AW11" s="9">
        <v>89</v>
      </c>
      <c r="AX11" s="9">
        <v>1011</v>
      </c>
      <c r="AY11" s="9"/>
      <c r="AZ11" s="9"/>
      <c r="BA11" s="187"/>
      <c r="BB11" s="187"/>
      <c r="BC11" s="187"/>
      <c r="BD11" s="187"/>
      <c r="BE11" s="187"/>
      <c r="BF11" s="187"/>
      <c r="BG11" s="188"/>
    </row>
    <row r="12" spans="1:59" ht="63.75" thickBot="1" x14ac:dyDescent="0.3">
      <c r="A12" s="186"/>
      <c r="B12" s="10" t="s">
        <v>23</v>
      </c>
      <c r="C12" s="11"/>
      <c r="D12" s="11"/>
      <c r="E12" s="11"/>
      <c r="F12" s="11"/>
      <c r="G12" s="11"/>
      <c r="H12" s="187"/>
      <c r="I12" s="1"/>
      <c r="J12" s="20">
        <v>2017</v>
      </c>
      <c r="K12" s="20">
        <v>2016</v>
      </c>
      <c r="L12" s="20">
        <v>2015</v>
      </c>
      <c r="M12" s="20">
        <v>2014</v>
      </c>
      <c r="N12" s="20">
        <v>2013</v>
      </c>
      <c r="P12" s="186"/>
      <c r="Q12" s="10" t="s">
        <v>23</v>
      </c>
      <c r="R12" s="11">
        <v>1471</v>
      </c>
      <c r="S12" s="11">
        <v>6219</v>
      </c>
      <c r="T12" s="11">
        <v>17052</v>
      </c>
      <c r="U12" s="11">
        <v>7909</v>
      </c>
      <c r="V12" s="11">
        <v>0</v>
      </c>
      <c r="W12" s="187"/>
      <c r="X12" s="1"/>
      <c r="Y12" s="20">
        <v>2017</v>
      </c>
      <c r="Z12" s="20">
        <v>2016</v>
      </c>
      <c r="AA12" s="20">
        <v>2015</v>
      </c>
      <c r="AB12" s="20">
        <v>2014</v>
      </c>
      <c r="AC12" s="20">
        <v>2013</v>
      </c>
      <c r="AE12" s="186"/>
      <c r="AF12" s="10" t="s">
        <v>23</v>
      </c>
      <c r="AG12" s="11">
        <v>40491</v>
      </c>
      <c r="AH12" s="11">
        <v>34309</v>
      </c>
      <c r="AI12" s="11">
        <v>31573</v>
      </c>
      <c r="AJ12" s="11">
        <v>28434</v>
      </c>
      <c r="AK12" s="11">
        <v>51623</v>
      </c>
      <c r="AL12" s="187"/>
      <c r="AM12" s="1"/>
      <c r="AN12" s="179">
        <v>2017</v>
      </c>
      <c r="AO12" s="179">
        <v>2016</v>
      </c>
      <c r="AP12" s="179">
        <v>2015</v>
      </c>
      <c r="AQ12" s="179">
        <v>2014</v>
      </c>
      <c r="AR12" s="179">
        <v>2013</v>
      </c>
      <c r="AT12" s="186"/>
      <c r="AU12" s="10" t="s">
        <v>23</v>
      </c>
      <c r="AV12" s="11">
        <v>2442</v>
      </c>
      <c r="AW12" s="11"/>
      <c r="AX12" s="11"/>
      <c r="AY12" s="11"/>
      <c r="AZ12" s="11"/>
      <c r="BA12" s="187"/>
      <c r="BB12" s="1"/>
      <c r="BC12" s="192">
        <v>2017</v>
      </c>
      <c r="BD12" s="192">
        <v>2016</v>
      </c>
      <c r="BE12" s="192">
        <v>2015</v>
      </c>
      <c r="BF12" s="192">
        <v>2014</v>
      </c>
      <c r="BG12" s="192">
        <v>2013</v>
      </c>
    </row>
    <row r="13" spans="1:59" ht="63.75" thickBot="1" x14ac:dyDescent="0.3">
      <c r="A13" s="186"/>
      <c r="B13" s="10" t="s">
        <v>27</v>
      </c>
      <c r="C13" s="11">
        <v>49067</v>
      </c>
      <c r="D13" s="11">
        <v>18301</v>
      </c>
      <c r="E13" s="11"/>
      <c r="F13" s="11"/>
      <c r="G13" s="11"/>
      <c r="H13" s="187"/>
      <c r="I13" s="102" t="s">
        <v>59</v>
      </c>
      <c r="J13" s="103">
        <v>2602</v>
      </c>
      <c r="K13" s="103">
        <v>112</v>
      </c>
      <c r="L13" s="103"/>
      <c r="M13" s="103"/>
      <c r="N13" s="103"/>
      <c r="P13" s="186"/>
      <c r="Q13" s="10" t="s">
        <v>27</v>
      </c>
      <c r="R13" s="11">
        <v>140627</v>
      </c>
      <c r="S13" s="11">
        <v>138669</v>
      </c>
      <c r="T13" s="11">
        <v>69428</v>
      </c>
      <c r="U13" s="11">
        <v>57268</v>
      </c>
      <c r="V13" s="11">
        <v>49519</v>
      </c>
      <c r="W13" s="187"/>
      <c r="X13" s="102" t="s">
        <v>59</v>
      </c>
      <c r="Y13" s="103">
        <v>7</v>
      </c>
      <c r="Z13" s="103">
        <v>420</v>
      </c>
      <c r="AA13" s="103"/>
      <c r="AB13" s="103"/>
      <c r="AC13" s="103"/>
      <c r="AE13" s="186"/>
      <c r="AF13" s="10" t="s">
        <v>27</v>
      </c>
      <c r="AG13" s="11">
        <v>679027</v>
      </c>
      <c r="AH13" s="11">
        <v>644424</v>
      </c>
      <c r="AI13" s="11">
        <v>536647</v>
      </c>
      <c r="AJ13" s="11">
        <v>481554</v>
      </c>
      <c r="AK13" s="11">
        <v>461387</v>
      </c>
      <c r="AL13" s="187"/>
      <c r="AM13" s="102" t="s">
        <v>59</v>
      </c>
      <c r="AN13" s="103">
        <v>253041</v>
      </c>
      <c r="AO13" s="103">
        <v>236822</v>
      </c>
      <c r="AP13" s="103">
        <v>210494</v>
      </c>
      <c r="AQ13" s="103">
        <v>182985</v>
      </c>
      <c r="AR13" s="103">
        <v>202733</v>
      </c>
      <c r="AT13" s="186"/>
      <c r="AU13" s="10" t="s">
        <v>27</v>
      </c>
      <c r="AV13" s="11">
        <v>220681</v>
      </c>
      <c r="AW13" s="11">
        <v>89</v>
      </c>
      <c r="AX13" s="11">
        <v>1011</v>
      </c>
      <c r="AY13" s="11"/>
      <c r="AZ13" s="11"/>
      <c r="BA13" s="187"/>
      <c r="BB13" s="102" t="s">
        <v>59</v>
      </c>
      <c r="BC13" s="103">
        <v>14499</v>
      </c>
      <c r="BD13" s="103">
        <v>7</v>
      </c>
      <c r="BE13" s="103"/>
      <c r="BF13" s="103"/>
      <c r="BG13" s="103"/>
    </row>
    <row r="14" spans="1:59" ht="63.75" thickBot="1" x14ac:dyDescent="0.3">
      <c r="A14" s="186"/>
      <c r="B14" s="8" t="s">
        <v>28</v>
      </c>
      <c r="C14" s="9">
        <v>3494</v>
      </c>
      <c r="D14" s="9">
        <v>10354</v>
      </c>
      <c r="E14" s="9"/>
      <c r="F14" s="9"/>
      <c r="G14" s="9"/>
      <c r="H14" s="187"/>
      <c r="I14" s="104" t="s">
        <v>60</v>
      </c>
      <c r="J14" s="105">
        <v>2505</v>
      </c>
      <c r="K14" s="105">
        <v>105</v>
      </c>
      <c r="L14" s="105"/>
      <c r="M14" s="105"/>
      <c r="N14" s="105"/>
      <c r="P14" s="186"/>
      <c r="Q14" s="8" t="s">
        <v>28</v>
      </c>
      <c r="R14" s="9">
        <v>4093</v>
      </c>
      <c r="S14" s="9">
        <v>3447</v>
      </c>
      <c r="T14" s="9">
        <v>6580</v>
      </c>
      <c r="U14" s="9">
        <v>13436</v>
      </c>
      <c r="V14" s="9">
        <v>11776</v>
      </c>
      <c r="W14" s="187"/>
      <c r="X14" s="104" t="s">
        <v>60</v>
      </c>
      <c r="Y14" s="105">
        <v>77</v>
      </c>
      <c r="Z14" s="105">
        <v>420</v>
      </c>
      <c r="AA14" s="105"/>
      <c r="AB14" s="105"/>
      <c r="AC14" s="105"/>
      <c r="AE14" s="186"/>
      <c r="AF14" s="8" t="s">
        <v>28</v>
      </c>
      <c r="AG14" s="9">
        <v>273631</v>
      </c>
      <c r="AH14" s="9">
        <v>326790</v>
      </c>
      <c r="AI14" s="9">
        <v>249302</v>
      </c>
      <c r="AJ14" s="9">
        <v>277082</v>
      </c>
      <c r="AK14" s="9">
        <v>335351</v>
      </c>
      <c r="AL14" s="187"/>
      <c r="AM14" s="104" t="s">
        <v>60</v>
      </c>
      <c r="AN14" s="105">
        <v>136779</v>
      </c>
      <c r="AO14" s="105">
        <v>115747</v>
      </c>
      <c r="AP14" s="105">
        <v>92398</v>
      </c>
      <c r="AQ14" s="105">
        <v>93214</v>
      </c>
      <c r="AR14" s="105">
        <v>116136</v>
      </c>
      <c r="AT14" s="186"/>
      <c r="AU14" s="8" t="s">
        <v>28</v>
      </c>
      <c r="AV14" s="9">
        <v>15018</v>
      </c>
      <c r="AW14" s="9">
        <v>27554</v>
      </c>
      <c r="AX14" s="9">
        <v>939</v>
      </c>
      <c r="AY14" s="9"/>
      <c r="AZ14" s="9"/>
      <c r="BA14" s="187"/>
      <c r="BB14" s="104" t="s">
        <v>60</v>
      </c>
      <c r="BC14" s="105">
        <v>12401</v>
      </c>
      <c r="BD14" s="105"/>
      <c r="BE14" s="105"/>
      <c r="BF14" s="105"/>
      <c r="BG14" s="105"/>
    </row>
    <row r="15" spans="1:59" ht="48" thickBot="1" x14ac:dyDescent="0.3">
      <c r="A15" s="186"/>
      <c r="B15" s="6" t="s">
        <v>31</v>
      </c>
      <c r="C15" s="7">
        <v>5220</v>
      </c>
      <c r="D15" s="7">
        <v>2073</v>
      </c>
      <c r="E15" s="7"/>
      <c r="F15" s="7"/>
      <c r="G15" s="7"/>
      <c r="H15" s="187"/>
      <c r="I15" s="6" t="s">
        <v>61</v>
      </c>
      <c r="J15" s="7">
        <f>J13-J14</f>
        <v>97</v>
      </c>
      <c r="K15" s="7">
        <f>K13-K14</f>
        <v>7</v>
      </c>
      <c r="L15" s="7"/>
      <c r="M15" s="7"/>
      <c r="N15" s="7"/>
      <c r="P15" s="186"/>
      <c r="Q15" s="6" t="s">
        <v>31</v>
      </c>
      <c r="R15" s="7">
        <v>13640</v>
      </c>
      <c r="S15" s="7">
        <v>10926</v>
      </c>
      <c r="T15" s="7">
        <v>5942</v>
      </c>
      <c r="U15" s="7">
        <v>2739</v>
      </c>
      <c r="V15" s="7">
        <v>3612</v>
      </c>
      <c r="W15" s="187"/>
      <c r="X15" s="6" t="s">
        <v>61</v>
      </c>
      <c r="Y15" s="7">
        <v>-7</v>
      </c>
      <c r="Z15" s="7">
        <v>0</v>
      </c>
      <c r="AA15" s="7"/>
      <c r="AB15" s="7"/>
      <c r="AC15" s="7"/>
      <c r="AE15" s="186"/>
      <c r="AF15" s="6" t="s">
        <v>31</v>
      </c>
      <c r="AG15" s="7">
        <v>45155</v>
      </c>
      <c r="AH15" s="7">
        <v>82710</v>
      </c>
      <c r="AI15" s="7">
        <v>66485</v>
      </c>
      <c r="AJ15" s="7">
        <v>65138</v>
      </c>
      <c r="AK15" s="7">
        <v>49098</v>
      </c>
      <c r="AL15" s="187"/>
      <c r="AM15" s="6" t="s">
        <v>61</v>
      </c>
      <c r="AN15" s="7">
        <f>AN13-AN14</f>
        <v>116262</v>
      </c>
      <c r="AO15" s="7">
        <f>AO13-AO14</f>
        <v>121075</v>
      </c>
      <c r="AP15" s="7">
        <v>118096</v>
      </c>
      <c r="AQ15" s="7">
        <v>89771</v>
      </c>
      <c r="AR15" s="7">
        <v>86597</v>
      </c>
      <c r="AT15" s="186"/>
      <c r="AU15" s="6" t="s">
        <v>31</v>
      </c>
      <c r="AV15" s="7">
        <v>6514</v>
      </c>
      <c r="AW15" s="7"/>
      <c r="AX15" s="7"/>
      <c r="AY15" s="7"/>
      <c r="AZ15" s="7"/>
      <c r="BA15" s="187"/>
      <c r="BB15" s="6" t="s">
        <v>61</v>
      </c>
      <c r="BC15" s="7">
        <f>BC13-BC14</f>
        <v>2098</v>
      </c>
      <c r="BD15" s="7"/>
      <c r="BE15" s="7"/>
      <c r="BF15" s="7"/>
      <c r="BG15" s="7"/>
    </row>
    <row r="16" spans="1:59" ht="16.5" thickBot="1" x14ac:dyDescent="0.3">
      <c r="A16" s="186"/>
      <c r="B16" s="187"/>
      <c r="C16" s="187"/>
      <c r="D16" s="187"/>
      <c r="E16" s="187"/>
      <c r="F16" s="187"/>
      <c r="G16" s="187"/>
      <c r="H16" s="187"/>
      <c r="I16" s="102" t="s">
        <v>62</v>
      </c>
      <c r="J16" s="103">
        <v>168965</v>
      </c>
      <c r="K16" s="103">
        <v>91357</v>
      </c>
      <c r="L16" s="103"/>
      <c r="M16" s="103"/>
      <c r="N16" s="103"/>
      <c r="P16" s="186"/>
      <c r="Q16" s="187"/>
      <c r="R16" s="187"/>
      <c r="S16" s="187"/>
      <c r="T16" s="187"/>
      <c r="U16" s="187"/>
      <c r="V16" s="187"/>
      <c r="W16" s="187"/>
      <c r="X16" s="102" t="s">
        <v>62</v>
      </c>
      <c r="Y16" s="103">
        <v>652650</v>
      </c>
      <c r="Z16" s="103">
        <v>548348</v>
      </c>
      <c r="AA16" s="103">
        <v>358025</v>
      </c>
      <c r="AB16" s="103">
        <v>316985</v>
      </c>
      <c r="AC16" s="103">
        <v>279554</v>
      </c>
      <c r="AE16" s="186"/>
      <c r="AF16" s="187"/>
      <c r="AG16" s="187"/>
      <c r="AH16" s="187"/>
      <c r="AI16" s="187"/>
      <c r="AJ16" s="187"/>
      <c r="AK16" s="187"/>
      <c r="AL16" s="187"/>
      <c r="AM16" s="102" t="s">
        <v>62</v>
      </c>
      <c r="AN16" s="103">
        <v>2763244</v>
      </c>
      <c r="AO16" s="103">
        <v>2352391</v>
      </c>
      <c r="AP16" s="103">
        <v>2713841</v>
      </c>
      <c r="AQ16" s="103">
        <v>1922688</v>
      </c>
      <c r="AR16" s="103">
        <v>1973182</v>
      </c>
      <c r="AT16" s="186"/>
      <c r="AU16" s="187"/>
      <c r="AV16" s="187"/>
      <c r="AW16" s="187"/>
      <c r="AX16" s="187"/>
      <c r="AY16" s="187"/>
      <c r="AZ16" s="187"/>
      <c r="BA16" s="187"/>
      <c r="BB16" s="102" t="s">
        <v>62</v>
      </c>
      <c r="BC16" s="103">
        <v>755385</v>
      </c>
      <c r="BD16" s="103"/>
      <c r="BE16" s="103"/>
      <c r="BF16" s="103"/>
      <c r="BG16" s="103"/>
    </row>
    <row r="17" spans="1:59" ht="48" thickBot="1" x14ac:dyDescent="0.3">
      <c r="A17" s="186"/>
      <c r="B17" s="187"/>
      <c r="C17" s="187"/>
      <c r="D17" s="187"/>
      <c r="E17" s="187"/>
      <c r="F17" s="187"/>
      <c r="G17" s="187"/>
      <c r="H17" s="187"/>
      <c r="I17" s="104" t="s">
        <v>63</v>
      </c>
      <c r="J17" s="105">
        <f>21893+119800</f>
        <v>141693</v>
      </c>
      <c r="K17" s="105">
        <f>14479+57681</f>
        <v>72160</v>
      </c>
      <c r="L17" s="105"/>
      <c r="M17" s="105"/>
      <c r="N17" s="105"/>
      <c r="P17" s="186"/>
      <c r="Q17" s="187"/>
      <c r="R17" s="187"/>
      <c r="S17" s="187"/>
      <c r="T17" s="187"/>
      <c r="U17" s="187"/>
      <c r="V17" s="187"/>
      <c r="W17" s="187"/>
      <c r="X17" s="104" t="s">
        <v>63</v>
      </c>
      <c r="Y17" s="105">
        <f>39262+464959</f>
        <v>504221</v>
      </c>
      <c r="Z17" s="105">
        <f>394766+38232</f>
        <v>432998</v>
      </c>
      <c r="AA17" s="105">
        <v>294944</v>
      </c>
      <c r="AB17" s="105">
        <v>225617</v>
      </c>
      <c r="AC17" s="105">
        <v>180722</v>
      </c>
      <c r="AE17" s="186"/>
      <c r="AF17" s="187"/>
      <c r="AG17" s="187"/>
      <c r="AH17" s="187"/>
      <c r="AI17" s="187"/>
      <c r="AJ17" s="187"/>
      <c r="AK17" s="187"/>
      <c r="AL17" s="187"/>
      <c r="AM17" s="104" t="s">
        <v>63</v>
      </c>
      <c r="AN17" s="105">
        <v>1700960</v>
      </c>
      <c r="AO17" s="105">
        <v>1465985</v>
      </c>
      <c r="AP17" s="105">
        <v>1573727</v>
      </c>
      <c r="AQ17" s="105">
        <v>1057221</v>
      </c>
      <c r="AR17" s="105">
        <v>1164607</v>
      </c>
      <c r="AT17" s="186"/>
      <c r="AU17" s="187"/>
      <c r="AV17" s="187"/>
      <c r="AW17" s="187"/>
      <c r="AX17" s="187"/>
      <c r="AY17" s="187"/>
      <c r="AZ17" s="187"/>
      <c r="BA17" s="187"/>
      <c r="BB17" s="104" t="s">
        <v>63</v>
      </c>
      <c r="BC17" s="105">
        <f>78409+361550</f>
        <v>439959</v>
      </c>
      <c r="BD17" s="105">
        <v>80</v>
      </c>
      <c r="BE17" s="105">
        <v>1</v>
      </c>
      <c r="BF17" s="105"/>
      <c r="BG17" s="105"/>
    </row>
    <row r="18" spans="1:59" ht="32.25" thickBot="1" x14ac:dyDescent="0.3">
      <c r="A18" s="186"/>
      <c r="B18" s="187"/>
      <c r="C18" s="187"/>
      <c r="D18" s="187"/>
      <c r="E18" s="187"/>
      <c r="F18" s="187"/>
      <c r="G18" s="187"/>
      <c r="H18" s="187"/>
      <c r="I18" s="6" t="s">
        <v>66</v>
      </c>
      <c r="J18" s="7">
        <f>J15+J16-J17</f>
        <v>27369</v>
      </c>
      <c r="K18" s="7">
        <f>K15+K16-K17</f>
        <v>19204</v>
      </c>
      <c r="L18" s="7"/>
      <c r="M18" s="7"/>
      <c r="N18" s="7"/>
      <c r="P18" s="186"/>
      <c r="Q18" s="187"/>
      <c r="R18" s="187"/>
      <c r="S18" s="187"/>
      <c r="T18" s="187"/>
      <c r="U18" s="187"/>
      <c r="V18" s="187"/>
      <c r="W18" s="187"/>
      <c r="X18" s="6" t="s">
        <v>66</v>
      </c>
      <c r="Y18" s="7">
        <f>Y15+Y16-Y17</f>
        <v>148422</v>
      </c>
      <c r="Z18" s="7">
        <f>Z15+Z16-Z17</f>
        <v>115350</v>
      </c>
      <c r="AA18" s="7">
        <v>63081</v>
      </c>
      <c r="AB18" s="7">
        <v>91368</v>
      </c>
      <c r="AC18" s="7">
        <v>98832</v>
      </c>
      <c r="AE18" s="186"/>
      <c r="AF18" s="187"/>
      <c r="AG18" s="187"/>
      <c r="AH18" s="187"/>
      <c r="AI18" s="187"/>
      <c r="AJ18" s="187"/>
      <c r="AK18" s="187"/>
      <c r="AL18" s="187"/>
      <c r="AM18" s="6" t="s">
        <v>66</v>
      </c>
      <c r="AN18" s="7">
        <f>AN15+AN16-AN17</f>
        <v>1178546</v>
      </c>
      <c r="AO18" s="7">
        <f>AO15+AO16-AO17</f>
        <v>1007481</v>
      </c>
      <c r="AP18" s="7">
        <v>1258210</v>
      </c>
      <c r="AQ18" s="7">
        <v>955238</v>
      </c>
      <c r="AR18" s="7">
        <v>895172</v>
      </c>
      <c r="AT18" s="186"/>
      <c r="AU18" s="187"/>
      <c r="AV18" s="187"/>
      <c r="AW18" s="187"/>
      <c r="AX18" s="187"/>
      <c r="AY18" s="187"/>
      <c r="AZ18" s="187"/>
      <c r="BA18" s="187"/>
      <c r="BB18" s="6" t="s">
        <v>66</v>
      </c>
      <c r="BC18" s="7">
        <f>BC15+BC16-BC17</f>
        <v>317524</v>
      </c>
      <c r="BD18" s="7">
        <v>-73</v>
      </c>
      <c r="BE18" s="7">
        <v>-1</v>
      </c>
      <c r="BF18" s="7"/>
      <c r="BG18" s="7"/>
    </row>
    <row r="19" spans="1:59" ht="32.25" thickBot="1" x14ac:dyDescent="0.3">
      <c r="A19" s="186"/>
      <c r="B19" s="187"/>
      <c r="C19" s="187"/>
      <c r="D19" s="187"/>
      <c r="E19" s="187"/>
      <c r="F19" s="187"/>
      <c r="G19" s="187"/>
      <c r="H19" s="187"/>
      <c r="I19" s="104" t="s">
        <v>67</v>
      </c>
      <c r="J19" s="105">
        <v>16093</v>
      </c>
      <c r="K19" s="105">
        <v>8469</v>
      </c>
      <c r="L19" s="105"/>
      <c r="M19" s="105"/>
      <c r="N19" s="105"/>
      <c r="P19" s="186"/>
      <c r="Q19" s="187"/>
      <c r="R19" s="187"/>
      <c r="S19" s="187"/>
      <c r="T19" s="187"/>
      <c r="U19" s="187"/>
      <c r="V19" s="187"/>
      <c r="W19" s="187"/>
      <c r="X19" s="104" t="s">
        <v>67</v>
      </c>
      <c r="Y19" s="105">
        <v>146417</v>
      </c>
      <c r="Z19" s="105">
        <v>108638</v>
      </c>
      <c r="AA19" s="105">
        <v>37763</v>
      </c>
      <c r="AB19" s="105">
        <v>69176</v>
      </c>
      <c r="AC19" s="105">
        <v>82394</v>
      </c>
      <c r="AE19" s="186"/>
      <c r="AF19" s="187"/>
      <c r="AG19" s="187"/>
      <c r="AH19" s="187"/>
      <c r="AI19" s="187"/>
      <c r="AJ19" s="187"/>
      <c r="AK19" s="187"/>
      <c r="AL19" s="187"/>
      <c r="AM19" s="104" t="s">
        <v>67</v>
      </c>
      <c r="AN19" s="105">
        <v>653714</v>
      </c>
      <c r="AO19" s="105">
        <v>566769</v>
      </c>
      <c r="AP19" s="105">
        <v>591835</v>
      </c>
      <c r="AQ19" s="105">
        <v>437780</v>
      </c>
      <c r="AR19" s="105">
        <v>443400</v>
      </c>
      <c r="AT19" s="186"/>
      <c r="AU19" s="187"/>
      <c r="AV19" s="187"/>
      <c r="AW19" s="187"/>
      <c r="AX19" s="187"/>
      <c r="AY19" s="187"/>
      <c r="AZ19" s="187"/>
      <c r="BA19" s="187"/>
      <c r="BB19" s="104" t="s">
        <v>67</v>
      </c>
      <c r="BC19" s="105">
        <v>309807</v>
      </c>
      <c r="BD19" s="105"/>
      <c r="BE19" s="105"/>
      <c r="BF19" s="105"/>
      <c r="BG19" s="105"/>
    </row>
    <row r="20" spans="1:59" ht="32.25" thickBot="1" x14ac:dyDescent="0.3">
      <c r="A20" s="186"/>
      <c r="B20" s="187"/>
      <c r="C20" s="187"/>
      <c r="D20" s="187"/>
      <c r="E20" s="187"/>
      <c r="F20" s="187"/>
      <c r="G20" s="187"/>
      <c r="H20" s="187"/>
      <c r="I20" s="104" t="s">
        <v>71</v>
      </c>
      <c r="J20" s="105">
        <v>135</v>
      </c>
      <c r="K20" s="105">
        <v>94</v>
      </c>
      <c r="L20" s="105"/>
      <c r="M20" s="105"/>
      <c r="N20" s="106"/>
      <c r="P20" s="186"/>
      <c r="Q20" s="187"/>
      <c r="R20" s="187"/>
      <c r="S20" s="187"/>
      <c r="T20" s="187"/>
      <c r="U20" s="187"/>
      <c r="V20" s="187"/>
      <c r="W20" s="187"/>
      <c r="X20" s="104" t="s">
        <v>71</v>
      </c>
      <c r="Y20" s="105">
        <v>163</v>
      </c>
      <c r="Z20" s="105">
        <v>268</v>
      </c>
      <c r="AA20" s="105">
        <v>106</v>
      </c>
      <c r="AB20" s="105">
        <v>108</v>
      </c>
      <c r="AC20" s="106">
        <v>102</v>
      </c>
      <c r="AE20" s="186"/>
      <c r="AF20" s="187"/>
      <c r="AG20" s="187"/>
      <c r="AH20" s="187"/>
      <c r="AI20" s="187"/>
      <c r="AJ20" s="187"/>
      <c r="AK20" s="187"/>
      <c r="AL20" s="187"/>
      <c r="AM20" s="104" t="s">
        <v>71</v>
      </c>
      <c r="AN20" s="105">
        <v>145749</v>
      </c>
      <c r="AO20" s="105">
        <v>129280</v>
      </c>
      <c r="AP20" s="105">
        <v>146352</v>
      </c>
      <c r="AQ20" s="105">
        <v>119289</v>
      </c>
      <c r="AR20" s="106">
        <v>132771</v>
      </c>
      <c r="AT20" s="186"/>
      <c r="AU20" s="187"/>
      <c r="AV20" s="187"/>
      <c r="AW20" s="187"/>
      <c r="AX20" s="187"/>
      <c r="AY20" s="187"/>
      <c r="AZ20" s="187"/>
      <c r="BA20" s="187"/>
      <c r="BB20" s="104" t="s">
        <v>71</v>
      </c>
      <c r="BC20" s="105">
        <v>391</v>
      </c>
      <c r="BD20" s="105"/>
      <c r="BE20" s="105"/>
      <c r="BF20" s="105"/>
      <c r="BG20" s="106"/>
    </row>
    <row r="21" spans="1:59" ht="16.5" thickBot="1" x14ac:dyDescent="0.3">
      <c r="A21" s="186"/>
      <c r="B21" s="187"/>
      <c r="C21" s="187"/>
      <c r="D21" s="187"/>
      <c r="E21" s="187"/>
      <c r="F21" s="187"/>
      <c r="G21" s="187"/>
      <c r="H21" s="187"/>
      <c r="I21" s="104" t="s">
        <v>72</v>
      </c>
      <c r="J21" s="105">
        <v>4545</v>
      </c>
      <c r="K21" s="105">
        <v>3778</v>
      </c>
      <c r="L21" s="105"/>
      <c r="M21" s="105"/>
      <c r="N21" s="105"/>
      <c r="P21" s="186"/>
      <c r="Q21" s="187"/>
      <c r="R21" s="187"/>
      <c r="S21" s="187"/>
      <c r="T21" s="187"/>
      <c r="U21" s="187"/>
      <c r="V21" s="187"/>
      <c r="W21" s="187"/>
      <c r="X21" s="104" t="s">
        <v>72</v>
      </c>
      <c r="Y21" s="105">
        <v>5053</v>
      </c>
      <c r="Z21" s="105">
        <v>4211</v>
      </c>
      <c r="AA21" s="105">
        <v>3978</v>
      </c>
      <c r="AB21" s="105">
        <v>4114</v>
      </c>
      <c r="AC21" s="105">
        <v>3701</v>
      </c>
      <c r="AE21" s="186"/>
      <c r="AF21" s="187"/>
      <c r="AG21" s="187"/>
      <c r="AH21" s="187"/>
      <c r="AI21" s="187"/>
      <c r="AJ21" s="187"/>
      <c r="AK21" s="187"/>
      <c r="AL21" s="187"/>
      <c r="AM21" s="104" t="s">
        <v>72</v>
      </c>
      <c r="AN21" s="105">
        <v>164247</v>
      </c>
      <c r="AO21" s="105">
        <v>176771</v>
      </c>
      <c r="AP21" s="105">
        <v>210751</v>
      </c>
      <c r="AQ21" s="105">
        <v>172647</v>
      </c>
      <c r="AR21" s="105">
        <v>166953</v>
      </c>
      <c r="AT21" s="186"/>
      <c r="AU21" s="187"/>
      <c r="AV21" s="187"/>
      <c r="AW21" s="187"/>
      <c r="AX21" s="187"/>
      <c r="AY21" s="187"/>
      <c r="AZ21" s="187"/>
      <c r="BA21" s="187"/>
      <c r="BB21" s="104" t="s">
        <v>72</v>
      </c>
      <c r="BC21" s="105">
        <v>9636</v>
      </c>
      <c r="BD21" s="105"/>
      <c r="BE21" s="105"/>
      <c r="BF21" s="105"/>
      <c r="BG21" s="105"/>
    </row>
    <row r="22" spans="1:59" ht="79.5" thickBot="1" x14ac:dyDescent="0.3">
      <c r="A22" s="186"/>
      <c r="B22" s="187"/>
      <c r="C22" s="187"/>
      <c r="D22" s="187"/>
      <c r="E22" s="187"/>
      <c r="F22" s="187"/>
      <c r="G22" s="187"/>
      <c r="H22" s="187"/>
      <c r="I22" s="102" t="s">
        <v>73</v>
      </c>
      <c r="J22" s="103">
        <f>2156+97</f>
        <v>2253</v>
      </c>
      <c r="K22" s="103">
        <f>400</f>
        <v>400</v>
      </c>
      <c r="L22" s="103"/>
      <c r="M22" s="103"/>
      <c r="N22" s="103"/>
      <c r="P22" s="186"/>
      <c r="Q22" s="187"/>
      <c r="R22" s="187"/>
      <c r="S22" s="187"/>
      <c r="T22" s="187"/>
      <c r="U22" s="187"/>
      <c r="V22" s="187"/>
      <c r="W22" s="187"/>
      <c r="X22" s="102" t="s">
        <v>73</v>
      </c>
      <c r="Y22" s="103">
        <v>682</v>
      </c>
      <c r="Z22" s="103">
        <v>3184</v>
      </c>
      <c r="AA22" s="103">
        <v>1753</v>
      </c>
      <c r="AB22" s="103">
        <v>2709</v>
      </c>
      <c r="AC22" s="103">
        <v>2316</v>
      </c>
      <c r="AE22" s="186"/>
      <c r="AF22" s="187"/>
      <c r="AG22" s="187"/>
      <c r="AH22" s="187"/>
      <c r="AI22" s="187"/>
      <c r="AJ22" s="187"/>
      <c r="AK22" s="187"/>
      <c r="AL22" s="187"/>
      <c r="AM22" s="102" t="s">
        <v>73</v>
      </c>
      <c r="AN22" s="103">
        <f>29069-9144</f>
        <v>19925</v>
      </c>
      <c r="AO22" s="103">
        <f>35154-18988</f>
        <v>16166</v>
      </c>
      <c r="AP22" s="103">
        <v>15801</v>
      </c>
      <c r="AQ22" s="103">
        <v>7459</v>
      </c>
      <c r="AR22" s="103">
        <v>6123</v>
      </c>
      <c r="AT22" s="186"/>
      <c r="AU22" s="187"/>
      <c r="AV22" s="187"/>
      <c r="AW22" s="187"/>
      <c r="AX22" s="187"/>
      <c r="AY22" s="187"/>
      <c r="AZ22" s="187"/>
      <c r="BA22" s="187"/>
      <c r="BB22" s="102" t="s">
        <v>73</v>
      </c>
      <c r="BC22" s="103">
        <v>1626</v>
      </c>
      <c r="BD22" s="103"/>
      <c r="BE22" s="103"/>
      <c r="BF22" s="103"/>
      <c r="BG22" s="103"/>
    </row>
    <row r="23" spans="1:59" ht="111" thickBot="1" x14ac:dyDescent="0.3">
      <c r="A23" s="186"/>
      <c r="B23" s="187"/>
      <c r="C23" s="187"/>
      <c r="D23" s="187"/>
      <c r="E23" s="187"/>
      <c r="F23" s="187"/>
      <c r="G23" s="187"/>
      <c r="H23" s="187"/>
      <c r="I23" s="104" t="s">
        <v>74</v>
      </c>
      <c r="J23" s="105">
        <v>469</v>
      </c>
      <c r="K23" s="105">
        <v>488</v>
      </c>
      <c r="L23" s="105"/>
      <c r="M23" s="105"/>
      <c r="N23" s="105"/>
      <c r="P23" s="186"/>
      <c r="Q23" s="187"/>
      <c r="R23" s="187"/>
      <c r="S23" s="187"/>
      <c r="T23" s="187"/>
      <c r="U23" s="187"/>
      <c r="V23" s="187"/>
      <c r="W23" s="187"/>
      <c r="X23" s="104" t="s">
        <v>74</v>
      </c>
      <c r="Y23" s="105">
        <v>358</v>
      </c>
      <c r="Z23" s="105">
        <v>1895</v>
      </c>
      <c r="AA23" s="105">
        <v>2061</v>
      </c>
      <c r="AB23" s="105">
        <v>1044</v>
      </c>
      <c r="AC23" s="105">
        <v>2172</v>
      </c>
      <c r="AE23" s="186"/>
      <c r="AF23" s="187"/>
      <c r="AG23" s="187"/>
      <c r="AH23" s="187"/>
      <c r="AI23" s="187"/>
      <c r="AJ23" s="187"/>
      <c r="AK23" s="187"/>
      <c r="AL23" s="187"/>
      <c r="AM23" s="104" t="s">
        <v>74</v>
      </c>
      <c r="AN23" s="105">
        <f>3216+6495</f>
        <v>9711</v>
      </c>
      <c r="AO23" s="105">
        <f>1982+2270</f>
        <v>4252</v>
      </c>
      <c r="AP23" s="105">
        <v>7638</v>
      </c>
      <c r="AQ23" s="105">
        <v>1158</v>
      </c>
      <c r="AR23" s="105">
        <v>1263</v>
      </c>
      <c r="AT23" s="186"/>
      <c r="AU23" s="187"/>
      <c r="AV23" s="187"/>
      <c r="AW23" s="187"/>
      <c r="AX23" s="187"/>
      <c r="AY23" s="187"/>
      <c r="AZ23" s="187"/>
      <c r="BA23" s="187"/>
      <c r="BB23" s="104" t="s">
        <v>74</v>
      </c>
      <c r="BC23" s="105">
        <v>589</v>
      </c>
      <c r="BD23" s="105"/>
      <c r="BE23" s="105"/>
      <c r="BF23" s="105"/>
      <c r="BG23" s="105"/>
    </row>
    <row r="24" spans="1:59" ht="48" thickBot="1" x14ac:dyDescent="0.3">
      <c r="A24" s="186"/>
      <c r="B24" s="187"/>
      <c r="C24" s="187"/>
      <c r="D24" s="187"/>
      <c r="E24" s="187"/>
      <c r="F24" s="187"/>
      <c r="G24" s="187"/>
      <c r="H24" s="187"/>
      <c r="I24" s="104" t="s">
        <v>75</v>
      </c>
      <c r="J24" s="105"/>
      <c r="K24" s="106"/>
      <c r="L24" s="106"/>
      <c r="M24" s="105"/>
      <c r="N24" s="106"/>
      <c r="P24" s="186"/>
      <c r="Q24" s="187"/>
      <c r="R24" s="187"/>
      <c r="S24" s="187"/>
      <c r="T24" s="187"/>
      <c r="U24" s="187"/>
      <c r="V24" s="187"/>
      <c r="W24" s="187"/>
      <c r="X24" s="104" t="s">
        <v>75</v>
      </c>
      <c r="Y24" s="105">
        <v>3002</v>
      </c>
      <c r="Z24" s="106">
        <v>0</v>
      </c>
      <c r="AA24" s="106">
        <v>517</v>
      </c>
      <c r="AB24" s="105">
        <v>0</v>
      </c>
      <c r="AC24" s="106">
        <v>0</v>
      </c>
      <c r="AE24" s="186"/>
      <c r="AF24" s="187"/>
      <c r="AG24" s="187"/>
      <c r="AH24" s="187"/>
      <c r="AI24" s="187"/>
      <c r="AJ24" s="187"/>
      <c r="AK24" s="187"/>
      <c r="AL24" s="187"/>
      <c r="AM24" s="104" t="s">
        <v>75</v>
      </c>
      <c r="AN24" s="105">
        <v>16222</v>
      </c>
      <c r="AO24" s="106">
        <v>-38360</v>
      </c>
      <c r="AP24" s="106">
        <v>-16524</v>
      </c>
      <c r="AQ24" s="105">
        <v>-130</v>
      </c>
      <c r="AR24" s="106">
        <v>-38506</v>
      </c>
      <c r="AT24" s="186"/>
      <c r="AU24" s="187"/>
      <c r="AV24" s="187"/>
      <c r="AW24" s="187"/>
      <c r="AX24" s="187"/>
      <c r="AY24" s="187"/>
      <c r="AZ24" s="187"/>
      <c r="BA24" s="187"/>
      <c r="BB24" s="104" t="s">
        <v>75</v>
      </c>
      <c r="BC24" s="105">
        <v>1477</v>
      </c>
      <c r="BD24" s="106"/>
      <c r="BE24" s="106"/>
      <c r="BF24" s="105"/>
      <c r="BG24" s="106"/>
    </row>
    <row r="25" spans="1:59" ht="48" thickBot="1" x14ac:dyDescent="0.3">
      <c r="A25" s="186"/>
      <c r="B25" s="187"/>
      <c r="C25" s="187"/>
      <c r="D25" s="187"/>
      <c r="E25" s="187"/>
      <c r="F25" s="187"/>
      <c r="G25" s="187"/>
      <c r="H25" s="187"/>
      <c r="I25" s="102" t="s">
        <v>76</v>
      </c>
      <c r="J25" s="103">
        <v>514</v>
      </c>
      <c r="K25" s="103">
        <v>13</v>
      </c>
      <c r="L25" s="103"/>
      <c r="M25" s="103"/>
      <c r="N25" s="103"/>
      <c r="P25" s="186"/>
      <c r="Q25" s="187"/>
      <c r="R25" s="187"/>
      <c r="S25" s="187"/>
      <c r="T25" s="187"/>
      <c r="U25" s="187"/>
      <c r="V25" s="187"/>
      <c r="W25" s="187"/>
      <c r="X25" s="102" t="s">
        <v>76</v>
      </c>
      <c r="Y25" s="103">
        <v>1234</v>
      </c>
      <c r="Z25" s="103">
        <v>1619</v>
      </c>
      <c r="AA25" s="103">
        <v>1818</v>
      </c>
      <c r="AB25" s="103">
        <v>1169</v>
      </c>
      <c r="AC25" s="103">
        <v>567</v>
      </c>
      <c r="AE25" s="186"/>
      <c r="AF25" s="187"/>
      <c r="AG25" s="187"/>
      <c r="AH25" s="187"/>
      <c r="AI25" s="187"/>
      <c r="AJ25" s="187"/>
      <c r="AK25" s="187"/>
      <c r="AL25" s="187"/>
      <c r="AM25" s="102" t="s">
        <v>76</v>
      </c>
      <c r="AN25" s="103">
        <v>9144</v>
      </c>
      <c r="AO25" s="103">
        <v>18988</v>
      </c>
      <c r="AP25" s="103">
        <v>26661</v>
      </c>
      <c r="AQ25" s="103">
        <v>17436</v>
      </c>
      <c r="AR25" s="103">
        <v>21413</v>
      </c>
      <c r="AT25" s="186"/>
      <c r="AU25" s="187"/>
      <c r="AV25" s="187"/>
      <c r="AW25" s="187"/>
      <c r="AX25" s="187"/>
      <c r="AY25" s="187"/>
      <c r="AZ25" s="187"/>
      <c r="BA25" s="187"/>
      <c r="BB25" s="102" t="s">
        <v>76</v>
      </c>
      <c r="BC25" s="103">
        <v>3263</v>
      </c>
      <c r="BD25" s="103"/>
      <c r="BE25" s="103"/>
      <c r="BF25" s="103"/>
      <c r="BG25" s="103"/>
    </row>
    <row r="26" spans="1:59" ht="48" thickBot="1" x14ac:dyDescent="0.3">
      <c r="A26" s="186"/>
      <c r="B26" s="187"/>
      <c r="C26" s="187"/>
      <c r="D26" s="187"/>
      <c r="E26" s="187"/>
      <c r="F26" s="187"/>
      <c r="G26" s="187"/>
      <c r="H26" s="187"/>
      <c r="I26" s="104" t="s">
        <v>77</v>
      </c>
      <c r="J26" s="105">
        <v>1382</v>
      </c>
      <c r="K26" s="105">
        <v>56</v>
      </c>
      <c r="L26" s="105"/>
      <c r="M26" s="105"/>
      <c r="N26" s="105"/>
      <c r="P26" s="186"/>
      <c r="Q26" s="187"/>
      <c r="R26" s="187"/>
      <c r="S26" s="187"/>
      <c r="T26" s="187"/>
      <c r="U26" s="187"/>
      <c r="V26" s="187"/>
      <c r="W26" s="187"/>
      <c r="X26" s="104" t="s">
        <v>77</v>
      </c>
      <c r="Y26" s="105">
        <v>2118</v>
      </c>
      <c r="Z26" s="105">
        <v>1957</v>
      </c>
      <c r="AA26" s="105">
        <v>1256</v>
      </c>
      <c r="AB26" s="105">
        <v>1134</v>
      </c>
      <c r="AC26" s="105">
        <v>1302</v>
      </c>
      <c r="AE26" s="186"/>
      <c r="AF26" s="187"/>
      <c r="AG26" s="187"/>
      <c r="AH26" s="187"/>
      <c r="AI26" s="187"/>
      <c r="AJ26" s="187"/>
      <c r="AK26" s="187"/>
      <c r="AL26" s="187"/>
      <c r="AM26" s="104" t="s">
        <v>77</v>
      </c>
      <c r="AN26" s="105">
        <v>35816</v>
      </c>
      <c r="AO26" s="105">
        <v>49900</v>
      </c>
      <c r="AP26" s="105">
        <v>52852</v>
      </c>
      <c r="AQ26" s="105">
        <v>26354</v>
      </c>
      <c r="AR26" s="105">
        <v>81406</v>
      </c>
      <c r="AT26" s="186"/>
      <c r="AU26" s="187"/>
      <c r="AV26" s="187"/>
      <c r="AW26" s="187"/>
      <c r="AX26" s="187"/>
      <c r="AY26" s="187"/>
      <c r="AZ26" s="187"/>
      <c r="BA26" s="187"/>
      <c r="BB26" s="104" t="s">
        <v>77</v>
      </c>
      <c r="BC26" s="105">
        <v>3249</v>
      </c>
      <c r="BD26" s="105">
        <v>44</v>
      </c>
      <c r="BE26" s="105"/>
      <c r="BF26" s="105"/>
      <c r="BG26" s="105"/>
    </row>
    <row r="27" spans="1:59" ht="79.5" thickBot="1" x14ac:dyDescent="0.3">
      <c r="A27" s="186"/>
      <c r="B27" s="187"/>
      <c r="C27" s="187"/>
      <c r="D27" s="187"/>
      <c r="E27" s="187"/>
      <c r="F27" s="187"/>
      <c r="G27" s="187"/>
      <c r="H27" s="187"/>
      <c r="I27" s="6" t="s">
        <v>78</v>
      </c>
      <c r="J27" s="7">
        <v>7512</v>
      </c>
      <c r="K27" s="7">
        <v>6729</v>
      </c>
      <c r="L27" s="7"/>
      <c r="M27" s="7"/>
      <c r="N27" s="7"/>
      <c r="P27" s="186"/>
      <c r="Q27" s="187"/>
      <c r="R27" s="187"/>
      <c r="S27" s="187"/>
      <c r="T27" s="187"/>
      <c r="U27" s="187"/>
      <c r="V27" s="187"/>
      <c r="W27" s="187"/>
      <c r="X27" s="6" t="s">
        <v>78</v>
      </c>
      <c r="Y27" s="7">
        <v>-6836</v>
      </c>
      <c r="Z27" s="7">
        <v>3184</v>
      </c>
      <c r="AA27" s="7">
        <v>9216</v>
      </c>
      <c r="AB27" s="7">
        <v>8184</v>
      </c>
      <c r="AC27" s="7">
        <v>12044</v>
      </c>
      <c r="AE27" s="186"/>
      <c r="AF27" s="187"/>
      <c r="AG27" s="187"/>
      <c r="AH27" s="187"/>
      <c r="AI27" s="187"/>
      <c r="AJ27" s="187"/>
      <c r="AK27" s="187"/>
      <c r="AL27" s="187"/>
      <c r="AM27" s="6" t="s">
        <v>78</v>
      </c>
      <c r="AN27" s="7">
        <v>317393</v>
      </c>
      <c r="AO27" s="7">
        <v>269857</v>
      </c>
      <c r="AP27" s="7">
        <v>307768</v>
      </c>
      <c r="AQ27" s="7">
        <v>223035</v>
      </c>
      <c r="AR27" s="7">
        <v>115421</v>
      </c>
      <c r="AT27" s="186"/>
      <c r="AU27" s="187"/>
      <c r="AV27" s="187"/>
      <c r="AW27" s="187"/>
      <c r="AX27" s="187"/>
      <c r="AY27" s="187"/>
      <c r="AZ27" s="187"/>
      <c r="BA27" s="187"/>
      <c r="BB27" s="6" t="s">
        <v>78</v>
      </c>
      <c r="BC27" s="7">
        <v>-2293</v>
      </c>
      <c r="BD27" s="7">
        <v>-117</v>
      </c>
      <c r="BE27" s="7">
        <v>-1</v>
      </c>
      <c r="BF27" s="7"/>
      <c r="BG27" s="7"/>
    </row>
    <row r="28" spans="1:59" ht="63.75" thickBot="1" x14ac:dyDescent="0.3">
      <c r="A28" s="186"/>
      <c r="B28" s="187"/>
      <c r="C28" s="187"/>
      <c r="D28" s="187"/>
      <c r="E28" s="187"/>
      <c r="F28" s="187"/>
      <c r="G28" s="187"/>
      <c r="H28" s="187"/>
      <c r="I28" s="102" t="s">
        <v>79</v>
      </c>
      <c r="J28" s="103">
        <v>140</v>
      </c>
      <c r="K28" s="103">
        <v>55</v>
      </c>
      <c r="L28" s="103"/>
      <c r="M28" s="103"/>
      <c r="N28" s="103"/>
      <c r="P28" s="186"/>
      <c r="Q28" s="187"/>
      <c r="R28" s="187"/>
      <c r="S28" s="187"/>
      <c r="T28" s="187"/>
      <c r="U28" s="187"/>
      <c r="V28" s="187"/>
      <c r="W28" s="187"/>
      <c r="X28" s="102" t="s">
        <v>79</v>
      </c>
      <c r="Y28" s="103">
        <v>241</v>
      </c>
      <c r="Z28" s="103">
        <v>443</v>
      </c>
      <c r="AA28" s="103">
        <v>583</v>
      </c>
      <c r="AB28" s="103">
        <v>215</v>
      </c>
      <c r="AC28" s="103">
        <v>53</v>
      </c>
      <c r="AE28" s="186"/>
      <c r="AF28" s="187"/>
      <c r="AG28" s="187"/>
      <c r="AH28" s="187"/>
      <c r="AI28" s="187"/>
      <c r="AJ28" s="187"/>
      <c r="AK28" s="187"/>
      <c r="AL28" s="187"/>
      <c r="AM28" s="102" t="s">
        <v>79</v>
      </c>
      <c r="AN28" s="103">
        <f>102751+4963+1475137</f>
        <v>1582851</v>
      </c>
      <c r="AO28" s="103">
        <f>6086+741+325073</f>
        <v>331900</v>
      </c>
      <c r="AP28" s="103">
        <f>117630+9768+9827</f>
        <v>137225</v>
      </c>
      <c r="AQ28" s="103">
        <f>36900+9844+6917</f>
        <v>53661</v>
      </c>
      <c r="AR28" s="103">
        <f>28370+8492+1715</f>
        <v>38577</v>
      </c>
      <c r="AT28" s="186"/>
      <c r="AU28" s="187"/>
      <c r="AV28" s="187"/>
      <c r="AW28" s="187"/>
      <c r="AX28" s="187"/>
      <c r="AY28" s="187"/>
      <c r="AZ28" s="187"/>
      <c r="BA28" s="187"/>
      <c r="BB28" s="102" t="s">
        <v>79</v>
      </c>
      <c r="BC28" s="103">
        <f>614+619</f>
        <v>1233</v>
      </c>
      <c r="BD28" s="103"/>
      <c r="BE28" s="103"/>
      <c r="BF28" s="103"/>
      <c r="BG28" s="103"/>
    </row>
    <row r="29" spans="1:59" ht="63.75" thickBot="1" x14ac:dyDescent="0.3">
      <c r="A29" s="186"/>
      <c r="B29" s="187"/>
      <c r="C29" s="187"/>
      <c r="D29" s="187"/>
      <c r="E29" s="187"/>
      <c r="F29" s="187"/>
      <c r="G29" s="187"/>
      <c r="H29" s="187"/>
      <c r="I29" s="104" t="s">
        <v>80</v>
      </c>
      <c r="J29" s="105">
        <f>2990+399+542</f>
        <v>3931</v>
      </c>
      <c r="K29" s="105">
        <f>397+18</f>
        <v>415</v>
      </c>
      <c r="L29" s="105"/>
      <c r="M29" s="105"/>
      <c r="N29" s="105"/>
      <c r="P29" s="186"/>
      <c r="Q29" s="187"/>
      <c r="R29" s="187"/>
      <c r="S29" s="187"/>
      <c r="T29" s="187"/>
      <c r="U29" s="187"/>
      <c r="V29" s="187"/>
      <c r="W29" s="187"/>
      <c r="X29" s="104" t="s">
        <v>80</v>
      </c>
      <c r="Y29" s="105">
        <v>1286</v>
      </c>
      <c r="Z29" s="105">
        <v>912</v>
      </c>
      <c r="AA29" s="105">
        <v>377</v>
      </c>
      <c r="AB29" s="105">
        <v>296</v>
      </c>
      <c r="AC29" s="105">
        <v>410</v>
      </c>
      <c r="AE29" s="186"/>
      <c r="AF29" s="187"/>
      <c r="AG29" s="187"/>
      <c r="AH29" s="187"/>
      <c r="AI29" s="187"/>
      <c r="AJ29" s="187"/>
      <c r="AK29" s="187"/>
      <c r="AL29" s="187"/>
      <c r="AM29" s="104" t="s">
        <v>80</v>
      </c>
      <c r="AN29" s="105">
        <f>823030+28376</f>
        <v>851406</v>
      </c>
      <c r="AO29" s="105">
        <f>2703+36604</f>
        <v>39307</v>
      </c>
      <c r="AP29" s="105">
        <f>42272+65140+15463</f>
        <v>122875</v>
      </c>
      <c r="AQ29" s="105">
        <f>13224+52167+33227</f>
        <v>98618</v>
      </c>
      <c r="AR29" s="105">
        <f>11074+23637+11557</f>
        <v>46268</v>
      </c>
      <c r="AT29" s="186"/>
      <c r="AU29" s="187"/>
      <c r="AV29" s="187"/>
      <c r="AW29" s="187"/>
      <c r="AX29" s="187"/>
      <c r="AY29" s="187"/>
      <c r="AZ29" s="187"/>
      <c r="BA29" s="187"/>
      <c r="BB29" s="104" t="s">
        <v>80</v>
      </c>
      <c r="BC29" s="105">
        <f>690+7553</f>
        <v>8243</v>
      </c>
      <c r="BD29" s="105">
        <v>-13</v>
      </c>
      <c r="BE29" s="105"/>
      <c r="BF29" s="105"/>
      <c r="BG29" s="105"/>
    </row>
    <row r="30" spans="1:59" ht="79.5" thickBot="1" x14ac:dyDescent="0.3">
      <c r="A30" s="186"/>
      <c r="B30" s="187"/>
      <c r="C30" s="187"/>
      <c r="D30" s="187"/>
      <c r="E30" s="187"/>
      <c r="F30" s="187"/>
      <c r="G30" s="187"/>
      <c r="H30" s="187"/>
      <c r="I30" s="6" t="s">
        <v>81</v>
      </c>
      <c r="J30" s="7">
        <v>-3791</v>
      </c>
      <c r="K30" s="19">
        <v>-360</v>
      </c>
      <c r="L30" s="7"/>
      <c r="M30" s="7"/>
      <c r="N30" s="19"/>
      <c r="P30" s="186"/>
      <c r="Q30" s="187"/>
      <c r="R30" s="187"/>
      <c r="S30" s="187"/>
      <c r="T30" s="187"/>
      <c r="U30" s="187"/>
      <c r="V30" s="187"/>
      <c r="W30" s="187"/>
      <c r="X30" s="6" t="s">
        <v>81</v>
      </c>
      <c r="Y30" s="7">
        <v>-1045</v>
      </c>
      <c r="Z30" s="19">
        <v>-469</v>
      </c>
      <c r="AA30" s="7">
        <v>-75</v>
      </c>
      <c r="AB30" s="7">
        <v>-264</v>
      </c>
      <c r="AC30" s="19">
        <v>-357</v>
      </c>
      <c r="AE30" s="186"/>
      <c r="AF30" s="187"/>
      <c r="AG30" s="187"/>
      <c r="AH30" s="187"/>
      <c r="AI30" s="187"/>
      <c r="AJ30" s="187"/>
      <c r="AK30" s="187"/>
      <c r="AL30" s="187"/>
      <c r="AM30" s="6" t="s">
        <v>81</v>
      </c>
      <c r="AN30" s="7">
        <v>734504</v>
      </c>
      <c r="AO30" s="19">
        <v>298734</v>
      </c>
      <c r="AP30" s="7">
        <v>13391</v>
      </c>
      <c r="AQ30" s="7">
        <v>-44972</v>
      </c>
      <c r="AR30" s="19">
        <v>-7691</v>
      </c>
      <c r="AT30" s="186"/>
      <c r="AU30" s="187"/>
      <c r="AV30" s="187"/>
      <c r="AW30" s="187"/>
      <c r="AX30" s="187"/>
      <c r="AY30" s="187"/>
      <c r="AZ30" s="187"/>
      <c r="BA30" s="187"/>
      <c r="BB30" s="6" t="s">
        <v>81</v>
      </c>
      <c r="BC30" s="7">
        <v>-7010</v>
      </c>
      <c r="BD30" s="19">
        <v>-13</v>
      </c>
      <c r="BE30" s="7">
        <v>0</v>
      </c>
      <c r="BF30" s="7"/>
      <c r="BG30" s="19"/>
    </row>
    <row r="31" spans="1:59" ht="48" thickBot="1" x14ac:dyDescent="0.3">
      <c r="A31" s="186"/>
      <c r="B31" s="187"/>
      <c r="C31" s="187"/>
      <c r="D31" s="187"/>
      <c r="E31" s="187"/>
      <c r="F31" s="187"/>
      <c r="G31" s="187"/>
      <c r="H31" s="187"/>
      <c r="I31" s="104" t="s">
        <v>82</v>
      </c>
      <c r="J31" s="105">
        <v>1598</v>
      </c>
      <c r="K31" s="106">
        <v>1295</v>
      </c>
      <c r="L31" s="105"/>
      <c r="M31" s="105"/>
      <c r="N31" s="105"/>
      <c r="P31" s="186"/>
      <c r="Q31" s="187"/>
      <c r="R31" s="187"/>
      <c r="S31" s="187"/>
      <c r="T31" s="187"/>
      <c r="U31" s="187"/>
      <c r="V31" s="187"/>
      <c r="W31" s="187"/>
      <c r="X31" s="104" t="s">
        <v>82</v>
      </c>
      <c r="Y31" s="105">
        <v>-823</v>
      </c>
      <c r="Z31" s="106">
        <v>900</v>
      </c>
      <c r="AA31" s="105">
        <v>2054</v>
      </c>
      <c r="AB31" s="105">
        <v>1672</v>
      </c>
      <c r="AC31" s="105">
        <v>2314</v>
      </c>
      <c r="AE31" s="186"/>
      <c r="AF31" s="187"/>
      <c r="AG31" s="187"/>
      <c r="AH31" s="187"/>
      <c r="AI31" s="187"/>
      <c r="AJ31" s="187"/>
      <c r="AK31" s="187"/>
      <c r="AL31" s="187"/>
      <c r="AM31" s="104" t="s">
        <v>82</v>
      </c>
      <c r="AN31" s="105">
        <v>68974</v>
      </c>
      <c r="AO31" s="106">
        <v>56305</v>
      </c>
      <c r="AP31" s="105">
        <v>52140</v>
      </c>
      <c r="AQ31" s="105">
        <v>37446</v>
      </c>
      <c r="AR31" s="105">
        <v>26655</v>
      </c>
      <c r="AT31" s="186"/>
      <c r="AU31" s="187"/>
      <c r="AV31" s="187"/>
      <c r="AW31" s="187"/>
      <c r="AX31" s="187"/>
      <c r="AY31" s="187"/>
      <c r="AZ31" s="187"/>
      <c r="BA31" s="187"/>
      <c r="BB31" s="104" t="s">
        <v>82</v>
      </c>
      <c r="BC31" s="105">
        <v>810</v>
      </c>
      <c r="BD31" s="106"/>
      <c r="BE31" s="105"/>
      <c r="BF31" s="105"/>
      <c r="BG31" s="105"/>
    </row>
    <row r="32" spans="1:59" ht="111" thickBot="1" x14ac:dyDescent="0.3">
      <c r="A32" s="186"/>
      <c r="B32" s="187"/>
      <c r="C32" s="187"/>
      <c r="D32" s="187"/>
      <c r="E32" s="187"/>
      <c r="F32" s="187"/>
      <c r="G32" s="187"/>
      <c r="H32" s="187"/>
      <c r="I32" s="6" t="s">
        <v>83</v>
      </c>
      <c r="J32" s="7">
        <v>3721</v>
      </c>
      <c r="K32" s="7">
        <v>6369</v>
      </c>
      <c r="L32" s="7"/>
      <c r="M32" s="7"/>
      <c r="N32" s="7"/>
      <c r="P32" s="186"/>
      <c r="Q32" s="187"/>
      <c r="R32" s="187"/>
      <c r="S32" s="187"/>
      <c r="T32" s="187"/>
      <c r="U32" s="187"/>
      <c r="V32" s="187"/>
      <c r="W32" s="187"/>
      <c r="X32" s="6" t="s">
        <v>83</v>
      </c>
      <c r="Y32" s="7">
        <v>-7881</v>
      </c>
      <c r="Z32" s="7">
        <v>2715</v>
      </c>
      <c r="AA32" s="7">
        <v>9141</v>
      </c>
      <c r="AB32" s="7">
        <v>7920</v>
      </c>
      <c r="AC32" s="7">
        <v>11687</v>
      </c>
      <c r="AE32" s="186"/>
      <c r="AF32" s="187"/>
      <c r="AG32" s="187"/>
      <c r="AH32" s="187"/>
      <c r="AI32" s="187"/>
      <c r="AJ32" s="187"/>
      <c r="AK32" s="187"/>
      <c r="AL32" s="187"/>
      <c r="AM32" s="6" t="s">
        <v>83</v>
      </c>
      <c r="AN32" s="7">
        <v>1051897</v>
      </c>
      <c r="AO32" s="7">
        <v>568591</v>
      </c>
      <c r="AP32" s="7">
        <v>321159</v>
      </c>
      <c r="AQ32" s="7">
        <v>178063</v>
      </c>
      <c r="AR32" s="7">
        <v>107730</v>
      </c>
      <c r="AT32" s="186"/>
      <c r="AU32" s="187"/>
      <c r="AV32" s="187"/>
      <c r="AW32" s="187"/>
      <c r="AX32" s="187"/>
      <c r="AY32" s="187"/>
      <c r="AZ32" s="187"/>
      <c r="BA32" s="187"/>
      <c r="BB32" s="6" t="s">
        <v>83</v>
      </c>
      <c r="BC32" s="7">
        <v>-9203</v>
      </c>
      <c r="BD32" s="7">
        <v>-130</v>
      </c>
      <c r="BE32" s="7">
        <v>-1</v>
      </c>
      <c r="BF32" s="7"/>
      <c r="BG32" s="7"/>
    </row>
    <row r="33" spans="1:78" ht="95.25" thickBot="1" x14ac:dyDescent="0.3">
      <c r="A33" s="189"/>
      <c r="B33" s="190"/>
      <c r="C33" s="190"/>
      <c r="D33" s="190"/>
      <c r="E33" s="190"/>
      <c r="F33" s="190"/>
      <c r="G33" s="190"/>
      <c r="H33" s="190"/>
      <c r="I33" s="3" t="s">
        <v>84</v>
      </c>
      <c r="J33" s="5">
        <v>2123</v>
      </c>
      <c r="K33" s="5">
        <v>5074</v>
      </c>
      <c r="L33" s="5"/>
      <c r="M33" s="5"/>
      <c r="N33" s="5"/>
      <c r="P33" s="189"/>
      <c r="Q33" s="190"/>
      <c r="R33" s="190"/>
      <c r="S33" s="190"/>
      <c r="T33" s="190"/>
      <c r="U33" s="190"/>
      <c r="V33" s="190"/>
      <c r="W33" s="190"/>
      <c r="X33" s="3" t="s">
        <v>84</v>
      </c>
      <c r="Y33" s="5">
        <v>-7058</v>
      </c>
      <c r="Z33" s="5">
        <v>1815</v>
      </c>
      <c r="AA33" s="5">
        <v>7087</v>
      </c>
      <c r="AB33" s="5">
        <v>6248</v>
      </c>
      <c r="AC33" s="5">
        <v>9373</v>
      </c>
      <c r="AE33" s="189"/>
      <c r="AF33" s="190"/>
      <c r="AG33" s="190"/>
      <c r="AH33" s="190"/>
      <c r="AI33" s="190"/>
      <c r="AJ33" s="190"/>
      <c r="AK33" s="190"/>
      <c r="AL33" s="190"/>
      <c r="AM33" s="3" t="s">
        <v>84</v>
      </c>
      <c r="AN33" s="5">
        <v>982923</v>
      </c>
      <c r="AO33" s="5">
        <v>512286</v>
      </c>
      <c r="AP33" s="5">
        <v>269019</v>
      </c>
      <c r="AQ33" s="5">
        <v>140617</v>
      </c>
      <c r="AR33" s="5">
        <v>81075</v>
      </c>
      <c r="AT33" s="189"/>
      <c r="AU33" s="190"/>
      <c r="AV33" s="190"/>
      <c r="AW33" s="190"/>
      <c r="AX33" s="190"/>
      <c r="AY33" s="190"/>
      <c r="AZ33" s="190"/>
      <c r="BA33" s="190"/>
      <c r="BB33" s="3" t="s">
        <v>84</v>
      </c>
      <c r="BC33" s="5">
        <v>-10113</v>
      </c>
      <c r="BD33" s="5">
        <v>-130</v>
      </c>
      <c r="BE33" s="5">
        <v>-1</v>
      </c>
      <c r="BF33" s="5"/>
      <c r="BG33" s="5"/>
    </row>
    <row r="34" spans="1:78" s="191" customFormat="1" x14ac:dyDescent="0.25"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</row>
    <row r="35" spans="1:78" s="191" customFormat="1" x14ac:dyDescent="0.25"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</row>
    <row r="36" spans="1:78" s="191" customFormat="1" x14ac:dyDescent="0.25"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</row>
    <row r="37" spans="1:78" s="191" customFormat="1" x14ac:dyDescent="0.25"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</row>
    <row r="38" spans="1:78" s="191" customFormat="1" x14ac:dyDescent="0.25"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</row>
    <row r="39" spans="1:78" s="191" customFormat="1" x14ac:dyDescent="0.25"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</row>
    <row r="40" spans="1:78" s="191" customFormat="1" x14ac:dyDescent="0.25"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</row>
    <row r="41" spans="1:78" s="191" customFormat="1" x14ac:dyDescent="0.25"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</row>
    <row r="42" spans="1:78" s="191" customFormat="1" x14ac:dyDescent="0.25"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</row>
    <row r="43" spans="1:78" s="191" customFormat="1" x14ac:dyDescent="0.25"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</row>
    <row r="44" spans="1:78" s="191" customFormat="1" x14ac:dyDescent="0.25"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</row>
    <row r="45" spans="1:78" s="191" customFormat="1" x14ac:dyDescent="0.25"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</row>
    <row r="46" spans="1:78" s="191" customFormat="1" x14ac:dyDescent="0.25"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</row>
    <row r="47" spans="1:78" s="191" customFormat="1" x14ac:dyDescent="0.25"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</row>
    <row r="48" spans="1:78" s="191" customFormat="1" x14ac:dyDescent="0.25"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</row>
    <row r="49" spans="60:78" s="191" customFormat="1" x14ac:dyDescent="0.25"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</row>
    <row r="50" spans="60:78" s="191" customFormat="1" x14ac:dyDescent="0.25"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</row>
    <row r="51" spans="60:78" s="191" customFormat="1" x14ac:dyDescent="0.25"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</row>
    <row r="52" spans="60:78" s="191" customFormat="1" x14ac:dyDescent="0.25"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</row>
    <row r="53" spans="60:78" s="191" customFormat="1" x14ac:dyDescent="0.25"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</row>
    <row r="54" spans="60:78" s="191" customFormat="1" x14ac:dyDescent="0.25"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</row>
    <row r="55" spans="60:78" s="191" customFormat="1" x14ac:dyDescent="0.25"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</row>
    <row r="56" spans="60:78" s="191" customFormat="1" x14ac:dyDescent="0.25"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</row>
    <row r="57" spans="60:78" s="191" customFormat="1" x14ac:dyDescent="0.25"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</row>
    <row r="58" spans="60:78" s="191" customFormat="1" x14ac:dyDescent="0.25"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</row>
    <row r="59" spans="60:78" s="191" customFormat="1" x14ac:dyDescent="0.25"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</row>
    <row r="60" spans="60:78" s="191" customFormat="1" x14ac:dyDescent="0.25"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</row>
    <row r="61" spans="60:78" s="191" customFormat="1" x14ac:dyDescent="0.25"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</row>
    <row r="62" spans="60:78" s="191" customFormat="1" x14ac:dyDescent="0.25"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</row>
    <row r="63" spans="60:78" s="191" customFormat="1" x14ac:dyDescent="0.25"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</row>
    <row r="64" spans="60:78" s="191" customFormat="1" x14ac:dyDescent="0.25"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</row>
    <row r="65" spans="60:78" s="191" customFormat="1" x14ac:dyDescent="0.25"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</row>
    <row r="66" spans="60:78" s="191" customFormat="1" x14ac:dyDescent="0.25"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</row>
    <row r="67" spans="60:78" s="191" customFormat="1" x14ac:dyDescent="0.25"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</row>
    <row r="68" spans="60:78" s="191" customFormat="1" x14ac:dyDescent="0.25"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</row>
    <row r="69" spans="60:78" s="191" customFormat="1" x14ac:dyDescent="0.25"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</row>
    <row r="70" spans="60:78" s="191" customFormat="1" x14ac:dyDescent="0.25"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</row>
    <row r="71" spans="60:78" s="191" customFormat="1" x14ac:dyDescent="0.25"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</row>
    <row r="72" spans="60:78" s="191" customFormat="1" x14ac:dyDescent="0.25"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</row>
    <row r="73" spans="60:78" s="191" customFormat="1" x14ac:dyDescent="0.25"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</row>
    <row r="74" spans="60:78" s="191" customFormat="1" x14ac:dyDescent="0.25"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</row>
    <row r="75" spans="60:78" s="191" customFormat="1" x14ac:dyDescent="0.25"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</row>
    <row r="76" spans="60:78" s="191" customFormat="1" x14ac:dyDescent="0.25"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</row>
    <row r="77" spans="60:78" s="191" customFormat="1" x14ac:dyDescent="0.25"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</row>
    <row r="78" spans="60:78" s="191" customFormat="1" x14ac:dyDescent="0.25"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</row>
    <row r="79" spans="60:78" s="191" customFormat="1" x14ac:dyDescent="0.25"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</row>
    <row r="80" spans="60:78" s="191" customFormat="1" x14ac:dyDescent="0.25"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</row>
    <row r="81" spans="60:78" s="191" customFormat="1" x14ac:dyDescent="0.25"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</row>
    <row r="82" spans="60:78" s="191" customFormat="1" x14ac:dyDescent="0.25"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</row>
    <row r="83" spans="60:78" s="191" customFormat="1" x14ac:dyDescent="0.25"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</row>
    <row r="84" spans="60:78" s="191" customFormat="1" x14ac:dyDescent="0.25"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</row>
    <row r="85" spans="60:78" s="191" customFormat="1" x14ac:dyDescent="0.25"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</row>
    <row r="86" spans="60:78" s="191" customFormat="1" x14ac:dyDescent="0.25"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</row>
    <row r="87" spans="60:78" s="191" customFormat="1" x14ac:dyDescent="0.25"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</row>
    <row r="88" spans="60:78" s="191" customFormat="1" x14ac:dyDescent="0.25"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</row>
    <row r="89" spans="60:78" s="191" customFormat="1" x14ac:dyDescent="0.25"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</row>
    <row r="90" spans="60:78" s="191" customFormat="1" x14ac:dyDescent="0.25"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</row>
    <row r="91" spans="60:78" s="191" customFormat="1" x14ac:dyDescent="0.25"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193"/>
    </row>
    <row r="92" spans="60:78" s="191" customFormat="1" x14ac:dyDescent="0.25"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193"/>
    </row>
    <row r="93" spans="60:78" s="191" customFormat="1" x14ac:dyDescent="0.25"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</row>
    <row r="94" spans="60:78" s="191" customFormat="1" x14ac:dyDescent="0.25"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193"/>
    </row>
    <row r="95" spans="60:78" s="191" customFormat="1" x14ac:dyDescent="0.25"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</row>
    <row r="96" spans="60:78" s="191" customFormat="1" x14ac:dyDescent="0.25"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</row>
    <row r="97" spans="60:78" s="191" customFormat="1" x14ac:dyDescent="0.25"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3"/>
      <c r="BW97" s="193"/>
      <c r="BX97" s="193"/>
      <c r="BY97" s="193"/>
      <c r="BZ97" s="193"/>
    </row>
    <row r="98" spans="60:78" s="191" customFormat="1" x14ac:dyDescent="0.25"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193"/>
      <c r="BW98" s="193"/>
      <c r="BX98" s="193"/>
      <c r="BY98" s="193"/>
      <c r="BZ98" s="193"/>
    </row>
    <row r="99" spans="60:78" s="191" customFormat="1" x14ac:dyDescent="0.25"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193"/>
      <c r="BZ99" s="193"/>
    </row>
    <row r="100" spans="60:78" s="191" customFormat="1" x14ac:dyDescent="0.25"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3"/>
      <c r="BZ100" s="193"/>
    </row>
    <row r="101" spans="60:78" s="191" customFormat="1" x14ac:dyDescent="0.25"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193"/>
    </row>
    <row r="102" spans="60:78" s="191" customFormat="1" x14ac:dyDescent="0.25"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  <c r="BV102" s="193"/>
      <c r="BW102" s="193"/>
      <c r="BX102" s="193"/>
      <c r="BY102" s="193"/>
      <c r="BZ102" s="193"/>
    </row>
    <row r="103" spans="60:78" s="191" customFormat="1" x14ac:dyDescent="0.25"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193"/>
    </row>
    <row r="104" spans="60:78" s="191" customFormat="1" x14ac:dyDescent="0.25"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193"/>
    </row>
    <row r="105" spans="60:78" s="191" customFormat="1" x14ac:dyDescent="0.25"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193"/>
    </row>
    <row r="106" spans="60:78" s="191" customFormat="1" x14ac:dyDescent="0.25"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193"/>
    </row>
    <row r="107" spans="60:78" s="191" customFormat="1" x14ac:dyDescent="0.25"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</row>
    <row r="108" spans="60:78" s="191" customFormat="1" x14ac:dyDescent="0.25"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</row>
    <row r="109" spans="60:78" s="191" customFormat="1" x14ac:dyDescent="0.25"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193"/>
    </row>
    <row r="110" spans="60:78" s="191" customFormat="1" x14ac:dyDescent="0.25"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193"/>
    </row>
    <row r="111" spans="60:78" s="191" customFormat="1" x14ac:dyDescent="0.25">
      <c r="BH111" s="193"/>
      <c r="BI111" s="193"/>
      <c r="BJ111" s="193"/>
      <c r="BK111" s="193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193"/>
    </row>
    <row r="112" spans="60:78" s="191" customFormat="1" x14ac:dyDescent="0.25"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193"/>
    </row>
    <row r="113" spans="60:78" s="191" customFormat="1" x14ac:dyDescent="0.25"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3"/>
      <c r="BT113" s="193"/>
      <c r="BU113" s="193"/>
      <c r="BV113" s="193"/>
      <c r="BW113" s="193"/>
      <c r="BX113" s="193"/>
      <c r="BY113" s="193"/>
      <c r="BZ113" s="193"/>
    </row>
    <row r="114" spans="60:78" s="191" customFormat="1" x14ac:dyDescent="0.25">
      <c r="BH114" s="193"/>
      <c r="BI114" s="193"/>
      <c r="BJ114" s="193"/>
      <c r="BK114" s="193"/>
      <c r="BL114" s="193"/>
      <c r="BM114" s="193"/>
      <c r="BN114" s="193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193"/>
      <c r="BZ114" s="193"/>
    </row>
    <row r="115" spans="60:78" s="191" customFormat="1" x14ac:dyDescent="0.25"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193"/>
    </row>
    <row r="116" spans="60:78" s="191" customFormat="1" x14ac:dyDescent="0.25"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193"/>
    </row>
    <row r="117" spans="60:78" s="191" customFormat="1" x14ac:dyDescent="0.25"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193"/>
    </row>
    <row r="118" spans="60:78" s="191" customFormat="1" x14ac:dyDescent="0.25">
      <c r="BH118" s="193"/>
      <c r="BI118" s="193"/>
      <c r="BJ118" s="193"/>
      <c r="BK118" s="193"/>
      <c r="BL118" s="193"/>
      <c r="BM118" s="193"/>
      <c r="BN118" s="193"/>
      <c r="BO118" s="193"/>
      <c r="BP118" s="193"/>
      <c r="BQ118" s="193"/>
      <c r="BR118" s="193"/>
      <c r="BS118" s="193"/>
      <c r="BT118" s="193"/>
      <c r="BU118" s="193"/>
      <c r="BV118" s="193"/>
      <c r="BW118" s="193"/>
      <c r="BX118" s="193"/>
      <c r="BY118" s="193"/>
      <c r="BZ118" s="193"/>
    </row>
    <row r="119" spans="60:78" s="191" customFormat="1" x14ac:dyDescent="0.25"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193"/>
      <c r="BZ119" s="193"/>
    </row>
    <row r="120" spans="60:78" s="191" customFormat="1" x14ac:dyDescent="0.25"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193"/>
      <c r="BZ120" s="193"/>
    </row>
    <row r="121" spans="60:78" s="191" customFormat="1" x14ac:dyDescent="0.25"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</row>
    <row r="122" spans="60:78" s="191" customFormat="1" x14ac:dyDescent="0.25"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193"/>
    </row>
    <row r="123" spans="60:78" s="191" customFormat="1" x14ac:dyDescent="0.25">
      <c r="BH123" s="193"/>
      <c r="BI123" s="193"/>
      <c r="BJ123" s="193"/>
      <c r="BK123" s="193"/>
      <c r="BL123" s="193"/>
      <c r="BM123" s="193"/>
      <c r="BN123" s="193"/>
      <c r="BO123" s="193"/>
      <c r="BP123" s="193"/>
      <c r="BQ123" s="193"/>
      <c r="BR123" s="193"/>
      <c r="BS123" s="193"/>
      <c r="BT123" s="193"/>
      <c r="BU123" s="193"/>
      <c r="BV123" s="193"/>
      <c r="BW123" s="193"/>
      <c r="BX123" s="193"/>
      <c r="BY123" s="193"/>
      <c r="BZ123" s="193"/>
    </row>
    <row r="124" spans="60:78" s="191" customFormat="1" x14ac:dyDescent="0.25"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193"/>
      <c r="BZ124" s="193"/>
    </row>
    <row r="125" spans="60:78" s="191" customFormat="1" x14ac:dyDescent="0.25"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193"/>
    </row>
    <row r="126" spans="60:78" s="191" customFormat="1" x14ac:dyDescent="0.25"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193"/>
    </row>
    <row r="127" spans="60:78" s="191" customFormat="1" x14ac:dyDescent="0.25"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193"/>
    </row>
    <row r="128" spans="60:78" s="191" customFormat="1" x14ac:dyDescent="0.25"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193"/>
      <c r="BZ128" s="193"/>
    </row>
    <row r="129" spans="60:78" s="191" customFormat="1" x14ac:dyDescent="0.25"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193"/>
    </row>
    <row r="130" spans="60:78" s="191" customFormat="1" x14ac:dyDescent="0.25"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193"/>
    </row>
    <row r="131" spans="60:78" s="191" customFormat="1" x14ac:dyDescent="0.25"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193"/>
    </row>
    <row r="132" spans="60:78" s="191" customFormat="1" x14ac:dyDescent="0.25"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3"/>
    </row>
    <row r="133" spans="60:78" s="191" customFormat="1" x14ac:dyDescent="0.25"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193"/>
    </row>
    <row r="134" spans="60:78" s="191" customFormat="1" x14ac:dyDescent="0.25"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193"/>
      <c r="BZ134" s="193"/>
    </row>
    <row r="135" spans="60:78" s="191" customFormat="1" x14ac:dyDescent="0.25">
      <c r="BH135" s="193"/>
      <c r="BI135" s="193"/>
      <c r="BJ135" s="193"/>
      <c r="BK135" s="193"/>
      <c r="BL135" s="193"/>
      <c r="BM135" s="193"/>
      <c r="BN135" s="193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193"/>
      <c r="BZ135" s="193"/>
    </row>
    <row r="136" spans="60:78" s="191" customFormat="1" x14ac:dyDescent="0.25"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193"/>
    </row>
    <row r="137" spans="60:78" s="191" customFormat="1" x14ac:dyDescent="0.25"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193"/>
    </row>
    <row r="138" spans="60:78" s="191" customFormat="1" x14ac:dyDescent="0.25"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193"/>
      <c r="BY138" s="193"/>
      <c r="BZ138" s="193"/>
    </row>
    <row r="139" spans="60:78" s="191" customFormat="1" x14ac:dyDescent="0.25">
      <c r="BH139" s="193"/>
      <c r="BI139" s="193"/>
      <c r="BJ139" s="193"/>
      <c r="BK139" s="193"/>
      <c r="BL139" s="193"/>
      <c r="BM139" s="193"/>
      <c r="BN139" s="193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193"/>
      <c r="BZ139" s="193"/>
    </row>
    <row r="140" spans="60:78" s="191" customFormat="1" x14ac:dyDescent="0.25">
      <c r="BH140" s="193"/>
      <c r="BI140" s="193"/>
      <c r="BJ140" s="193"/>
      <c r="BK140" s="193"/>
      <c r="BL140" s="193"/>
      <c r="BM140" s="193"/>
      <c r="BN140" s="193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193"/>
      <c r="BZ140" s="193"/>
    </row>
    <row r="141" spans="60:78" s="191" customFormat="1" x14ac:dyDescent="0.25"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193"/>
      <c r="BZ141" s="193"/>
    </row>
    <row r="142" spans="60:78" s="191" customFormat="1" x14ac:dyDescent="0.25"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193"/>
      <c r="BY142" s="193"/>
      <c r="BZ142" s="193"/>
    </row>
    <row r="143" spans="60:78" s="191" customFormat="1" x14ac:dyDescent="0.25">
      <c r="BH143" s="193"/>
      <c r="BI143" s="193"/>
      <c r="BJ143" s="193"/>
      <c r="BK143" s="193"/>
      <c r="BL143" s="193"/>
      <c r="BM143" s="193"/>
      <c r="BN143" s="193"/>
      <c r="BO143" s="193"/>
      <c r="BP143" s="193"/>
      <c r="BQ143" s="193"/>
      <c r="BR143" s="193"/>
      <c r="BS143" s="193"/>
      <c r="BT143" s="193"/>
      <c r="BU143" s="193"/>
      <c r="BV143" s="193"/>
      <c r="BW143" s="193"/>
      <c r="BX143" s="193"/>
      <c r="BY143" s="193"/>
      <c r="BZ143" s="193"/>
    </row>
    <row r="144" spans="60:78" s="191" customFormat="1" x14ac:dyDescent="0.25">
      <c r="BH144" s="193"/>
      <c r="BI144" s="193"/>
      <c r="BJ144" s="193"/>
      <c r="BK144" s="193"/>
      <c r="BL144" s="193"/>
      <c r="BM144" s="193"/>
      <c r="BN144" s="193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193"/>
      <c r="BZ144" s="193"/>
    </row>
    <row r="145" spans="60:78" s="191" customFormat="1" x14ac:dyDescent="0.25">
      <c r="BH145" s="193"/>
      <c r="BI145" s="193"/>
      <c r="BJ145" s="193"/>
      <c r="BK145" s="193"/>
      <c r="BL145" s="193"/>
      <c r="BM145" s="193"/>
      <c r="BN145" s="193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193"/>
      <c r="BZ145" s="193"/>
    </row>
    <row r="146" spans="60:78" s="191" customFormat="1" x14ac:dyDescent="0.25">
      <c r="BH146" s="193"/>
      <c r="BI146" s="193"/>
      <c r="BJ146" s="193"/>
      <c r="BK146" s="193"/>
      <c r="BL146" s="193"/>
      <c r="BM146" s="193"/>
      <c r="BN146" s="193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193"/>
      <c r="BZ146" s="193"/>
    </row>
    <row r="147" spans="60:78" s="191" customFormat="1" x14ac:dyDescent="0.25"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3"/>
      <c r="BS147" s="193"/>
      <c r="BT147" s="193"/>
      <c r="BU147" s="193"/>
      <c r="BV147" s="193"/>
      <c r="BW147" s="193"/>
      <c r="BX147" s="193"/>
      <c r="BY147" s="193"/>
      <c r="BZ147" s="193"/>
    </row>
    <row r="148" spans="60:78" s="191" customFormat="1" x14ac:dyDescent="0.25"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193"/>
      <c r="BZ148" s="193"/>
    </row>
    <row r="149" spans="60:78" s="191" customFormat="1" x14ac:dyDescent="0.25">
      <c r="BH149" s="193"/>
      <c r="BI149" s="193"/>
      <c r="BJ149" s="193"/>
      <c r="BK149" s="193"/>
      <c r="BL149" s="193"/>
      <c r="BM149" s="193"/>
      <c r="BN149" s="193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193"/>
      <c r="BZ149" s="193"/>
    </row>
    <row r="150" spans="60:78" s="191" customFormat="1" x14ac:dyDescent="0.25">
      <c r="BH150" s="193"/>
      <c r="BI150" s="193"/>
      <c r="BJ150" s="193"/>
      <c r="BK150" s="193"/>
      <c r="BL150" s="193"/>
      <c r="BM150" s="193"/>
      <c r="BN150" s="193"/>
      <c r="BO150" s="193"/>
      <c r="BP150" s="193"/>
      <c r="BQ150" s="193"/>
      <c r="BR150" s="193"/>
      <c r="BS150" s="193"/>
      <c r="BT150" s="193"/>
      <c r="BU150" s="193"/>
      <c r="BV150" s="193"/>
      <c r="BW150" s="193"/>
      <c r="BX150" s="193"/>
      <c r="BY150" s="193"/>
      <c r="BZ150" s="193"/>
    </row>
    <row r="151" spans="60:78" s="191" customFormat="1" x14ac:dyDescent="0.25">
      <c r="BH151" s="193"/>
      <c r="BI151" s="193"/>
      <c r="BJ151" s="193"/>
      <c r="BK151" s="193"/>
      <c r="BL151" s="193"/>
      <c r="BM151" s="193"/>
      <c r="BN151" s="193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193"/>
      <c r="BZ151" s="193"/>
    </row>
    <row r="152" spans="60:78" s="191" customFormat="1" x14ac:dyDescent="0.25"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3"/>
      <c r="BS152" s="193"/>
      <c r="BT152" s="193"/>
      <c r="BU152" s="193"/>
      <c r="BV152" s="193"/>
      <c r="BW152" s="193"/>
      <c r="BX152" s="193"/>
      <c r="BY152" s="193"/>
      <c r="BZ152" s="193"/>
    </row>
    <row r="153" spans="60:78" s="191" customFormat="1" x14ac:dyDescent="0.25">
      <c r="BH153" s="193"/>
      <c r="BI153" s="193"/>
      <c r="BJ153" s="193"/>
      <c r="BK153" s="193"/>
      <c r="BL153" s="193"/>
      <c r="BM153" s="193"/>
      <c r="BN153" s="193"/>
      <c r="BO153" s="193"/>
      <c r="BP153" s="193"/>
      <c r="BQ153" s="193"/>
      <c r="BR153" s="193"/>
      <c r="BS153" s="193"/>
      <c r="BT153" s="193"/>
      <c r="BU153" s="193"/>
      <c r="BV153" s="193"/>
      <c r="BW153" s="193"/>
      <c r="BX153" s="193"/>
      <c r="BY153" s="193"/>
      <c r="BZ153" s="193"/>
    </row>
    <row r="154" spans="60:78" s="191" customFormat="1" x14ac:dyDescent="0.25">
      <c r="BH154" s="193"/>
      <c r="BI154" s="193"/>
      <c r="BJ154" s="193"/>
      <c r="BK154" s="193"/>
      <c r="BL154" s="193"/>
      <c r="BM154" s="193"/>
      <c r="BN154" s="193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193"/>
      <c r="BZ154" s="193"/>
    </row>
    <row r="155" spans="60:78" s="191" customFormat="1" x14ac:dyDescent="0.25"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193"/>
    </row>
    <row r="156" spans="60:78" s="191" customFormat="1" x14ac:dyDescent="0.25">
      <c r="BH156" s="193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193"/>
    </row>
    <row r="157" spans="60:78" s="191" customFormat="1" x14ac:dyDescent="0.25"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193"/>
      <c r="BZ157" s="193"/>
    </row>
    <row r="158" spans="60:78" s="191" customFormat="1" x14ac:dyDescent="0.25"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</row>
    <row r="159" spans="60:78" s="191" customFormat="1" x14ac:dyDescent="0.25">
      <c r="BH159" s="193"/>
      <c r="BI159" s="193"/>
      <c r="BJ159" s="193"/>
      <c r="BK159" s="193"/>
      <c r="BL159" s="193"/>
      <c r="BM159" s="193"/>
      <c r="BN159" s="193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193"/>
      <c r="BZ159" s="193"/>
    </row>
    <row r="160" spans="60:78" s="191" customFormat="1" x14ac:dyDescent="0.25">
      <c r="BH160" s="193"/>
      <c r="BI160" s="193"/>
      <c r="BJ160" s="193"/>
      <c r="BK160" s="193"/>
      <c r="BL160" s="193"/>
      <c r="BM160" s="193"/>
      <c r="BN160" s="193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193"/>
      <c r="BZ160" s="193"/>
    </row>
    <row r="161" spans="60:78" s="191" customFormat="1" x14ac:dyDescent="0.25">
      <c r="BH161" s="193"/>
      <c r="BI161" s="193"/>
      <c r="BJ161" s="193"/>
      <c r="BK161" s="193"/>
      <c r="BL161" s="193"/>
      <c r="BM161" s="193"/>
      <c r="BN161" s="193"/>
      <c r="BO161" s="193"/>
      <c r="BP161" s="193"/>
      <c r="BQ161" s="193"/>
      <c r="BR161" s="193"/>
      <c r="BS161" s="193"/>
      <c r="BT161" s="193"/>
      <c r="BU161" s="193"/>
      <c r="BV161" s="193"/>
      <c r="BW161" s="193"/>
      <c r="BX161" s="193"/>
      <c r="BY161" s="193"/>
      <c r="BZ161" s="193"/>
    </row>
    <row r="162" spans="60:78" s="191" customFormat="1" x14ac:dyDescent="0.25">
      <c r="BH162" s="193"/>
      <c r="BI162" s="193"/>
      <c r="BJ162" s="193"/>
      <c r="BK162" s="193"/>
      <c r="BL162" s="193"/>
      <c r="BM162" s="193"/>
      <c r="BN162" s="193"/>
      <c r="BO162" s="193"/>
      <c r="BP162" s="193"/>
      <c r="BQ162" s="193"/>
      <c r="BR162" s="193"/>
      <c r="BS162" s="193"/>
      <c r="BT162" s="193"/>
      <c r="BU162" s="193"/>
      <c r="BV162" s="193"/>
      <c r="BW162" s="193"/>
      <c r="BX162" s="193"/>
      <c r="BY162" s="193"/>
      <c r="BZ162" s="193"/>
    </row>
    <row r="163" spans="60:78" s="191" customFormat="1" x14ac:dyDescent="0.25">
      <c r="BH163" s="193"/>
      <c r="BI163" s="193"/>
      <c r="BJ163" s="193"/>
      <c r="BK163" s="193"/>
      <c r="BL163" s="193"/>
      <c r="BM163" s="193"/>
      <c r="BN163" s="193"/>
      <c r="BO163" s="193"/>
      <c r="BP163" s="193"/>
      <c r="BQ163" s="193"/>
      <c r="BR163" s="193"/>
      <c r="BS163" s="193"/>
      <c r="BT163" s="193"/>
      <c r="BU163" s="193"/>
      <c r="BV163" s="193"/>
      <c r="BW163" s="193"/>
      <c r="BX163" s="193"/>
      <c r="BY163" s="193"/>
      <c r="BZ163" s="193"/>
    </row>
    <row r="164" spans="60:78" s="191" customFormat="1" x14ac:dyDescent="0.25">
      <c r="BH164" s="193"/>
      <c r="BI164" s="193"/>
      <c r="BJ164" s="193"/>
      <c r="BK164" s="193"/>
      <c r="BL164" s="193"/>
      <c r="BM164" s="193"/>
      <c r="BN164" s="193"/>
      <c r="BO164" s="193"/>
      <c r="BP164" s="193"/>
      <c r="BQ164" s="193"/>
      <c r="BR164" s="193"/>
      <c r="BS164" s="193"/>
      <c r="BT164" s="193"/>
      <c r="BU164" s="193"/>
      <c r="BV164" s="193"/>
      <c r="BW164" s="193"/>
      <c r="BX164" s="193"/>
      <c r="BY164" s="193"/>
      <c r="BZ164" s="193"/>
    </row>
    <row r="165" spans="60:78" s="191" customFormat="1" x14ac:dyDescent="0.25">
      <c r="BH165" s="193"/>
      <c r="BI165" s="193"/>
      <c r="BJ165" s="193"/>
      <c r="BK165" s="193"/>
      <c r="BL165" s="193"/>
      <c r="BM165" s="193"/>
      <c r="BN165" s="193"/>
      <c r="BO165" s="193"/>
      <c r="BP165" s="193"/>
      <c r="BQ165" s="193"/>
      <c r="BR165" s="193"/>
      <c r="BS165" s="193"/>
      <c r="BT165" s="193"/>
      <c r="BU165" s="193"/>
      <c r="BV165" s="193"/>
      <c r="BW165" s="193"/>
      <c r="BX165" s="193"/>
      <c r="BY165" s="193"/>
      <c r="BZ165" s="193"/>
    </row>
    <row r="166" spans="60:78" s="191" customFormat="1" x14ac:dyDescent="0.25">
      <c r="BH166" s="193"/>
      <c r="BI166" s="193"/>
      <c r="BJ166" s="193"/>
      <c r="BK166" s="193"/>
      <c r="BL166" s="193"/>
      <c r="BM166" s="193"/>
      <c r="BN166" s="193"/>
      <c r="BO166" s="193"/>
      <c r="BP166" s="193"/>
      <c r="BQ166" s="193"/>
      <c r="BR166" s="193"/>
      <c r="BS166" s="193"/>
      <c r="BT166" s="193"/>
      <c r="BU166" s="193"/>
      <c r="BV166" s="193"/>
      <c r="BW166" s="193"/>
      <c r="BX166" s="193"/>
      <c r="BY166" s="193"/>
      <c r="BZ166" s="193"/>
    </row>
    <row r="167" spans="60:78" s="191" customFormat="1" x14ac:dyDescent="0.25">
      <c r="BH167" s="193"/>
      <c r="BI167" s="193"/>
      <c r="BJ167" s="193"/>
      <c r="BK167" s="193"/>
      <c r="BL167" s="193"/>
      <c r="BM167" s="193"/>
      <c r="BN167" s="193"/>
      <c r="BO167" s="193"/>
      <c r="BP167" s="193"/>
      <c r="BQ167" s="193"/>
      <c r="BR167" s="193"/>
      <c r="BS167" s="193"/>
      <c r="BT167" s="193"/>
      <c r="BU167" s="193"/>
      <c r="BV167" s="193"/>
      <c r="BW167" s="193"/>
      <c r="BX167" s="193"/>
      <c r="BY167" s="193"/>
      <c r="BZ167" s="193"/>
    </row>
    <row r="168" spans="60:78" s="191" customFormat="1" x14ac:dyDescent="0.25">
      <c r="BH168" s="193"/>
      <c r="BI168" s="193"/>
      <c r="BJ168" s="193"/>
      <c r="BK168" s="193"/>
      <c r="BL168" s="193"/>
      <c r="BM168" s="193"/>
      <c r="BN168" s="193"/>
      <c r="BO168" s="193"/>
      <c r="BP168" s="193"/>
      <c r="BQ168" s="193"/>
      <c r="BR168" s="193"/>
      <c r="BS168" s="193"/>
      <c r="BT168" s="193"/>
      <c r="BU168" s="193"/>
      <c r="BV168" s="193"/>
      <c r="BW168" s="193"/>
      <c r="BX168" s="193"/>
      <c r="BY168" s="193"/>
      <c r="BZ168" s="193"/>
    </row>
    <row r="169" spans="60:78" s="191" customFormat="1" x14ac:dyDescent="0.25">
      <c r="BH169" s="193"/>
      <c r="BI169" s="193"/>
      <c r="BJ169" s="193"/>
      <c r="BK169" s="193"/>
      <c r="BL169" s="193"/>
      <c r="BM169" s="193"/>
      <c r="BN169" s="193"/>
      <c r="BO169" s="193"/>
      <c r="BP169" s="193"/>
      <c r="BQ169" s="193"/>
      <c r="BR169" s="193"/>
      <c r="BS169" s="193"/>
      <c r="BT169" s="193"/>
      <c r="BU169" s="193"/>
      <c r="BV169" s="193"/>
      <c r="BW169" s="193"/>
      <c r="BX169" s="193"/>
      <c r="BY169" s="193"/>
      <c r="BZ169" s="193"/>
    </row>
    <row r="170" spans="60:78" s="191" customFormat="1" x14ac:dyDescent="0.25">
      <c r="BH170" s="193"/>
      <c r="BI170" s="193"/>
      <c r="BJ170" s="193"/>
      <c r="BK170" s="193"/>
      <c r="BL170" s="193"/>
      <c r="BM170" s="193"/>
      <c r="BN170" s="193"/>
      <c r="BO170" s="193"/>
      <c r="BP170" s="193"/>
      <c r="BQ170" s="193"/>
      <c r="BR170" s="193"/>
      <c r="BS170" s="193"/>
      <c r="BT170" s="193"/>
      <c r="BU170" s="193"/>
      <c r="BV170" s="193"/>
      <c r="BW170" s="193"/>
      <c r="BX170" s="193"/>
      <c r="BY170" s="193"/>
      <c r="BZ170" s="193"/>
    </row>
    <row r="171" spans="60:78" s="191" customFormat="1" x14ac:dyDescent="0.25">
      <c r="BH171" s="193"/>
      <c r="BI171" s="193"/>
      <c r="BJ171" s="193"/>
      <c r="BK171" s="193"/>
      <c r="BL171" s="193"/>
      <c r="BM171" s="193"/>
      <c r="BN171" s="193"/>
      <c r="BO171" s="193"/>
      <c r="BP171" s="193"/>
      <c r="BQ171" s="193"/>
      <c r="BR171" s="193"/>
      <c r="BS171" s="193"/>
      <c r="BT171" s="193"/>
      <c r="BU171" s="193"/>
      <c r="BV171" s="193"/>
      <c r="BW171" s="193"/>
      <c r="BX171" s="193"/>
      <c r="BY171" s="193"/>
      <c r="BZ171" s="193"/>
    </row>
    <row r="172" spans="60:78" s="191" customFormat="1" x14ac:dyDescent="0.25">
      <c r="BH172" s="193"/>
      <c r="BI172" s="193"/>
      <c r="BJ172" s="193"/>
      <c r="BK172" s="193"/>
      <c r="BL172" s="193"/>
      <c r="BM172" s="193"/>
      <c r="BN172" s="193"/>
      <c r="BO172" s="193"/>
      <c r="BP172" s="193"/>
      <c r="BQ172" s="193"/>
      <c r="BR172" s="193"/>
      <c r="BS172" s="193"/>
      <c r="BT172" s="193"/>
      <c r="BU172" s="193"/>
      <c r="BV172" s="193"/>
      <c r="BW172" s="193"/>
      <c r="BX172" s="193"/>
      <c r="BY172" s="193"/>
      <c r="BZ172" s="193"/>
    </row>
    <row r="173" spans="60:78" s="191" customFormat="1" x14ac:dyDescent="0.25">
      <c r="BH173" s="193"/>
      <c r="BI173" s="193"/>
      <c r="BJ173" s="193"/>
      <c r="BK173" s="193"/>
      <c r="BL173" s="193"/>
      <c r="BM173" s="193"/>
      <c r="BN173" s="193"/>
      <c r="BO173" s="193"/>
      <c r="BP173" s="193"/>
      <c r="BQ173" s="193"/>
      <c r="BR173" s="193"/>
      <c r="BS173" s="193"/>
      <c r="BT173" s="193"/>
      <c r="BU173" s="193"/>
      <c r="BV173" s="193"/>
      <c r="BW173" s="193"/>
      <c r="BX173" s="193"/>
      <c r="BY173" s="193"/>
      <c r="BZ173" s="193"/>
    </row>
    <row r="174" spans="60:78" s="191" customFormat="1" x14ac:dyDescent="0.25">
      <c r="BH174" s="193"/>
      <c r="BI174" s="193"/>
      <c r="BJ174" s="193"/>
      <c r="BK174" s="193"/>
      <c r="BL174" s="193"/>
      <c r="BM174" s="193"/>
      <c r="BN174" s="193"/>
      <c r="BO174" s="193"/>
      <c r="BP174" s="193"/>
      <c r="BQ174" s="193"/>
      <c r="BR174" s="193"/>
      <c r="BS174" s="193"/>
      <c r="BT174" s="193"/>
      <c r="BU174" s="193"/>
      <c r="BV174" s="193"/>
      <c r="BW174" s="193"/>
      <c r="BX174" s="193"/>
      <c r="BY174" s="193"/>
      <c r="BZ174" s="193"/>
    </row>
    <row r="175" spans="60:78" s="191" customFormat="1" x14ac:dyDescent="0.25">
      <c r="BH175" s="193"/>
      <c r="BI175" s="193"/>
      <c r="BJ175" s="193"/>
      <c r="BK175" s="193"/>
      <c r="BL175" s="193"/>
      <c r="BM175" s="193"/>
      <c r="BN175" s="193"/>
      <c r="BO175" s="193"/>
      <c r="BP175" s="193"/>
      <c r="BQ175" s="193"/>
      <c r="BR175" s="193"/>
      <c r="BS175" s="193"/>
      <c r="BT175" s="193"/>
      <c r="BU175" s="193"/>
      <c r="BV175" s="193"/>
      <c r="BW175" s="193"/>
      <c r="BX175" s="193"/>
      <c r="BY175" s="193"/>
      <c r="BZ175" s="193"/>
    </row>
    <row r="176" spans="60:78" s="191" customFormat="1" x14ac:dyDescent="0.25">
      <c r="BH176" s="193"/>
      <c r="BI176" s="193"/>
      <c r="BJ176" s="193"/>
      <c r="BK176" s="193"/>
      <c r="BL176" s="193"/>
      <c r="BM176" s="193"/>
      <c r="BN176" s="193"/>
      <c r="BO176" s="193"/>
      <c r="BP176" s="193"/>
      <c r="BQ176" s="193"/>
      <c r="BR176" s="193"/>
      <c r="BS176" s="193"/>
      <c r="BT176" s="193"/>
      <c r="BU176" s="193"/>
      <c r="BV176" s="193"/>
      <c r="BW176" s="193"/>
      <c r="BX176" s="193"/>
      <c r="BY176" s="193"/>
      <c r="BZ176" s="193"/>
    </row>
    <row r="177" spans="60:78" s="191" customFormat="1" x14ac:dyDescent="0.25">
      <c r="BH177" s="193"/>
      <c r="BI177" s="193"/>
      <c r="BJ177" s="193"/>
      <c r="BK177" s="193"/>
      <c r="BL177" s="193"/>
      <c r="BM177" s="193"/>
      <c r="BN177" s="193"/>
      <c r="BO177" s="193"/>
      <c r="BP177" s="193"/>
      <c r="BQ177" s="193"/>
      <c r="BR177" s="193"/>
      <c r="BS177" s="193"/>
      <c r="BT177" s="193"/>
      <c r="BU177" s="193"/>
      <c r="BV177" s="193"/>
      <c r="BW177" s="193"/>
      <c r="BX177" s="193"/>
      <c r="BY177" s="193"/>
      <c r="BZ177" s="193"/>
    </row>
    <row r="178" spans="60:78" s="191" customFormat="1" x14ac:dyDescent="0.25">
      <c r="BH178" s="193"/>
      <c r="BI178" s="193"/>
      <c r="BJ178" s="193"/>
      <c r="BK178" s="193"/>
      <c r="BL178" s="193"/>
      <c r="BM178" s="193"/>
      <c r="BN178" s="193"/>
      <c r="BO178" s="193"/>
      <c r="BP178" s="193"/>
      <c r="BQ178" s="193"/>
      <c r="BR178" s="193"/>
      <c r="BS178" s="193"/>
      <c r="BT178" s="193"/>
      <c r="BU178" s="193"/>
      <c r="BV178" s="193"/>
      <c r="BW178" s="193"/>
      <c r="BX178" s="193"/>
      <c r="BY178" s="193"/>
      <c r="BZ178" s="193"/>
    </row>
    <row r="179" spans="60:78" s="191" customFormat="1" x14ac:dyDescent="0.25">
      <c r="BH179" s="193"/>
      <c r="BI179" s="193"/>
      <c r="BJ179" s="193"/>
      <c r="BK179" s="193"/>
      <c r="BL179" s="193"/>
      <c r="BM179" s="193"/>
      <c r="BN179" s="193"/>
      <c r="BO179" s="193"/>
      <c r="BP179" s="193"/>
      <c r="BQ179" s="193"/>
      <c r="BR179" s="193"/>
      <c r="BS179" s="193"/>
      <c r="BT179" s="193"/>
      <c r="BU179" s="193"/>
      <c r="BV179" s="193"/>
      <c r="BW179" s="193"/>
      <c r="BX179" s="193"/>
      <c r="BY179" s="193"/>
      <c r="BZ179" s="193"/>
    </row>
    <row r="180" spans="60:78" s="191" customFormat="1" x14ac:dyDescent="0.25">
      <c r="BH180" s="193"/>
      <c r="BI180" s="193"/>
      <c r="BJ180" s="193"/>
      <c r="BK180" s="193"/>
      <c r="BL180" s="193"/>
      <c r="BM180" s="193"/>
      <c r="BN180" s="193"/>
      <c r="BO180" s="193"/>
      <c r="BP180" s="193"/>
      <c r="BQ180" s="193"/>
      <c r="BR180" s="193"/>
      <c r="BS180" s="193"/>
      <c r="BT180" s="193"/>
      <c r="BU180" s="193"/>
      <c r="BV180" s="193"/>
      <c r="BW180" s="193"/>
      <c r="BX180" s="193"/>
      <c r="BY180" s="193"/>
      <c r="BZ180" s="193"/>
    </row>
    <row r="181" spans="60:78" s="191" customFormat="1" x14ac:dyDescent="0.25">
      <c r="BH181" s="193"/>
      <c r="BI181" s="193"/>
      <c r="BJ181" s="193"/>
      <c r="BK181" s="193"/>
      <c r="BL181" s="193"/>
      <c r="BM181" s="193"/>
      <c r="BN181" s="193"/>
      <c r="BO181" s="193"/>
      <c r="BP181" s="193"/>
      <c r="BQ181" s="193"/>
      <c r="BR181" s="193"/>
      <c r="BS181" s="193"/>
      <c r="BT181" s="193"/>
      <c r="BU181" s="193"/>
      <c r="BV181" s="193"/>
      <c r="BW181" s="193"/>
      <c r="BX181" s="193"/>
      <c r="BY181" s="193"/>
      <c r="BZ181" s="193"/>
    </row>
    <row r="182" spans="60:78" s="191" customFormat="1" x14ac:dyDescent="0.25">
      <c r="BH182" s="193"/>
      <c r="BI182" s="193"/>
      <c r="BJ182" s="193"/>
      <c r="BK182" s="193"/>
      <c r="BL182" s="193"/>
      <c r="BM182" s="193"/>
      <c r="BN182" s="193"/>
      <c r="BO182" s="193"/>
      <c r="BP182" s="193"/>
      <c r="BQ182" s="193"/>
      <c r="BR182" s="193"/>
      <c r="BS182" s="193"/>
      <c r="BT182" s="193"/>
      <c r="BU182" s="193"/>
      <c r="BV182" s="193"/>
      <c r="BW182" s="193"/>
      <c r="BX182" s="193"/>
      <c r="BY182" s="193"/>
      <c r="BZ182" s="193"/>
    </row>
    <row r="183" spans="60:78" s="191" customFormat="1" x14ac:dyDescent="0.25">
      <c r="BH183" s="193"/>
      <c r="BI183" s="193"/>
      <c r="BJ183" s="193"/>
      <c r="BK183" s="193"/>
      <c r="BL183" s="193"/>
      <c r="BM183" s="193"/>
      <c r="BN183" s="193"/>
      <c r="BO183" s="193"/>
      <c r="BP183" s="193"/>
      <c r="BQ183" s="193"/>
      <c r="BR183" s="193"/>
      <c r="BS183" s="193"/>
      <c r="BT183" s="193"/>
      <c r="BU183" s="193"/>
      <c r="BV183" s="193"/>
      <c r="BW183" s="193"/>
      <c r="BX183" s="193"/>
      <c r="BY183" s="193"/>
      <c r="BZ183" s="193"/>
    </row>
    <row r="184" spans="60:78" s="191" customFormat="1" x14ac:dyDescent="0.25">
      <c r="BH184" s="193"/>
      <c r="BI184" s="193"/>
      <c r="BJ184" s="193"/>
      <c r="BK184" s="193"/>
      <c r="BL184" s="193"/>
      <c r="BM184" s="193"/>
      <c r="BN184" s="193"/>
      <c r="BO184" s="193"/>
      <c r="BP184" s="193"/>
      <c r="BQ184" s="193"/>
      <c r="BR184" s="193"/>
      <c r="BS184" s="193"/>
      <c r="BT184" s="193"/>
      <c r="BU184" s="193"/>
      <c r="BV184" s="193"/>
      <c r="BW184" s="193"/>
      <c r="BX184" s="193"/>
      <c r="BY184" s="193"/>
      <c r="BZ184" s="193"/>
    </row>
    <row r="185" spans="60:78" s="191" customFormat="1" x14ac:dyDescent="0.25">
      <c r="BH185" s="193"/>
      <c r="BI185" s="193"/>
      <c r="BJ185" s="193"/>
      <c r="BK185" s="193"/>
      <c r="BL185" s="193"/>
      <c r="BM185" s="193"/>
      <c r="BN185" s="193"/>
      <c r="BO185" s="193"/>
      <c r="BP185" s="193"/>
      <c r="BQ185" s="193"/>
      <c r="BR185" s="193"/>
      <c r="BS185" s="193"/>
      <c r="BT185" s="193"/>
      <c r="BU185" s="193"/>
      <c r="BV185" s="193"/>
      <c r="BW185" s="193"/>
      <c r="BX185" s="193"/>
      <c r="BY185" s="193"/>
      <c r="BZ185" s="193"/>
    </row>
    <row r="186" spans="60:78" s="191" customFormat="1" x14ac:dyDescent="0.25">
      <c r="BH186" s="193"/>
      <c r="BI186" s="193"/>
      <c r="BJ186" s="193"/>
      <c r="BK186" s="193"/>
      <c r="BL186" s="193"/>
      <c r="BM186" s="193"/>
      <c r="BN186" s="193"/>
      <c r="BO186" s="193"/>
      <c r="BP186" s="193"/>
      <c r="BQ186" s="193"/>
      <c r="BR186" s="193"/>
      <c r="BS186" s="193"/>
      <c r="BT186" s="193"/>
      <c r="BU186" s="193"/>
      <c r="BV186" s="193"/>
      <c r="BW186" s="193"/>
      <c r="BX186" s="193"/>
      <c r="BY186" s="193"/>
      <c r="BZ186" s="193"/>
    </row>
    <row r="187" spans="60:78" s="191" customFormat="1" x14ac:dyDescent="0.25">
      <c r="BH187" s="193"/>
      <c r="BI187" s="193"/>
      <c r="BJ187" s="193"/>
      <c r="BK187" s="193"/>
      <c r="BL187" s="193"/>
      <c r="BM187" s="193"/>
      <c r="BN187" s="193"/>
      <c r="BO187" s="193"/>
      <c r="BP187" s="193"/>
      <c r="BQ187" s="193"/>
      <c r="BR187" s="193"/>
      <c r="BS187" s="193"/>
      <c r="BT187" s="193"/>
      <c r="BU187" s="193"/>
      <c r="BV187" s="193"/>
      <c r="BW187" s="193"/>
      <c r="BX187" s="193"/>
      <c r="BY187" s="193"/>
      <c r="BZ187" s="193"/>
    </row>
    <row r="188" spans="60:78" s="191" customFormat="1" x14ac:dyDescent="0.25">
      <c r="BH188" s="193"/>
      <c r="BI188" s="193"/>
      <c r="BJ188" s="193"/>
      <c r="BK188" s="193"/>
      <c r="BL188" s="193"/>
      <c r="BM188" s="193"/>
      <c r="BN188" s="193"/>
      <c r="BO188" s="193"/>
      <c r="BP188" s="193"/>
      <c r="BQ188" s="193"/>
      <c r="BR188" s="193"/>
      <c r="BS188" s="193"/>
      <c r="BT188" s="193"/>
      <c r="BU188" s="193"/>
      <c r="BV188" s="193"/>
      <c r="BW188" s="193"/>
      <c r="BX188" s="193"/>
      <c r="BY188" s="193"/>
      <c r="BZ188" s="193"/>
    </row>
    <row r="189" spans="60:78" s="191" customFormat="1" x14ac:dyDescent="0.25">
      <c r="BH189" s="193"/>
      <c r="BI189" s="193"/>
      <c r="BJ189" s="193"/>
      <c r="BK189" s="193"/>
      <c r="BL189" s="193"/>
      <c r="BM189" s="193"/>
      <c r="BN189" s="193"/>
      <c r="BO189" s="193"/>
      <c r="BP189" s="193"/>
      <c r="BQ189" s="193"/>
      <c r="BR189" s="193"/>
      <c r="BS189" s="193"/>
      <c r="BT189" s="193"/>
      <c r="BU189" s="193"/>
      <c r="BV189" s="193"/>
      <c r="BW189" s="193"/>
      <c r="BX189" s="193"/>
      <c r="BY189" s="193"/>
      <c r="BZ189" s="193"/>
    </row>
    <row r="190" spans="60:78" s="191" customFormat="1" x14ac:dyDescent="0.25">
      <c r="BH190" s="193"/>
      <c r="BI190" s="193"/>
      <c r="BJ190" s="193"/>
      <c r="BK190" s="193"/>
      <c r="BL190" s="193"/>
      <c r="BM190" s="193"/>
      <c r="BN190" s="193"/>
      <c r="BO190" s="193"/>
      <c r="BP190" s="193"/>
      <c r="BQ190" s="193"/>
      <c r="BR190" s="193"/>
      <c r="BS190" s="193"/>
      <c r="BT190" s="193"/>
      <c r="BU190" s="193"/>
      <c r="BV190" s="193"/>
      <c r="BW190" s="193"/>
      <c r="BX190" s="193"/>
      <c r="BY190" s="193"/>
      <c r="BZ190" s="193"/>
    </row>
    <row r="191" spans="60:78" s="191" customFormat="1" x14ac:dyDescent="0.25">
      <c r="BH191" s="193"/>
      <c r="BI191" s="193"/>
      <c r="BJ191" s="193"/>
      <c r="BK191" s="193"/>
      <c r="BL191" s="193"/>
      <c r="BM191" s="193"/>
      <c r="BN191" s="193"/>
      <c r="BO191" s="193"/>
      <c r="BP191" s="193"/>
      <c r="BQ191" s="193"/>
      <c r="BR191" s="193"/>
      <c r="BS191" s="193"/>
      <c r="BT191" s="193"/>
      <c r="BU191" s="193"/>
      <c r="BV191" s="193"/>
      <c r="BW191" s="193"/>
      <c r="BX191" s="193"/>
      <c r="BY191" s="193"/>
      <c r="BZ191" s="193"/>
    </row>
    <row r="192" spans="60:78" s="191" customFormat="1" x14ac:dyDescent="0.25">
      <c r="BH192" s="193"/>
      <c r="BI192" s="193"/>
      <c r="BJ192" s="193"/>
      <c r="BK192" s="193"/>
      <c r="BL192" s="193"/>
      <c r="BM192" s="193"/>
      <c r="BN192" s="193"/>
      <c r="BO192" s="193"/>
      <c r="BP192" s="193"/>
      <c r="BQ192" s="193"/>
      <c r="BR192" s="193"/>
      <c r="BS192" s="193"/>
      <c r="BT192" s="193"/>
      <c r="BU192" s="193"/>
      <c r="BV192" s="193"/>
      <c r="BW192" s="193"/>
      <c r="BX192" s="193"/>
      <c r="BY192" s="193"/>
      <c r="BZ192" s="193"/>
    </row>
    <row r="193" spans="60:78" s="191" customFormat="1" x14ac:dyDescent="0.25">
      <c r="BH193" s="193"/>
      <c r="BI193" s="193"/>
      <c r="BJ193" s="193"/>
      <c r="BK193" s="193"/>
      <c r="BL193" s="193"/>
      <c r="BM193" s="193"/>
      <c r="BN193" s="193"/>
      <c r="BO193" s="193"/>
      <c r="BP193" s="193"/>
      <c r="BQ193" s="193"/>
      <c r="BR193" s="193"/>
      <c r="BS193" s="193"/>
      <c r="BT193" s="193"/>
      <c r="BU193" s="193"/>
      <c r="BV193" s="193"/>
      <c r="BW193" s="193"/>
      <c r="BX193" s="193"/>
      <c r="BY193" s="193"/>
      <c r="BZ193" s="193"/>
    </row>
    <row r="194" spans="60:78" s="191" customFormat="1" x14ac:dyDescent="0.25">
      <c r="BH194" s="193"/>
      <c r="BI194" s="193"/>
      <c r="BJ194" s="193"/>
      <c r="BK194" s="193"/>
      <c r="BL194" s="193"/>
      <c r="BM194" s="193"/>
      <c r="BN194" s="193"/>
      <c r="BO194" s="193"/>
      <c r="BP194" s="193"/>
      <c r="BQ194" s="193"/>
      <c r="BR194" s="193"/>
      <c r="BS194" s="193"/>
      <c r="BT194" s="193"/>
      <c r="BU194" s="193"/>
      <c r="BV194" s="193"/>
      <c r="BW194" s="193"/>
      <c r="BX194" s="193"/>
      <c r="BY194" s="193"/>
      <c r="BZ194" s="193"/>
    </row>
    <row r="195" spans="60:78" s="191" customFormat="1" x14ac:dyDescent="0.25">
      <c r="BH195" s="193"/>
      <c r="BI195" s="193"/>
      <c r="BJ195" s="193"/>
      <c r="BK195" s="193"/>
      <c r="BL195" s="193"/>
      <c r="BM195" s="193"/>
      <c r="BN195" s="193"/>
      <c r="BO195" s="193"/>
      <c r="BP195" s="193"/>
      <c r="BQ195" s="193"/>
      <c r="BR195" s="193"/>
      <c r="BS195" s="193"/>
      <c r="BT195" s="193"/>
      <c r="BU195" s="193"/>
      <c r="BV195" s="193"/>
      <c r="BW195" s="193"/>
      <c r="BX195" s="193"/>
      <c r="BY195" s="193"/>
      <c r="BZ195" s="193"/>
    </row>
    <row r="196" spans="60:78" s="191" customFormat="1" x14ac:dyDescent="0.25">
      <c r="BH196" s="193"/>
      <c r="BI196" s="193"/>
      <c r="BJ196" s="193"/>
      <c r="BK196" s="193"/>
      <c r="BL196" s="193"/>
      <c r="BM196" s="193"/>
      <c r="BN196" s="193"/>
      <c r="BO196" s="193"/>
      <c r="BP196" s="193"/>
      <c r="BQ196" s="193"/>
      <c r="BR196" s="193"/>
      <c r="BS196" s="193"/>
      <c r="BT196" s="193"/>
      <c r="BU196" s="193"/>
      <c r="BV196" s="193"/>
      <c r="BW196" s="193"/>
      <c r="BX196" s="193"/>
      <c r="BY196" s="193"/>
      <c r="BZ196" s="193"/>
    </row>
    <row r="197" spans="60:78" s="191" customFormat="1" x14ac:dyDescent="0.25">
      <c r="BH197" s="193"/>
      <c r="BI197" s="193"/>
      <c r="BJ197" s="193"/>
      <c r="BK197" s="193"/>
      <c r="BL197" s="193"/>
      <c r="BM197" s="193"/>
      <c r="BN197" s="193"/>
      <c r="BO197" s="193"/>
      <c r="BP197" s="193"/>
      <c r="BQ197" s="193"/>
      <c r="BR197" s="193"/>
      <c r="BS197" s="193"/>
      <c r="BT197" s="193"/>
      <c r="BU197" s="193"/>
      <c r="BV197" s="193"/>
      <c r="BW197" s="193"/>
      <c r="BX197" s="193"/>
      <c r="BY197" s="193"/>
      <c r="BZ197" s="193"/>
    </row>
    <row r="198" spans="60:78" s="191" customFormat="1" x14ac:dyDescent="0.25">
      <c r="BH198" s="193"/>
      <c r="BI198" s="193"/>
      <c r="BJ198" s="193"/>
      <c r="BK198" s="193"/>
      <c r="BL198" s="193"/>
      <c r="BM198" s="193"/>
      <c r="BN198" s="193"/>
      <c r="BO198" s="193"/>
      <c r="BP198" s="193"/>
      <c r="BQ198" s="193"/>
      <c r="BR198" s="193"/>
      <c r="BS198" s="193"/>
      <c r="BT198" s="193"/>
      <c r="BU198" s="193"/>
      <c r="BV198" s="193"/>
      <c r="BW198" s="193"/>
      <c r="BX198" s="193"/>
      <c r="BY198" s="193"/>
      <c r="BZ198" s="193"/>
    </row>
    <row r="199" spans="60:78" s="191" customFormat="1" x14ac:dyDescent="0.25">
      <c r="BH199" s="193"/>
      <c r="BI199" s="193"/>
      <c r="BJ199" s="193"/>
      <c r="BK199" s="193"/>
      <c r="BL199" s="193"/>
      <c r="BM199" s="193"/>
      <c r="BN199" s="193"/>
      <c r="BO199" s="193"/>
      <c r="BP199" s="193"/>
      <c r="BQ199" s="193"/>
      <c r="BR199" s="193"/>
      <c r="BS199" s="193"/>
      <c r="BT199" s="193"/>
      <c r="BU199" s="193"/>
      <c r="BV199" s="193"/>
      <c r="BW199" s="193"/>
      <c r="BX199" s="193"/>
      <c r="BY199" s="193"/>
      <c r="BZ199" s="193"/>
    </row>
    <row r="200" spans="60:78" s="191" customFormat="1" x14ac:dyDescent="0.25">
      <c r="BH200" s="193"/>
      <c r="BI200" s="193"/>
      <c r="BJ200" s="193"/>
      <c r="BK200" s="193"/>
      <c r="BL200" s="193"/>
      <c r="BM200" s="193"/>
      <c r="BN200" s="193"/>
      <c r="BO200" s="193"/>
      <c r="BP200" s="193"/>
      <c r="BQ200" s="193"/>
      <c r="BR200" s="193"/>
      <c r="BS200" s="193"/>
      <c r="BT200" s="193"/>
      <c r="BU200" s="193"/>
      <c r="BV200" s="193"/>
      <c r="BW200" s="193"/>
      <c r="BX200" s="193"/>
      <c r="BY200" s="193"/>
      <c r="BZ200" s="193"/>
    </row>
    <row r="201" spans="60:78" s="191" customFormat="1" x14ac:dyDescent="0.25">
      <c r="BH201" s="193"/>
      <c r="BI201" s="193"/>
      <c r="BJ201" s="193"/>
      <c r="BK201" s="193"/>
      <c r="BL201" s="193"/>
      <c r="BM201" s="193"/>
      <c r="BN201" s="193"/>
      <c r="BO201" s="193"/>
      <c r="BP201" s="193"/>
      <c r="BQ201" s="193"/>
      <c r="BR201" s="193"/>
      <c r="BS201" s="193"/>
      <c r="BT201" s="193"/>
      <c r="BU201" s="193"/>
      <c r="BV201" s="193"/>
      <c r="BW201" s="193"/>
      <c r="BX201" s="193"/>
      <c r="BY201" s="193"/>
      <c r="BZ201" s="193"/>
    </row>
    <row r="202" spans="60:78" s="191" customFormat="1" x14ac:dyDescent="0.25">
      <c r="BH202" s="193"/>
      <c r="BI202" s="193"/>
      <c r="BJ202" s="193"/>
      <c r="BK202" s="193"/>
      <c r="BL202" s="193"/>
      <c r="BM202" s="193"/>
      <c r="BN202" s="193"/>
      <c r="BO202" s="193"/>
      <c r="BP202" s="193"/>
      <c r="BQ202" s="193"/>
      <c r="BR202" s="193"/>
      <c r="BS202" s="193"/>
      <c r="BT202" s="193"/>
      <c r="BU202" s="193"/>
      <c r="BV202" s="193"/>
      <c r="BW202" s="193"/>
      <c r="BX202" s="193"/>
      <c r="BY202" s="193"/>
      <c r="BZ202" s="193"/>
    </row>
    <row r="203" spans="60:78" s="191" customFormat="1" x14ac:dyDescent="0.25">
      <c r="BH203" s="193"/>
      <c r="BI203" s="193"/>
      <c r="BJ203" s="193"/>
      <c r="BK203" s="193"/>
      <c r="BL203" s="193"/>
      <c r="BM203" s="193"/>
      <c r="BN203" s="193"/>
      <c r="BO203" s="193"/>
      <c r="BP203" s="193"/>
      <c r="BQ203" s="193"/>
      <c r="BR203" s="193"/>
      <c r="BS203" s="193"/>
      <c r="BT203" s="193"/>
      <c r="BU203" s="193"/>
      <c r="BV203" s="193"/>
      <c r="BW203" s="193"/>
      <c r="BX203" s="193"/>
      <c r="BY203" s="193"/>
      <c r="BZ203" s="193"/>
    </row>
    <row r="204" spans="60:78" s="191" customFormat="1" x14ac:dyDescent="0.25">
      <c r="BH204" s="193"/>
      <c r="BI204" s="193"/>
      <c r="BJ204" s="193"/>
      <c r="BK204" s="193"/>
      <c r="BL204" s="193"/>
      <c r="BM204" s="193"/>
      <c r="BN204" s="193"/>
      <c r="BO204" s="193"/>
      <c r="BP204" s="193"/>
      <c r="BQ204" s="193"/>
      <c r="BR204" s="193"/>
      <c r="BS204" s="193"/>
      <c r="BT204" s="193"/>
      <c r="BU204" s="193"/>
      <c r="BV204" s="193"/>
      <c r="BW204" s="193"/>
      <c r="BX204" s="193"/>
      <c r="BY204" s="193"/>
      <c r="BZ204" s="193"/>
    </row>
    <row r="205" spans="60:78" s="191" customFormat="1" x14ac:dyDescent="0.25">
      <c r="BH205" s="193"/>
      <c r="BI205" s="193"/>
      <c r="BJ205" s="193"/>
      <c r="BK205" s="193"/>
      <c r="BL205" s="193"/>
      <c r="BM205" s="193"/>
      <c r="BN205" s="193"/>
      <c r="BO205" s="193"/>
      <c r="BP205" s="193"/>
      <c r="BQ205" s="193"/>
      <c r="BR205" s="193"/>
      <c r="BS205" s="193"/>
      <c r="BT205" s="193"/>
      <c r="BU205" s="193"/>
      <c r="BV205" s="193"/>
      <c r="BW205" s="193"/>
      <c r="BX205" s="193"/>
      <c r="BY205" s="193"/>
      <c r="BZ205" s="193"/>
    </row>
    <row r="206" spans="60:78" s="191" customFormat="1" x14ac:dyDescent="0.25">
      <c r="BH206" s="193"/>
      <c r="BI206" s="193"/>
      <c r="BJ206" s="193"/>
      <c r="BK206" s="193"/>
      <c r="BL206" s="193"/>
      <c r="BM206" s="193"/>
      <c r="BN206" s="193"/>
      <c r="BO206" s="193"/>
      <c r="BP206" s="193"/>
      <c r="BQ206" s="193"/>
      <c r="BR206" s="193"/>
      <c r="BS206" s="193"/>
      <c r="BT206" s="193"/>
      <c r="BU206" s="193"/>
      <c r="BV206" s="193"/>
      <c r="BW206" s="193"/>
      <c r="BX206" s="193"/>
      <c r="BY206" s="193"/>
      <c r="BZ206" s="193"/>
    </row>
    <row r="207" spans="60:78" s="191" customFormat="1" x14ac:dyDescent="0.25">
      <c r="BH207" s="193"/>
      <c r="BI207" s="193"/>
      <c r="BJ207" s="193"/>
      <c r="BK207" s="193"/>
      <c r="BL207" s="193"/>
      <c r="BM207" s="193"/>
      <c r="BN207" s="193"/>
      <c r="BO207" s="193"/>
      <c r="BP207" s="193"/>
      <c r="BQ207" s="193"/>
      <c r="BR207" s="193"/>
      <c r="BS207" s="193"/>
      <c r="BT207" s="193"/>
      <c r="BU207" s="193"/>
      <c r="BV207" s="193"/>
      <c r="BW207" s="193"/>
      <c r="BX207" s="193"/>
      <c r="BY207" s="193"/>
      <c r="BZ207" s="193"/>
    </row>
    <row r="208" spans="60:78" s="191" customFormat="1" x14ac:dyDescent="0.25">
      <c r="BH208" s="193"/>
      <c r="BI208" s="193"/>
      <c r="BJ208" s="193"/>
      <c r="BK208" s="193"/>
      <c r="BL208" s="193"/>
      <c r="BM208" s="193"/>
      <c r="BN208" s="193"/>
      <c r="BO208" s="193"/>
      <c r="BP208" s="193"/>
      <c r="BQ208" s="193"/>
      <c r="BR208" s="193"/>
      <c r="BS208" s="193"/>
      <c r="BT208" s="193"/>
      <c r="BU208" s="193"/>
      <c r="BV208" s="193"/>
      <c r="BW208" s="193"/>
      <c r="BX208" s="193"/>
      <c r="BY208" s="193"/>
      <c r="BZ208" s="193"/>
    </row>
    <row r="209" spans="60:78" s="191" customFormat="1" x14ac:dyDescent="0.25">
      <c r="BH209" s="193"/>
      <c r="BI209" s="193"/>
      <c r="BJ209" s="193"/>
      <c r="BK209" s="193"/>
      <c r="BL209" s="193"/>
      <c r="BM209" s="193"/>
      <c r="BN209" s="193"/>
      <c r="BO209" s="193"/>
      <c r="BP209" s="193"/>
      <c r="BQ209" s="193"/>
      <c r="BR209" s="193"/>
      <c r="BS209" s="193"/>
      <c r="BT209" s="193"/>
      <c r="BU209" s="193"/>
      <c r="BV209" s="193"/>
      <c r="BW209" s="193"/>
      <c r="BX209" s="193"/>
      <c r="BY209" s="193"/>
      <c r="BZ209" s="193"/>
    </row>
    <row r="210" spans="60:78" s="191" customFormat="1" x14ac:dyDescent="0.25">
      <c r="BH210" s="193"/>
      <c r="BI210" s="193"/>
      <c r="BJ210" s="193"/>
      <c r="BK210" s="193"/>
      <c r="BL210" s="193"/>
      <c r="BM210" s="193"/>
      <c r="BN210" s="193"/>
      <c r="BO210" s="193"/>
      <c r="BP210" s="193"/>
      <c r="BQ210" s="193"/>
      <c r="BR210" s="193"/>
      <c r="BS210" s="193"/>
      <c r="BT210" s="193"/>
      <c r="BU210" s="193"/>
      <c r="BV210" s="193"/>
      <c r="BW210" s="193"/>
      <c r="BX210" s="193"/>
      <c r="BY210" s="193"/>
      <c r="BZ210" s="193"/>
    </row>
    <row r="211" spans="60:78" s="191" customFormat="1" x14ac:dyDescent="0.25">
      <c r="BH211" s="193"/>
      <c r="BI211" s="193"/>
      <c r="BJ211" s="193"/>
      <c r="BK211" s="193"/>
      <c r="BL211" s="193"/>
      <c r="BM211" s="193"/>
      <c r="BN211" s="193"/>
      <c r="BO211" s="193"/>
      <c r="BP211" s="193"/>
      <c r="BQ211" s="193"/>
      <c r="BR211" s="193"/>
      <c r="BS211" s="193"/>
      <c r="BT211" s="193"/>
      <c r="BU211" s="193"/>
      <c r="BV211" s="193"/>
      <c r="BW211" s="193"/>
      <c r="BX211" s="193"/>
      <c r="BY211" s="193"/>
      <c r="BZ211" s="193"/>
    </row>
    <row r="212" spans="60:78" s="191" customFormat="1" x14ac:dyDescent="0.25">
      <c r="BH212" s="193"/>
      <c r="BI212" s="193"/>
      <c r="BJ212" s="193"/>
      <c r="BK212" s="193"/>
      <c r="BL212" s="193"/>
      <c r="BM212" s="193"/>
      <c r="BN212" s="193"/>
      <c r="BO212" s="193"/>
      <c r="BP212" s="193"/>
      <c r="BQ212" s="193"/>
      <c r="BR212" s="193"/>
      <c r="BS212" s="193"/>
      <c r="BT212" s="193"/>
      <c r="BU212" s="193"/>
      <c r="BV212" s="193"/>
      <c r="BW212" s="193"/>
      <c r="BX212" s="193"/>
      <c r="BY212" s="193"/>
      <c r="BZ212" s="193"/>
    </row>
    <row r="213" spans="60:78" s="191" customFormat="1" x14ac:dyDescent="0.25">
      <c r="BH213" s="193"/>
      <c r="BI213" s="193"/>
      <c r="BJ213" s="193"/>
      <c r="BK213" s="193"/>
      <c r="BL213" s="193"/>
      <c r="BM213" s="193"/>
      <c r="BN213" s="193"/>
      <c r="BO213" s="193"/>
      <c r="BP213" s="193"/>
      <c r="BQ213" s="193"/>
      <c r="BR213" s="193"/>
      <c r="BS213" s="193"/>
      <c r="BT213" s="193"/>
      <c r="BU213" s="193"/>
      <c r="BV213" s="193"/>
      <c r="BW213" s="193"/>
      <c r="BX213" s="193"/>
      <c r="BY213" s="193"/>
      <c r="BZ213" s="193"/>
    </row>
    <row r="214" spans="60:78" s="191" customFormat="1" x14ac:dyDescent="0.25">
      <c r="BH214" s="193"/>
      <c r="BI214" s="193"/>
      <c r="BJ214" s="193"/>
      <c r="BK214" s="193"/>
      <c r="BL214" s="193"/>
      <c r="BM214" s="193"/>
      <c r="BN214" s="193"/>
      <c r="BO214" s="193"/>
      <c r="BP214" s="193"/>
      <c r="BQ214" s="193"/>
      <c r="BR214" s="193"/>
      <c r="BS214" s="193"/>
      <c r="BT214" s="193"/>
      <c r="BU214" s="193"/>
      <c r="BV214" s="193"/>
      <c r="BW214" s="193"/>
      <c r="BX214" s="193"/>
      <c r="BY214" s="193"/>
      <c r="BZ214" s="193"/>
    </row>
    <row r="215" spans="60:78" s="191" customFormat="1" x14ac:dyDescent="0.25">
      <c r="BH215" s="193"/>
      <c r="BI215" s="193"/>
      <c r="BJ215" s="193"/>
      <c r="BK215" s="193"/>
      <c r="BL215" s="193"/>
      <c r="BM215" s="193"/>
      <c r="BN215" s="193"/>
      <c r="BO215" s="193"/>
      <c r="BP215" s="193"/>
      <c r="BQ215" s="193"/>
      <c r="BR215" s="193"/>
      <c r="BS215" s="193"/>
      <c r="BT215" s="193"/>
      <c r="BU215" s="193"/>
      <c r="BV215" s="193"/>
      <c r="BW215" s="193"/>
      <c r="BX215" s="193"/>
      <c r="BY215" s="193"/>
      <c r="BZ215" s="193"/>
    </row>
    <row r="216" spans="60:78" s="191" customFormat="1" x14ac:dyDescent="0.25">
      <c r="BH216" s="193"/>
      <c r="BI216" s="193"/>
      <c r="BJ216" s="193"/>
      <c r="BK216" s="193"/>
      <c r="BL216" s="193"/>
      <c r="BM216" s="193"/>
      <c r="BN216" s="193"/>
      <c r="BO216" s="193"/>
      <c r="BP216" s="193"/>
      <c r="BQ216" s="193"/>
      <c r="BR216" s="193"/>
      <c r="BS216" s="193"/>
      <c r="BT216" s="193"/>
      <c r="BU216" s="193"/>
      <c r="BV216" s="193"/>
      <c r="BW216" s="193"/>
      <c r="BX216" s="193"/>
      <c r="BY216" s="193"/>
      <c r="BZ216" s="193"/>
    </row>
    <row r="217" spans="60:78" s="191" customFormat="1" x14ac:dyDescent="0.25">
      <c r="BH217" s="193"/>
      <c r="BI217" s="193"/>
      <c r="BJ217" s="193"/>
      <c r="BK217" s="193"/>
      <c r="BL217" s="193"/>
      <c r="BM217" s="193"/>
      <c r="BN217" s="193"/>
      <c r="BO217" s="193"/>
      <c r="BP217" s="193"/>
      <c r="BQ217" s="193"/>
      <c r="BR217" s="193"/>
      <c r="BS217" s="193"/>
      <c r="BT217" s="193"/>
      <c r="BU217" s="193"/>
      <c r="BV217" s="193"/>
      <c r="BW217" s="193"/>
      <c r="BX217" s="193"/>
      <c r="BY217" s="193"/>
      <c r="BZ217" s="193"/>
    </row>
    <row r="218" spans="60:78" s="191" customFormat="1" x14ac:dyDescent="0.25">
      <c r="BH218" s="193"/>
      <c r="BI218" s="193"/>
      <c r="BJ218" s="193"/>
      <c r="BK218" s="193"/>
      <c r="BL218" s="193"/>
      <c r="BM218" s="193"/>
      <c r="BN218" s="193"/>
      <c r="BO218" s="193"/>
      <c r="BP218" s="193"/>
      <c r="BQ218" s="193"/>
      <c r="BR218" s="193"/>
      <c r="BS218" s="193"/>
      <c r="BT218" s="193"/>
      <c r="BU218" s="193"/>
      <c r="BV218" s="193"/>
      <c r="BW218" s="193"/>
      <c r="BX218" s="193"/>
      <c r="BY218" s="193"/>
      <c r="BZ218" s="193"/>
    </row>
    <row r="219" spans="60:78" s="191" customFormat="1" x14ac:dyDescent="0.25">
      <c r="BH219" s="193"/>
      <c r="BI219" s="193"/>
      <c r="BJ219" s="193"/>
      <c r="BK219" s="193"/>
      <c r="BL219" s="193"/>
      <c r="BM219" s="193"/>
      <c r="BN219" s="193"/>
      <c r="BO219" s="193"/>
      <c r="BP219" s="193"/>
      <c r="BQ219" s="193"/>
      <c r="BR219" s="193"/>
      <c r="BS219" s="193"/>
      <c r="BT219" s="193"/>
      <c r="BU219" s="193"/>
      <c r="BV219" s="193"/>
      <c r="BW219" s="193"/>
      <c r="BX219" s="193"/>
      <c r="BY219" s="193"/>
      <c r="BZ219" s="193"/>
    </row>
    <row r="220" spans="60:78" s="191" customFormat="1" x14ac:dyDescent="0.25">
      <c r="BH220" s="193"/>
      <c r="BI220" s="193"/>
      <c r="BJ220" s="193"/>
      <c r="BK220" s="193"/>
      <c r="BL220" s="193"/>
      <c r="BM220" s="193"/>
      <c r="BN220" s="193"/>
      <c r="BO220" s="193"/>
      <c r="BP220" s="193"/>
      <c r="BQ220" s="193"/>
      <c r="BR220" s="193"/>
      <c r="BS220" s="193"/>
      <c r="BT220" s="193"/>
      <c r="BU220" s="193"/>
      <c r="BV220" s="193"/>
      <c r="BW220" s="193"/>
      <c r="BX220" s="193"/>
      <c r="BY220" s="193"/>
      <c r="BZ220" s="193"/>
    </row>
    <row r="221" spans="60:78" s="191" customFormat="1" x14ac:dyDescent="0.25">
      <c r="BH221" s="193"/>
      <c r="BI221" s="193"/>
      <c r="BJ221" s="193"/>
      <c r="BK221" s="193"/>
      <c r="BL221" s="193"/>
      <c r="BM221" s="193"/>
      <c r="BN221" s="193"/>
      <c r="BO221" s="193"/>
      <c r="BP221" s="193"/>
      <c r="BQ221" s="193"/>
      <c r="BR221" s="193"/>
      <c r="BS221" s="193"/>
      <c r="BT221" s="193"/>
      <c r="BU221" s="193"/>
      <c r="BV221" s="193"/>
      <c r="BW221" s="193"/>
      <c r="BX221" s="193"/>
      <c r="BY221" s="193"/>
      <c r="BZ221" s="193"/>
    </row>
    <row r="222" spans="60:78" s="191" customFormat="1" x14ac:dyDescent="0.25">
      <c r="BH222" s="193"/>
      <c r="BI222" s="193"/>
      <c r="BJ222" s="193"/>
      <c r="BK222" s="193"/>
      <c r="BL222" s="193"/>
      <c r="BM222" s="193"/>
      <c r="BN222" s="193"/>
      <c r="BO222" s="193"/>
      <c r="BP222" s="193"/>
      <c r="BQ222" s="193"/>
      <c r="BR222" s="193"/>
      <c r="BS222" s="193"/>
      <c r="BT222" s="193"/>
      <c r="BU222" s="193"/>
      <c r="BV222" s="193"/>
      <c r="BW222" s="193"/>
      <c r="BX222" s="193"/>
      <c r="BY222" s="193"/>
      <c r="BZ222" s="193"/>
    </row>
    <row r="223" spans="60:78" s="191" customFormat="1" x14ac:dyDescent="0.25">
      <c r="BH223" s="193"/>
      <c r="BI223" s="193"/>
      <c r="BJ223" s="193"/>
      <c r="BK223" s="193"/>
      <c r="BL223" s="193"/>
      <c r="BM223" s="193"/>
      <c r="BN223" s="193"/>
      <c r="BO223" s="193"/>
      <c r="BP223" s="193"/>
      <c r="BQ223" s="193"/>
      <c r="BR223" s="193"/>
      <c r="BS223" s="193"/>
      <c r="BT223" s="193"/>
      <c r="BU223" s="193"/>
      <c r="BV223" s="193"/>
      <c r="BW223" s="193"/>
      <c r="BX223" s="193"/>
      <c r="BY223" s="193"/>
      <c r="BZ223" s="193"/>
    </row>
    <row r="224" spans="60:78" s="191" customFormat="1" x14ac:dyDescent="0.25">
      <c r="BH224" s="193"/>
      <c r="BI224" s="193"/>
      <c r="BJ224" s="193"/>
      <c r="BK224" s="193"/>
      <c r="BL224" s="193"/>
      <c r="BM224" s="193"/>
      <c r="BN224" s="193"/>
      <c r="BO224" s="193"/>
      <c r="BP224" s="193"/>
      <c r="BQ224" s="193"/>
      <c r="BR224" s="193"/>
      <c r="BS224" s="193"/>
      <c r="BT224" s="193"/>
      <c r="BU224" s="193"/>
      <c r="BV224" s="193"/>
      <c r="BW224" s="193"/>
      <c r="BX224" s="193"/>
      <c r="BY224" s="193"/>
      <c r="BZ224" s="193"/>
    </row>
    <row r="225" spans="60:78" s="191" customFormat="1" x14ac:dyDescent="0.25">
      <c r="BH225" s="193"/>
      <c r="BI225" s="193"/>
      <c r="BJ225" s="193"/>
      <c r="BK225" s="193"/>
      <c r="BL225" s="193"/>
      <c r="BM225" s="193"/>
      <c r="BN225" s="193"/>
      <c r="BO225" s="193"/>
      <c r="BP225" s="193"/>
      <c r="BQ225" s="193"/>
      <c r="BR225" s="193"/>
      <c r="BS225" s="193"/>
      <c r="BT225" s="193"/>
      <c r="BU225" s="193"/>
      <c r="BV225" s="193"/>
      <c r="BW225" s="193"/>
      <c r="BX225" s="193"/>
      <c r="BY225" s="193"/>
      <c r="BZ225" s="193"/>
    </row>
    <row r="226" spans="60:78" s="191" customFormat="1" x14ac:dyDescent="0.25">
      <c r="BH226" s="193"/>
      <c r="BI226" s="193"/>
      <c r="BJ226" s="193"/>
      <c r="BK226" s="193"/>
      <c r="BL226" s="193"/>
      <c r="BM226" s="193"/>
      <c r="BN226" s="193"/>
      <c r="BO226" s="193"/>
      <c r="BP226" s="193"/>
      <c r="BQ226" s="193"/>
      <c r="BR226" s="193"/>
      <c r="BS226" s="193"/>
      <c r="BT226" s="193"/>
      <c r="BU226" s="193"/>
      <c r="BV226" s="193"/>
      <c r="BW226" s="193"/>
      <c r="BX226" s="193"/>
      <c r="BY226" s="193"/>
      <c r="BZ226" s="193"/>
    </row>
    <row r="227" spans="60:78" s="191" customFormat="1" x14ac:dyDescent="0.25">
      <c r="BH227" s="193"/>
      <c r="BI227" s="193"/>
      <c r="BJ227" s="193"/>
      <c r="BK227" s="193"/>
      <c r="BL227" s="193"/>
      <c r="BM227" s="193"/>
      <c r="BN227" s="193"/>
      <c r="BO227" s="193"/>
      <c r="BP227" s="193"/>
      <c r="BQ227" s="193"/>
      <c r="BR227" s="193"/>
      <c r="BS227" s="193"/>
      <c r="BT227" s="193"/>
      <c r="BU227" s="193"/>
      <c r="BV227" s="193"/>
      <c r="BW227" s="193"/>
      <c r="BX227" s="193"/>
      <c r="BY227" s="193"/>
      <c r="BZ227" s="193"/>
    </row>
    <row r="228" spans="60:78" s="191" customFormat="1" x14ac:dyDescent="0.25">
      <c r="BH228" s="193"/>
      <c r="BI228" s="193"/>
      <c r="BJ228" s="193"/>
      <c r="BK228" s="193"/>
      <c r="BL228" s="193"/>
      <c r="BM228" s="193"/>
      <c r="BN228" s="193"/>
      <c r="BO228" s="193"/>
      <c r="BP228" s="193"/>
      <c r="BQ228" s="193"/>
      <c r="BR228" s="193"/>
      <c r="BS228" s="193"/>
      <c r="BT228" s="193"/>
      <c r="BU228" s="193"/>
      <c r="BV228" s="193"/>
      <c r="BW228" s="193"/>
      <c r="BX228" s="193"/>
      <c r="BY228" s="193"/>
      <c r="BZ228" s="193"/>
    </row>
    <row r="229" spans="60:78" s="191" customFormat="1" x14ac:dyDescent="0.25">
      <c r="BH229" s="193"/>
      <c r="BI229" s="193"/>
      <c r="BJ229" s="193"/>
      <c r="BK229" s="193"/>
      <c r="BL229" s="193"/>
      <c r="BM229" s="193"/>
      <c r="BN229" s="193"/>
      <c r="BO229" s="193"/>
      <c r="BP229" s="193"/>
      <c r="BQ229" s="193"/>
      <c r="BR229" s="193"/>
      <c r="BS229" s="193"/>
      <c r="BT229" s="193"/>
      <c r="BU229" s="193"/>
      <c r="BV229" s="193"/>
      <c r="BW229" s="193"/>
      <c r="BX229" s="193"/>
      <c r="BY229" s="193"/>
      <c r="BZ229" s="193"/>
    </row>
    <row r="230" spans="60:78" s="191" customFormat="1" x14ac:dyDescent="0.25">
      <c r="BH230" s="193"/>
      <c r="BI230" s="193"/>
      <c r="BJ230" s="193"/>
      <c r="BK230" s="193"/>
      <c r="BL230" s="193"/>
      <c r="BM230" s="193"/>
      <c r="BN230" s="193"/>
      <c r="BO230" s="193"/>
      <c r="BP230" s="193"/>
      <c r="BQ230" s="193"/>
      <c r="BR230" s="193"/>
      <c r="BS230" s="193"/>
      <c r="BT230" s="193"/>
      <c r="BU230" s="193"/>
      <c r="BV230" s="193"/>
      <c r="BW230" s="193"/>
      <c r="BX230" s="193"/>
      <c r="BY230" s="193"/>
      <c r="BZ230" s="193"/>
    </row>
    <row r="231" spans="60:78" s="191" customFormat="1" x14ac:dyDescent="0.25">
      <c r="BH231" s="193"/>
      <c r="BI231" s="193"/>
      <c r="BJ231" s="193"/>
      <c r="BK231" s="193"/>
      <c r="BL231" s="193"/>
      <c r="BM231" s="193"/>
      <c r="BN231" s="193"/>
      <c r="BO231" s="193"/>
      <c r="BP231" s="193"/>
      <c r="BQ231" s="193"/>
      <c r="BR231" s="193"/>
      <c r="BS231" s="193"/>
      <c r="BT231" s="193"/>
      <c r="BU231" s="193"/>
      <c r="BV231" s="193"/>
      <c r="BW231" s="193"/>
      <c r="BX231" s="193"/>
      <c r="BY231" s="193"/>
      <c r="BZ231" s="193"/>
    </row>
    <row r="232" spans="60:78" s="191" customFormat="1" x14ac:dyDescent="0.25">
      <c r="BH232" s="193"/>
      <c r="BI232" s="193"/>
      <c r="BJ232" s="193"/>
      <c r="BK232" s="193"/>
      <c r="BL232" s="193"/>
      <c r="BM232" s="193"/>
      <c r="BN232" s="193"/>
      <c r="BO232" s="193"/>
      <c r="BP232" s="193"/>
      <c r="BQ232" s="193"/>
      <c r="BR232" s="193"/>
      <c r="BS232" s="193"/>
      <c r="BT232" s="193"/>
      <c r="BU232" s="193"/>
      <c r="BV232" s="193"/>
      <c r="BW232" s="193"/>
      <c r="BX232" s="193"/>
      <c r="BY232" s="193"/>
      <c r="BZ232" s="193"/>
    </row>
    <row r="233" spans="60:78" s="191" customFormat="1" x14ac:dyDescent="0.25">
      <c r="BH233" s="193"/>
      <c r="BI233" s="193"/>
      <c r="BJ233" s="193"/>
      <c r="BK233" s="193"/>
      <c r="BL233" s="193"/>
      <c r="BM233" s="193"/>
      <c r="BN233" s="193"/>
      <c r="BO233" s="193"/>
      <c r="BP233" s="193"/>
      <c r="BQ233" s="193"/>
      <c r="BR233" s="193"/>
      <c r="BS233" s="193"/>
      <c r="BT233" s="193"/>
      <c r="BU233" s="193"/>
      <c r="BV233" s="193"/>
      <c r="BW233" s="193"/>
      <c r="BX233" s="193"/>
      <c r="BY233" s="193"/>
      <c r="BZ233" s="193"/>
    </row>
    <row r="234" spans="60:78" s="191" customFormat="1" x14ac:dyDescent="0.25">
      <c r="BH234" s="193"/>
      <c r="BI234" s="193"/>
      <c r="BJ234" s="193"/>
      <c r="BK234" s="193"/>
      <c r="BL234" s="193"/>
      <c r="BM234" s="193"/>
      <c r="BN234" s="193"/>
      <c r="BO234" s="193"/>
      <c r="BP234" s="193"/>
      <c r="BQ234" s="193"/>
      <c r="BR234" s="193"/>
      <c r="BS234" s="193"/>
      <c r="BT234" s="193"/>
      <c r="BU234" s="193"/>
      <c r="BV234" s="193"/>
      <c r="BW234" s="193"/>
      <c r="BX234" s="193"/>
      <c r="BY234" s="193"/>
      <c r="BZ234" s="193"/>
    </row>
    <row r="235" spans="60:78" s="191" customFormat="1" x14ac:dyDescent="0.25">
      <c r="BH235" s="193"/>
      <c r="BI235" s="193"/>
      <c r="BJ235" s="193"/>
      <c r="BK235" s="193"/>
      <c r="BL235" s="193"/>
      <c r="BM235" s="193"/>
      <c r="BN235" s="193"/>
      <c r="BO235" s="193"/>
      <c r="BP235" s="193"/>
      <c r="BQ235" s="193"/>
      <c r="BR235" s="193"/>
      <c r="BS235" s="193"/>
      <c r="BT235" s="193"/>
      <c r="BU235" s="193"/>
      <c r="BV235" s="193"/>
      <c r="BW235" s="193"/>
      <c r="BX235" s="193"/>
      <c r="BY235" s="193"/>
      <c r="BZ235" s="193"/>
    </row>
    <row r="236" spans="60:78" s="191" customFormat="1" x14ac:dyDescent="0.25">
      <c r="BH236" s="193"/>
      <c r="BI236" s="193"/>
      <c r="BJ236" s="193"/>
      <c r="BK236" s="193"/>
      <c r="BL236" s="193"/>
      <c r="BM236" s="193"/>
      <c r="BN236" s="193"/>
      <c r="BO236" s="193"/>
      <c r="BP236" s="193"/>
      <c r="BQ236" s="193"/>
      <c r="BR236" s="193"/>
      <c r="BS236" s="193"/>
      <c r="BT236" s="193"/>
      <c r="BU236" s="193"/>
      <c r="BV236" s="193"/>
      <c r="BW236" s="193"/>
      <c r="BX236" s="193"/>
      <c r="BY236" s="193"/>
      <c r="BZ236" s="193"/>
    </row>
    <row r="237" spans="60:78" s="191" customFormat="1" x14ac:dyDescent="0.25">
      <c r="BH237" s="193"/>
      <c r="BI237" s="193"/>
      <c r="BJ237" s="193"/>
      <c r="BK237" s="193"/>
      <c r="BL237" s="193"/>
      <c r="BM237" s="193"/>
      <c r="BN237" s="193"/>
      <c r="BO237" s="193"/>
      <c r="BP237" s="193"/>
      <c r="BQ237" s="193"/>
      <c r="BR237" s="193"/>
      <c r="BS237" s="193"/>
      <c r="BT237" s="193"/>
      <c r="BU237" s="193"/>
      <c r="BV237" s="193"/>
      <c r="BW237" s="193"/>
      <c r="BX237" s="193"/>
      <c r="BY237" s="193"/>
      <c r="BZ237" s="193"/>
    </row>
    <row r="238" spans="60:78" s="191" customFormat="1" x14ac:dyDescent="0.25">
      <c r="BH238" s="193"/>
      <c r="BI238" s="193"/>
      <c r="BJ238" s="193"/>
      <c r="BK238" s="193"/>
      <c r="BL238" s="193"/>
      <c r="BM238" s="193"/>
      <c r="BN238" s="193"/>
      <c r="BO238" s="193"/>
      <c r="BP238" s="193"/>
      <c r="BQ238" s="193"/>
      <c r="BR238" s="193"/>
      <c r="BS238" s="193"/>
      <c r="BT238" s="193"/>
      <c r="BU238" s="193"/>
      <c r="BV238" s="193"/>
      <c r="BW238" s="193"/>
      <c r="BX238" s="193"/>
      <c r="BY238" s="193"/>
      <c r="BZ238" s="193"/>
    </row>
    <row r="239" spans="60:78" s="191" customFormat="1" x14ac:dyDescent="0.25">
      <c r="BH239" s="193"/>
      <c r="BI239" s="193"/>
      <c r="BJ239" s="193"/>
      <c r="BK239" s="193"/>
      <c r="BL239" s="193"/>
      <c r="BM239" s="193"/>
      <c r="BN239" s="193"/>
      <c r="BO239" s="193"/>
      <c r="BP239" s="193"/>
      <c r="BQ239" s="193"/>
      <c r="BR239" s="193"/>
      <c r="BS239" s="193"/>
      <c r="BT239" s="193"/>
      <c r="BU239" s="193"/>
      <c r="BV239" s="193"/>
      <c r="BW239" s="193"/>
      <c r="BX239" s="193"/>
      <c r="BY239" s="193"/>
      <c r="BZ239" s="193"/>
    </row>
    <row r="240" spans="60:78" s="191" customFormat="1" x14ac:dyDescent="0.25">
      <c r="BH240" s="193"/>
      <c r="BI240" s="193"/>
      <c r="BJ240" s="193"/>
      <c r="BK240" s="193"/>
      <c r="BL240" s="193"/>
      <c r="BM240" s="193"/>
      <c r="BN240" s="193"/>
      <c r="BO240" s="193"/>
      <c r="BP240" s="193"/>
      <c r="BQ240" s="193"/>
      <c r="BR240" s="193"/>
      <c r="BS240" s="193"/>
      <c r="BT240" s="193"/>
      <c r="BU240" s="193"/>
      <c r="BV240" s="193"/>
      <c r="BW240" s="193"/>
      <c r="BX240" s="193"/>
      <c r="BY240" s="193"/>
      <c r="BZ240" s="193"/>
    </row>
    <row r="241" spans="60:78" s="191" customFormat="1" x14ac:dyDescent="0.25">
      <c r="BH241" s="193"/>
      <c r="BI241" s="193"/>
      <c r="BJ241" s="193"/>
      <c r="BK241" s="193"/>
      <c r="BL241" s="193"/>
      <c r="BM241" s="193"/>
      <c r="BN241" s="193"/>
      <c r="BO241" s="193"/>
      <c r="BP241" s="193"/>
      <c r="BQ241" s="193"/>
      <c r="BR241" s="193"/>
      <c r="BS241" s="193"/>
      <c r="BT241" s="193"/>
      <c r="BU241" s="193"/>
      <c r="BV241" s="193"/>
      <c r="BW241" s="193"/>
      <c r="BX241" s="193"/>
      <c r="BY241" s="193"/>
      <c r="BZ241" s="193"/>
    </row>
    <row r="242" spans="60:78" s="191" customFormat="1" x14ac:dyDescent="0.25">
      <c r="BH242" s="193"/>
      <c r="BI242" s="193"/>
      <c r="BJ242" s="193"/>
      <c r="BK242" s="193"/>
      <c r="BL242" s="193"/>
      <c r="BM242" s="193"/>
      <c r="BN242" s="193"/>
      <c r="BO242" s="193"/>
      <c r="BP242" s="193"/>
      <c r="BQ242" s="193"/>
      <c r="BR242" s="193"/>
      <c r="BS242" s="193"/>
      <c r="BT242" s="193"/>
      <c r="BU242" s="193"/>
      <c r="BV242" s="193"/>
      <c r="BW242" s="193"/>
      <c r="BX242" s="193"/>
      <c r="BY242" s="193"/>
      <c r="BZ242" s="193"/>
    </row>
    <row r="243" spans="60:78" s="191" customFormat="1" x14ac:dyDescent="0.25">
      <c r="BH243" s="193"/>
      <c r="BI243" s="193"/>
      <c r="BJ243" s="193"/>
      <c r="BK243" s="193"/>
      <c r="BL243" s="193"/>
      <c r="BM243" s="193"/>
      <c r="BN243" s="193"/>
      <c r="BO243" s="193"/>
      <c r="BP243" s="193"/>
      <c r="BQ243" s="193"/>
      <c r="BR243" s="193"/>
      <c r="BS243" s="193"/>
      <c r="BT243" s="193"/>
      <c r="BU243" s="193"/>
      <c r="BV243" s="193"/>
      <c r="BW243" s="193"/>
      <c r="BX243" s="193"/>
      <c r="BY243" s="193"/>
      <c r="BZ243" s="193"/>
    </row>
    <row r="244" spans="60:78" s="191" customFormat="1" x14ac:dyDescent="0.25">
      <c r="BH244" s="193"/>
      <c r="BI244" s="193"/>
      <c r="BJ244" s="193"/>
      <c r="BK244" s="193"/>
      <c r="BL244" s="193"/>
      <c r="BM244" s="193"/>
      <c r="BN244" s="193"/>
      <c r="BO244" s="193"/>
      <c r="BP244" s="193"/>
      <c r="BQ244" s="193"/>
      <c r="BR244" s="193"/>
      <c r="BS244" s="193"/>
      <c r="BT244" s="193"/>
      <c r="BU244" s="193"/>
      <c r="BV244" s="193"/>
      <c r="BW244" s="193"/>
      <c r="BX244" s="193"/>
      <c r="BY244" s="193"/>
      <c r="BZ244" s="193"/>
    </row>
    <row r="245" spans="60:78" s="191" customFormat="1" x14ac:dyDescent="0.25">
      <c r="BH245" s="193"/>
      <c r="BI245" s="193"/>
      <c r="BJ245" s="193"/>
      <c r="BK245" s="193"/>
      <c r="BL245" s="193"/>
      <c r="BM245" s="193"/>
      <c r="BN245" s="193"/>
      <c r="BO245" s="193"/>
      <c r="BP245" s="193"/>
      <c r="BQ245" s="193"/>
      <c r="BR245" s="193"/>
      <c r="BS245" s="193"/>
      <c r="BT245" s="193"/>
      <c r="BU245" s="193"/>
      <c r="BV245" s="193"/>
      <c r="BW245" s="193"/>
      <c r="BX245" s="193"/>
      <c r="BY245" s="193"/>
      <c r="BZ245" s="193"/>
    </row>
    <row r="246" spans="60:78" s="191" customFormat="1" x14ac:dyDescent="0.25">
      <c r="BH246" s="193"/>
      <c r="BI246" s="193"/>
      <c r="BJ246" s="193"/>
      <c r="BK246" s="193"/>
      <c r="BL246" s="193"/>
      <c r="BM246" s="193"/>
      <c r="BN246" s="193"/>
      <c r="BO246" s="193"/>
      <c r="BP246" s="193"/>
      <c r="BQ246" s="193"/>
      <c r="BR246" s="193"/>
      <c r="BS246" s="193"/>
      <c r="BT246" s="193"/>
      <c r="BU246" s="193"/>
      <c r="BV246" s="193"/>
      <c r="BW246" s="193"/>
      <c r="BX246" s="193"/>
      <c r="BY246" s="193"/>
      <c r="BZ246" s="193"/>
    </row>
    <row r="247" spans="60:78" s="191" customFormat="1" x14ac:dyDescent="0.25">
      <c r="BH247" s="193"/>
      <c r="BI247" s="193"/>
      <c r="BJ247" s="193"/>
      <c r="BK247" s="193"/>
      <c r="BL247" s="193"/>
      <c r="BM247" s="193"/>
      <c r="BN247" s="193"/>
      <c r="BO247" s="193"/>
      <c r="BP247" s="193"/>
      <c r="BQ247" s="193"/>
      <c r="BR247" s="193"/>
      <c r="BS247" s="193"/>
      <c r="BT247" s="193"/>
      <c r="BU247" s="193"/>
      <c r="BV247" s="193"/>
      <c r="BW247" s="193"/>
      <c r="BX247" s="193"/>
      <c r="BY247" s="193"/>
      <c r="BZ247" s="193"/>
    </row>
    <row r="248" spans="60:78" s="191" customFormat="1" x14ac:dyDescent="0.25">
      <c r="BH248" s="193"/>
      <c r="BI248" s="193"/>
      <c r="BJ248" s="193"/>
      <c r="BK248" s="193"/>
      <c r="BL248" s="193"/>
      <c r="BM248" s="193"/>
      <c r="BN248" s="193"/>
      <c r="BO248" s="193"/>
      <c r="BP248" s="193"/>
      <c r="BQ248" s="193"/>
      <c r="BR248" s="193"/>
      <c r="BS248" s="193"/>
      <c r="BT248" s="193"/>
      <c r="BU248" s="193"/>
      <c r="BV248" s="193"/>
      <c r="BW248" s="193"/>
      <c r="BX248" s="193"/>
      <c r="BY248" s="193"/>
      <c r="BZ248" s="193"/>
    </row>
    <row r="249" spans="60:78" s="191" customFormat="1" x14ac:dyDescent="0.25">
      <c r="BH249" s="193"/>
      <c r="BI249" s="193"/>
      <c r="BJ249" s="193"/>
      <c r="BK249" s="193"/>
      <c r="BL249" s="193"/>
      <c r="BM249" s="193"/>
      <c r="BN249" s="193"/>
      <c r="BO249" s="193"/>
      <c r="BP249" s="193"/>
      <c r="BQ249" s="193"/>
      <c r="BR249" s="193"/>
      <c r="BS249" s="193"/>
      <c r="BT249" s="193"/>
      <c r="BU249" s="193"/>
      <c r="BV249" s="193"/>
      <c r="BW249" s="193"/>
      <c r="BX249" s="193"/>
      <c r="BY249" s="193"/>
      <c r="BZ249" s="193"/>
    </row>
    <row r="250" spans="60:78" s="191" customFormat="1" x14ac:dyDescent="0.25">
      <c r="BH250" s="193"/>
      <c r="BI250" s="193"/>
      <c r="BJ250" s="193"/>
      <c r="BK250" s="193"/>
      <c r="BL250" s="193"/>
      <c r="BM250" s="193"/>
      <c r="BN250" s="193"/>
      <c r="BO250" s="193"/>
      <c r="BP250" s="193"/>
      <c r="BQ250" s="193"/>
      <c r="BR250" s="193"/>
      <c r="BS250" s="193"/>
      <c r="BT250" s="193"/>
      <c r="BU250" s="193"/>
      <c r="BV250" s="193"/>
      <c r="BW250" s="193"/>
      <c r="BX250" s="193"/>
      <c r="BY250" s="193"/>
      <c r="BZ250" s="193"/>
    </row>
    <row r="251" spans="60:78" s="191" customFormat="1" x14ac:dyDescent="0.25">
      <c r="BH251" s="193"/>
      <c r="BI251" s="193"/>
      <c r="BJ251" s="193"/>
      <c r="BK251" s="193"/>
      <c r="BL251" s="193"/>
      <c r="BM251" s="193"/>
      <c r="BN251" s="193"/>
      <c r="BO251" s="193"/>
      <c r="BP251" s="193"/>
      <c r="BQ251" s="193"/>
      <c r="BR251" s="193"/>
      <c r="BS251" s="193"/>
      <c r="BT251" s="193"/>
      <c r="BU251" s="193"/>
      <c r="BV251" s="193"/>
      <c r="BW251" s="193"/>
      <c r="BX251" s="193"/>
      <c r="BY251" s="193"/>
      <c r="BZ251" s="193"/>
    </row>
    <row r="252" spans="60:78" s="191" customFormat="1" x14ac:dyDescent="0.25">
      <c r="BH252" s="193"/>
      <c r="BI252" s="193"/>
      <c r="BJ252" s="193"/>
      <c r="BK252" s="193"/>
      <c r="BL252" s="193"/>
      <c r="BM252" s="193"/>
      <c r="BN252" s="193"/>
      <c r="BO252" s="193"/>
      <c r="BP252" s="193"/>
      <c r="BQ252" s="193"/>
      <c r="BR252" s="193"/>
      <c r="BS252" s="193"/>
      <c r="BT252" s="193"/>
      <c r="BU252" s="193"/>
      <c r="BV252" s="193"/>
      <c r="BW252" s="193"/>
      <c r="BX252" s="193"/>
      <c r="BY252" s="193"/>
      <c r="BZ252" s="193"/>
    </row>
    <row r="253" spans="60:78" s="191" customFormat="1" x14ac:dyDescent="0.25">
      <c r="BH253" s="193"/>
      <c r="BI253" s="193"/>
      <c r="BJ253" s="193"/>
      <c r="BK253" s="193"/>
      <c r="BL253" s="193"/>
      <c r="BM253" s="193"/>
      <c r="BN253" s="193"/>
      <c r="BO253" s="193"/>
      <c r="BP253" s="193"/>
      <c r="BQ253" s="193"/>
      <c r="BR253" s="193"/>
      <c r="BS253" s="193"/>
      <c r="BT253" s="193"/>
      <c r="BU253" s="193"/>
      <c r="BV253" s="193"/>
      <c r="BW253" s="193"/>
      <c r="BX253" s="193"/>
      <c r="BY253" s="193"/>
      <c r="BZ253" s="193"/>
    </row>
    <row r="254" spans="60:78" s="191" customFormat="1" x14ac:dyDescent="0.25">
      <c r="BH254" s="193"/>
      <c r="BI254" s="193"/>
      <c r="BJ254" s="193"/>
      <c r="BK254" s="193"/>
      <c r="BL254" s="193"/>
      <c r="BM254" s="193"/>
      <c r="BN254" s="193"/>
      <c r="BO254" s="193"/>
      <c r="BP254" s="193"/>
      <c r="BQ254" s="193"/>
      <c r="BR254" s="193"/>
      <c r="BS254" s="193"/>
      <c r="BT254" s="193"/>
      <c r="BU254" s="193"/>
      <c r="BV254" s="193"/>
      <c r="BW254" s="193"/>
      <c r="BX254" s="193"/>
      <c r="BY254" s="193"/>
      <c r="BZ254" s="193"/>
    </row>
    <row r="255" spans="60:78" s="191" customFormat="1" x14ac:dyDescent="0.25">
      <c r="BH255" s="193"/>
      <c r="BI255" s="193"/>
      <c r="BJ255" s="193"/>
      <c r="BK255" s="193"/>
      <c r="BL255" s="193"/>
      <c r="BM255" s="193"/>
      <c r="BN255" s="193"/>
      <c r="BO255" s="193"/>
      <c r="BP255" s="193"/>
      <c r="BQ255" s="193"/>
      <c r="BR255" s="193"/>
      <c r="BS255" s="193"/>
      <c r="BT255" s="193"/>
      <c r="BU255" s="193"/>
      <c r="BV255" s="193"/>
      <c r="BW255" s="193"/>
      <c r="BX255" s="193"/>
      <c r="BY255" s="193"/>
      <c r="BZ255" s="193"/>
    </row>
    <row r="256" spans="60:78" s="191" customFormat="1" x14ac:dyDescent="0.25">
      <c r="BH256" s="193"/>
      <c r="BI256" s="193"/>
      <c r="BJ256" s="193"/>
      <c r="BK256" s="193"/>
      <c r="BL256" s="193"/>
      <c r="BM256" s="193"/>
      <c r="BN256" s="193"/>
      <c r="BO256" s="193"/>
      <c r="BP256" s="193"/>
      <c r="BQ256" s="193"/>
      <c r="BR256" s="193"/>
      <c r="BS256" s="193"/>
      <c r="BT256" s="193"/>
      <c r="BU256" s="193"/>
      <c r="BV256" s="193"/>
      <c r="BW256" s="193"/>
      <c r="BX256" s="193"/>
      <c r="BY256" s="193"/>
      <c r="BZ256" s="193"/>
    </row>
    <row r="257" spans="60:78" s="191" customFormat="1" x14ac:dyDescent="0.25">
      <c r="BH257" s="193"/>
      <c r="BI257" s="193"/>
      <c r="BJ257" s="193"/>
      <c r="BK257" s="193"/>
      <c r="BL257" s="193"/>
      <c r="BM257" s="193"/>
      <c r="BN257" s="193"/>
      <c r="BO257" s="193"/>
      <c r="BP257" s="193"/>
      <c r="BQ257" s="193"/>
      <c r="BR257" s="193"/>
      <c r="BS257" s="193"/>
      <c r="BT257" s="193"/>
      <c r="BU257" s="193"/>
      <c r="BV257" s="193"/>
      <c r="BW257" s="193"/>
      <c r="BX257" s="193"/>
      <c r="BY257" s="193"/>
      <c r="BZ257" s="193"/>
    </row>
    <row r="258" spans="60:78" s="191" customFormat="1" x14ac:dyDescent="0.25">
      <c r="BH258" s="193"/>
      <c r="BI258" s="193"/>
      <c r="BJ258" s="193"/>
      <c r="BK258" s="193"/>
      <c r="BL258" s="193"/>
      <c r="BM258" s="193"/>
      <c r="BN258" s="193"/>
      <c r="BO258" s="193"/>
      <c r="BP258" s="193"/>
      <c r="BQ258" s="193"/>
      <c r="BR258" s="193"/>
      <c r="BS258" s="193"/>
      <c r="BT258" s="193"/>
      <c r="BU258" s="193"/>
      <c r="BV258" s="193"/>
      <c r="BW258" s="193"/>
      <c r="BX258" s="193"/>
      <c r="BY258" s="193"/>
      <c r="BZ258" s="193"/>
    </row>
    <row r="259" spans="60:78" s="191" customFormat="1" x14ac:dyDescent="0.25">
      <c r="BH259" s="193"/>
      <c r="BI259" s="193"/>
      <c r="BJ259" s="193"/>
      <c r="BK259" s="193"/>
      <c r="BL259" s="193"/>
      <c r="BM259" s="193"/>
      <c r="BN259" s="193"/>
      <c r="BO259" s="193"/>
      <c r="BP259" s="193"/>
      <c r="BQ259" s="193"/>
      <c r="BR259" s="193"/>
      <c r="BS259" s="193"/>
      <c r="BT259" s="193"/>
      <c r="BU259" s="193"/>
      <c r="BV259" s="193"/>
      <c r="BW259" s="193"/>
      <c r="BX259" s="193"/>
      <c r="BY259" s="193"/>
      <c r="BZ259" s="193"/>
    </row>
    <row r="260" spans="60:78" s="191" customFormat="1" x14ac:dyDescent="0.25">
      <c r="BH260" s="193"/>
      <c r="BI260" s="193"/>
      <c r="BJ260" s="193"/>
      <c r="BK260" s="193"/>
      <c r="BL260" s="193"/>
      <c r="BM260" s="193"/>
      <c r="BN260" s="193"/>
      <c r="BO260" s="193"/>
      <c r="BP260" s="193"/>
      <c r="BQ260" s="193"/>
      <c r="BR260" s="193"/>
      <c r="BS260" s="193"/>
      <c r="BT260" s="193"/>
      <c r="BU260" s="193"/>
      <c r="BV260" s="193"/>
      <c r="BW260" s="193"/>
      <c r="BX260" s="193"/>
      <c r="BY260" s="193"/>
      <c r="BZ260" s="193"/>
    </row>
    <row r="261" spans="60:78" s="191" customFormat="1" x14ac:dyDescent="0.25">
      <c r="BH261" s="193"/>
      <c r="BI261" s="193"/>
      <c r="BJ261" s="193"/>
      <c r="BK261" s="193"/>
      <c r="BL261" s="193"/>
      <c r="BM261" s="193"/>
      <c r="BN261" s="193"/>
      <c r="BO261" s="193"/>
      <c r="BP261" s="193"/>
      <c r="BQ261" s="193"/>
      <c r="BR261" s="193"/>
      <c r="BS261" s="193"/>
      <c r="BT261" s="193"/>
      <c r="BU261" s="193"/>
      <c r="BV261" s="193"/>
      <c r="BW261" s="193"/>
      <c r="BX261" s="193"/>
      <c r="BY261" s="193"/>
      <c r="BZ261" s="193"/>
    </row>
    <row r="262" spans="60:78" s="191" customFormat="1" x14ac:dyDescent="0.25">
      <c r="BH262" s="193"/>
      <c r="BI262" s="193"/>
      <c r="BJ262" s="193"/>
      <c r="BK262" s="193"/>
      <c r="BL262" s="193"/>
      <c r="BM262" s="193"/>
      <c r="BN262" s="193"/>
      <c r="BO262" s="193"/>
      <c r="BP262" s="193"/>
      <c r="BQ262" s="193"/>
      <c r="BR262" s="193"/>
      <c r="BS262" s="193"/>
      <c r="BT262" s="193"/>
      <c r="BU262" s="193"/>
      <c r="BV262" s="193"/>
      <c r="BW262" s="193"/>
      <c r="BX262" s="193"/>
      <c r="BY262" s="193"/>
      <c r="BZ262" s="193"/>
    </row>
    <row r="263" spans="60:78" s="191" customFormat="1" x14ac:dyDescent="0.25">
      <c r="BH263" s="193"/>
      <c r="BI263" s="193"/>
      <c r="BJ263" s="193"/>
      <c r="BK263" s="193"/>
      <c r="BL263" s="193"/>
      <c r="BM263" s="193"/>
      <c r="BN263" s="193"/>
      <c r="BO263" s="193"/>
      <c r="BP263" s="193"/>
      <c r="BQ263" s="193"/>
      <c r="BR263" s="193"/>
      <c r="BS263" s="193"/>
      <c r="BT263" s="193"/>
      <c r="BU263" s="193"/>
      <c r="BV263" s="193"/>
      <c r="BW263" s="193"/>
      <c r="BX263" s="193"/>
      <c r="BY263" s="193"/>
      <c r="BZ263" s="193"/>
    </row>
    <row r="264" spans="60:78" s="191" customFormat="1" x14ac:dyDescent="0.25">
      <c r="BH264" s="193"/>
      <c r="BI264" s="193"/>
      <c r="BJ264" s="193"/>
      <c r="BK264" s="193"/>
      <c r="BL264" s="193"/>
      <c r="BM264" s="193"/>
      <c r="BN264" s="193"/>
      <c r="BO264" s="193"/>
      <c r="BP264" s="193"/>
      <c r="BQ264" s="193"/>
      <c r="BR264" s="193"/>
      <c r="BS264" s="193"/>
      <c r="BT264" s="193"/>
      <c r="BU264" s="193"/>
      <c r="BV264" s="193"/>
      <c r="BW264" s="193"/>
      <c r="BX264" s="193"/>
      <c r="BY264" s="193"/>
      <c r="BZ264" s="193"/>
    </row>
    <row r="265" spans="60:78" s="191" customFormat="1" x14ac:dyDescent="0.25">
      <c r="BH265" s="193"/>
      <c r="BI265" s="193"/>
      <c r="BJ265" s="193"/>
      <c r="BK265" s="193"/>
      <c r="BL265" s="193"/>
      <c r="BM265" s="193"/>
      <c r="BN265" s="193"/>
      <c r="BO265" s="193"/>
      <c r="BP265" s="193"/>
      <c r="BQ265" s="193"/>
      <c r="BR265" s="193"/>
      <c r="BS265" s="193"/>
      <c r="BT265" s="193"/>
      <c r="BU265" s="193"/>
      <c r="BV265" s="193"/>
      <c r="BW265" s="193"/>
      <c r="BX265" s="193"/>
      <c r="BY265" s="193"/>
      <c r="BZ265" s="193"/>
    </row>
    <row r="266" spans="60:78" s="191" customFormat="1" x14ac:dyDescent="0.25">
      <c r="BH266" s="193"/>
      <c r="BI266" s="193"/>
      <c r="BJ266" s="193"/>
      <c r="BK266" s="193"/>
      <c r="BL266" s="193"/>
      <c r="BM266" s="193"/>
      <c r="BN266" s="193"/>
      <c r="BO266" s="193"/>
      <c r="BP266" s="193"/>
      <c r="BQ266" s="193"/>
      <c r="BR266" s="193"/>
      <c r="BS266" s="193"/>
      <c r="BT266" s="193"/>
      <c r="BU266" s="193"/>
      <c r="BV266" s="193"/>
      <c r="BW266" s="193"/>
      <c r="BX266" s="193"/>
      <c r="BY266" s="193"/>
      <c r="BZ266" s="193"/>
    </row>
    <row r="267" spans="60:78" s="191" customFormat="1" x14ac:dyDescent="0.25">
      <c r="BH267" s="193"/>
      <c r="BI267" s="193"/>
      <c r="BJ267" s="193"/>
      <c r="BK267" s="193"/>
      <c r="BL267" s="193"/>
      <c r="BM267" s="193"/>
      <c r="BN267" s="193"/>
      <c r="BO267" s="193"/>
      <c r="BP267" s="193"/>
      <c r="BQ267" s="193"/>
      <c r="BR267" s="193"/>
      <c r="BS267" s="193"/>
      <c r="BT267" s="193"/>
      <c r="BU267" s="193"/>
      <c r="BV267" s="193"/>
      <c r="BW267" s="193"/>
      <c r="BX267" s="193"/>
      <c r="BY267" s="193"/>
      <c r="BZ267" s="193"/>
    </row>
    <row r="268" spans="60:78" s="191" customFormat="1" x14ac:dyDescent="0.25">
      <c r="BH268" s="193"/>
      <c r="BI268" s="193"/>
      <c r="BJ268" s="193"/>
      <c r="BK268" s="193"/>
      <c r="BL268" s="193"/>
      <c r="BM268" s="193"/>
      <c r="BN268" s="193"/>
      <c r="BO268" s="193"/>
      <c r="BP268" s="193"/>
      <c r="BQ268" s="193"/>
      <c r="BR268" s="193"/>
      <c r="BS268" s="193"/>
      <c r="BT268" s="193"/>
      <c r="BU268" s="193"/>
      <c r="BV268" s="193"/>
      <c r="BW268" s="193"/>
      <c r="BX268" s="193"/>
      <c r="BY268" s="193"/>
      <c r="BZ268" s="193"/>
    </row>
    <row r="269" spans="60:78" s="191" customFormat="1" x14ac:dyDescent="0.25">
      <c r="BH269" s="193"/>
      <c r="BI269" s="193"/>
      <c r="BJ269" s="193"/>
      <c r="BK269" s="193"/>
      <c r="BL269" s="193"/>
      <c r="BM269" s="193"/>
      <c r="BN269" s="193"/>
      <c r="BO269" s="193"/>
      <c r="BP269" s="193"/>
      <c r="BQ269" s="193"/>
      <c r="BR269" s="193"/>
      <c r="BS269" s="193"/>
      <c r="BT269" s="193"/>
      <c r="BU269" s="193"/>
      <c r="BV269" s="193"/>
      <c r="BW269" s="193"/>
      <c r="BX269" s="193"/>
      <c r="BY269" s="193"/>
      <c r="BZ269" s="193"/>
    </row>
    <row r="270" spans="60:78" s="191" customFormat="1" x14ac:dyDescent="0.25">
      <c r="BH270" s="193"/>
      <c r="BI270" s="193"/>
      <c r="BJ270" s="193"/>
      <c r="BK270" s="193"/>
      <c r="BL270" s="193"/>
      <c r="BM270" s="193"/>
      <c r="BN270" s="193"/>
      <c r="BO270" s="193"/>
      <c r="BP270" s="193"/>
      <c r="BQ270" s="193"/>
      <c r="BR270" s="193"/>
      <c r="BS270" s="193"/>
      <c r="BT270" s="193"/>
      <c r="BU270" s="193"/>
      <c r="BV270" s="193"/>
      <c r="BW270" s="193"/>
      <c r="BX270" s="193"/>
      <c r="BY270" s="193"/>
      <c r="BZ270" s="193"/>
    </row>
    <row r="271" spans="60:78" s="191" customFormat="1" x14ac:dyDescent="0.25">
      <c r="BH271" s="193"/>
      <c r="BI271" s="193"/>
      <c r="BJ271" s="193"/>
      <c r="BK271" s="193"/>
      <c r="BL271" s="193"/>
      <c r="BM271" s="193"/>
      <c r="BN271" s="193"/>
      <c r="BO271" s="193"/>
      <c r="BP271" s="193"/>
      <c r="BQ271" s="193"/>
      <c r="BR271" s="193"/>
      <c r="BS271" s="193"/>
      <c r="BT271" s="193"/>
      <c r="BU271" s="193"/>
      <c r="BV271" s="193"/>
      <c r="BW271" s="193"/>
      <c r="BX271" s="193"/>
      <c r="BY271" s="193"/>
      <c r="BZ271" s="193"/>
    </row>
    <row r="272" spans="60:78" s="191" customFormat="1" x14ac:dyDescent="0.25">
      <c r="BH272" s="193"/>
      <c r="BI272" s="193"/>
      <c r="BJ272" s="193"/>
      <c r="BK272" s="193"/>
      <c r="BL272" s="193"/>
      <c r="BM272" s="193"/>
      <c r="BN272" s="193"/>
      <c r="BO272" s="193"/>
      <c r="BP272" s="193"/>
      <c r="BQ272" s="193"/>
      <c r="BR272" s="193"/>
      <c r="BS272" s="193"/>
      <c r="BT272" s="193"/>
      <c r="BU272" s="193"/>
      <c r="BV272" s="193"/>
      <c r="BW272" s="193"/>
      <c r="BX272" s="193"/>
      <c r="BY272" s="193"/>
      <c r="BZ272" s="193"/>
    </row>
    <row r="273" spans="60:78" s="191" customFormat="1" x14ac:dyDescent="0.25">
      <c r="BH273" s="193"/>
      <c r="BI273" s="193"/>
      <c r="BJ273" s="193"/>
      <c r="BK273" s="193"/>
      <c r="BL273" s="193"/>
      <c r="BM273" s="193"/>
      <c r="BN273" s="193"/>
      <c r="BO273" s="193"/>
      <c r="BP273" s="193"/>
      <c r="BQ273" s="193"/>
      <c r="BR273" s="193"/>
      <c r="BS273" s="193"/>
      <c r="BT273" s="193"/>
      <c r="BU273" s="193"/>
      <c r="BV273" s="193"/>
      <c r="BW273" s="193"/>
      <c r="BX273" s="193"/>
      <c r="BY273" s="193"/>
      <c r="BZ273" s="193"/>
    </row>
    <row r="274" spans="60:78" s="191" customFormat="1" x14ac:dyDescent="0.25">
      <c r="BH274" s="193"/>
      <c r="BI274" s="193"/>
      <c r="BJ274" s="193"/>
      <c r="BK274" s="193"/>
      <c r="BL274" s="193"/>
      <c r="BM274" s="193"/>
      <c r="BN274" s="193"/>
      <c r="BO274" s="193"/>
      <c r="BP274" s="193"/>
      <c r="BQ274" s="193"/>
      <c r="BR274" s="193"/>
      <c r="BS274" s="193"/>
      <c r="BT274" s="193"/>
      <c r="BU274" s="193"/>
      <c r="BV274" s="193"/>
      <c r="BW274" s="193"/>
      <c r="BX274" s="193"/>
      <c r="BY274" s="193"/>
      <c r="BZ274" s="193"/>
    </row>
    <row r="275" spans="60:78" s="191" customFormat="1" x14ac:dyDescent="0.25">
      <c r="BH275" s="193"/>
      <c r="BI275" s="193"/>
      <c r="BJ275" s="193"/>
      <c r="BK275" s="193"/>
      <c r="BL275" s="193"/>
      <c r="BM275" s="193"/>
      <c r="BN275" s="193"/>
      <c r="BO275" s="193"/>
      <c r="BP275" s="193"/>
      <c r="BQ275" s="193"/>
      <c r="BR275" s="193"/>
      <c r="BS275" s="193"/>
      <c r="BT275" s="193"/>
      <c r="BU275" s="193"/>
      <c r="BV275" s="193"/>
      <c r="BW275" s="193"/>
      <c r="BX275" s="193"/>
      <c r="BY275" s="193"/>
      <c r="BZ275" s="193"/>
    </row>
    <row r="276" spans="60:78" s="191" customFormat="1" x14ac:dyDescent="0.25">
      <c r="BH276" s="193"/>
      <c r="BI276" s="193"/>
      <c r="BJ276" s="193"/>
      <c r="BK276" s="193"/>
      <c r="BL276" s="193"/>
      <c r="BM276" s="193"/>
      <c r="BN276" s="193"/>
      <c r="BO276" s="193"/>
      <c r="BP276" s="193"/>
      <c r="BQ276" s="193"/>
      <c r="BR276" s="193"/>
      <c r="BS276" s="193"/>
      <c r="BT276" s="193"/>
      <c r="BU276" s="193"/>
      <c r="BV276" s="193"/>
      <c r="BW276" s="193"/>
      <c r="BX276" s="193"/>
      <c r="BY276" s="193"/>
      <c r="BZ276" s="193"/>
    </row>
    <row r="277" spans="60:78" s="191" customFormat="1" x14ac:dyDescent="0.25">
      <c r="BH277" s="193"/>
      <c r="BI277" s="193"/>
      <c r="BJ277" s="193"/>
      <c r="BK277" s="193"/>
      <c r="BL277" s="193"/>
      <c r="BM277" s="193"/>
      <c r="BN277" s="193"/>
      <c r="BO277" s="193"/>
      <c r="BP277" s="193"/>
      <c r="BQ277" s="193"/>
      <c r="BR277" s="193"/>
      <c r="BS277" s="193"/>
      <c r="BT277" s="193"/>
      <c r="BU277" s="193"/>
      <c r="BV277" s="193"/>
      <c r="BW277" s="193"/>
      <c r="BX277" s="193"/>
      <c r="BY277" s="193"/>
      <c r="BZ277" s="193"/>
    </row>
    <row r="278" spans="60:78" s="191" customFormat="1" x14ac:dyDescent="0.25">
      <c r="BH278" s="193"/>
      <c r="BI278" s="193"/>
      <c r="BJ278" s="193"/>
      <c r="BK278" s="193"/>
      <c r="BL278" s="193"/>
      <c r="BM278" s="193"/>
      <c r="BN278" s="193"/>
      <c r="BO278" s="193"/>
      <c r="BP278" s="193"/>
      <c r="BQ278" s="193"/>
      <c r="BR278" s="193"/>
      <c r="BS278" s="193"/>
      <c r="BT278" s="193"/>
      <c r="BU278" s="193"/>
      <c r="BV278" s="193"/>
      <c r="BW278" s="193"/>
      <c r="BX278" s="193"/>
      <c r="BY278" s="193"/>
      <c r="BZ278" s="193"/>
    </row>
    <row r="279" spans="60:78" s="191" customFormat="1" x14ac:dyDescent="0.25">
      <c r="BH279" s="193"/>
      <c r="BI279" s="193"/>
      <c r="BJ279" s="193"/>
      <c r="BK279" s="193"/>
      <c r="BL279" s="193"/>
      <c r="BM279" s="193"/>
      <c r="BN279" s="193"/>
      <c r="BO279" s="193"/>
      <c r="BP279" s="193"/>
      <c r="BQ279" s="193"/>
      <c r="BR279" s="193"/>
      <c r="BS279" s="193"/>
      <c r="BT279" s="193"/>
      <c r="BU279" s="193"/>
      <c r="BV279" s="193"/>
      <c r="BW279" s="193"/>
      <c r="BX279" s="193"/>
      <c r="BY279" s="193"/>
      <c r="BZ279" s="193"/>
    </row>
    <row r="280" spans="60:78" s="191" customFormat="1" x14ac:dyDescent="0.25">
      <c r="BH280" s="193"/>
      <c r="BI280" s="193"/>
      <c r="BJ280" s="193"/>
      <c r="BK280" s="193"/>
      <c r="BL280" s="193"/>
      <c r="BM280" s="193"/>
      <c r="BN280" s="193"/>
      <c r="BO280" s="193"/>
      <c r="BP280" s="193"/>
      <c r="BQ280" s="193"/>
      <c r="BR280" s="193"/>
      <c r="BS280" s="193"/>
      <c r="BT280" s="193"/>
      <c r="BU280" s="193"/>
      <c r="BV280" s="193"/>
      <c r="BW280" s="193"/>
      <c r="BX280" s="193"/>
      <c r="BY280" s="193"/>
      <c r="BZ280" s="193"/>
    </row>
    <row r="281" spans="60:78" s="191" customFormat="1" x14ac:dyDescent="0.25">
      <c r="BH281" s="193"/>
      <c r="BI281" s="193"/>
      <c r="BJ281" s="193"/>
      <c r="BK281" s="193"/>
      <c r="BL281" s="193"/>
      <c r="BM281" s="193"/>
      <c r="BN281" s="193"/>
      <c r="BO281" s="193"/>
      <c r="BP281" s="193"/>
      <c r="BQ281" s="193"/>
      <c r="BR281" s="193"/>
      <c r="BS281" s="193"/>
      <c r="BT281" s="193"/>
      <c r="BU281" s="193"/>
      <c r="BV281" s="193"/>
      <c r="BW281" s="193"/>
      <c r="BX281" s="193"/>
      <c r="BY281" s="193"/>
      <c r="BZ281" s="193"/>
    </row>
    <row r="282" spans="60:78" s="191" customFormat="1" x14ac:dyDescent="0.25">
      <c r="BH282" s="193"/>
      <c r="BI282" s="193"/>
      <c r="BJ282" s="193"/>
      <c r="BK282" s="193"/>
      <c r="BL282" s="193"/>
      <c r="BM282" s="193"/>
      <c r="BN282" s="193"/>
      <c r="BO282" s="193"/>
      <c r="BP282" s="193"/>
      <c r="BQ282" s="193"/>
      <c r="BR282" s="193"/>
      <c r="BS282" s="193"/>
      <c r="BT282" s="193"/>
      <c r="BU282" s="193"/>
      <c r="BV282" s="193"/>
      <c r="BW282" s="193"/>
      <c r="BX282" s="193"/>
      <c r="BY282" s="193"/>
      <c r="BZ282" s="193"/>
    </row>
    <row r="283" spans="60:78" s="191" customFormat="1" x14ac:dyDescent="0.25">
      <c r="BH283" s="193"/>
      <c r="BI283" s="193"/>
      <c r="BJ283" s="193"/>
      <c r="BK283" s="193"/>
      <c r="BL283" s="193"/>
      <c r="BM283" s="193"/>
      <c r="BN283" s="193"/>
      <c r="BO283" s="193"/>
      <c r="BP283" s="193"/>
      <c r="BQ283" s="193"/>
      <c r="BR283" s="193"/>
      <c r="BS283" s="193"/>
      <c r="BT283" s="193"/>
      <c r="BU283" s="193"/>
      <c r="BV283" s="193"/>
      <c r="BW283" s="193"/>
      <c r="BX283" s="193"/>
      <c r="BY283" s="193"/>
      <c r="BZ283" s="193"/>
    </row>
    <row r="284" spans="60:78" s="191" customFormat="1" x14ac:dyDescent="0.25">
      <c r="BH284" s="193"/>
      <c r="BI284" s="193"/>
      <c r="BJ284" s="193"/>
      <c r="BK284" s="193"/>
      <c r="BL284" s="193"/>
      <c r="BM284" s="193"/>
      <c r="BN284" s="193"/>
      <c r="BO284" s="193"/>
      <c r="BP284" s="193"/>
      <c r="BQ284" s="193"/>
      <c r="BR284" s="193"/>
      <c r="BS284" s="193"/>
      <c r="BT284" s="193"/>
      <c r="BU284" s="193"/>
      <c r="BV284" s="193"/>
      <c r="BW284" s="193"/>
      <c r="BX284" s="193"/>
      <c r="BY284" s="193"/>
      <c r="BZ284" s="193"/>
    </row>
    <row r="285" spans="60:78" s="191" customFormat="1" x14ac:dyDescent="0.25">
      <c r="BH285" s="193"/>
      <c r="BI285" s="193"/>
      <c r="BJ285" s="193"/>
      <c r="BK285" s="193"/>
      <c r="BL285" s="193"/>
      <c r="BM285" s="193"/>
      <c r="BN285" s="193"/>
      <c r="BO285" s="193"/>
      <c r="BP285" s="193"/>
      <c r="BQ285" s="193"/>
      <c r="BR285" s="193"/>
      <c r="BS285" s="193"/>
      <c r="BT285" s="193"/>
      <c r="BU285" s="193"/>
      <c r="BV285" s="193"/>
      <c r="BW285" s="193"/>
      <c r="BX285" s="193"/>
      <c r="BY285" s="193"/>
      <c r="BZ285" s="193"/>
    </row>
    <row r="286" spans="60:78" s="191" customFormat="1" x14ac:dyDescent="0.25">
      <c r="BH286" s="193"/>
      <c r="BI286" s="193"/>
      <c r="BJ286" s="193"/>
      <c r="BK286" s="193"/>
      <c r="BL286" s="193"/>
      <c r="BM286" s="193"/>
      <c r="BN286" s="193"/>
      <c r="BO286" s="193"/>
      <c r="BP286" s="193"/>
      <c r="BQ286" s="193"/>
      <c r="BR286" s="193"/>
      <c r="BS286" s="193"/>
      <c r="BT286" s="193"/>
      <c r="BU286" s="193"/>
      <c r="BV286" s="193"/>
      <c r="BW286" s="193"/>
      <c r="BX286" s="193"/>
      <c r="BY286" s="193"/>
      <c r="BZ286" s="193"/>
    </row>
    <row r="287" spans="60:78" s="191" customFormat="1" x14ac:dyDescent="0.25">
      <c r="BH287" s="193"/>
      <c r="BI287" s="193"/>
      <c r="BJ287" s="193"/>
      <c r="BK287" s="193"/>
      <c r="BL287" s="193"/>
      <c r="BM287" s="193"/>
      <c r="BN287" s="193"/>
      <c r="BO287" s="193"/>
      <c r="BP287" s="193"/>
      <c r="BQ287" s="193"/>
      <c r="BR287" s="193"/>
      <c r="BS287" s="193"/>
      <c r="BT287" s="193"/>
      <c r="BU287" s="193"/>
      <c r="BV287" s="193"/>
      <c r="BW287" s="193"/>
      <c r="BX287" s="193"/>
      <c r="BY287" s="193"/>
      <c r="BZ287" s="193"/>
    </row>
    <row r="288" spans="60:78" s="191" customFormat="1" x14ac:dyDescent="0.25">
      <c r="BH288" s="193"/>
      <c r="BI288" s="193"/>
      <c r="BJ288" s="193"/>
      <c r="BK288" s="193"/>
      <c r="BL288" s="193"/>
      <c r="BM288" s="193"/>
      <c r="BN288" s="193"/>
      <c r="BO288" s="193"/>
      <c r="BP288" s="193"/>
      <c r="BQ288" s="193"/>
      <c r="BR288" s="193"/>
      <c r="BS288" s="193"/>
      <c r="BT288" s="193"/>
      <c r="BU288" s="193"/>
      <c r="BV288" s="193"/>
      <c r="BW288" s="193"/>
      <c r="BX288" s="193"/>
      <c r="BY288" s="193"/>
      <c r="BZ288" s="193"/>
    </row>
    <row r="289" spans="60:78" s="191" customFormat="1" x14ac:dyDescent="0.25">
      <c r="BH289" s="193"/>
      <c r="BI289" s="193"/>
      <c r="BJ289" s="193"/>
      <c r="BK289" s="193"/>
      <c r="BL289" s="193"/>
      <c r="BM289" s="193"/>
      <c r="BN289" s="193"/>
      <c r="BO289" s="193"/>
      <c r="BP289" s="193"/>
      <c r="BQ289" s="193"/>
      <c r="BR289" s="193"/>
      <c r="BS289" s="193"/>
      <c r="BT289" s="193"/>
      <c r="BU289" s="193"/>
      <c r="BV289" s="193"/>
      <c r="BW289" s="193"/>
      <c r="BX289" s="193"/>
      <c r="BY289" s="193"/>
      <c r="BZ289" s="193"/>
    </row>
    <row r="290" spans="60:78" s="191" customFormat="1" x14ac:dyDescent="0.25">
      <c r="BH290" s="193"/>
      <c r="BI290" s="193"/>
      <c r="BJ290" s="193"/>
      <c r="BK290" s="193"/>
      <c r="BL290" s="193"/>
      <c r="BM290" s="193"/>
      <c r="BN290" s="193"/>
      <c r="BO290" s="193"/>
      <c r="BP290" s="193"/>
      <c r="BQ290" s="193"/>
      <c r="BR290" s="193"/>
      <c r="BS290" s="193"/>
      <c r="BT290" s="193"/>
      <c r="BU290" s="193"/>
      <c r="BV290" s="193"/>
      <c r="BW290" s="193"/>
      <c r="BX290" s="193"/>
      <c r="BY290" s="193"/>
      <c r="BZ290" s="193"/>
    </row>
    <row r="291" spans="60:78" s="191" customFormat="1" x14ac:dyDescent="0.25">
      <c r="BH291" s="193"/>
      <c r="BI291" s="193"/>
      <c r="BJ291" s="193"/>
      <c r="BK291" s="193"/>
      <c r="BL291" s="193"/>
      <c r="BM291" s="193"/>
      <c r="BN291" s="193"/>
      <c r="BO291" s="193"/>
      <c r="BP291" s="193"/>
      <c r="BQ291" s="193"/>
      <c r="BR291" s="193"/>
      <c r="BS291" s="193"/>
      <c r="BT291" s="193"/>
      <c r="BU291" s="193"/>
      <c r="BV291" s="193"/>
      <c r="BW291" s="193"/>
      <c r="BX291" s="193"/>
      <c r="BY291" s="193"/>
      <c r="BZ291" s="193"/>
    </row>
    <row r="292" spans="60:78" s="191" customFormat="1" x14ac:dyDescent="0.25">
      <c r="BH292" s="193"/>
      <c r="BI292" s="193"/>
      <c r="BJ292" s="193"/>
      <c r="BK292" s="193"/>
      <c r="BL292" s="193"/>
      <c r="BM292" s="193"/>
      <c r="BN292" s="193"/>
      <c r="BO292" s="193"/>
      <c r="BP292" s="193"/>
      <c r="BQ292" s="193"/>
      <c r="BR292" s="193"/>
      <c r="BS292" s="193"/>
      <c r="BT292" s="193"/>
      <c r="BU292" s="193"/>
      <c r="BV292" s="193"/>
      <c r="BW292" s="193"/>
      <c r="BX292" s="193"/>
      <c r="BY292" s="193"/>
      <c r="BZ292" s="193"/>
    </row>
    <row r="293" spans="60:78" s="191" customFormat="1" x14ac:dyDescent="0.25">
      <c r="BH293" s="193"/>
      <c r="BI293" s="193"/>
      <c r="BJ293" s="193"/>
      <c r="BK293" s="193"/>
      <c r="BL293" s="193"/>
      <c r="BM293" s="193"/>
      <c r="BN293" s="193"/>
      <c r="BO293" s="193"/>
      <c r="BP293" s="193"/>
      <c r="BQ293" s="193"/>
      <c r="BR293" s="193"/>
      <c r="BS293" s="193"/>
      <c r="BT293" s="193"/>
      <c r="BU293" s="193"/>
      <c r="BV293" s="193"/>
      <c r="BW293" s="193"/>
      <c r="BX293" s="193"/>
      <c r="BY293" s="193"/>
      <c r="BZ293" s="193"/>
    </row>
    <row r="294" spans="60:78" s="191" customFormat="1" x14ac:dyDescent="0.25">
      <c r="BH294" s="193"/>
      <c r="BI294" s="193"/>
      <c r="BJ294" s="193"/>
      <c r="BK294" s="193"/>
      <c r="BL294" s="193"/>
      <c r="BM294" s="193"/>
      <c r="BN294" s="193"/>
      <c r="BO294" s="193"/>
      <c r="BP294" s="193"/>
      <c r="BQ294" s="193"/>
      <c r="BR294" s="193"/>
      <c r="BS294" s="193"/>
      <c r="BT294" s="193"/>
      <c r="BU294" s="193"/>
      <c r="BV294" s="193"/>
      <c r="BW294" s="193"/>
      <c r="BX294" s="193"/>
      <c r="BY294" s="193"/>
      <c r="BZ294" s="193"/>
    </row>
    <row r="295" spans="60:78" s="191" customFormat="1" x14ac:dyDescent="0.25">
      <c r="BH295" s="193"/>
      <c r="BI295" s="193"/>
      <c r="BJ295" s="193"/>
      <c r="BK295" s="193"/>
      <c r="BL295" s="193"/>
      <c r="BM295" s="193"/>
      <c r="BN295" s="193"/>
      <c r="BO295" s="193"/>
      <c r="BP295" s="193"/>
      <c r="BQ295" s="193"/>
      <c r="BR295" s="193"/>
      <c r="BS295" s="193"/>
      <c r="BT295" s="193"/>
      <c r="BU295" s="193"/>
      <c r="BV295" s="193"/>
      <c r="BW295" s="193"/>
      <c r="BX295" s="193"/>
      <c r="BY295" s="193"/>
      <c r="BZ295" s="193"/>
    </row>
    <row r="296" spans="60:78" s="191" customFormat="1" x14ac:dyDescent="0.25">
      <c r="BH296" s="193"/>
      <c r="BI296" s="193"/>
      <c r="BJ296" s="193"/>
      <c r="BK296" s="193"/>
      <c r="BL296" s="193"/>
      <c r="BM296" s="193"/>
      <c r="BN296" s="193"/>
      <c r="BO296" s="193"/>
      <c r="BP296" s="193"/>
      <c r="BQ296" s="193"/>
      <c r="BR296" s="193"/>
      <c r="BS296" s="193"/>
      <c r="BT296" s="193"/>
      <c r="BU296" s="193"/>
      <c r="BV296" s="193"/>
      <c r="BW296" s="193"/>
      <c r="BX296" s="193"/>
      <c r="BY296" s="193"/>
      <c r="BZ296" s="193"/>
    </row>
    <row r="297" spans="60:78" s="191" customFormat="1" x14ac:dyDescent="0.25">
      <c r="BH297" s="193"/>
      <c r="BI297" s="193"/>
      <c r="BJ297" s="193"/>
      <c r="BK297" s="193"/>
      <c r="BL297" s="193"/>
      <c r="BM297" s="193"/>
      <c r="BN297" s="193"/>
      <c r="BO297" s="193"/>
      <c r="BP297" s="193"/>
      <c r="BQ297" s="193"/>
      <c r="BR297" s="193"/>
      <c r="BS297" s="193"/>
      <c r="BT297" s="193"/>
      <c r="BU297" s="193"/>
      <c r="BV297" s="193"/>
      <c r="BW297" s="193"/>
      <c r="BX297" s="193"/>
      <c r="BY297" s="193"/>
      <c r="BZ297" s="193"/>
    </row>
    <row r="298" spans="60:78" s="191" customFormat="1" x14ac:dyDescent="0.25">
      <c r="BH298" s="193"/>
      <c r="BI298" s="193"/>
      <c r="BJ298" s="193"/>
      <c r="BK298" s="193"/>
      <c r="BL298" s="193"/>
      <c r="BM298" s="193"/>
      <c r="BN298" s="193"/>
      <c r="BO298" s="193"/>
      <c r="BP298" s="193"/>
      <c r="BQ298" s="193"/>
      <c r="BR298" s="193"/>
      <c r="BS298" s="193"/>
      <c r="BT298" s="193"/>
      <c r="BU298" s="193"/>
      <c r="BV298" s="193"/>
      <c r="BW298" s="193"/>
      <c r="BX298" s="193"/>
      <c r="BY298" s="193"/>
      <c r="BZ298" s="193"/>
    </row>
    <row r="299" spans="60:78" s="191" customFormat="1" x14ac:dyDescent="0.25">
      <c r="BH299" s="193"/>
      <c r="BI299" s="193"/>
      <c r="BJ299" s="193"/>
      <c r="BK299" s="193"/>
      <c r="BL299" s="193"/>
      <c r="BM299" s="193"/>
      <c r="BN299" s="193"/>
      <c r="BO299" s="193"/>
      <c r="BP299" s="193"/>
      <c r="BQ299" s="193"/>
      <c r="BR299" s="193"/>
      <c r="BS299" s="193"/>
      <c r="BT299" s="193"/>
      <c r="BU299" s="193"/>
      <c r="BV299" s="193"/>
      <c r="BW299" s="193"/>
      <c r="BX299" s="193"/>
      <c r="BY299" s="193"/>
      <c r="BZ299" s="193"/>
    </row>
    <row r="300" spans="60:78" s="191" customFormat="1" x14ac:dyDescent="0.25">
      <c r="BH300" s="193"/>
      <c r="BI300" s="193"/>
      <c r="BJ300" s="193"/>
      <c r="BK300" s="193"/>
      <c r="BL300" s="193"/>
      <c r="BM300" s="193"/>
      <c r="BN300" s="193"/>
      <c r="BO300" s="193"/>
      <c r="BP300" s="193"/>
      <c r="BQ300" s="193"/>
      <c r="BR300" s="193"/>
      <c r="BS300" s="193"/>
      <c r="BT300" s="193"/>
      <c r="BU300" s="193"/>
      <c r="BV300" s="193"/>
      <c r="BW300" s="193"/>
      <c r="BX300" s="193"/>
      <c r="BY300" s="193"/>
      <c r="BZ300" s="193"/>
    </row>
    <row r="301" spans="60:78" s="191" customFormat="1" x14ac:dyDescent="0.25">
      <c r="BH301" s="193"/>
      <c r="BI301" s="193"/>
      <c r="BJ301" s="193"/>
      <c r="BK301" s="193"/>
      <c r="BL301" s="193"/>
      <c r="BM301" s="193"/>
      <c r="BN301" s="193"/>
      <c r="BO301" s="193"/>
      <c r="BP301" s="193"/>
      <c r="BQ301" s="193"/>
      <c r="BR301" s="193"/>
      <c r="BS301" s="193"/>
      <c r="BT301" s="193"/>
      <c r="BU301" s="193"/>
      <c r="BV301" s="193"/>
      <c r="BW301" s="193"/>
      <c r="BX301" s="193"/>
      <c r="BY301" s="193"/>
      <c r="BZ301" s="193"/>
    </row>
    <row r="302" spans="60:78" s="191" customFormat="1" x14ac:dyDescent="0.25">
      <c r="BH302" s="193"/>
      <c r="BI302" s="193"/>
      <c r="BJ302" s="193"/>
      <c r="BK302" s="193"/>
      <c r="BL302" s="193"/>
      <c r="BM302" s="193"/>
      <c r="BN302" s="193"/>
      <c r="BO302" s="193"/>
      <c r="BP302" s="193"/>
      <c r="BQ302" s="193"/>
      <c r="BR302" s="193"/>
      <c r="BS302" s="193"/>
      <c r="BT302" s="193"/>
      <c r="BU302" s="193"/>
      <c r="BV302" s="193"/>
      <c r="BW302" s="193"/>
      <c r="BX302" s="193"/>
      <c r="BY302" s="193"/>
      <c r="BZ302" s="193"/>
    </row>
    <row r="303" spans="60:78" s="191" customFormat="1" x14ac:dyDescent="0.25">
      <c r="BH303" s="193"/>
      <c r="BI303" s="193"/>
      <c r="BJ303" s="193"/>
      <c r="BK303" s="193"/>
      <c r="BL303" s="193"/>
      <c r="BM303" s="193"/>
      <c r="BN303" s="193"/>
      <c r="BO303" s="193"/>
      <c r="BP303" s="193"/>
      <c r="BQ303" s="193"/>
      <c r="BR303" s="193"/>
      <c r="BS303" s="193"/>
      <c r="BT303" s="193"/>
      <c r="BU303" s="193"/>
      <c r="BV303" s="193"/>
      <c r="BW303" s="193"/>
      <c r="BX303" s="193"/>
      <c r="BY303" s="193"/>
      <c r="BZ303" s="193"/>
    </row>
    <row r="304" spans="60:78" s="191" customFormat="1" x14ac:dyDescent="0.25">
      <c r="BH304" s="193"/>
      <c r="BI304" s="193"/>
      <c r="BJ304" s="193"/>
      <c r="BK304" s="193"/>
      <c r="BL304" s="193"/>
      <c r="BM304" s="193"/>
      <c r="BN304" s="193"/>
      <c r="BO304" s="193"/>
      <c r="BP304" s="193"/>
      <c r="BQ304" s="193"/>
      <c r="BR304" s="193"/>
      <c r="BS304" s="193"/>
      <c r="BT304" s="193"/>
      <c r="BU304" s="193"/>
      <c r="BV304" s="193"/>
      <c r="BW304" s="193"/>
      <c r="BX304" s="193"/>
      <c r="BY304" s="193"/>
      <c r="BZ304" s="193"/>
    </row>
    <row r="305" spans="60:78" s="191" customFormat="1" x14ac:dyDescent="0.25">
      <c r="BH305" s="193"/>
      <c r="BI305" s="193"/>
      <c r="BJ305" s="193"/>
      <c r="BK305" s="193"/>
      <c r="BL305" s="193"/>
      <c r="BM305" s="193"/>
      <c r="BN305" s="193"/>
      <c r="BO305" s="193"/>
      <c r="BP305" s="193"/>
      <c r="BQ305" s="193"/>
      <c r="BR305" s="193"/>
      <c r="BS305" s="193"/>
      <c r="BT305" s="193"/>
      <c r="BU305" s="193"/>
      <c r="BV305" s="193"/>
      <c r="BW305" s="193"/>
      <c r="BX305" s="193"/>
      <c r="BY305" s="193"/>
      <c r="BZ305" s="193"/>
    </row>
    <row r="306" spans="60:78" s="191" customFormat="1" x14ac:dyDescent="0.25">
      <c r="BH306" s="193"/>
      <c r="BI306" s="193"/>
      <c r="BJ306" s="193"/>
      <c r="BK306" s="193"/>
      <c r="BL306" s="193"/>
      <c r="BM306" s="193"/>
      <c r="BN306" s="193"/>
      <c r="BO306" s="193"/>
      <c r="BP306" s="193"/>
      <c r="BQ306" s="193"/>
      <c r="BR306" s="193"/>
      <c r="BS306" s="193"/>
      <c r="BT306" s="193"/>
      <c r="BU306" s="193"/>
      <c r="BV306" s="193"/>
      <c r="BW306" s="193"/>
      <c r="BX306" s="193"/>
      <c r="BY306" s="193"/>
      <c r="BZ306" s="193"/>
    </row>
    <row r="307" spans="60:78" s="191" customFormat="1" x14ac:dyDescent="0.25">
      <c r="BH307" s="193"/>
      <c r="BI307" s="193"/>
      <c r="BJ307" s="193"/>
      <c r="BK307" s="193"/>
      <c r="BL307" s="193"/>
      <c r="BM307" s="193"/>
      <c r="BN307" s="193"/>
      <c r="BO307" s="193"/>
      <c r="BP307" s="193"/>
      <c r="BQ307" s="193"/>
      <c r="BR307" s="193"/>
      <c r="BS307" s="193"/>
      <c r="BT307" s="193"/>
      <c r="BU307" s="193"/>
      <c r="BV307" s="193"/>
      <c r="BW307" s="193"/>
      <c r="BX307" s="193"/>
      <c r="BY307" s="193"/>
      <c r="BZ307" s="193"/>
    </row>
    <row r="308" spans="60:78" s="191" customFormat="1" x14ac:dyDescent="0.25">
      <c r="BH308" s="193"/>
      <c r="BI308" s="193"/>
      <c r="BJ308" s="193"/>
      <c r="BK308" s="193"/>
      <c r="BL308" s="193"/>
      <c r="BM308" s="193"/>
      <c r="BN308" s="193"/>
      <c r="BO308" s="193"/>
      <c r="BP308" s="193"/>
      <c r="BQ308" s="193"/>
      <c r="BR308" s="193"/>
      <c r="BS308" s="193"/>
      <c r="BT308" s="193"/>
      <c r="BU308" s="193"/>
      <c r="BV308" s="193"/>
      <c r="BW308" s="193"/>
      <c r="BX308" s="193"/>
      <c r="BY308" s="193"/>
      <c r="BZ308" s="193"/>
    </row>
    <row r="309" spans="60:78" s="191" customFormat="1" x14ac:dyDescent="0.25">
      <c r="BH309" s="193"/>
      <c r="BI309" s="193"/>
      <c r="BJ309" s="193"/>
      <c r="BK309" s="193"/>
      <c r="BL309" s="193"/>
      <c r="BM309" s="193"/>
      <c r="BN309" s="193"/>
      <c r="BO309" s="193"/>
      <c r="BP309" s="193"/>
      <c r="BQ309" s="193"/>
      <c r="BR309" s="193"/>
      <c r="BS309" s="193"/>
      <c r="BT309" s="193"/>
      <c r="BU309" s="193"/>
      <c r="BV309" s="193"/>
      <c r="BW309" s="193"/>
      <c r="BX309" s="193"/>
      <c r="BY309" s="193"/>
      <c r="BZ309" s="193"/>
    </row>
    <row r="310" spans="60:78" s="191" customFormat="1" x14ac:dyDescent="0.25">
      <c r="BH310" s="193"/>
      <c r="BI310" s="193"/>
      <c r="BJ310" s="193"/>
      <c r="BK310" s="193"/>
      <c r="BL310" s="193"/>
      <c r="BM310" s="193"/>
      <c r="BN310" s="193"/>
      <c r="BO310" s="193"/>
      <c r="BP310" s="193"/>
      <c r="BQ310" s="193"/>
      <c r="BR310" s="193"/>
      <c r="BS310" s="193"/>
      <c r="BT310" s="193"/>
      <c r="BU310" s="193"/>
      <c r="BV310" s="193"/>
      <c r="BW310" s="193"/>
      <c r="BX310" s="193"/>
      <c r="BY310" s="193"/>
      <c r="BZ310" s="193"/>
    </row>
    <row r="311" spans="60:78" s="191" customFormat="1" x14ac:dyDescent="0.25">
      <c r="BH311" s="193"/>
      <c r="BI311" s="193"/>
      <c r="BJ311" s="193"/>
      <c r="BK311" s="193"/>
      <c r="BL311" s="193"/>
      <c r="BM311" s="193"/>
      <c r="BN311" s="193"/>
      <c r="BO311" s="193"/>
      <c r="BP311" s="193"/>
      <c r="BQ311" s="193"/>
      <c r="BR311" s="193"/>
      <c r="BS311" s="193"/>
      <c r="BT311" s="193"/>
      <c r="BU311" s="193"/>
      <c r="BV311" s="193"/>
      <c r="BW311" s="193"/>
      <c r="BX311" s="193"/>
      <c r="BY311" s="193"/>
      <c r="BZ311" s="193"/>
    </row>
    <row r="312" spans="60:78" s="191" customFormat="1" x14ac:dyDescent="0.25">
      <c r="BH312" s="193"/>
      <c r="BI312" s="193"/>
      <c r="BJ312" s="193"/>
      <c r="BK312" s="193"/>
      <c r="BL312" s="193"/>
      <c r="BM312" s="193"/>
      <c r="BN312" s="193"/>
      <c r="BO312" s="193"/>
      <c r="BP312" s="193"/>
      <c r="BQ312" s="193"/>
      <c r="BR312" s="193"/>
      <c r="BS312" s="193"/>
      <c r="BT312" s="193"/>
      <c r="BU312" s="193"/>
      <c r="BV312" s="193"/>
      <c r="BW312" s="193"/>
      <c r="BX312" s="193"/>
      <c r="BY312" s="193"/>
      <c r="BZ312" s="193"/>
    </row>
    <row r="313" spans="60:78" s="191" customFormat="1" x14ac:dyDescent="0.25">
      <c r="BH313" s="193"/>
      <c r="BI313" s="193"/>
      <c r="BJ313" s="193"/>
      <c r="BK313" s="193"/>
      <c r="BL313" s="193"/>
      <c r="BM313" s="193"/>
      <c r="BN313" s="193"/>
      <c r="BO313" s="193"/>
      <c r="BP313" s="193"/>
      <c r="BQ313" s="193"/>
      <c r="BR313" s="193"/>
      <c r="BS313" s="193"/>
      <c r="BT313" s="193"/>
      <c r="BU313" s="193"/>
      <c r="BV313" s="193"/>
      <c r="BW313" s="193"/>
      <c r="BX313" s="193"/>
      <c r="BY313" s="193"/>
      <c r="BZ313" s="193"/>
    </row>
    <row r="314" spans="60:78" s="191" customFormat="1" x14ac:dyDescent="0.25">
      <c r="BH314" s="193"/>
      <c r="BI314" s="193"/>
      <c r="BJ314" s="193"/>
      <c r="BK314" s="193"/>
      <c r="BL314" s="193"/>
      <c r="BM314" s="193"/>
      <c r="BN314" s="193"/>
      <c r="BO314" s="193"/>
      <c r="BP314" s="193"/>
      <c r="BQ314" s="193"/>
      <c r="BR314" s="193"/>
      <c r="BS314" s="193"/>
      <c r="BT314" s="193"/>
      <c r="BU314" s="193"/>
      <c r="BV314" s="193"/>
      <c r="BW314" s="193"/>
      <c r="BX314" s="193"/>
      <c r="BY314" s="193"/>
      <c r="BZ314" s="193"/>
    </row>
    <row r="315" spans="60:78" s="191" customFormat="1" x14ac:dyDescent="0.25">
      <c r="BH315" s="193"/>
      <c r="BI315" s="193"/>
      <c r="BJ315" s="193"/>
      <c r="BK315" s="193"/>
      <c r="BL315" s="193"/>
      <c r="BM315" s="193"/>
      <c r="BN315" s="193"/>
      <c r="BO315" s="193"/>
      <c r="BP315" s="193"/>
      <c r="BQ315" s="193"/>
      <c r="BR315" s="193"/>
      <c r="BS315" s="193"/>
      <c r="BT315" s="193"/>
      <c r="BU315" s="193"/>
      <c r="BV315" s="193"/>
      <c r="BW315" s="193"/>
      <c r="BX315" s="193"/>
      <c r="BY315" s="193"/>
      <c r="BZ315" s="193"/>
    </row>
    <row r="316" spans="60:78" s="191" customFormat="1" x14ac:dyDescent="0.25">
      <c r="BH316" s="193"/>
      <c r="BI316" s="193"/>
      <c r="BJ316" s="193"/>
      <c r="BK316" s="193"/>
      <c r="BL316" s="193"/>
      <c r="BM316" s="193"/>
      <c r="BN316" s="193"/>
      <c r="BO316" s="193"/>
      <c r="BP316" s="193"/>
      <c r="BQ316" s="193"/>
      <c r="BR316" s="193"/>
      <c r="BS316" s="193"/>
      <c r="BT316" s="193"/>
      <c r="BU316" s="193"/>
      <c r="BV316" s="193"/>
      <c r="BW316" s="193"/>
      <c r="BX316" s="193"/>
      <c r="BY316" s="193"/>
      <c r="BZ316" s="193"/>
    </row>
    <row r="317" spans="60:78" s="191" customFormat="1" x14ac:dyDescent="0.25">
      <c r="BH317" s="193"/>
      <c r="BI317" s="193"/>
      <c r="BJ317" s="193"/>
      <c r="BK317" s="193"/>
      <c r="BL317" s="193"/>
      <c r="BM317" s="193"/>
      <c r="BN317" s="193"/>
      <c r="BO317" s="193"/>
      <c r="BP317" s="193"/>
      <c r="BQ317" s="193"/>
      <c r="BR317" s="193"/>
      <c r="BS317" s="193"/>
      <c r="BT317" s="193"/>
      <c r="BU317" s="193"/>
      <c r="BV317" s="193"/>
      <c r="BW317" s="193"/>
      <c r="BX317" s="193"/>
      <c r="BY317" s="193"/>
      <c r="BZ317" s="193"/>
    </row>
    <row r="318" spans="60:78" s="191" customFormat="1" x14ac:dyDescent="0.25">
      <c r="BH318" s="193"/>
      <c r="BI318" s="193"/>
      <c r="BJ318" s="193"/>
      <c r="BK318" s="193"/>
      <c r="BL318" s="193"/>
      <c r="BM318" s="193"/>
      <c r="BN318" s="193"/>
      <c r="BO318" s="193"/>
      <c r="BP318" s="193"/>
      <c r="BQ318" s="193"/>
      <c r="BR318" s="193"/>
      <c r="BS318" s="193"/>
      <c r="BT318" s="193"/>
      <c r="BU318" s="193"/>
      <c r="BV318" s="193"/>
      <c r="BW318" s="193"/>
      <c r="BX318" s="193"/>
      <c r="BY318" s="193"/>
      <c r="BZ318" s="193"/>
    </row>
    <row r="319" spans="60:78" s="191" customFormat="1" x14ac:dyDescent="0.25">
      <c r="BH319" s="193"/>
      <c r="BI319" s="193"/>
      <c r="BJ319" s="193"/>
      <c r="BK319" s="193"/>
      <c r="BL319" s="193"/>
      <c r="BM319" s="193"/>
      <c r="BN319" s="193"/>
      <c r="BO319" s="193"/>
      <c r="BP319" s="193"/>
      <c r="BQ319" s="193"/>
      <c r="BR319" s="193"/>
      <c r="BS319" s="193"/>
      <c r="BT319" s="193"/>
      <c r="BU319" s="193"/>
      <c r="BV319" s="193"/>
      <c r="BW319" s="193"/>
      <c r="BX319" s="193"/>
      <c r="BY319" s="193"/>
      <c r="BZ319" s="193"/>
    </row>
    <row r="320" spans="60:78" s="191" customFormat="1" x14ac:dyDescent="0.25">
      <c r="BH320" s="193"/>
      <c r="BI320" s="193"/>
      <c r="BJ320" s="193"/>
      <c r="BK320" s="193"/>
      <c r="BL320" s="193"/>
      <c r="BM320" s="193"/>
      <c r="BN320" s="193"/>
      <c r="BO320" s="193"/>
      <c r="BP320" s="193"/>
      <c r="BQ320" s="193"/>
      <c r="BR320" s="193"/>
      <c r="BS320" s="193"/>
      <c r="BT320" s="193"/>
      <c r="BU320" s="193"/>
      <c r="BV320" s="193"/>
      <c r="BW320" s="193"/>
      <c r="BX320" s="193"/>
      <c r="BY320" s="193"/>
      <c r="BZ320" s="193"/>
    </row>
    <row r="321" spans="60:78" s="191" customFormat="1" x14ac:dyDescent="0.25">
      <c r="BH321" s="193"/>
      <c r="BI321" s="193"/>
      <c r="BJ321" s="193"/>
      <c r="BK321" s="193"/>
      <c r="BL321" s="193"/>
      <c r="BM321" s="193"/>
      <c r="BN321" s="193"/>
      <c r="BO321" s="193"/>
      <c r="BP321" s="193"/>
      <c r="BQ321" s="193"/>
      <c r="BR321" s="193"/>
      <c r="BS321" s="193"/>
      <c r="BT321" s="193"/>
      <c r="BU321" s="193"/>
      <c r="BV321" s="193"/>
      <c r="BW321" s="193"/>
      <c r="BX321" s="193"/>
      <c r="BY321" s="193"/>
      <c r="BZ321" s="193"/>
    </row>
    <row r="322" spans="60:78" s="191" customFormat="1" x14ac:dyDescent="0.25">
      <c r="BH322" s="193"/>
      <c r="BI322" s="193"/>
      <c r="BJ322" s="193"/>
      <c r="BK322" s="193"/>
      <c r="BL322" s="193"/>
      <c r="BM322" s="193"/>
      <c r="BN322" s="193"/>
      <c r="BO322" s="193"/>
      <c r="BP322" s="193"/>
      <c r="BQ322" s="193"/>
      <c r="BR322" s="193"/>
      <c r="BS322" s="193"/>
      <c r="BT322" s="193"/>
      <c r="BU322" s="193"/>
      <c r="BV322" s="193"/>
      <c r="BW322" s="193"/>
      <c r="BX322" s="193"/>
      <c r="BY322" s="193"/>
      <c r="BZ322" s="193"/>
    </row>
    <row r="323" spans="60:78" s="191" customFormat="1" x14ac:dyDescent="0.25">
      <c r="BH323" s="193"/>
      <c r="BI323" s="193"/>
      <c r="BJ323" s="193"/>
      <c r="BK323" s="193"/>
      <c r="BL323" s="193"/>
      <c r="BM323" s="193"/>
      <c r="BN323" s="193"/>
      <c r="BO323" s="193"/>
      <c r="BP323" s="193"/>
      <c r="BQ323" s="193"/>
      <c r="BR323" s="193"/>
      <c r="BS323" s="193"/>
      <c r="BT323" s="193"/>
      <c r="BU323" s="193"/>
      <c r="BV323" s="193"/>
      <c r="BW323" s="193"/>
      <c r="BX323" s="193"/>
      <c r="BY323" s="193"/>
      <c r="BZ323" s="193"/>
    </row>
    <row r="324" spans="60:78" s="191" customFormat="1" x14ac:dyDescent="0.25">
      <c r="BH324" s="193"/>
      <c r="BI324" s="193"/>
      <c r="BJ324" s="193"/>
      <c r="BK324" s="193"/>
      <c r="BL324" s="193"/>
      <c r="BM324" s="193"/>
      <c r="BN324" s="193"/>
      <c r="BO324" s="193"/>
      <c r="BP324" s="193"/>
      <c r="BQ324" s="193"/>
      <c r="BR324" s="193"/>
      <c r="BS324" s="193"/>
      <c r="BT324" s="193"/>
      <c r="BU324" s="193"/>
      <c r="BV324" s="193"/>
      <c r="BW324" s="193"/>
      <c r="BX324" s="193"/>
      <c r="BY324" s="193"/>
      <c r="BZ324" s="193"/>
    </row>
    <row r="325" spans="60:78" s="191" customFormat="1" x14ac:dyDescent="0.25">
      <c r="BH325" s="193"/>
      <c r="BI325" s="193"/>
      <c r="BJ325" s="193"/>
      <c r="BK325" s="193"/>
      <c r="BL325" s="193"/>
      <c r="BM325" s="193"/>
      <c r="BN325" s="193"/>
      <c r="BO325" s="193"/>
      <c r="BP325" s="193"/>
      <c r="BQ325" s="193"/>
      <c r="BR325" s="193"/>
      <c r="BS325" s="193"/>
      <c r="BT325" s="193"/>
      <c r="BU325" s="193"/>
      <c r="BV325" s="193"/>
      <c r="BW325" s="193"/>
      <c r="BX325" s="193"/>
      <c r="BY325" s="193"/>
      <c r="BZ325" s="193"/>
    </row>
    <row r="326" spans="60:78" s="191" customFormat="1" x14ac:dyDescent="0.25">
      <c r="BH326" s="193"/>
      <c r="BI326" s="193"/>
      <c r="BJ326" s="193"/>
      <c r="BK326" s="193"/>
      <c r="BL326" s="193"/>
      <c r="BM326" s="193"/>
      <c r="BN326" s="193"/>
      <c r="BO326" s="193"/>
      <c r="BP326" s="193"/>
      <c r="BQ326" s="193"/>
      <c r="BR326" s="193"/>
      <c r="BS326" s="193"/>
      <c r="BT326" s="193"/>
      <c r="BU326" s="193"/>
      <c r="BV326" s="193"/>
      <c r="BW326" s="193"/>
      <c r="BX326" s="193"/>
      <c r="BY326" s="193"/>
      <c r="BZ326" s="193"/>
    </row>
    <row r="327" spans="60:78" s="191" customFormat="1" x14ac:dyDescent="0.25">
      <c r="BH327" s="193"/>
      <c r="BI327" s="193"/>
      <c r="BJ327" s="193"/>
      <c r="BK327" s="193"/>
      <c r="BL327" s="193"/>
      <c r="BM327" s="193"/>
      <c r="BN327" s="193"/>
      <c r="BO327" s="193"/>
      <c r="BP327" s="193"/>
      <c r="BQ327" s="193"/>
      <c r="BR327" s="193"/>
      <c r="BS327" s="193"/>
      <c r="BT327" s="193"/>
      <c r="BU327" s="193"/>
      <c r="BV327" s="193"/>
      <c r="BW327" s="193"/>
      <c r="BX327" s="193"/>
      <c r="BY327" s="193"/>
      <c r="BZ327" s="193"/>
    </row>
    <row r="328" spans="60:78" s="191" customFormat="1" x14ac:dyDescent="0.25">
      <c r="BH328" s="193"/>
      <c r="BI328" s="193"/>
      <c r="BJ328" s="193"/>
      <c r="BK328" s="193"/>
      <c r="BL328" s="193"/>
      <c r="BM328" s="193"/>
      <c r="BN328" s="193"/>
      <c r="BO328" s="193"/>
      <c r="BP328" s="193"/>
      <c r="BQ328" s="193"/>
      <c r="BR328" s="193"/>
      <c r="BS328" s="193"/>
      <c r="BT328" s="193"/>
      <c r="BU328" s="193"/>
      <c r="BV328" s="193"/>
      <c r="BW328" s="193"/>
      <c r="BX328" s="193"/>
      <c r="BY328" s="193"/>
      <c r="BZ328" s="193"/>
    </row>
    <row r="329" spans="60:78" s="191" customFormat="1" x14ac:dyDescent="0.25">
      <c r="BH329" s="193"/>
      <c r="BI329" s="193"/>
      <c r="BJ329" s="193"/>
      <c r="BK329" s="193"/>
      <c r="BL329" s="193"/>
      <c r="BM329" s="193"/>
      <c r="BN329" s="193"/>
      <c r="BO329" s="193"/>
      <c r="BP329" s="193"/>
      <c r="BQ329" s="193"/>
      <c r="BR329" s="193"/>
      <c r="BS329" s="193"/>
      <c r="BT329" s="193"/>
      <c r="BU329" s="193"/>
      <c r="BV329" s="193"/>
      <c r="BW329" s="193"/>
      <c r="BX329" s="193"/>
      <c r="BY329" s="193"/>
      <c r="BZ329" s="193"/>
    </row>
    <row r="330" spans="60:78" s="191" customFormat="1" x14ac:dyDescent="0.25">
      <c r="BH330" s="193"/>
      <c r="BI330" s="193"/>
      <c r="BJ330" s="193"/>
      <c r="BK330" s="193"/>
      <c r="BL330" s="193"/>
      <c r="BM330" s="193"/>
      <c r="BN330" s="193"/>
      <c r="BO330" s="193"/>
      <c r="BP330" s="193"/>
      <c r="BQ330" s="193"/>
      <c r="BR330" s="193"/>
      <c r="BS330" s="193"/>
      <c r="BT330" s="193"/>
      <c r="BU330" s="193"/>
      <c r="BV330" s="193"/>
      <c r="BW330" s="193"/>
      <c r="BX330" s="193"/>
      <c r="BY330" s="193"/>
      <c r="BZ330" s="193"/>
    </row>
    <row r="331" spans="60:78" s="191" customFormat="1" x14ac:dyDescent="0.25">
      <c r="BH331" s="193"/>
      <c r="BI331" s="193"/>
      <c r="BJ331" s="193"/>
      <c r="BK331" s="193"/>
      <c r="BL331" s="193"/>
      <c r="BM331" s="193"/>
      <c r="BN331" s="193"/>
      <c r="BO331" s="193"/>
      <c r="BP331" s="193"/>
      <c r="BQ331" s="193"/>
      <c r="BR331" s="193"/>
      <c r="BS331" s="193"/>
      <c r="BT331" s="193"/>
      <c r="BU331" s="193"/>
      <c r="BV331" s="193"/>
      <c r="BW331" s="193"/>
      <c r="BX331" s="193"/>
      <c r="BY331" s="193"/>
      <c r="BZ331" s="193"/>
    </row>
    <row r="332" spans="60:78" s="191" customFormat="1" x14ac:dyDescent="0.25">
      <c r="BH332" s="193"/>
      <c r="BI332" s="193"/>
      <c r="BJ332" s="193"/>
      <c r="BK332" s="193"/>
      <c r="BL332" s="193"/>
      <c r="BM332" s="193"/>
      <c r="BN332" s="193"/>
      <c r="BO332" s="193"/>
      <c r="BP332" s="193"/>
      <c r="BQ332" s="193"/>
      <c r="BR332" s="193"/>
      <c r="BS332" s="193"/>
      <c r="BT332" s="193"/>
      <c r="BU332" s="193"/>
      <c r="BV332" s="193"/>
      <c r="BW332" s="193"/>
      <c r="BX332" s="193"/>
      <c r="BY332" s="193"/>
      <c r="BZ332" s="193"/>
    </row>
    <row r="333" spans="60:78" s="191" customFormat="1" x14ac:dyDescent="0.25">
      <c r="BH333" s="193"/>
      <c r="BI333" s="193"/>
      <c r="BJ333" s="193"/>
      <c r="BK333" s="193"/>
      <c r="BL333" s="193"/>
      <c r="BM333" s="193"/>
      <c r="BN333" s="193"/>
      <c r="BO333" s="193"/>
      <c r="BP333" s="193"/>
      <c r="BQ333" s="193"/>
      <c r="BR333" s="193"/>
      <c r="BS333" s="193"/>
      <c r="BT333" s="193"/>
      <c r="BU333" s="193"/>
      <c r="BV333" s="193"/>
      <c r="BW333" s="193"/>
      <c r="BX333" s="193"/>
      <c r="BY333" s="193"/>
      <c r="BZ333" s="193"/>
    </row>
    <row r="334" spans="60:78" s="191" customFormat="1" x14ac:dyDescent="0.25">
      <c r="BH334" s="193"/>
      <c r="BI334" s="193"/>
      <c r="BJ334" s="193"/>
      <c r="BK334" s="193"/>
      <c r="BL334" s="193"/>
      <c r="BM334" s="193"/>
      <c r="BN334" s="193"/>
      <c r="BO334" s="193"/>
      <c r="BP334" s="193"/>
      <c r="BQ334" s="193"/>
      <c r="BR334" s="193"/>
      <c r="BS334" s="193"/>
      <c r="BT334" s="193"/>
      <c r="BU334" s="193"/>
      <c r="BV334" s="193"/>
      <c r="BW334" s="193"/>
      <c r="BX334" s="193"/>
      <c r="BY334" s="193"/>
      <c r="BZ334" s="193"/>
    </row>
    <row r="335" spans="60:78" s="191" customFormat="1" x14ac:dyDescent="0.25">
      <c r="BH335" s="193"/>
      <c r="BI335" s="193"/>
      <c r="BJ335" s="193"/>
      <c r="BK335" s="193"/>
      <c r="BL335" s="193"/>
      <c r="BM335" s="193"/>
      <c r="BN335" s="193"/>
      <c r="BO335" s="193"/>
      <c r="BP335" s="193"/>
      <c r="BQ335" s="193"/>
      <c r="BR335" s="193"/>
      <c r="BS335" s="193"/>
      <c r="BT335" s="193"/>
      <c r="BU335" s="193"/>
      <c r="BV335" s="193"/>
      <c r="BW335" s="193"/>
      <c r="BX335" s="193"/>
      <c r="BY335" s="193"/>
      <c r="BZ335" s="193"/>
    </row>
    <row r="336" spans="60:78" s="191" customFormat="1" x14ac:dyDescent="0.25">
      <c r="BH336" s="193"/>
      <c r="BI336" s="193"/>
      <c r="BJ336" s="193"/>
      <c r="BK336" s="193"/>
      <c r="BL336" s="193"/>
      <c r="BM336" s="193"/>
      <c r="BN336" s="193"/>
      <c r="BO336" s="193"/>
      <c r="BP336" s="193"/>
      <c r="BQ336" s="193"/>
      <c r="BR336" s="193"/>
      <c r="BS336" s="193"/>
      <c r="BT336" s="193"/>
      <c r="BU336" s="193"/>
      <c r="BV336" s="193"/>
      <c r="BW336" s="193"/>
      <c r="BX336" s="193"/>
      <c r="BY336" s="193"/>
      <c r="BZ336" s="193"/>
    </row>
    <row r="337" spans="60:78" s="191" customFormat="1" x14ac:dyDescent="0.25">
      <c r="BH337" s="193"/>
      <c r="BI337" s="193"/>
      <c r="BJ337" s="193"/>
      <c r="BK337" s="193"/>
      <c r="BL337" s="193"/>
      <c r="BM337" s="193"/>
      <c r="BN337" s="193"/>
      <c r="BO337" s="193"/>
      <c r="BP337" s="193"/>
      <c r="BQ337" s="193"/>
      <c r="BR337" s="193"/>
      <c r="BS337" s="193"/>
      <c r="BT337" s="193"/>
      <c r="BU337" s="193"/>
      <c r="BV337" s="193"/>
      <c r="BW337" s="193"/>
      <c r="BX337" s="193"/>
      <c r="BY337" s="193"/>
      <c r="BZ337" s="193"/>
    </row>
  </sheetData>
  <mergeCells count="4">
    <mergeCell ref="A1:N2"/>
    <mergeCell ref="P1:AC2"/>
    <mergeCell ref="AE1:AR2"/>
    <mergeCell ref="AT1:B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69DA7-3DB0-431C-8E65-C8C8DF336CD2}">
  <dimension ref="C3:I14"/>
  <sheetViews>
    <sheetView workbookViewId="0">
      <selection activeCell="J15" sqref="J15"/>
    </sheetView>
  </sheetViews>
  <sheetFormatPr defaultRowHeight="15" x14ac:dyDescent="0.25"/>
  <sheetData>
    <row r="3" spans="3:9" ht="15.75" thickBot="1" x14ac:dyDescent="0.3">
      <c r="C3" s="234" t="s">
        <v>94</v>
      </c>
      <c r="D3" s="234"/>
      <c r="E3" s="234"/>
      <c r="F3" s="234"/>
      <c r="G3" s="234"/>
      <c r="H3" s="234"/>
    </row>
    <row r="4" spans="3:9" ht="16.5" thickBot="1" x14ac:dyDescent="0.3">
      <c r="C4" s="181"/>
      <c r="D4" s="182">
        <v>2017</v>
      </c>
      <c r="E4" s="182">
        <v>2016</v>
      </c>
      <c r="F4" s="182">
        <v>2015</v>
      </c>
      <c r="G4" s="182">
        <v>2014</v>
      </c>
      <c r="H4" s="182">
        <v>2013</v>
      </c>
    </row>
    <row r="5" spans="3:9" ht="32.25" thickBot="1" x14ac:dyDescent="0.3">
      <c r="C5" s="10" t="s">
        <v>110</v>
      </c>
      <c r="D5" s="206">
        <f>rozvaha!I9/rozvaha!I2</f>
        <v>0.43282529182078328</v>
      </c>
      <c r="E5" s="206">
        <f>rozvaha!J9/rozvaha!J2</f>
        <v>0.34599301616745343</v>
      </c>
      <c r="F5" s="206">
        <f>rozvaha!K9/rozvaha!K2</f>
        <v>0.33104536082474229</v>
      </c>
      <c r="G5" s="206">
        <f>rozvaha!L9/rozvaha!L2</f>
        <v>0.32164076758003468</v>
      </c>
      <c r="H5" s="206">
        <f>rozvaha!M9/rozvaha!M2</f>
        <v>0.32388388297510157</v>
      </c>
      <c r="I5" s="184"/>
    </row>
    <row r="6" spans="3:9" ht="16.5" thickBot="1" x14ac:dyDescent="0.3">
      <c r="C6" s="10" t="s">
        <v>109</v>
      </c>
      <c r="D6" s="207">
        <f>rozvaha!I2/rozvaha!I3</f>
        <v>1.7713636253130089</v>
      </c>
      <c r="E6" s="207">
        <f>rozvaha!J2/rozvaha!J3</f>
        <v>1.5369811941444158</v>
      </c>
      <c r="F6" s="207">
        <f>rozvaha!K2/rozvaha!K3</f>
        <v>1.5034004748885623</v>
      </c>
      <c r="G6" s="207">
        <f>rozvaha!L2/rozvaha!L3</f>
        <v>1.4783696501377497</v>
      </c>
      <c r="H6" s="207">
        <f>rozvaha!M2/rozvaha!M3</f>
        <v>1.480350029679351</v>
      </c>
      <c r="I6" s="205"/>
    </row>
    <row r="8" spans="3:9" x14ac:dyDescent="0.25">
      <c r="C8" s="235" t="s">
        <v>86</v>
      </c>
      <c r="D8" s="235"/>
      <c r="E8" s="235"/>
      <c r="F8" s="235"/>
      <c r="G8" s="235"/>
      <c r="H8" s="235"/>
    </row>
    <row r="9" spans="3:9" ht="15.75" x14ac:dyDescent="0.25">
      <c r="C9" s="195"/>
      <c r="D9" s="194">
        <v>2017</v>
      </c>
      <c r="E9" s="194">
        <v>2016</v>
      </c>
      <c r="F9" s="194">
        <v>2015</v>
      </c>
      <c r="G9" s="194">
        <v>2014</v>
      </c>
      <c r="H9" s="194">
        <v>2013</v>
      </c>
    </row>
    <row r="10" spans="3:9" x14ac:dyDescent="0.25">
      <c r="C10" s="196" t="s">
        <v>94</v>
      </c>
      <c r="D10" s="197">
        <v>0.43282529182078328</v>
      </c>
      <c r="E10" s="197">
        <v>0.34599301616745343</v>
      </c>
      <c r="F10" s="197">
        <v>0.33104536082474229</v>
      </c>
      <c r="G10" s="197">
        <v>0.32164076758003468</v>
      </c>
      <c r="H10" s="197">
        <v>0.32388388297510157</v>
      </c>
    </row>
    <row r="11" spans="3:9" x14ac:dyDescent="0.25">
      <c r="C11" s="196" t="s">
        <v>95</v>
      </c>
      <c r="D11" s="197">
        <f>konkurence!AN6/konkurence!AN4</f>
        <v>0.55555549582116093</v>
      </c>
      <c r="E11" s="197">
        <f>konkurence!AO6/konkurence!AO4</f>
        <v>0.4817610122586965</v>
      </c>
      <c r="F11" s="197">
        <f>konkurence!AP6/konkurence!AP4</f>
        <v>0.58188598050746243</v>
      </c>
      <c r="G11" s="197">
        <f>konkurence!AQ6/konkurence!AQ4</f>
        <v>0.70637113843516841</v>
      </c>
      <c r="H11" s="197">
        <f>konkurence!AR6/konkurence!AR4</f>
        <v>0.61899421024111279</v>
      </c>
    </row>
    <row r="12" spans="3:9" x14ac:dyDescent="0.25">
      <c r="C12" s="196" t="s">
        <v>96</v>
      </c>
      <c r="D12" s="197">
        <f>konkurence!J6/konkurence!J4</f>
        <v>0.65612058172011944</v>
      </c>
      <c r="E12" s="197">
        <f>konkurence!K6/konkurence!K4</f>
        <v>0.66210204186596722</v>
      </c>
      <c r="F12" s="196"/>
      <c r="G12" s="196"/>
      <c r="H12" s="196"/>
    </row>
    <row r="13" spans="3:9" x14ac:dyDescent="0.25">
      <c r="C13" s="196" t="s">
        <v>97</v>
      </c>
      <c r="D13" s="197">
        <f>konkurence!Y6/konkurence!Y4</f>
        <v>0.81663878012178082</v>
      </c>
      <c r="E13" s="197">
        <f>konkurence!Z6/konkurence!Z4</f>
        <v>0.62360653118973997</v>
      </c>
      <c r="F13" s="197">
        <f>konkurence!AA6/konkurence!AA4</f>
        <v>0.61600223081213101</v>
      </c>
      <c r="G13" s="197">
        <f>konkurence!AB6/konkurence!AB4</f>
        <v>0.63902912409634616</v>
      </c>
      <c r="H13" s="197">
        <f>konkurence!AC6/konkurence!AC4</f>
        <v>0.56559241180386066</v>
      </c>
    </row>
    <row r="14" spans="3:9" x14ac:dyDescent="0.25">
      <c r="C14" s="196" t="s">
        <v>98</v>
      </c>
      <c r="D14" s="197">
        <f>konkurence!BC6/konkurence!BC4</f>
        <v>0.5980618642360761</v>
      </c>
      <c r="E14" s="197">
        <f>konkurence!BD6/konkurence!BD4</f>
        <v>0.93666434540389976</v>
      </c>
      <c r="F14" s="196"/>
      <c r="G14" s="196"/>
      <c r="H14" s="196"/>
    </row>
  </sheetData>
  <mergeCells count="2">
    <mergeCell ref="C3:H3"/>
    <mergeCell ref="C8:H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FF7A-E1B9-4F83-A16F-EC239B7F9E94}">
  <dimension ref="D2:R7"/>
  <sheetViews>
    <sheetView workbookViewId="0">
      <selection activeCell="I9" sqref="I9"/>
    </sheetView>
  </sheetViews>
  <sheetFormatPr defaultRowHeight="15" x14ac:dyDescent="0.25"/>
  <cols>
    <col min="5" max="5" width="14.140625" bestFit="1" customWidth="1"/>
    <col min="6" max="8" width="9.5703125" bestFit="1" customWidth="1"/>
    <col min="9" max="9" width="20" bestFit="1" customWidth="1"/>
    <col min="15" max="15" width="10" bestFit="1" customWidth="1"/>
  </cols>
  <sheetData>
    <row r="2" spans="4:18" ht="15.75" thickBot="1" x14ac:dyDescent="0.3">
      <c r="D2" s="234" t="s">
        <v>94</v>
      </c>
      <c r="E2" s="234"/>
      <c r="F2" s="234"/>
      <c r="G2" s="234"/>
      <c r="H2" s="234"/>
      <c r="I2" s="234"/>
    </row>
    <row r="3" spans="4:18" ht="24.75" thickBot="1" x14ac:dyDescent="0.3">
      <c r="D3" s="181"/>
      <c r="E3" s="182">
        <v>2017</v>
      </c>
      <c r="F3" s="182">
        <v>2016</v>
      </c>
      <c r="G3" s="182">
        <v>2015</v>
      </c>
      <c r="H3" s="182">
        <v>2014</v>
      </c>
      <c r="I3" s="182">
        <v>2013</v>
      </c>
      <c r="N3" s="208" t="s">
        <v>113</v>
      </c>
      <c r="O3" s="209">
        <v>2017</v>
      </c>
      <c r="P3" s="209">
        <v>2016</v>
      </c>
      <c r="Q3" s="209">
        <v>2015</v>
      </c>
      <c r="R3" s="209">
        <v>2014</v>
      </c>
    </row>
    <row r="4" spans="4:18" ht="79.5" thickBot="1" x14ac:dyDescent="0.3">
      <c r="D4" s="183" t="s">
        <v>111</v>
      </c>
      <c r="E4" s="198">
        <f>výsledovka!B9/(produktivita!O5+produktivita!O4)</f>
        <v>613.88626126126121</v>
      </c>
      <c r="F4" s="198">
        <f>výsledovka!C9/(produktivita!P5+produktivita!P4)</f>
        <v>356.69282511210764</v>
      </c>
      <c r="G4" s="198">
        <f>výsledovka!D9/(produktivita!Q5+produktivita!Q4)</f>
        <v>389.43937575030014</v>
      </c>
      <c r="H4" s="198">
        <f>výsledovka!E9/(produktivita!R5+produktivita!R4)</f>
        <v>450.81511470985157</v>
      </c>
      <c r="I4" s="198"/>
      <c r="N4" s="210" t="s">
        <v>114</v>
      </c>
      <c r="O4" s="17">
        <v>14</v>
      </c>
      <c r="P4" s="17">
        <v>13</v>
      </c>
      <c r="Q4" s="17">
        <v>9</v>
      </c>
      <c r="R4" s="17">
        <v>11</v>
      </c>
    </row>
    <row r="5" spans="4:18" ht="48" thickBot="1" x14ac:dyDescent="0.3">
      <c r="D5" s="183" t="s">
        <v>112</v>
      </c>
      <c r="E5" s="198">
        <f>(O7/12)/(O5+O4)</f>
        <v>35044.012762762759</v>
      </c>
      <c r="F5" s="198">
        <f t="shared" ref="F5:H5" si="0">(P7/12)/(P5+P4)</f>
        <v>21906.483557548578</v>
      </c>
      <c r="G5" s="198">
        <f t="shared" si="0"/>
        <v>23527.811124449781</v>
      </c>
      <c r="H5" s="198">
        <f t="shared" si="0"/>
        <v>25146.311291048136</v>
      </c>
      <c r="I5" s="184"/>
      <c r="N5" s="210" t="s">
        <v>115</v>
      </c>
      <c r="O5" s="17">
        <v>874</v>
      </c>
      <c r="P5" s="17">
        <v>879</v>
      </c>
      <c r="Q5" s="17">
        <v>824</v>
      </c>
      <c r="R5" s="17">
        <v>730</v>
      </c>
    </row>
    <row r="6" spans="4:18" ht="32.25" thickBot="1" x14ac:dyDescent="0.3">
      <c r="N6" s="211" t="s">
        <v>116</v>
      </c>
      <c r="O6" s="12">
        <v>373.42899999999997</v>
      </c>
      <c r="P6" s="12">
        <v>234.48699999999999</v>
      </c>
      <c r="Q6" s="12">
        <v>235.184</v>
      </c>
      <c r="R6" s="12">
        <v>223.601</v>
      </c>
    </row>
    <row r="7" spans="4:18" x14ac:dyDescent="0.25">
      <c r="O7">
        <f>O6*1000000</f>
        <v>373429000</v>
      </c>
      <c r="P7">
        <f t="shared" ref="P7:R7" si="1">P6*1000000</f>
        <v>234487000</v>
      </c>
      <c r="Q7">
        <f t="shared" si="1"/>
        <v>235184000</v>
      </c>
      <c r="R7">
        <f t="shared" si="1"/>
        <v>223601000</v>
      </c>
    </row>
  </sheetData>
  <mergeCells count="1">
    <mergeCell ref="D2:I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D280-F14A-498C-A899-0ABB322F6C70}">
  <dimension ref="E3:W16"/>
  <sheetViews>
    <sheetView workbookViewId="0">
      <selection activeCell="F12" sqref="F12:J16"/>
    </sheetView>
  </sheetViews>
  <sheetFormatPr defaultRowHeight="15" x14ac:dyDescent="0.25"/>
  <cols>
    <col min="6" max="8" width="16.42578125" bestFit="1" customWidth="1"/>
    <col min="9" max="9" width="12" bestFit="1" customWidth="1"/>
    <col min="10" max="10" width="10.28515625" bestFit="1" customWidth="1"/>
    <col min="18" max="18" width="9.5703125" bestFit="1" customWidth="1"/>
  </cols>
  <sheetData>
    <row r="3" spans="5:23" ht="15.75" thickBot="1" x14ac:dyDescent="0.3">
      <c r="E3" s="234" t="s">
        <v>94</v>
      </c>
      <c r="F3" s="234"/>
      <c r="G3" s="234"/>
      <c r="H3" s="234"/>
      <c r="I3" s="234"/>
      <c r="J3" s="234"/>
      <c r="Q3" s="234" t="s">
        <v>94</v>
      </c>
      <c r="R3" s="234"/>
      <c r="S3" s="234"/>
      <c r="T3" s="234"/>
      <c r="U3" s="234"/>
      <c r="V3" s="234"/>
    </row>
    <row r="4" spans="5:23" ht="16.5" thickBot="1" x14ac:dyDescent="0.3">
      <c r="E4" s="181"/>
      <c r="F4" s="182">
        <v>2017</v>
      </c>
      <c r="G4" s="182">
        <v>2016</v>
      </c>
      <c r="H4" s="182">
        <v>2015</v>
      </c>
      <c r="I4" s="182">
        <v>2014</v>
      </c>
      <c r="J4" s="182">
        <v>2013</v>
      </c>
      <c r="Q4" s="181"/>
      <c r="R4" s="182">
        <v>2017</v>
      </c>
      <c r="S4" s="182">
        <v>2016</v>
      </c>
      <c r="T4" s="182">
        <v>2015</v>
      </c>
      <c r="U4" s="182">
        <v>2014</v>
      </c>
      <c r="V4" s="182">
        <v>2013</v>
      </c>
    </row>
    <row r="5" spans="5:23" ht="16.5" thickBot="1" x14ac:dyDescent="0.3">
      <c r="E5" s="183" t="s">
        <v>86</v>
      </c>
      <c r="F5" s="216">
        <v>0.2746651107383366</v>
      </c>
      <c r="G5" s="216">
        <v>1.7359017002637814E-2</v>
      </c>
      <c r="H5" s="216">
        <v>2.1094103570343643E-2</v>
      </c>
      <c r="I5" s="216">
        <v>6.6300177445730385E-2</v>
      </c>
      <c r="J5" s="216">
        <v>8.8604995837424358E-2</v>
      </c>
      <c r="Q5" s="10" t="s">
        <v>118</v>
      </c>
      <c r="R5" s="169">
        <v>1.4999999999999999E-2</v>
      </c>
      <c r="S5" s="169">
        <v>3.7000000000000002E-3</v>
      </c>
      <c r="T5" s="169">
        <v>6.4999999999999997E-3</v>
      </c>
      <c r="U5" s="169">
        <v>6.7000000000000002E-3</v>
      </c>
      <c r="V5" s="169">
        <v>2.1999999999999999E-2</v>
      </c>
    </row>
    <row r="6" spans="5:23" ht="16.5" thickBot="1" x14ac:dyDescent="0.3">
      <c r="E6" s="10" t="s">
        <v>117</v>
      </c>
      <c r="F6" s="206">
        <f>R5+R8</f>
        <v>7.4999999999999997E-2</v>
      </c>
      <c r="G6" s="206">
        <v>8.5999999999999993E-2</v>
      </c>
      <c r="H6" s="206">
        <v>8.7999999999999995E-2</v>
      </c>
      <c r="I6" s="206">
        <v>9.4E-2</v>
      </c>
      <c r="J6" s="206">
        <v>8.5999999999999993E-2</v>
      </c>
      <c r="Q6" s="10" t="s">
        <v>119</v>
      </c>
      <c r="R6" s="212">
        <v>980</v>
      </c>
      <c r="S6" s="207">
        <v>830</v>
      </c>
      <c r="T6" s="207">
        <v>950</v>
      </c>
      <c r="U6" s="207">
        <v>940</v>
      </c>
      <c r="V6" s="207">
        <v>947</v>
      </c>
      <c r="W6" s="214">
        <v>941</v>
      </c>
    </row>
    <row r="7" spans="5:23" ht="16.5" thickBot="1" x14ac:dyDescent="0.3">
      <c r="E7" s="10" t="s">
        <v>121</v>
      </c>
      <c r="F7" s="207">
        <f>(F5-F6)*rozvaha!I3</f>
        <v>82128.249999999985</v>
      </c>
      <c r="G7" s="207">
        <f>(G5-G6)*rozvaha!J3</f>
        <v>-22534.971999999998</v>
      </c>
      <c r="H7" s="207">
        <f>(H5-H6)*rozvaha!K3</f>
        <v>-21583.976000000002</v>
      </c>
      <c r="I7" s="207">
        <f>(I5-I6)*rozvaha!L3</f>
        <v>-8757.3820000000014</v>
      </c>
      <c r="J7" s="207">
        <f>(J5-J6)*rozvaha!M3</f>
        <v>697.78200000000265</v>
      </c>
      <c r="R7" s="213">
        <f>(R6-S6)/R6</f>
        <v>0.15306122448979592</v>
      </c>
      <c r="S7" s="213">
        <f t="shared" ref="S7:V7" si="0">(S6-T6)/S6</f>
        <v>-0.14457831325301204</v>
      </c>
      <c r="T7" s="213">
        <f t="shared" si="0"/>
        <v>1.0526315789473684E-2</v>
      </c>
      <c r="U7" s="213">
        <f t="shared" si="0"/>
        <v>-7.4468085106382982E-3</v>
      </c>
      <c r="V7" s="213">
        <f t="shared" si="0"/>
        <v>6.3357972544878568E-3</v>
      </c>
    </row>
    <row r="8" spans="5:23" x14ac:dyDescent="0.25">
      <c r="Q8" t="s">
        <v>120</v>
      </c>
      <c r="R8" s="215">
        <v>0.06</v>
      </c>
      <c r="S8" s="215">
        <v>0.06</v>
      </c>
      <c r="T8" s="215">
        <v>0.06</v>
      </c>
      <c r="U8" s="215">
        <v>0.06</v>
      </c>
      <c r="V8" s="215">
        <v>0.06</v>
      </c>
    </row>
    <row r="10" spans="5:23" x14ac:dyDescent="0.25">
      <c r="E10" s="202"/>
      <c r="F10" s="202"/>
      <c r="G10" s="202"/>
      <c r="H10" s="202"/>
      <c r="I10" s="202"/>
      <c r="J10" s="202"/>
    </row>
    <row r="11" spans="5:23" ht="15.75" x14ac:dyDescent="0.25">
      <c r="E11" s="195"/>
      <c r="F11" s="194">
        <v>2017</v>
      </c>
      <c r="G11" s="194">
        <v>2016</v>
      </c>
      <c r="H11" s="194">
        <v>2015</v>
      </c>
      <c r="I11" s="194">
        <v>2014</v>
      </c>
      <c r="J11" s="194">
        <v>2013</v>
      </c>
    </row>
    <row r="12" spans="5:23" x14ac:dyDescent="0.25">
      <c r="E12" s="196" t="s">
        <v>94</v>
      </c>
      <c r="F12" s="203">
        <v>82128.249999999985</v>
      </c>
      <c r="G12" s="203">
        <v>-22534.971999999998</v>
      </c>
      <c r="H12" s="203">
        <v>-21584</v>
      </c>
      <c r="I12" s="203">
        <v>-8757</v>
      </c>
      <c r="J12" s="203">
        <v>698</v>
      </c>
    </row>
    <row r="13" spans="5:23" x14ac:dyDescent="0.25">
      <c r="E13" s="196" t="s">
        <v>95</v>
      </c>
      <c r="F13" s="203">
        <f>(rentabilita!F13-EVA!F6)*konkurence!AN5</f>
        <v>859405.5</v>
      </c>
      <c r="G13" s="203">
        <f>(rentabilita!G13-EVA!G6)*konkurence!AO5</f>
        <v>306128.60600000003</v>
      </c>
      <c r="H13" s="203">
        <f>(rentabilita!H13-EVA!H6)*konkurence!AP5</f>
        <v>112491.64</v>
      </c>
      <c r="I13" s="203">
        <f>(rentabilita!I13-EVA!I6)*konkurence!AQ5</f>
        <v>52350.530000000013</v>
      </c>
      <c r="J13" s="203">
        <f>(rentabilita!J13-EVA!J6)*konkurence!AR5</f>
        <v>-15536.367999999989</v>
      </c>
    </row>
    <row r="14" spans="5:23" x14ac:dyDescent="0.25">
      <c r="E14" s="196" t="s">
        <v>96</v>
      </c>
      <c r="F14" s="203">
        <f>(rentabilita!F14-EVA!F6)*konkurence!J5</f>
        <v>110.00000000000013</v>
      </c>
      <c r="G14" s="203">
        <f>(rentabilita!G14-EVA!G6)*konkurence!K5</f>
        <v>2922.1080000000002</v>
      </c>
      <c r="H14" s="204"/>
      <c r="I14" s="204"/>
      <c r="J14" s="204"/>
    </row>
    <row r="15" spans="5:23" x14ac:dyDescent="0.25">
      <c r="E15" s="196" t="s">
        <v>97</v>
      </c>
      <c r="F15" s="203">
        <f>(rentabilita!F15-EVA!F6)*konkurence!Y5</f>
        <v>-9283.3250000000007</v>
      </c>
      <c r="G15" s="203">
        <f>(rentabilita!G15-EVA!G6)*konkurence!Z5</f>
        <v>-1645.2099999999998</v>
      </c>
      <c r="H15" s="203">
        <f>(rentabilita!H15-EVA!H6)*konkurence!AA5</f>
        <v>3704.7200000000003</v>
      </c>
      <c r="I15" s="203">
        <f>(rentabilita!I15-EVA!I6)*konkurence!AB5</f>
        <v>3302.2280000000001</v>
      </c>
      <c r="J15" s="203">
        <f>(rentabilita!J15-EVA!J6)*konkurence!AC5</f>
        <v>6759.2020000000011</v>
      </c>
    </row>
    <row r="16" spans="5:23" x14ac:dyDescent="0.25">
      <c r="E16" s="196" t="s">
        <v>98</v>
      </c>
      <c r="F16" s="203">
        <f>(rentabilita!F16-EVA!F6)*konkurence!BC5</f>
        <v>-18456.899999999998</v>
      </c>
      <c r="G16" s="203">
        <f>(rentabilita!G16-EVA!G6)*konkurence!BD5</f>
        <v>-286.43399999999997</v>
      </c>
      <c r="H16" s="204"/>
      <c r="I16" s="204"/>
      <c r="J16" s="204"/>
    </row>
  </sheetData>
  <mergeCells count="2">
    <mergeCell ref="E3:J3"/>
    <mergeCell ref="Q3:V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7908-4313-4317-9D29-05F74EF5B98A}">
  <dimension ref="D3:I8"/>
  <sheetViews>
    <sheetView workbookViewId="0">
      <selection activeCell="D3" sqref="D3:I5"/>
    </sheetView>
  </sheetViews>
  <sheetFormatPr defaultRowHeight="15" x14ac:dyDescent="0.25"/>
  <cols>
    <col min="5" max="9" width="11.85546875" bestFit="1" customWidth="1"/>
  </cols>
  <sheetData>
    <row r="3" spans="4:9" ht="15.75" thickBot="1" x14ac:dyDescent="0.3">
      <c r="D3" s="234" t="s">
        <v>94</v>
      </c>
      <c r="E3" s="234"/>
      <c r="F3" s="234"/>
      <c r="G3" s="234"/>
      <c r="H3" s="234"/>
      <c r="I3" s="234"/>
    </row>
    <row r="4" spans="4:9" ht="16.5" thickBot="1" x14ac:dyDescent="0.3">
      <c r="D4" s="181"/>
      <c r="E4" s="182">
        <v>2017</v>
      </c>
      <c r="F4" s="182">
        <v>2016</v>
      </c>
      <c r="G4" s="182">
        <v>2015</v>
      </c>
      <c r="H4" s="182">
        <v>2014</v>
      </c>
      <c r="I4" s="182">
        <v>2013</v>
      </c>
    </row>
    <row r="5" spans="4:9" ht="16.5" thickBot="1" x14ac:dyDescent="0.3">
      <c r="D5" s="183" t="s">
        <v>122</v>
      </c>
      <c r="E5" s="217">
        <f>rozvaha!B21-rozvaha!I14</f>
        <v>344215</v>
      </c>
      <c r="F5" s="217">
        <f>rozvaha!C21-rozvaha!J14</f>
        <v>163702</v>
      </c>
      <c r="G5" s="217">
        <f>rozvaha!D21-rozvaha!K14</f>
        <v>160688</v>
      </c>
      <c r="H5" s="217">
        <f>rozvaha!E21-rozvaha!L14</f>
        <v>176381</v>
      </c>
      <c r="I5" s="217">
        <f>rozvaha!F21-rozvaha!M14</f>
        <v>131043</v>
      </c>
    </row>
    <row r="6" spans="4:9" ht="16.5" thickBot="1" x14ac:dyDescent="0.3">
      <c r="D6" s="183" t="s">
        <v>123</v>
      </c>
      <c r="E6" s="198">
        <f>aktivita!E6+aktivita!E7-aktivita!E8</f>
        <v>56.712781728723982</v>
      </c>
      <c r="F6" s="198">
        <f>aktivita!F6+aktivita!F7-aktivita!F8</f>
        <v>42.353949369179418</v>
      </c>
      <c r="G6" s="198">
        <f>aktivita!G6+aktivita!G7-aktivita!G8</f>
        <v>53.302078843122388</v>
      </c>
      <c r="H6" s="198">
        <f>aktivita!H6+aktivita!H7-aktivita!H8</f>
        <v>50.570820982085316</v>
      </c>
      <c r="I6" s="198">
        <f>aktivita!I6+aktivita!I7-aktivita!I8</f>
        <v>38.784874766123274</v>
      </c>
    </row>
    <row r="7" spans="4:9" ht="32.25" thickBot="1" x14ac:dyDescent="0.3">
      <c r="D7" s="183" t="s">
        <v>124</v>
      </c>
      <c r="E7" s="198">
        <f>E6*(výsledovka!B3+výsledovka!B6+výsledovka!B10+výsledovka!B14+výsledovka!B15+výsledovka!B20+výsledovka!B18+výsledovka!B23)/360</f>
        <v>292298.6222428722</v>
      </c>
      <c r="F7" s="198">
        <f>F6*(výsledovka!C3+výsledovka!C6+výsledovka!C10+výsledovka!C14+výsledovka!C15+výsledovka!C20+výsledovka!C18+výsledovka!C23)/360</f>
        <v>121109.2358234188</v>
      </c>
      <c r="G7" s="198">
        <f>G6*(výsledovka!D3+výsledovka!D6+výsledovka!D10+výsledovka!D14+výsledovka!D15+výsledovka!D20+výsledovka!D18+výsledovka!D23)/360</f>
        <v>141421.51977056268</v>
      </c>
      <c r="H7" s="198">
        <f>H6*(výsledovka!E3+výsledovka!E6+výsledovka!E10+výsledovka!E14+výsledovka!E15+výsledovka!E20+výsledovka!E18+výsledovka!E23)/360</f>
        <v>127825.33565536795</v>
      </c>
      <c r="I7" s="198">
        <f>I6*(výsledovka!F3+výsledovka!F6+výsledovka!F10+výsledovka!F14+výsledovka!F15+výsledovka!F20+výsledovka!F18+výsledovka!F23)/360</f>
        <v>81102.512944624177</v>
      </c>
    </row>
    <row r="8" spans="4:9" ht="47.25" x14ac:dyDescent="0.25">
      <c r="D8" s="218" t="s">
        <v>125</v>
      </c>
      <c r="E8" s="213">
        <f>E5/E7</f>
        <v>1.1776141719682491</v>
      </c>
      <c r="F8" s="213">
        <f t="shared" ref="F8:I8" si="0">F5/F7</f>
        <v>1.3516888194941865</v>
      </c>
      <c r="G8" s="213">
        <f t="shared" si="0"/>
        <v>1.1362344306629895</v>
      </c>
      <c r="H8" s="213">
        <f t="shared" si="0"/>
        <v>1.3798594707041787</v>
      </c>
      <c r="I8" s="213">
        <f t="shared" si="0"/>
        <v>1.6157699094906539</v>
      </c>
    </row>
  </sheetData>
  <mergeCells count="1">
    <mergeCell ref="D3:I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F48D-9FC4-407C-A6B1-92DD995DEEA3}">
  <dimension ref="E3:J9"/>
  <sheetViews>
    <sheetView tabSelected="1" workbookViewId="0">
      <selection activeCell="J5" sqref="F5:J9"/>
    </sheetView>
  </sheetViews>
  <sheetFormatPr defaultRowHeight="15" x14ac:dyDescent="0.25"/>
  <cols>
    <col min="6" max="10" width="11.5703125" bestFit="1" customWidth="1"/>
  </cols>
  <sheetData>
    <row r="3" spans="5:10" ht="15.75" thickBot="1" x14ac:dyDescent="0.3">
      <c r="E3" s="234" t="s">
        <v>94</v>
      </c>
      <c r="F3" s="234"/>
      <c r="G3" s="234"/>
      <c r="H3" s="234"/>
      <c r="I3" s="234"/>
      <c r="J3" s="234"/>
    </row>
    <row r="4" spans="5:10" ht="16.5" thickBot="1" x14ac:dyDescent="0.3">
      <c r="E4" s="181"/>
      <c r="F4" s="182">
        <v>2017</v>
      </c>
      <c r="G4" s="182">
        <v>2016</v>
      </c>
      <c r="H4" s="182">
        <v>2015</v>
      </c>
      <c r="I4" s="182">
        <v>2014</v>
      </c>
      <c r="J4" s="182">
        <v>2013</v>
      </c>
    </row>
    <row r="5" spans="5:10" ht="16.5" thickBot="1" x14ac:dyDescent="0.3">
      <c r="E5" s="183" t="s">
        <v>126</v>
      </c>
      <c r="F5" s="198">
        <f>ČPK!E5/rozvaha!B2</f>
        <v>0.47242370799393368</v>
      </c>
      <c r="G5" s="198">
        <f>ČPK!F5/rozvaha!C2</f>
        <v>0.32442319964169214</v>
      </c>
      <c r="H5" s="198">
        <f>ČPK!G5/rozvaha!D2</f>
        <v>0.33131546391752575</v>
      </c>
      <c r="I5" s="198">
        <f>ČPK!H5/rozvaha!E2</f>
        <v>0.36188809395331467</v>
      </c>
      <c r="J5" s="198">
        <f>ČPK!I5/rozvaha!F2</f>
        <v>0.33047353170370036</v>
      </c>
    </row>
    <row r="6" spans="5:10" ht="16.5" thickBot="1" x14ac:dyDescent="0.3">
      <c r="E6" s="183" t="s">
        <v>127</v>
      </c>
      <c r="F6" s="198">
        <f>rozvaha!I7/rozvaha!I2</f>
        <v>0.39865635486505219</v>
      </c>
      <c r="G6" s="198">
        <f>rozvaha!J7/rozvaha!J2</f>
        <v>0.62168793128733202</v>
      </c>
      <c r="H6" s="198">
        <f>rozvaha!K7/rozvaha!K2</f>
        <v>0.63277319587628866</v>
      </c>
      <c r="I6" s="198">
        <f>rozvaha!L7/rozvaha!L2</f>
        <v>0.61189453797783866</v>
      </c>
      <c r="J6" s="198">
        <f>rozvaha!M7/rozvaha!M2</f>
        <v>0.59485891393106716</v>
      </c>
    </row>
    <row r="7" spans="5:10" ht="16.5" thickBot="1" x14ac:dyDescent="0.3">
      <c r="E7" s="183" t="s">
        <v>128</v>
      </c>
      <c r="F7" s="198">
        <f>(výsledovka!B26+výsledovka!B23)/rozvaha!B2</f>
        <v>0.21517673943028898</v>
      </c>
      <c r="G7" s="198">
        <f>(výsledovka!C26+výsledovka!C23)/rozvaha!C2</f>
        <v>1.5551116343040147E-2</v>
      </c>
      <c r="H7" s="198">
        <f>(výsledovka!D26+výsledovka!D23)/rozvaha!D2</f>
        <v>2.0672164948453607E-2</v>
      </c>
      <c r="I7" s="198">
        <f>(výsledovka!E26+výsledovka!E23)/rozvaha!E2</f>
        <v>6.0692544589456922E-2</v>
      </c>
      <c r="J7" s="198">
        <f>(výsledovka!F26+výsledovka!F23)/rozvaha!F2</f>
        <v>8.126224683568245E-2</v>
      </c>
    </row>
    <row r="8" spans="5:10" ht="16.5" thickBot="1" x14ac:dyDescent="0.3">
      <c r="E8" s="183" t="s">
        <v>129</v>
      </c>
      <c r="F8" s="220">
        <f>rozvaha!I3/rozvaha!I9</f>
        <v>1.3043064658821739</v>
      </c>
      <c r="G8" s="220">
        <f>rozvaha!J3/rozvaha!J9</f>
        <v>1.8804600597986092</v>
      </c>
      <c r="H8" s="220">
        <f>rozvaha!K3/rozvaha!K9</f>
        <v>2.0092677366916423</v>
      </c>
      <c r="I8" s="220">
        <f>rozvaha!L3/rozvaha!L9</f>
        <v>2.1030319559375248</v>
      </c>
      <c r="J8" s="220">
        <f>rozvaha!M3/rozvaha!M9</f>
        <v>2.0856731293311532</v>
      </c>
    </row>
    <row r="9" spans="5:10" ht="15.75" x14ac:dyDescent="0.25">
      <c r="E9" s="219" t="s">
        <v>130</v>
      </c>
      <c r="F9" s="221">
        <f>6.56*F5+3.26*F6+6.72*F7+1.05*F8</f>
        <v>7.2142287194480996</v>
      </c>
      <c r="G9" s="221">
        <f t="shared" ref="G9:J9" si="0">6.56*G5+3.26*G6+6.72*G7+1.05*G8</f>
        <v>6.2339054102599718</v>
      </c>
      <c r="H9" s="221">
        <f t="shared" si="0"/>
        <v>6.4849181338355031</v>
      </c>
      <c r="I9" s="221">
        <f t="shared" si="0"/>
        <v>6.9847995435170489</v>
      </c>
      <c r="J9" s="221">
        <f t="shared" si="0"/>
        <v>6.8431855119250509</v>
      </c>
    </row>
  </sheetData>
  <mergeCells count="1">
    <mergeCell ref="E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zoomScale="70" zoomScaleNormal="70" workbookViewId="0">
      <selection activeCell="U4" sqref="U4"/>
    </sheetView>
  </sheetViews>
  <sheetFormatPr defaultRowHeight="15" x14ac:dyDescent="0.25"/>
  <sheetData>
    <row r="1" spans="1:13" ht="16.5" thickBot="1" x14ac:dyDescent="0.3">
      <c r="A1" s="1"/>
      <c r="B1" s="2">
        <v>2017</v>
      </c>
      <c r="C1" s="2">
        <v>2016</v>
      </c>
      <c r="D1" s="2">
        <v>2015</v>
      </c>
      <c r="E1" s="2">
        <v>2014</v>
      </c>
      <c r="F1" s="2">
        <v>2013</v>
      </c>
      <c r="H1" s="1"/>
      <c r="I1" s="2">
        <v>2017</v>
      </c>
      <c r="J1" s="2">
        <v>2016</v>
      </c>
      <c r="K1" s="2">
        <v>2015</v>
      </c>
      <c r="L1" s="2">
        <v>2014</v>
      </c>
      <c r="M1" s="2">
        <v>2013</v>
      </c>
    </row>
    <row r="2" spans="1:13" ht="63.75" thickBot="1" x14ac:dyDescent="0.3">
      <c r="A2" s="3" t="s">
        <v>0</v>
      </c>
      <c r="B2" s="5">
        <v>728615</v>
      </c>
      <c r="C2" s="5">
        <v>504594</v>
      </c>
      <c r="D2" s="5">
        <v>485000</v>
      </c>
      <c r="E2" s="5">
        <v>487391</v>
      </c>
      <c r="F2" s="5">
        <v>396531</v>
      </c>
      <c r="H2" s="3" t="s">
        <v>33</v>
      </c>
      <c r="I2" s="5">
        <v>728615</v>
      </c>
      <c r="J2" s="5">
        <v>504594</v>
      </c>
      <c r="K2" s="5">
        <v>485000</v>
      </c>
      <c r="L2" s="5">
        <v>467391</v>
      </c>
      <c r="M2" s="5">
        <v>396531</v>
      </c>
    </row>
    <row r="3" spans="1:13" ht="48" thickBot="1" x14ac:dyDescent="0.3">
      <c r="A3" s="6" t="s">
        <v>1</v>
      </c>
      <c r="B3" s="7">
        <v>130429</v>
      </c>
      <c r="C3" s="7">
        <v>161512</v>
      </c>
      <c r="D3" s="7">
        <v>154513</v>
      </c>
      <c r="E3" s="7">
        <v>135172</v>
      </c>
      <c r="F3" s="7">
        <v>146331</v>
      </c>
      <c r="H3" s="6" t="s">
        <v>34</v>
      </c>
      <c r="I3" s="7">
        <v>411330</v>
      </c>
      <c r="J3" s="7">
        <v>328302</v>
      </c>
      <c r="K3" s="7">
        <v>322602</v>
      </c>
      <c r="L3" s="7">
        <v>316153</v>
      </c>
      <c r="M3" s="7">
        <v>267863</v>
      </c>
    </row>
    <row r="4" spans="1:13" ht="48" thickBot="1" x14ac:dyDescent="0.3">
      <c r="A4" s="8" t="s">
        <v>2</v>
      </c>
      <c r="B4" s="9">
        <v>2037</v>
      </c>
      <c r="C4" s="9">
        <v>2672</v>
      </c>
      <c r="D4" s="9">
        <v>1921</v>
      </c>
      <c r="E4" s="9">
        <v>2919</v>
      </c>
      <c r="F4" s="9">
        <v>1321</v>
      </c>
      <c r="H4" s="10" t="s">
        <v>35</v>
      </c>
      <c r="I4" s="11">
        <v>7165</v>
      </c>
      <c r="J4" s="11">
        <v>7165</v>
      </c>
      <c r="K4" s="11">
        <v>7165</v>
      </c>
      <c r="L4" s="11">
        <v>7165</v>
      </c>
      <c r="M4" s="11">
        <v>7000</v>
      </c>
    </row>
    <row r="5" spans="1:13" ht="32.25" thickBot="1" x14ac:dyDescent="0.3">
      <c r="A5" s="10" t="s">
        <v>3</v>
      </c>
      <c r="B5" s="11">
        <v>1949</v>
      </c>
      <c r="C5" s="12">
        <v>756</v>
      </c>
      <c r="D5" s="11">
        <v>1761</v>
      </c>
      <c r="E5" s="11">
        <v>2919</v>
      </c>
      <c r="F5" s="11">
        <v>1121</v>
      </c>
      <c r="H5" s="10" t="s">
        <v>36</v>
      </c>
      <c r="I5" s="12">
        <v>0</v>
      </c>
      <c r="J5" s="11">
        <v>1018</v>
      </c>
      <c r="K5" s="11">
        <v>1017</v>
      </c>
      <c r="L5" s="11">
        <v>1373</v>
      </c>
      <c r="M5" s="12">
        <v>549</v>
      </c>
    </row>
    <row r="6" spans="1:13" ht="48" thickBot="1" x14ac:dyDescent="0.3">
      <c r="A6" s="13" t="s">
        <v>4</v>
      </c>
      <c r="B6" s="14">
        <v>1949</v>
      </c>
      <c r="C6" s="15">
        <v>756</v>
      </c>
      <c r="D6" s="14">
        <v>1761</v>
      </c>
      <c r="E6" s="14">
        <v>2867</v>
      </c>
      <c r="F6" s="15">
        <v>944</v>
      </c>
      <c r="H6" s="10" t="s">
        <v>37</v>
      </c>
      <c r="I6" s="12">
        <v>720</v>
      </c>
      <c r="J6" s="12">
        <v>720</v>
      </c>
      <c r="K6" s="12">
        <v>720</v>
      </c>
      <c r="L6" s="12">
        <v>720</v>
      </c>
      <c r="M6" s="12">
        <v>700</v>
      </c>
    </row>
    <row r="7" spans="1:13" ht="63.75" thickBot="1" x14ac:dyDescent="0.3">
      <c r="A7" s="13" t="s">
        <v>5</v>
      </c>
      <c r="B7" s="16"/>
      <c r="C7" s="16"/>
      <c r="D7" s="16"/>
      <c r="E7" s="15">
        <v>52</v>
      </c>
      <c r="F7" s="15">
        <v>177</v>
      </c>
      <c r="H7" s="10" t="s">
        <v>38</v>
      </c>
      <c r="I7" s="11">
        <v>290467</v>
      </c>
      <c r="J7" s="11">
        <v>313700</v>
      </c>
      <c r="K7" s="11">
        <v>306895</v>
      </c>
      <c r="L7" s="11">
        <v>285994</v>
      </c>
      <c r="M7" s="11">
        <v>235880</v>
      </c>
    </row>
    <row r="8" spans="1:13" ht="79.5" thickBot="1" x14ac:dyDescent="0.3">
      <c r="A8" s="10" t="s">
        <v>6</v>
      </c>
      <c r="B8" s="12">
        <v>88</v>
      </c>
      <c r="C8" s="12">
        <v>129</v>
      </c>
      <c r="D8" s="12">
        <v>160</v>
      </c>
      <c r="E8" s="12"/>
      <c r="F8" s="12"/>
      <c r="H8" s="10" t="s">
        <v>39</v>
      </c>
      <c r="I8" s="11">
        <v>112978</v>
      </c>
      <c r="J8" s="11">
        <v>5699</v>
      </c>
      <c r="K8" s="11">
        <v>6805</v>
      </c>
      <c r="L8" s="11">
        <v>20901</v>
      </c>
      <c r="M8" s="11">
        <v>23734</v>
      </c>
    </row>
    <row r="9" spans="1:13" ht="79.5" thickBot="1" x14ac:dyDescent="0.3">
      <c r="A9" s="10" t="s">
        <v>7</v>
      </c>
      <c r="B9" s="12"/>
      <c r="C9" s="11">
        <v>1787</v>
      </c>
      <c r="D9" s="12"/>
      <c r="E9" s="12"/>
      <c r="F9" s="12">
        <v>200</v>
      </c>
      <c r="H9" s="6" t="s">
        <v>40</v>
      </c>
      <c r="I9" s="7">
        <v>315363</v>
      </c>
      <c r="J9" s="7">
        <v>174586</v>
      </c>
      <c r="K9" s="7">
        <v>160557</v>
      </c>
      <c r="L9" s="7">
        <v>150332</v>
      </c>
      <c r="M9" s="7">
        <v>128430</v>
      </c>
    </row>
    <row r="10" spans="1:13" ht="48" thickBot="1" x14ac:dyDescent="0.3">
      <c r="A10" s="8" t="s">
        <v>8</v>
      </c>
      <c r="B10" s="9">
        <v>48951</v>
      </c>
      <c r="C10" s="9">
        <v>37040</v>
      </c>
      <c r="D10" s="9">
        <v>39019</v>
      </c>
      <c r="E10" s="9">
        <v>39755</v>
      </c>
      <c r="F10" s="9">
        <v>13530</v>
      </c>
      <c r="H10" s="10" t="s">
        <v>41</v>
      </c>
      <c r="I10" s="11">
        <v>7995</v>
      </c>
      <c r="J10" s="11">
        <v>4675</v>
      </c>
      <c r="K10" s="11">
        <v>4760</v>
      </c>
      <c r="L10" s="11">
        <v>4789</v>
      </c>
      <c r="M10" s="11">
        <v>4014</v>
      </c>
    </row>
    <row r="11" spans="1:13" ht="48" thickBot="1" x14ac:dyDescent="0.3">
      <c r="A11" s="10" t="s">
        <v>9</v>
      </c>
      <c r="B11" s="11">
        <v>6621</v>
      </c>
      <c r="C11" s="11">
        <v>6379</v>
      </c>
      <c r="D11" s="11">
        <v>7178</v>
      </c>
      <c r="E11" s="12">
        <v>66</v>
      </c>
      <c r="F11" s="12">
        <v>67</v>
      </c>
      <c r="H11" s="8" t="s">
        <v>42</v>
      </c>
      <c r="I11" s="9">
        <v>59753</v>
      </c>
      <c r="J11" s="9">
        <v>2526</v>
      </c>
      <c r="K11" s="9">
        <v>2788</v>
      </c>
      <c r="L11" s="9">
        <v>3529</v>
      </c>
      <c r="M11" s="9">
        <v>10458</v>
      </c>
    </row>
    <row r="12" spans="1:13" ht="95.25" thickBot="1" x14ac:dyDescent="0.3">
      <c r="A12" s="13" t="s">
        <v>10</v>
      </c>
      <c r="B12" s="16"/>
      <c r="C12" s="14">
        <v>4084</v>
      </c>
      <c r="D12" s="14">
        <v>5000</v>
      </c>
      <c r="E12" s="16"/>
      <c r="F12" s="16"/>
      <c r="H12" s="10" t="s">
        <v>43</v>
      </c>
      <c r="I12" s="11">
        <v>59753</v>
      </c>
      <c r="J12" s="12"/>
      <c r="K12" s="12"/>
      <c r="L12" s="12"/>
      <c r="M12" s="12"/>
    </row>
    <row r="13" spans="1:13" ht="48" thickBot="1" x14ac:dyDescent="0.3">
      <c r="A13" s="13" t="s">
        <v>11</v>
      </c>
      <c r="B13" s="14">
        <v>6621</v>
      </c>
      <c r="C13" s="14">
        <v>2295</v>
      </c>
      <c r="D13" s="14">
        <v>2178</v>
      </c>
      <c r="E13" s="15">
        <v>66</v>
      </c>
      <c r="F13" s="15">
        <v>67</v>
      </c>
      <c r="H13" s="10" t="s">
        <v>44</v>
      </c>
      <c r="I13" s="12"/>
      <c r="J13" s="11">
        <v>2526</v>
      </c>
      <c r="K13" s="11">
        <v>2788</v>
      </c>
      <c r="L13" s="11">
        <v>3529</v>
      </c>
      <c r="M13" s="11">
        <v>10458</v>
      </c>
    </row>
    <row r="14" spans="1:13" ht="48" thickBot="1" x14ac:dyDescent="0.3">
      <c r="A14" s="10" t="s">
        <v>12</v>
      </c>
      <c r="B14" s="11">
        <v>27200</v>
      </c>
      <c r="C14" s="11">
        <v>13347</v>
      </c>
      <c r="D14" s="11">
        <v>12919</v>
      </c>
      <c r="E14" s="11">
        <v>13516</v>
      </c>
      <c r="F14" s="11">
        <v>6079</v>
      </c>
      <c r="H14" s="8" t="s">
        <v>45</v>
      </c>
      <c r="I14" s="9">
        <v>247615</v>
      </c>
      <c r="J14" s="9">
        <v>167385</v>
      </c>
      <c r="K14" s="9">
        <v>152808</v>
      </c>
      <c r="L14" s="9">
        <v>141832</v>
      </c>
      <c r="M14" s="9">
        <v>113958</v>
      </c>
    </row>
    <row r="15" spans="1:13" ht="79.5" thickBot="1" x14ac:dyDescent="0.3">
      <c r="A15" s="10" t="s">
        <v>13</v>
      </c>
      <c r="B15" s="11">
        <v>15026</v>
      </c>
      <c r="C15" s="11">
        <v>17176</v>
      </c>
      <c r="D15" s="11">
        <v>18788</v>
      </c>
      <c r="E15" s="11">
        <v>20401</v>
      </c>
      <c r="F15" s="11">
        <v>6724</v>
      </c>
      <c r="H15" s="10" t="s">
        <v>46</v>
      </c>
      <c r="I15" s="12">
        <v>169</v>
      </c>
      <c r="J15" s="12">
        <v>112</v>
      </c>
      <c r="K15" s="12"/>
      <c r="L15" s="12"/>
      <c r="M15" s="12"/>
    </row>
    <row r="16" spans="1:13" ht="63.75" thickBot="1" x14ac:dyDescent="0.3">
      <c r="A16" s="10" t="s">
        <v>14</v>
      </c>
      <c r="B16" s="12">
        <v>104</v>
      </c>
      <c r="C16" s="12">
        <v>107</v>
      </c>
      <c r="D16" s="12">
        <v>109</v>
      </c>
      <c r="E16" s="12">
        <v>112</v>
      </c>
      <c r="F16" s="12"/>
      <c r="H16" s="10" t="s">
        <v>47</v>
      </c>
      <c r="I16" s="12">
        <v>991</v>
      </c>
      <c r="J16" s="12">
        <v>68</v>
      </c>
      <c r="K16" s="12">
        <v>334</v>
      </c>
      <c r="L16" s="12">
        <v>4</v>
      </c>
      <c r="M16" s="11">
        <v>7098</v>
      </c>
    </row>
    <row r="17" spans="1:13" ht="79.5" thickBot="1" x14ac:dyDescent="0.3">
      <c r="A17" s="10" t="s">
        <v>15</v>
      </c>
      <c r="B17" s="12"/>
      <c r="C17" s="12">
        <v>31</v>
      </c>
      <c r="D17" s="12">
        <v>25</v>
      </c>
      <c r="E17" s="11">
        <v>5660</v>
      </c>
      <c r="F17" s="12">
        <v>660</v>
      </c>
      <c r="H17" s="10" t="s">
        <v>48</v>
      </c>
      <c r="I17" s="11">
        <v>167707</v>
      </c>
      <c r="J17" s="11">
        <v>87772</v>
      </c>
      <c r="K17" s="11">
        <v>77159</v>
      </c>
      <c r="L17" s="11">
        <v>68534</v>
      </c>
      <c r="M17" s="11">
        <v>43133</v>
      </c>
    </row>
    <row r="18" spans="1:13" ht="95.25" thickBot="1" x14ac:dyDescent="0.3">
      <c r="A18" s="8" t="s">
        <v>16</v>
      </c>
      <c r="B18" s="9">
        <v>79441</v>
      </c>
      <c r="C18" s="9">
        <v>121800</v>
      </c>
      <c r="D18" s="9">
        <v>113573</v>
      </c>
      <c r="E18" s="9">
        <v>92498</v>
      </c>
      <c r="F18" s="9">
        <v>131480</v>
      </c>
      <c r="H18" s="10" t="s">
        <v>49</v>
      </c>
      <c r="I18" s="11">
        <v>4043</v>
      </c>
      <c r="J18" s="11">
        <v>29028</v>
      </c>
      <c r="K18" s="11">
        <v>29243</v>
      </c>
      <c r="L18" s="11">
        <v>25554</v>
      </c>
      <c r="M18" s="11">
        <v>33669</v>
      </c>
    </row>
    <row r="19" spans="1:13" ht="79.5" thickBot="1" x14ac:dyDescent="0.3">
      <c r="A19" s="10" t="s">
        <v>17</v>
      </c>
      <c r="B19" s="11">
        <v>79148</v>
      </c>
      <c r="C19" s="11">
        <v>121387</v>
      </c>
      <c r="D19" s="11">
        <v>96000</v>
      </c>
      <c r="E19" s="11">
        <v>80353</v>
      </c>
      <c r="F19" s="11">
        <v>120381</v>
      </c>
      <c r="H19" s="10" t="s">
        <v>50</v>
      </c>
      <c r="I19" s="11">
        <v>74705</v>
      </c>
      <c r="J19" s="11">
        <v>50405</v>
      </c>
      <c r="K19" s="11">
        <v>46072</v>
      </c>
      <c r="L19" s="11">
        <v>47740</v>
      </c>
      <c r="M19" s="11">
        <v>3058</v>
      </c>
    </row>
    <row r="20" spans="1:13" ht="48" thickBot="1" x14ac:dyDescent="0.3">
      <c r="A20" s="10" t="s">
        <v>18</v>
      </c>
      <c r="B20" s="12">
        <v>293</v>
      </c>
      <c r="C20" s="12">
        <v>413</v>
      </c>
      <c r="D20" s="11">
        <v>17573</v>
      </c>
      <c r="E20" s="11">
        <v>12146</v>
      </c>
      <c r="F20" s="11">
        <v>11099</v>
      </c>
      <c r="H20" s="6" t="s">
        <v>51</v>
      </c>
      <c r="I20" s="7">
        <v>1922</v>
      </c>
      <c r="J20" s="7">
        <v>1706</v>
      </c>
      <c r="K20" s="7">
        <v>1841</v>
      </c>
      <c r="L20" s="19">
        <v>916</v>
      </c>
      <c r="M20" s="19">
        <v>238</v>
      </c>
    </row>
    <row r="21" spans="1:13" ht="48" thickBot="1" x14ac:dyDescent="0.3">
      <c r="A21" s="6" t="s">
        <v>19</v>
      </c>
      <c r="B21" s="7">
        <v>591830</v>
      </c>
      <c r="C21" s="7">
        <v>331087</v>
      </c>
      <c r="D21" s="7">
        <v>313496</v>
      </c>
      <c r="E21" s="7">
        <v>318213</v>
      </c>
      <c r="F21" s="7">
        <v>245001</v>
      </c>
      <c r="H21" s="10" t="s">
        <v>52</v>
      </c>
      <c r="I21" s="11">
        <v>1922</v>
      </c>
      <c r="J21" s="11">
        <v>1706</v>
      </c>
      <c r="K21" s="11">
        <v>1841</v>
      </c>
      <c r="L21" s="12">
        <v>916</v>
      </c>
      <c r="M21" s="12">
        <v>238</v>
      </c>
    </row>
    <row r="22" spans="1:13" ht="16.5" thickBot="1" x14ac:dyDescent="0.3">
      <c r="A22" s="8" t="s">
        <v>20</v>
      </c>
      <c r="B22" s="17">
        <v>66</v>
      </c>
      <c r="C22" s="17">
        <v>4</v>
      </c>
      <c r="D22" s="17">
        <v>4</v>
      </c>
      <c r="E22" s="17">
        <v>4</v>
      </c>
      <c r="F22" s="17">
        <v>369</v>
      </c>
    </row>
    <row r="23" spans="1:13" ht="16.5" thickBot="1" x14ac:dyDescent="0.3">
      <c r="A23" s="10" t="s">
        <v>21</v>
      </c>
      <c r="B23" s="12">
        <v>66</v>
      </c>
      <c r="C23" s="12">
        <v>4</v>
      </c>
      <c r="D23" s="12">
        <v>4</v>
      </c>
      <c r="E23" s="12">
        <v>4</v>
      </c>
      <c r="F23" s="12">
        <v>369</v>
      </c>
    </row>
    <row r="24" spans="1:13" ht="32.25" thickBot="1" x14ac:dyDescent="0.3">
      <c r="A24" s="8" t="s">
        <v>22</v>
      </c>
      <c r="B24" s="9">
        <v>549379</v>
      </c>
      <c r="C24" s="9">
        <v>289749</v>
      </c>
      <c r="D24" s="9">
        <v>295047</v>
      </c>
      <c r="E24" s="9">
        <v>282786</v>
      </c>
      <c r="F24" s="18"/>
    </row>
    <row r="25" spans="1:13" ht="63.75" thickBot="1" x14ac:dyDescent="0.3">
      <c r="A25" s="10" t="s">
        <v>23</v>
      </c>
      <c r="B25" s="11">
        <v>8543</v>
      </c>
      <c r="C25" s="11">
        <v>1281</v>
      </c>
      <c r="D25" s="11">
        <v>1072</v>
      </c>
      <c r="E25" s="11">
        <v>10165</v>
      </c>
      <c r="F25" s="11">
        <v>7029</v>
      </c>
    </row>
    <row r="26" spans="1:13" ht="79.5" thickBot="1" x14ac:dyDescent="0.3">
      <c r="A26" s="13" t="s">
        <v>24</v>
      </c>
      <c r="B26" s="14">
        <v>5357</v>
      </c>
      <c r="C26" s="16"/>
      <c r="D26" s="15">
        <v>114</v>
      </c>
      <c r="E26" s="14">
        <v>7290</v>
      </c>
      <c r="F26" s="14">
        <v>6145</v>
      </c>
    </row>
    <row r="27" spans="1:13" ht="63.75" thickBot="1" x14ac:dyDescent="0.3">
      <c r="A27" s="13" t="s">
        <v>25</v>
      </c>
      <c r="B27" s="14">
        <v>1725</v>
      </c>
      <c r="C27" s="16"/>
      <c r="D27" s="16"/>
      <c r="E27" s="14">
        <v>2850</v>
      </c>
      <c r="F27" s="16"/>
    </row>
    <row r="28" spans="1:13" ht="48" thickBot="1" x14ac:dyDescent="0.3">
      <c r="A28" s="13" t="s">
        <v>26</v>
      </c>
      <c r="B28" s="14">
        <v>1461</v>
      </c>
      <c r="C28" s="14">
        <v>1281</v>
      </c>
      <c r="D28" s="15">
        <v>958</v>
      </c>
      <c r="E28" s="15">
        <v>25</v>
      </c>
      <c r="F28" s="15">
        <v>884</v>
      </c>
    </row>
    <row r="29" spans="1:13" ht="63.75" thickBot="1" x14ac:dyDescent="0.3">
      <c r="A29" s="10" t="s">
        <v>27</v>
      </c>
      <c r="B29" s="11">
        <v>540836</v>
      </c>
      <c r="C29" s="11">
        <v>288468</v>
      </c>
      <c r="D29" s="11">
        <v>293975</v>
      </c>
      <c r="E29" s="11">
        <v>272621</v>
      </c>
      <c r="F29" s="11">
        <v>196967</v>
      </c>
    </row>
    <row r="30" spans="1:13" ht="79.5" thickBot="1" x14ac:dyDescent="0.3">
      <c r="A30" s="13" t="s">
        <v>24</v>
      </c>
      <c r="B30" s="14">
        <v>336001</v>
      </c>
      <c r="C30" s="14">
        <v>208474</v>
      </c>
      <c r="D30" s="14">
        <v>206337</v>
      </c>
      <c r="E30" s="14">
        <v>170057</v>
      </c>
      <c r="F30" s="14">
        <v>113185</v>
      </c>
    </row>
    <row r="31" spans="1:13" ht="63.75" thickBot="1" x14ac:dyDescent="0.3">
      <c r="A31" s="13" t="s">
        <v>25</v>
      </c>
      <c r="B31" s="14">
        <v>181224</v>
      </c>
      <c r="C31" s="14">
        <v>63363</v>
      </c>
      <c r="D31" s="14">
        <v>69168</v>
      </c>
      <c r="E31" s="14">
        <v>77528</v>
      </c>
      <c r="F31" s="14">
        <v>59474</v>
      </c>
    </row>
    <row r="32" spans="1:13" ht="48" thickBot="1" x14ac:dyDescent="0.3">
      <c r="A32" s="13" t="s">
        <v>26</v>
      </c>
      <c r="B32" s="14">
        <v>23611</v>
      </c>
      <c r="C32" s="14">
        <v>16631</v>
      </c>
      <c r="D32" s="14">
        <v>18470</v>
      </c>
      <c r="E32" s="14">
        <v>25036</v>
      </c>
      <c r="F32" s="14">
        <v>24308</v>
      </c>
    </row>
    <row r="33" spans="1:6" ht="48" thickBot="1" x14ac:dyDescent="0.3">
      <c r="A33" s="8" t="s">
        <v>28</v>
      </c>
      <c r="B33" s="9">
        <v>42385</v>
      </c>
      <c r="C33" s="9">
        <v>41334</v>
      </c>
      <c r="D33" s="9">
        <v>18445</v>
      </c>
      <c r="E33" s="9">
        <v>35423</v>
      </c>
      <c r="F33" s="9">
        <v>40636</v>
      </c>
    </row>
    <row r="34" spans="1:6" ht="16.5" thickBot="1" x14ac:dyDescent="0.3">
      <c r="A34" s="10" t="s">
        <v>29</v>
      </c>
      <c r="B34" s="12">
        <v>780</v>
      </c>
      <c r="C34" s="12">
        <v>686</v>
      </c>
      <c r="D34" s="12">
        <v>477</v>
      </c>
      <c r="E34" s="11">
        <v>1379</v>
      </c>
      <c r="F34" s="11">
        <v>1150</v>
      </c>
    </row>
    <row r="35" spans="1:6" ht="16.5" thickBot="1" x14ac:dyDescent="0.3">
      <c r="A35" s="10" t="s">
        <v>30</v>
      </c>
      <c r="B35" s="11">
        <v>41605</v>
      </c>
      <c r="C35" s="11">
        <v>40648</v>
      </c>
      <c r="D35" s="11">
        <v>17968</v>
      </c>
      <c r="E35" s="11">
        <v>34044</v>
      </c>
      <c r="F35" s="11">
        <v>39486</v>
      </c>
    </row>
    <row r="36" spans="1:6" ht="48" thickBot="1" x14ac:dyDescent="0.3">
      <c r="A36" s="6" t="s">
        <v>31</v>
      </c>
      <c r="B36" s="7">
        <v>6356</v>
      </c>
      <c r="C36" s="7">
        <v>11995</v>
      </c>
      <c r="D36" s="7">
        <v>16991</v>
      </c>
      <c r="E36" s="7">
        <v>14006</v>
      </c>
      <c r="F36" s="7">
        <v>5199</v>
      </c>
    </row>
    <row r="37" spans="1:6" ht="48" thickBot="1" x14ac:dyDescent="0.3">
      <c r="A37" s="10" t="s">
        <v>32</v>
      </c>
      <c r="B37" s="11">
        <v>6356</v>
      </c>
      <c r="C37" s="11">
        <v>11995</v>
      </c>
      <c r="D37" s="11">
        <v>16991</v>
      </c>
      <c r="E37" s="11">
        <v>14006</v>
      </c>
      <c r="F37" s="11">
        <v>5199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19FB-F951-4D23-9CD3-A2005BA0A3CB}">
  <dimension ref="A1:H27"/>
  <sheetViews>
    <sheetView topLeftCell="A19" zoomScale="80" zoomScaleNormal="80" workbookViewId="0">
      <selection activeCell="O16" sqref="O16"/>
    </sheetView>
  </sheetViews>
  <sheetFormatPr defaultRowHeight="15" x14ac:dyDescent="0.25"/>
  <cols>
    <col min="2" max="2" width="10.140625" customWidth="1"/>
    <col min="9" max="9" width="9.140625" customWidth="1"/>
  </cols>
  <sheetData>
    <row r="1" spans="1:8" ht="16.5" thickBot="1" x14ac:dyDescent="0.3">
      <c r="A1" s="1"/>
      <c r="B1" s="2">
        <v>2017</v>
      </c>
      <c r="C1" s="2">
        <v>2016</v>
      </c>
      <c r="D1" s="2">
        <v>2015</v>
      </c>
      <c r="E1" s="2">
        <v>2014</v>
      </c>
      <c r="F1" s="2">
        <v>2013</v>
      </c>
    </row>
    <row r="2" spans="1:8" ht="48" thickBot="1" x14ac:dyDescent="0.3">
      <c r="A2" s="102" t="s">
        <v>59</v>
      </c>
      <c r="B2" s="103">
        <v>62636</v>
      </c>
      <c r="C2" s="103">
        <v>33841</v>
      </c>
      <c r="D2" s="103">
        <v>30005</v>
      </c>
      <c r="E2" s="103">
        <v>28313</v>
      </c>
      <c r="F2" s="103">
        <v>27170</v>
      </c>
    </row>
    <row r="3" spans="1:8" ht="63.75" thickBot="1" x14ac:dyDescent="0.3">
      <c r="A3" s="104" t="s">
        <v>60</v>
      </c>
      <c r="B3" s="105">
        <v>49466</v>
      </c>
      <c r="C3" s="105">
        <v>27628</v>
      </c>
      <c r="D3" s="105">
        <v>23192</v>
      </c>
      <c r="E3" s="105">
        <v>21959</v>
      </c>
      <c r="F3" s="105">
        <v>21876</v>
      </c>
    </row>
    <row r="4" spans="1:8" ht="32.25" thickBot="1" x14ac:dyDescent="0.3">
      <c r="A4" s="6" t="s">
        <v>61</v>
      </c>
      <c r="B4" s="7">
        <v>13170</v>
      </c>
      <c r="C4" s="7">
        <v>6213</v>
      </c>
      <c r="D4" s="7">
        <v>8813</v>
      </c>
      <c r="E4" s="7">
        <v>6354</v>
      </c>
      <c r="F4" s="7">
        <v>5294</v>
      </c>
    </row>
    <row r="5" spans="1:8" ht="16.5" thickBot="1" x14ac:dyDescent="0.3">
      <c r="A5" s="102" t="s">
        <v>62</v>
      </c>
      <c r="B5" s="103">
        <v>1799084</v>
      </c>
      <c r="C5" s="103">
        <v>995374</v>
      </c>
      <c r="D5" s="103">
        <v>923458</v>
      </c>
      <c r="E5" s="103">
        <v>902767</v>
      </c>
      <c r="F5" s="103">
        <v>746742</v>
      </c>
      <c r="H5" s="4">
        <f>C4+C5-C6</f>
        <v>318170</v>
      </c>
    </row>
    <row r="6" spans="1:8" ht="48" thickBot="1" x14ac:dyDescent="0.3">
      <c r="A6" s="104" t="s">
        <v>63</v>
      </c>
      <c r="B6" s="105">
        <v>1267123</v>
      </c>
      <c r="C6" s="105">
        <v>683417</v>
      </c>
      <c r="D6" s="105">
        <v>605868</v>
      </c>
      <c r="E6" s="105">
        <v>575067</v>
      </c>
      <c r="F6" s="105">
        <v>479588</v>
      </c>
    </row>
    <row r="7" spans="1:8" ht="48" thickBot="1" x14ac:dyDescent="0.3">
      <c r="A7" s="107" t="s">
        <v>64</v>
      </c>
      <c r="B7" s="108">
        <v>115866</v>
      </c>
      <c r="C7" s="108">
        <v>62508</v>
      </c>
      <c r="D7" s="108">
        <v>61427</v>
      </c>
      <c r="E7" s="108">
        <v>62164</v>
      </c>
      <c r="F7" s="108">
        <v>30364</v>
      </c>
    </row>
    <row r="8" spans="1:8" ht="16.5" thickBot="1" x14ac:dyDescent="0.3">
      <c r="A8" s="107" t="s">
        <v>65</v>
      </c>
      <c r="B8" s="108">
        <v>1151257</v>
      </c>
      <c r="C8" s="108">
        <v>620909</v>
      </c>
      <c r="D8" s="108">
        <v>544441</v>
      </c>
      <c r="E8" s="108">
        <v>512903</v>
      </c>
      <c r="F8" s="108">
        <v>449224</v>
      </c>
    </row>
    <row r="9" spans="1:8" ht="32.25" thickBot="1" x14ac:dyDescent="0.3">
      <c r="A9" s="6" t="s">
        <v>66</v>
      </c>
      <c r="B9" s="7">
        <v>545131</v>
      </c>
      <c r="C9" s="7">
        <v>318170</v>
      </c>
      <c r="D9" s="7">
        <v>324403</v>
      </c>
      <c r="E9" s="7">
        <v>334054</v>
      </c>
      <c r="F9" s="7">
        <v>272448</v>
      </c>
    </row>
    <row r="10" spans="1:8" ht="32.25" thickBot="1" x14ac:dyDescent="0.3">
      <c r="A10" s="104" t="s">
        <v>67</v>
      </c>
      <c r="B10" s="105">
        <v>472643</v>
      </c>
      <c r="C10" s="105">
        <v>301635</v>
      </c>
      <c r="D10" s="105">
        <v>304352</v>
      </c>
      <c r="E10" s="105">
        <v>291809</v>
      </c>
      <c r="F10" s="105">
        <v>237772</v>
      </c>
    </row>
    <row r="11" spans="1:8" ht="32.25" thickBot="1" x14ac:dyDescent="0.3">
      <c r="A11" s="107" t="s">
        <v>68</v>
      </c>
      <c r="B11" s="108">
        <v>373429</v>
      </c>
      <c r="C11" s="108">
        <v>234487</v>
      </c>
      <c r="D11" s="108">
        <v>235184</v>
      </c>
      <c r="E11" s="108">
        <v>223601</v>
      </c>
      <c r="F11" s="108">
        <v>182493</v>
      </c>
    </row>
    <row r="12" spans="1:8" ht="48" thickBot="1" x14ac:dyDescent="0.3">
      <c r="A12" s="107" t="s">
        <v>69</v>
      </c>
      <c r="B12" s="108">
        <v>98504</v>
      </c>
      <c r="C12" s="108">
        <v>66647</v>
      </c>
      <c r="D12" s="108">
        <v>68705</v>
      </c>
      <c r="E12" s="108">
        <v>67625</v>
      </c>
      <c r="F12" s="108">
        <v>54559</v>
      </c>
    </row>
    <row r="13" spans="1:8" ht="48" thickBot="1" x14ac:dyDescent="0.3">
      <c r="A13" s="107" t="s">
        <v>70</v>
      </c>
      <c r="B13" s="109">
        <v>710</v>
      </c>
      <c r="C13" s="109">
        <v>501</v>
      </c>
      <c r="D13" s="109">
        <v>463</v>
      </c>
      <c r="E13" s="109">
        <v>583</v>
      </c>
      <c r="F13" s="109">
        <v>720</v>
      </c>
    </row>
    <row r="14" spans="1:8" ht="32.25" thickBot="1" x14ac:dyDescent="0.3">
      <c r="A14" s="104" t="s">
        <v>71</v>
      </c>
      <c r="B14" s="105">
        <v>1779</v>
      </c>
      <c r="C14" s="105">
        <v>1253</v>
      </c>
      <c r="D14" s="105">
        <v>1224</v>
      </c>
      <c r="E14" s="105">
        <v>1274</v>
      </c>
      <c r="F14" s="106">
        <v>350</v>
      </c>
    </row>
    <row r="15" spans="1:8" ht="16.5" thickBot="1" x14ac:dyDescent="0.3">
      <c r="A15" s="104" t="s">
        <v>72</v>
      </c>
      <c r="B15" s="105">
        <v>17300</v>
      </c>
      <c r="C15" s="105">
        <v>9105</v>
      </c>
      <c r="D15" s="105">
        <v>9852</v>
      </c>
      <c r="E15" s="105">
        <v>9544</v>
      </c>
      <c r="F15" s="105">
        <v>7171</v>
      </c>
    </row>
    <row r="16" spans="1:8" ht="79.5" thickBot="1" x14ac:dyDescent="0.3">
      <c r="A16" s="102" t="s">
        <v>73</v>
      </c>
      <c r="B16" s="103">
        <v>16151</v>
      </c>
      <c r="C16" s="103">
        <v>13605</v>
      </c>
      <c r="D16" s="103">
        <v>4630</v>
      </c>
      <c r="E16" s="103">
        <v>3739</v>
      </c>
      <c r="F16" s="103">
        <v>4374</v>
      </c>
    </row>
    <row r="17" spans="1:6" ht="111" thickBot="1" x14ac:dyDescent="0.3">
      <c r="A17" s="104" t="s">
        <v>74</v>
      </c>
      <c r="B17" s="105">
        <v>12729</v>
      </c>
      <c r="C17" s="105">
        <v>12054</v>
      </c>
      <c r="D17" s="105">
        <v>2533</v>
      </c>
      <c r="E17" s="105">
        <v>3147</v>
      </c>
      <c r="F17" s="105">
        <v>2236</v>
      </c>
    </row>
    <row r="18" spans="1:6" ht="48" thickBot="1" x14ac:dyDescent="0.3">
      <c r="A18" s="104" t="s">
        <v>75</v>
      </c>
      <c r="B18" s="105">
        <v>2312</v>
      </c>
      <c r="C18" s="106">
        <v>-85</v>
      </c>
      <c r="D18" s="106">
        <v>-75</v>
      </c>
      <c r="E18" s="105">
        <v>1371</v>
      </c>
      <c r="F18" s="106">
        <v>-289</v>
      </c>
    </row>
    <row r="19" spans="1:6" ht="48" thickBot="1" x14ac:dyDescent="0.3">
      <c r="A19" s="102" t="s">
        <v>76</v>
      </c>
      <c r="B19" s="103">
        <v>2001</v>
      </c>
      <c r="C19" s="103">
        <v>3533</v>
      </c>
      <c r="D19" s="103">
        <v>4529</v>
      </c>
      <c r="E19" s="103">
        <v>1764</v>
      </c>
      <c r="F19" s="103">
        <v>3719</v>
      </c>
    </row>
    <row r="20" spans="1:6" ht="48" thickBot="1" x14ac:dyDescent="0.3">
      <c r="A20" s="104" t="s">
        <v>77</v>
      </c>
      <c r="B20" s="105">
        <v>9038</v>
      </c>
      <c r="C20" s="105">
        <v>5281</v>
      </c>
      <c r="D20" s="105">
        <v>8887</v>
      </c>
      <c r="E20" s="105">
        <v>5177</v>
      </c>
      <c r="F20" s="105">
        <v>3294</v>
      </c>
    </row>
    <row r="21" spans="1:6" ht="79.5" thickBot="1" x14ac:dyDescent="0.3">
      <c r="A21" s="6" t="s">
        <v>78</v>
      </c>
      <c r="B21" s="7">
        <v>47482</v>
      </c>
      <c r="C21" s="7">
        <v>6065</v>
      </c>
      <c r="D21" s="7">
        <v>6789</v>
      </c>
      <c r="E21" s="7">
        <v>27235</v>
      </c>
      <c r="F21" s="7">
        <v>30007</v>
      </c>
    </row>
    <row r="22" spans="1:6" ht="63.75" thickBot="1" x14ac:dyDescent="0.3">
      <c r="A22" s="102" t="s">
        <v>79</v>
      </c>
      <c r="B22" s="103">
        <v>109153</v>
      </c>
      <c r="C22" s="103">
        <v>1782</v>
      </c>
      <c r="D22" s="103">
        <v>3237</v>
      </c>
      <c r="E22" s="103">
        <v>2346</v>
      </c>
      <c r="F22" s="103">
        <v>2216</v>
      </c>
    </row>
    <row r="23" spans="1:6" ht="63.75" thickBot="1" x14ac:dyDescent="0.3">
      <c r="A23" s="104" t="s">
        <v>80</v>
      </c>
      <c r="B23" s="105">
        <v>35785</v>
      </c>
      <c r="C23" s="105">
        <v>1170</v>
      </c>
      <c r="D23" s="105">
        <v>1855</v>
      </c>
      <c r="E23" s="105">
        <v>3753</v>
      </c>
      <c r="F23" s="105">
        <v>3029</v>
      </c>
    </row>
    <row r="24" spans="1:6" ht="79.5" thickBot="1" x14ac:dyDescent="0.3">
      <c r="A24" s="6" t="s">
        <v>81</v>
      </c>
      <c r="B24" s="7">
        <v>73514</v>
      </c>
      <c r="C24" s="19">
        <v>612</v>
      </c>
      <c r="D24" s="7">
        <v>1382</v>
      </c>
      <c r="E24" s="7">
        <v>-1407</v>
      </c>
      <c r="F24" s="19">
        <v>-813</v>
      </c>
    </row>
    <row r="25" spans="1:6" ht="48" thickBot="1" x14ac:dyDescent="0.3">
      <c r="A25" s="104" t="s">
        <v>82</v>
      </c>
      <c r="B25" s="105">
        <v>8018</v>
      </c>
      <c r="C25" s="106">
        <v>978</v>
      </c>
      <c r="D25" s="105">
        <v>1366</v>
      </c>
      <c r="E25" s="105">
        <v>4927</v>
      </c>
      <c r="F25" s="105">
        <v>5909</v>
      </c>
    </row>
    <row r="26" spans="1:6" ht="111" thickBot="1" x14ac:dyDescent="0.3">
      <c r="A26" s="6" t="s">
        <v>83</v>
      </c>
      <c r="B26" s="7">
        <v>120996</v>
      </c>
      <c r="C26" s="7">
        <v>6677</v>
      </c>
      <c r="D26" s="7">
        <v>8171</v>
      </c>
      <c r="E26" s="7">
        <v>25828</v>
      </c>
      <c r="F26" s="7">
        <v>29194</v>
      </c>
    </row>
    <row r="27" spans="1:6" ht="95.25" thickBot="1" x14ac:dyDescent="0.3">
      <c r="A27" s="3" t="s">
        <v>84</v>
      </c>
      <c r="B27" s="5">
        <v>112978</v>
      </c>
      <c r="C27" s="5">
        <v>5699</v>
      </c>
      <c r="D27" s="5">
        <v>6805</v>
      </c>
      <c r="E27" s="5">
        <v>20961</v>
      </c>
      <c r="F27" s="5">
        <v>23734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3637-9227-487C-B0D0-513168199988}">
  <dimension ref="A1:AC39"/>
  <sheetViews>
    <sheetView topLeftCell="A4" zoomScale="70" zoomScaleNormal="70" zoomScalePageLayoutView="50" workbookViewId="0">
      <selection activeCell="C4" sqref="C4"/>
    </sheetView>
  </sheetViews>
  <sheetFormatPr defaultRowHeight="15" x14ac:dyDescent="0.25"/>
  <cols>
    <col min="2" max="3" width="10.5703125" customWidth="1"/>
    <col min="4" max="4" width="10.85546875" customWidth="1"/>
    <col min="5" max="5" width="10.85546875" style="21" customWidth="1"/>
    <col min="6" max="6" width="12.140625" customWidth="1"/>
    <col min="7" max="7" width="12.140625" style="21" customWidth="1"/>
    <col min="8" max="8" width="12.42578125" customWidth="1"/>
    <col min="9" max="9" width="12.42578125" style="21" customWidth="1"/>
    <col min="12" max="12" width="10.5703125" customWidth="1"/>
    <col min="13" max="13" width="10.5703125" style="21" customWidth="1"/>
    <col min="14" max="14" width="10.85546875" customWidth="1"/>
    <col min="15" max="15" width="10.85546875" style="21" customWidth="1"/>
    <col min="16" max="16" width="12.140625" customWidth="1"/>
    <col min="17" max="17" width="12.140625" style="21" customWidth="1"/>
    <col min="18" max="18" width="12.42578125" customWidth="1"/>
    <col min="19" max="19" width="12.42578125" style="21" customWidth="1"/>
    <col min="22" max="22" width="9.28515625" bestFit="1" customWidth="1"/>
    <col min="23" max="23" width="9.140625" style="21"/>
    <col min="24" max="24" width="10.140625" bestFit="1" customWidth="1"/>
    <col min="25" max="25" width="9.140625" style="21"/>
    <col min="27" max="27" width="9.140625" style="21"/>
    <col min="29" max="29" width="9.140625" style="21"/>
  </cols>
  <sheetData>
    <row r="1" spans="1:29" ht="15.75" thickBot="1" x14ac:dyDescent="0.3"/>
    <row r="2" spans="1:29" ht="32.25" customHeight="1" thickBot="1" x14ac:dyDescent="0.3">
      <c r="A2" s="22"/>
      <c r="B2" s="230" t="s">
        <v>53</v>
      </c>
      <c r="C2" s="231"/>
      <c r="D2" s="232" t="s">
        <v>54</v>
      </c>
      <c r="E2" s="232"/>
      <c r="F2" s="230" t="s">
        <v>55</v>
      </c>
      <c r="G2" s="231"/>
      <c r="H2" s="230" t="s">
        <v>56</v>
      </c>
      <c r="I2" s="231"/>
      <c r="K2" s="22"/>
      <c r="L2" s="233" t="s">
        <v>53</v>
      </c>
      <c r="M2" s="229"/>
      <c r="N2" s="228" t="s">
        <v>54</v>
      </c>
      <c r="O2" s="228"/>
      <c r="P2" s="233" t="s">
        <v>55</v>
      </c>
      <c r="Q2" s="229"/>
      <c r="R2" s="228" t="s">
        <v>56</v>
      </c>
      <c r="S2" s="229"/>
      <c r="U2" s="22"/>
      <c r="V2" s="233" t="s">
        <v>53</v>
      </c>
      <c r="W2" s="229"/>
      <c r="X2" s="228" t="s">
        <v>54</v>
      </c>
      <c r="Y2" s="228"/>
      <c r="Z2" s="233" t="s">
        <v>55</v>
      </c>
      <c r="AA2" s="229"/>
      <c r="AB2" s="228" t="s">
        <v>56</v>
      </c>
      <c r="AC2" s="229"/>
    </row>
    <row r="3" spans="1:29" ht="32.25" customHeight="1" thickBot="1" x14ac:dyDescent="0.3">
      <c r="A3" s="41"/>
      <c r="B3" s="42" t="s">
        <v>57</v>
      </c>
      <c r="C3" s="43" t="s">
        <v>58</v>
      </c>
      <c r="D3" s="44" t="s">
        <v>57</v>
      </c>
      <c r="E3" s="45" t="s">
        <v>58</v>
      </c>
      <c r="F3" s="42" t="s">
        <v>57</v>
      </c>
      <c r="G3" s="46" t="s">
        <v>58</v>
      </c>
      <c r="H3" s="42" t="s">
        <v>57</v>
      </c>
      <c r="I3" s="46" t="s">
        <v>58</v>
      </c>
      <c r="K3" s="41"/>
      <c r="L3" s="85" t="s">
        <v>57</v>
      </c>
      <c r="M3" s="86" t="s">
        <v>58</v>
      </c>
      <c r="N3" s="87" t="s">
        <v>57</v>
      </c>
      <c r="O3" s="88" t="s">
        <v>58</v>
      </c>
      <c r="P3" s="85" t="s">
        <v>57</v>
      </c>
      <c r="Q3" s="86" t="s">
        <v>58</v>
      </c>
      <c r="R3" s="87" t="s">
        <v>57</v>
      </c>
      <c r="S3" s="86" t="s">
        <v>58</v>
      </c>
      <c r="V3" s="85" t="s">
        <v>57</v>
      </c>
      <c r="W3" s="86" t="s">
        <v>58</v>
      </c>
      <c r="X3" s="87" t="s">
        <v>57</v>
      </c>
      <c r="Y3" s="88" t="s">
        <v>58</v>
      </c>
      <c r="Z3" s="85" t="s">
        <v>57</v>
      </c>
      <c r="AA3" s="86" t="s">
        <v>58</v>
      </c>
      <c r="AB3" s="87" t="s">
        <v>57</v>
      </c>
      <c r="AC3" s="86" t="s">
        <v>58</v>
      </c>
    </row>
    <row r="4" spans="1:29" ht="63.75" thickBot="1" x14ac:dyDescent="0.3">
      <c r="A4" s="47" t="s">
        <v>0</v>
      </c>
      <c r="B4" s="48">
        <f>rozvaha!B2-rozvaha!C2</f>
        <v>224021</v>
      </c>
      <c r="C4" s="49">
        <f>rozvaha!B2/rozvaha!C2-1</f>
        <v>0.44396286915817473</v>
      </c>
      <c r="D4" s="50">
        <f>rozvaha!C2-rozvaha!D2</f>
        <v>19594</v>
      </c>
      <c r="E4" s="51">
        <f>rozvaha!C2/rozvaha!D2-1</f>
        <v>4.0399999999999991E-2</v>
      </c>
      <c r="F4" s="48">
        <f>rozvaha!D2-rozvaha!E2</f>
        <v>-2391</v>
      </c>
      <c r="G4" s="49">
        <f>rozvaha!D2/rozvaha!E2-1</f>
        <v>-4.9057122515598905E-3</v>
      </c>
      <c r="H4" s="48">
        <f>rozvaha!E2-rozvaha!F2</f>
        <v>90860</v>
      </c>
      <c r="I4" s="49">
        <f>rozvaha!E2/rozvaha!F2-1</f>
        <v>0.22913719230022367</v>
      </c>
      <c r="K4" s="47" t="s">
        <v>33</v>
      </c>
      <c r="L4" s="48">
        <f>rozvaha!I2-rozvaha!J2</f>
        <v>224021</v>
      </c>
      <c r="M4" s="49">
        <f>rozvaha!I2/rozvaha!J2-1</f>
        <v>0.44396286915817473</v>
      </c>
      <c r="N4" s="50">
        <f>rozvaha!J2-rozvaha!K2</f>
        <v>19594</v>
      </c>
      <c r="O4" s="51">
        <f>rozvaha!J2/rozvaha!K2-1</f>
        <v>4.0399999999999991E-2</v>
      </c>
      <c r="P4" s="48">
        <f>rozvaha!K2-rozvaha!L2</f>
        <v>17609</v>
      </c>
      <c r="Q4" s="49">
        <f>rozvaha!K2/rozvaha!L2-1</f>
        <v>3.767509430006144E-2</v>
      </c>
      <c r="R4" s="50">
        <f>rozvaha!L2-rozvaha!M2</f>
        <v>70860</v>
      </c>
      <c r="S4" s="49">
        <f>rozvaha!L2/rozvaha!M2-1</f>
        <v>0.17869977378817792</v>
      </c>
      <c r="U4" s="116" t="s">
        <v>59</v>
      </c>
      <c r="V4" s="126">
        <f>výsledovka!B2-výsledovka!C2</f>
        <v>28795</v>
      </c>
      <c r="W4" s="110">
        <f>výsledovka!B2/výsledovka!C2-1</f>
        <v>0.85089093111905667</v>
      </c>
      <c r="X4" s="120">
        <f>výsledovka!C2-výsledovka!D2</f>
        <v>3836</v>
      </c>
      <c r="Y4" s="130">
        <f>výsledovka!C2/výsledovka!D2-1</f>
        <v>0.1278453591068156</v>
      </c>
      <c r="Z4" s="126">
        <f>výsledovka!D2-výsledovka!E2</f>
        <v>1692</v>
      </c>
      <c r="AA4" s="110">
        <f>výsledovka!D2/výsledovka!E2-1</f>
        <v>5.9760534030304013E-2</v>
      </c>
      <c r="AB4" s="120">
        <f>výsledovka!E2-výsledovka!F2</f>
        <v>1143</v>
      </c>
      <c r="AC4" s="110">
        <f>výsledovka!E2/výsledovka!F2-1</f>
        <v>4.2068457857931563E-2</v>
      </c>
    </row>
    <row r="5" spans="1:29" ht="63.75" thickBot="1" x14ac:dyDescent="0.3">
      <c r="A5" s="73" t="s">
        <v>1</v>
      </c>
      <c r="B5" s="74">
        <f>rozvaha!B3-rozvaha!C3</f>
        <v>-31083</v>
      </c>
      <c r="C5" s="75">
        <f>rozvaha!B3/rozvaha!C3-1</f>
        <v>-0.19245009658725043</v>
      </c>
      <c r="D5" s="76">
        <f>rozvaha!C3-rozvaha!D3</f>
        <v>6999</v>
      </c>
      <c r="E5" s="77">
        <f>rozvaha!C3/rozvaha!D3-1</f>
        <v>4.529715946231061E-2</v>
      </c>
      <c r="F5" s="74">
        <f>rozvaha!D3-rozvaha!E3</f>
        <v>19341</v>
      </c>
      <c r="G5" s="75">
        <f>rozvaha!D3/rozvaha!E3-1</f>
        <v>0.14308436658479562</v>
      </c>
      <c r="H5" s="74">
        <f>rozvaha!E3-rozvaha!F3</f>
        <v>-11159</v>
      </c>
      <c r="I5" s="75">
        <f>rozvaha!E3/rozvaha!F3-1</f>
        <v>-7.6258619157936414E-2</v>
      </c>
      <c r="K5" s="73" t="s">
        <v>34</v>
      </c>
      <c r="L5" s="74">
        <f>rozvaha!I3-rozvaha!J3</f>
        <v>83028</v>
      </c>
      <c r="M5" s="75">
        <f>rozvaha!I3/rozvaha!J3-1</f>
        <v>0.25290129210300272</v>
      </c>
      <c r="N5" s="76">
        <f>rozvaha!J3-rozvaha!K3</f>
        <v>5700</v>
      </c>
      <c r="O5" s="77">
        <f>rozvaha!J3/rozvaha!K3-1</f>
        <v>1.7668830323432694E-2</v>
      </c>
      <c r="P5" s="74">
        <f>rozvaha!K3-rozvaha!L3</f>
        <v>6449</v>
      </c>
      <c r="Q5" s="75">
        <f>rozvaha!K3/rozvaha!L3-1</f>
        <v>2.0398351431110795E-2</v>
      </c>
      <c r="R5" s="76">
        <f>rozvaha!L3-rozvaha!M3</f>
        <v>48290</v>
      </c>
      <c r="S5" s="75">
        <f>rozvaha!L3/rozvaha!M3-1</f>
        <v>0.18027872457188931</v>
      </c>
      <c r="U5" s="134" t="s">
        <v>60</v>
      </c>
      <c r="V5" s="135">
        <f>výsledovka!B3-výsledovka!C3</f>
        <v>21838</v>
      </c>
      <c r="W5" s="136">
        <f>výsledovka!B3/výsledovka!C3-1</f>
        <v>0.79042999855219342</v>
      </c>
      <c r="X5" s="137">
        <f>výsledovka!C3-výsledovka!D3</f>
        <v>4436</v>
      </c>
      <c r="Y5" s="138">
        <f>výsledovka!C3/výsledovka!D3-1</f>
        <v>0.19127285270783023</v>
      </c>
      <c r="Z5" s="135">
        <f>výsledovka!D3-výsledovka!E3</f>
        <v>1233</v>
      </c>
      <c r="AA5" s="136">
        <f>výsledovka!D3/výsledovka!E3-1</f>
        <v>5.6150097909740904E-2</v>
      </c>
      <c r="AB5" s="137">
        <f>výsledovka!E3-výsledovka!F3</f>
        <v>83</v>
      </c>
      <c r="AC5" s="136">
        <f>výsledovka!E3/výsledovka!F3-1</f>
        <v>3.7941122691533824E-3</v>
      </c>
    </row>
    <row r="6" spans="1:29" ht="48" thickBot="1" x14ac:dyDescent="0.3">
      <c r="A6" s="89" t="s">
        <v>2</v>
      </c>
      <c r="B6" s="52">
        <f>rozvaha!B4-rozvaha!C4</f>
        <v>-635</v>
      </c>
      <c r="C6" s="53">
        <f>rozvaha!B4/rozvaha!C4-1</f>
        <v>-0.23764970059880242</v>
      </c>
      <c r="D6" s="54">
        <f>rozvaha!C4-rozvaha!D4</f>
        <v>751</v>
      </c>
      <c r="E6" s="55">
        <f>rozvaha!C4/rozvaha!D4-1</f>
        <v>0.39094221759500258</v>
      </c>
      <c r="F6" s="52">
        <f>rozvaha!D4-rozvaha!E4</f>
        <v>-998</v>
      </c>
      <c r="G6" s="53">
        <f>rozvaha!D4/rozvaha!E4-1</f>
        <v>-0.34189791024323402</v>
      </c>
      <c r="H6" s="52">
        <f>rozvaha!E4-rozvaha!F4</f>
        <v>1598</v>
      </c>
      <c r="I6" s="53">
        <f>rozvaha!E4/rozvaha!F4-1</f>
        <v>1.2096896290688872</v>
      </c>
      <c r="K6" s="90" t="s">
        <v>35</v>
      </c>
      <c r="L6" s="91">
        <f>rozvaha!I4-rozvaha!J4</f>
        <v>0</v>
      </c>
      <c r="M6" s="92">
        <f>rozvaha!I4/rozvaha!J4-1</f>
        <v>0</v>
      </c>
      <c r="N6" s="93">
        <f>rozvaha!J4-rozvaha!K4</f>
        <v>0</v>
      </c>
      <c r="O6" s="94">
        <f>rozvaha!J4/rozvaha!K4-1</f>
        <v>0</v>
      </c>
      <c r="P6" s="91">
        <f>rozvaha!K4-rozvaha!L4</f>
        <v>0</v>
      </c>
      <c r="Q6" s="92">
        <f>rozvaha!K4/rozvaha!L4-1</f>
        <v>0</v>
      </c>
      <c r="R6" s="93">
        <f>rozvaha!L4-rozvaha!M4</f>
        <v>165</v>
      </c>
      <c r="S6" s="92">
        <f>rozvaha!L4/rozvaha!M4-1</f>
        <v>2.3571428571428577E-2</v>
      </c>
      <c r="U6" s="73" t="s">
        <v>61</v>
      </c>
      <c r="V6" s="74">
        <f>výsledovka!B4-výsledovka!C4</f>
        <v>6957</v>
      </c>
      <c r="W6" s="75">
        <f>výsledovka!B4/výsledovka!C4-1</f>
        <v>1.1197489135683245</v>
      </c>
      <c r="X6" s="76">
        <f>výsledovka!C4-výsledovka!D4</f>
        <v>-2600</v>
      </c>
      <c r="Y6" s="77">
        <f>výsledovka!C4/výsledovka!D4-1</f>
        <v>-0.29501872234199478</v>
      </c>
      <c r="Z6" s="74">
        <f>výsledovka!D4-výsledovka!E4</f>
        <v>2459</v>
      </c>
      <c r="AA6" s="75">
        <f>výsledovka!D4/výsledovka!E4-1</f>
        <v>0.38700031476235441</v>
      </c>
      <c r="AB6" s="76">
        <f>výsledovka!E4-výsledovka!F4</f>
        <v>1060</v>
      </c>
      <c r="AC6" s="75">
        <f>výsledovka!E4/výsledovka!F4-1</f>
        <v>0.2002266717038157</v>
      </c>
    </row>
    <row r="7" spans="1:29" ht="31.5" x14ac:dyDescent="0.25">
      <c r="A7" s="61" t="s">
        <v>3</v>
      </c>
      <c r="B7" s="28">
        <f>rozvaha!B5-rozvaha!C5</f>
        <v>1193</v>
      </c>
      <c r="C7" s="29">
        <f>rozvaha!B5/rozvaha!C5-1</f>
        <v>1.5780423280423279</v>
      </c>
      <c r="D7" s="23">
        <f>rozvaha!C5-rozvaha!D5</f>
        <v>-1005</v>
      </c>
      <c r="E7" s="37">
        <f>rozvaha!C5/rozvaha!D5-1</f>
        <v>-0.5706984667802385</v>
      </c>
      <c r="F7" s="28">
        <f>rozvaha!D5-rozvaha!E5</f>
        <v>-1158</v>
      </c>
      <c r="G7" s="29">
        <f>rozvaha!D5/rozvaha!E5-1</f>
        <v>-0.39671120246659819</v>
      </c>
      <c r="H7" s="28">
        <f>rozvaha!E5-rozvaha!F5</f>
        <v>1798</v>
      </c>
      <c r="I7" s="29">
        <f>rozvaha!E5/rozvaha!F5-1</f>
        <v>1.6039250669045497</v>
      </c>
      <c r="K7" s="61" t="s">
        <v>36</v>
      </c>
      <c r="L7" s="34">
        <f>rozvaha!I5-rozvaha!J5</f>
        <v>-1018</v>
      </c>
      <c r="M7" s="29">
        <f>rozvaha!I5/rozvaha!J5-1</f>
        <v>-1</v>
      </c>
      <c r="N7" s="26">
        <f>rozvaha!J5-rozvaha!K5</f>
        <v>1</v>
      </c>
      <c r="O7" s="37">
        <f>rozvaha!J5/rozvaha!K5-1</f>
        <v>9.8328416912485395E-4</v>
      </c>
      <c r="P7" s="34">
        <f>rozvaha!K5-rozvaha!L5</f>
        <v>-356</v>
      </c>
      <c r="Q7" s="29">
        <f>rozvaha!K5/rozvaha!L5-1</f>
        <v>-0.25928623452294242</v>
      </c>
      <c r="R7" s="23">
        <f>rozvaha!L5-rozvaha!M5</f>
        <v>824</v>
      </c>
      <c r="S7" s="29">
        <f>rozvaha!L5/rozvaha!M5-1</f>
        <v>1.5009107468123863</v>
      </c>
      <c r="U7" s="139" t="s">
        <v>62</v>
      </c>
      <c r="V7" s="140">
        <f>výsledovka!B5-výsledovka!C5</f>
        <v>803710</v>
      </c>
      <c r="W7" s="141">
        <f>výsledovka!B5/výsledovka!C5-1</f>
        <v>0.80744524168804888</v>
      </c>
      <c r="X7" s="142">
        <f>výsledovka!C5-výsledovka!D5</f>
        <v>71916</v>
      </c>
      <c r="Y7" s="143">
        <f>výsledovka!C5/výsledovka!D5-1</f>
        <v>7.7876849840490925E-2</v>
      </c>
      <c r="Z7" s="140">
        <f>výsledovka!D5-výsledovka!E5</f>
        <v>20691</v>
      </c>
      <c r="AA7" s="141">
        <f>výsledovka!D5/výsledovka!E5-1</f>
        <v>2.2919535162450488E-2</v>
      </c>
      <c r="AB7" s="142">
        <f>výsledovka!E5-výsledovka!F5</f>
        <v>156025</v>
      </c>
      <c r="AC7" s="141">
        <f>výsledovka!E5/výsledovka!F5-1</f>
        <v>0.20894097291969649</v>
      </c>
    </row>
    <row r="8" spans="1:29" ht="47.25" x14ac:dyDescent="0.25">
      <c r="A8" s="62" t="s">
        <v>4</v>
      </c>
      <c r="B8" s="30">
        <f>rozvaha!B6-rozvaha!C6</f>
        <v>1193</v>
      </c>
      <c r="C8" s="31">
        <f>rozvaha!B6/rozvaha!C6-1</f>
        <v>1.5780423280423279</v>
      </c>
      <c r="D8" s="24">
        <f>rozvaha!C6-rozvaha!D6</f>
        <v>-1005</v>
      </c>
      <c r="E8" s="38">
        <f>rozvaha!C6/rozvaha!D6-1</f>
        <v>-0.5706984667802385</v>
      </c>
      <c r="F8" s="30">
        <f>rozvaha!D6-rozvaha!E6</f>
        <v>-1106</v>
      </c>
      <c r="G8" s="31">
        <f>rozvaha!D6/rozvaha!E6-1</f>
        <v>-0.38576909661667247</v>
      </c>
      <c r="H8" s="30">
        <f>rozvaha!E6-rozvaha!F6</f>
        <v>1923</v>
      </c>
      <c r="I8" s="31">
        <f>rozvaha!E6/rozvaha!F6-1</f>
        <v>2.0370762711864407</v>
      </c>
      <c r="K8" s="61" t="s">
        <v>37</v>
      </c>
      <c r="L8" s="34">
        <f>rozvaha!I6-rozvaha!J6</f>
        <v>0</v>
      </c>
      <c r="M8" s="29">
        <f>rozvaha!I6/rozvaha!J6-1</f>
        <v>0</v>
      </c>
      <c r="N8" s="23">
        <f>rozvaha!J6-rozvaha!K6</f>
        <v>0</v>
      </c>
      <c r="O8" s="37">
        <f>rozvaha!J6/rozvaha!K6-1</f>
        <v>0</v>
      </c>
      <c r="P8" s="34">
        <f>rozvaha!K6-rozvaha!L6</f>
        <v>0</v>
      </c>
      <c r="Q8" s="29">
        <f>rozvaha!K6/rozvaha!L6-1</f>
        <v>0</v>
      </c>
      <c r="R8" s="23">
        <f>rozvaha!L6-rozvaha!M6</f>
        <v>20</v>
      </c>
      <c r="S8" s="29">
        <f>rozvaha!L6/rozvaha!M6-1</f>
        <v>2.857142857142847E-2</v>
      </c>
      <c r="U8" s="117" t="s">
        <v>63</v>
      </c>
      <c r="V8" s="127">
        <f>výsledovka!B6-výsledovka!C6</f>
        <v>583706</v>
      </c>
      <c r="W8" s="112">
        <f>výsledovka!B6/výsledovka!C6-1</f>
        <v>0.85409932735065119</v>
      </c>
      <c r="X8" s="121">
        <f>výsledovka!C6-výsledovka!D6</f>
        <v>77549</v>
      </c>
      <c r="Y8" s="131">
        <f>výsledovka!C6/výsledovka!D6-1</f>
        <v>0.12799652729637478</v>
      </c>
      <c r="Z8" s="127">
        <f>výsledovka!D6-výsledovka!E6</f>
        <v>30801</v>
      </c>
      <c r="AA8" s="112">
        <f>výsledovka!D6/výsledovka!E6-1</f>
        <v>5.356071553401609E-2</v>
      </c>
      <c r="AB8" s="121">
        <f>výsledovka!E6-výsledovka!F6</f>
        <v>95479</v>
      </c>
      <c r="AC8" s="112">
        <f>výsledovka!E6/výsledovka!F6-1</f>
        <v>0.19908546502414581</v>
      </c>
    </row>
    <row r="9" spans="1:29" ht="63" x14ac:dyDescent="0.25">
      <c r="A9" s="62" t="s">
        <v>5</v>
      </c>
      <c r="B9" s="32">
        <f>rozvaha!B7-rozvaha!C7</f>
        <v>0</v>
      </c>
      <c r="C9" s="33"/>
      <c r="D9" s="25">
        <f>rozvaha!C7-rozvaha!D7</f>
        <v>0</v>
      </c>
      <c r="E9" s="39"/>
      <c r="F9" s="32">
        <f>rozvaha!D7-rozvaha!E7</f>
        <v>-52</v>
      </c>
      <c r="G9" s="33">
        <f>rozvaha!D7/rozvaha!E7-1</f>
        <v>-1</v>
      </c>
      <c r="H9" s="40">
        <f>rozvaha!E7-rozvaha!F7</f>
        <v>-125</v>
      </c>
      <c r="I9" s="31">
        <f>rozvaha!E7/rozvaha!F7-1</f>
        <v>-0.70621468926553677</v>
      </c>
      <c r="K9" s="61" t="s">
        <v>38</v>
      </c>
      <c r="L9" s="28">
        <f>rozvaha!I7-rozvaha!J7</f>
        <v>-23233</v>
      </c>
      <c r="M9" s="29">
        <f>rozvaha!I7/rozvaha!J7-1</f>
        <v>-7.4061204972904027E-2</v>
      </c>
      <c r="N9" s="26">
        <f>rozvaha!J7-rozvaha!K7</f>
        <v>6805</v>
      </c>
      <c r="O9" s="37">
        <f>rozvaha!J7/rozvaha!K7-1</f>
        <v>2.2173707619870031E-2</v>
      </c>
      <c r="P9" s="28">
        <f>rozvaha!K7-rozvaha!L7</f>
        <v>20901</v>
      </c>
      <c r="Q9" s="29">
        <f>rozvaha!K7/rozvaha!L7-1</f>
        <v>7.3081952768239811E-2</v>
      </c>
      <c r="R9" s="26">
        <f>rozvaha!L7-rozvaha!M7</f>
        <v>50114</v>
      </c>
      <c r="S9" s="29">
        <f>rozvaha!L7/rozvaha!M7-1</f>
        <v>0.21245548584025786</v>
      </c>
      <c r="U9" s="119" t="s">
        <v>64</v>
      </c>
      <c r="V9" s="129">
        <f>výsledovka!B7-výsledovka!C7</f>
        <v>53358</v>
      </c>
      <c r="W9" s="115">
        <f>výsledovka!B7/výsledovka!C7-1</f>
        <v>0.85361873680168943</v>
      </c>
      <c r="X9" s="123">
        <f>výsledovka!C7-výsledovka!D7</f>
        <v>1081</v>
      </c>
      <c r="Y9" s="133">
        <f>výsledovka!C7/výsledovka!D7-1</f>
        <v>1.7598124603187548E-2</v>
      </c>
      <c r="Z9" s="129">
        <f>výsledovka!D7-výsledovka!E7</f>
        <v>-737</v>
      </c>
      <c r="AA9" s="115">
        <f>výsledovka!D7/výsledovka!E7-1</f>
        <v>-1.1855736439096543E-2</v>
      </c>
      <c r="AB9" s="123">
        <f>výsledovka!E7-výsledovka!F7</f>
        <v>31800</v>
      </c>
      <c r="AC9" s="115">
        <f>výsledovka!E7/výsledovka!F7-1</f>
        <v>1.0472928467922542</v>
      </c>
    </row>
    <row r="10" spans="1:29" ht="79.5" thickBot="1" x14ac:dyDescent="0.3">
      <c r="A10" s="61" t="s">
        <v>6</v>
      </c>
      <c r="B10" s="34">
        <f>rozvaha!B8-rozvaha!C8</f>
        <v>-41</v>
      </c>
      <c r="C10" s="29">
        <f>rozvaha!B8/rozvaha!C8-1</f>
        <v>-0.31782945736434109</v>
      </c>
      <c r="D10" s="23">
        <f>rozvaha!C8-rozvaha!D8</f>
        <v>-31</v>
      </c>
      <c r="E10" s="37">
        <f>rozvaha!C8/rozvaha!D8-1</f>
        <v>-0.19374999999999998</v>
      </c>
      <c r="F10" s="34">
        <f>rozvaha!D8-rozvaha!E8</f>
        <v>160</v>
      </c>
      <c r="G10" s="29"/>
      <c r="H10" s="34">
        <f>rozvaha!E8-rozvaha!F8</f>
        <v>0</v>
      </c>
      <c r="I10" s="29"/>
      <c r="K10" s="63" t="s">
        <v>39</v>
      </c>
      <c r="L10" s="35">
        <f>rozvaha!I8-rozvaha!J8</f>
        <v>107279</v>
      </c>
      <c r="M10" s="36">
        <f>rozvaha!I8/rozvaha!J8-1</f>
        <v>18.824179680645727</v>
      </c>
      <c r="N10" s="65">
        <f>rozvaha!J8-rozvaha!K8</f>
        <v>-1106</v>
      </c>
      <c r="O10" s="66">
        <f>rozvaha!J8/rozvaha!K8-1</f>
        <v>-0.16252755326965462</v>
      </c>
      <c r="P10" s="35">
        <f>rozvaha!K8-rozvaha!L8</f>
        <v>-14096</v>
      </c>
      <c r="Q10" s="36">
        <f>rozvaha!K8/rozvaha!L8-1</f>
        <v>-0.67441749198602929</v>
      </c>
      <c r="R10" s="65">
        <f>rozvaha!L8-rozvaha!M8</f>
        <v>-2833</v>
      </c>
      <c r="S10" s="36">
        <f>rozvaha!L8/rozvaha!M8-1</f>
        <v>-0.11936462458919694</v>
      </c>
      <c r="U10" s="144" t="s">
        <v>65</v>
      </c>
      <c r="V10" s="145">
        <f>výsledovka!B8-výsledovka!C8</f>
        <v>530348</v>
      </c>
      <c r="W10" s="146">
        <f>výsledovka!B8/výsledovka!C8-1</f>
        <v>0.85414770924563821</v>
      </c>
      <c r="X10" s="147">
        <f>výsledovka!C8-výsledovka!D8</f>
        <v>76468</v>
      </c>
      <c r="Y10" s="148">
        <f>výsledovka!C8/výsledovka!D8-1</f>
        <v>0.14045231714731266</v>
      </c>
      <c r="Z10" s="145">
        <f>výsledovka!D8-výsledovka!E8</f>
        <v>31538</v>
      </c>
      <c r="AA10" s="146">
        <f>výsledovka!D8/výsledovka!E8-1</f>
        <v>6.1489209460658278E-2</v>
      </c>
      <c r="AB10" s="147">
        <f>výsledovka!E8-výsledovka!F8</f>
        <v>63679</v>
      </c>
      <c r="AC10" s="146">
        <f>výsledovka!E8/výsledovka!F8-1</f>
        <v>0.14175333463928919</v>
      </c>
    </row>
    <row r="11" spans="1:29" ht="79.5" thickBot="1" x14ac:dyDescent="0.3">
      <c r="A11" s="63" t="s">
        <v>7</v>
      </c>
      <c r="B11" s="64">
        <f>rozvaha!B9-rozvaha!C9</f>
        <v>-1787</v>
      </c>
      <c r="C11" s="36">
        <f>rozvaha!B9/rozvaha!C9-1</f>
        <v>-1</v>
      </c>
      <c r="D11" s="65">
        <f>rozvaha!C9-rozvaha!D9</f>
        <v>1787</v>
      </c>
      <c r="E11" s="66"/>
      <c r="F11" s="64">
        <f>rozvaha!D9-rozvaha!E9</f>
        <v>0</v>
      </c>
      <c r="G11" s="36"/>
      <c r="H11" s="64">
        <f>rozvaha!E9-rozvaha!F9</f>
        <v>-200</v>
      </c>
      <c r="I11" s="36">
        <f>rozvaha!E9/rozvaha!F9-1</f>
        <v>-1</v>
      </c>
      <c r="K11" s="73" t="s">
        <v>40</v>
      </c>
      <c r="L11" s="74">
        <f>rozvaha!I9-rozvaha!J9</f>
        <v>140777</v>
      </c>
      <c r="M11" s="75">
        <f>rozvaha!I9/rozvaha!J9-1</f>
        <v>0.80634758800820228</v>
      </c>
      <c r="N11" s="76">
        <f>rozvaha!J9-rozvaha!K9</f>
        <v>14029</v>
      </c>
      <c r="O11" s="77">
        <f>rozvaha!J9/rozvaha!K9-1</f>
        <v>8.7377068580005934E-2</v>
      </c>
      <c r="P11" s="74">
        <f>rozvaha!K9-rozvaha!L9</f>
        <v>10225</v>
      </c>
      <c r="Q11" s="75">
        <f>rozvaha!K9/rozvaha!L9-1</f>
        <v>6.8016124311523818E-2</v>
      </c>
      <c r="R11" s="76">
        <f>rozvaha!L9-rozvaha!M9</f>
        <v>21902</v>
      </c>
      <c r="S11" s="75">
        <f>rozvaha!L9/rozvaha!M9-1</f>
        <v>0.17053647901580637</v>
      </c>
      <c r="U11" s="73" t="s">
        <v>66</v>
      </c>
      <c r="V11" s="74">
        <f>výsledovka!B9-výsledovka!C9</f>
        <v>226961</v>
      </c>
      <c r="W11" s="75">
        <f>výsledovka!B9/výsledovka!C9-1</f>
        <v>0.71333249520696485</v>
      </c>
      <c r="X11" s="76">
        <f>výsledovka!C9-výsledovka!D9</f>
        <v>-6233</v>
      </c>
      <c r="Y11" s="77">
        <f>výsledovka!C9/výsledovka!D9-1</f>
        <v>-1.9213755729755921E-2</v>
      </c>
      <c r="Z11" s="74">
        <f>výsledovka!D9-výsledovka!E9</f>
        <v>-9651</v>
      </c>
      <c r="AA11" s="75">
        <f>výsledovka!D9/výsledovka!E9-1</f>
        <v>-2.8890538655427012E-2</v>
      </c>
      <c r="AB11" s="76">
        <f>výsledovka!E9-výsledovka!F9</f>
        <v>61606</v>
      </c>
      <c r="AC11" s="75">
        <f>výsledovka!E9/výsledovka!F9-1</f>
        <v>0.22612021376556268</v>
      </c>
    </row>
    <row r="12" spans="1:29" ht="48" thickBot="1" x14ac:dyDescent="0.3">
      <c r="A12" s="67" t="s">
        <v>8</v>
      </c>
      <c r="B12" s="68">
        <f>rozvaha!B10-rozvaha!C10</f>
        <v>11911</v>
      </c>
      <c r="C12" s="69">
        <f>rozvaha!B10/rozvaha!C10-1</f>
        <v>0.3215712742980561</v>
      </c>
      <c r="D12" s="70">
        <f>rozvaha!C10-rozvaha!D10</f>
        <v>-1979</v>
      </c>
      <c r="E12" s="71">
        <f>rozvaha!C10/rozvaha!D10-1</f>
        <v>-5.0718880545375322E-2</v>
      </c>
      <c r="F12" s="68">
        <f>rozvaha!D10-rozvaha!E10</f>
        <v>-736</v>
      </c>
      <c r="G12" s="69">
        <f>rozvaha!D10/rozvaha!E10-1</f>
        <v>-1.8513394541567085E-2</v>
      </c>
      <c r="H12" s="68">
        <f>rozvaha!E10-rozvaha!F10</f>
        <v>26225</v>
      </c>
      <c r="I12" s="69">
        <f>rozvaha!E10/rozvaha!F10-1</f>
        <v>1.9382852919438287</v>
      </c>
      <c r="K12" s="95" t="s">
        <v>41</v>
      </c>
      <c r="L12" s="96">
        <f>rozvaha!I10-rozvaha!J10</f>
        <v>3320</v>
      </c>
      <c r="M12" s="97">
        <f>rozvaha!I10/rozvaha!J10-1</f>
        <v>0.71016042780748667</v>
      </c>
      <c r="N12" s="98">
        <f>rozvaha!J10-rozvaha!K10</f>
        <v>-85</v>
      </c>
      <c r="O12" s="99">
        <f>rozvaha!J10/rozvaha!K10-1</f>
        <v>-1.7857142857142905E-2</v>
      </c>
      <c r="P12" s="96">
        <f>rozvaha!K10-rozvaha!L10</f>
        <v>-29</v>
      </c>
      <c r="Q12" s="97">
        <f>rozvaha!K10/rozvaha!L10-1</f>
        <v>-6.0555439548966028E-3</v>
      </c>
      <c r="R12" s="98">
        <f>rozvaha!L10-rozvaha!M10</f>
        <v>775</v>
      </c>
      <c r="S12" s="97">
        <f>rozvaha!L10/rozvaha!M10-1</f>
        <v>0.19307424015944186</v>
      </c>
      <c r="U12" s="149" t="s">
        <v>67</v>
      </c>
      <c r="V12" s="150">
        <f>výsledovka!B10-výsledovka!C10</f>
        <v>171008</v>
      </c>
      <c r="W12" s="151">
        <f>výsledovka!B10/výsledovka!C10-1</f>
        <v>0.56693686077544059</v>
      </c>
      <c r="X12" s="152">
        <f>výsledovka!C10-výsledovka!D10</f>
        <v>-2717</v>
      </c>
      <c r="Y12" s="153">
        <f>výsledovka!C10/výsledovka!D10-1</f>
        <v>-8.927163284617845E-3</v>
      </c>
      <c r="Z12" s="150">
        <f>výsledovka!D10-výsledovka!E10</f>
        <v>12543</v>
      </c>
      <c r="AA12" s="151">
        <f>výsledovka!D10/výsledovka!E10-1</f>
        <v>4.2983595433999655E-2</v>
      </c>
      <c r="AB12" s="152">
        <f>výsledovka!E10-výsledovka!F10</f>
        <v>54037</v>
      </c>
      <c r="AC12" s="151">
        <f>výsledovka!E10/výsledovka!F10-1</f>
        <v>0.22726393351614149</v>
      </c>
    </row>
    <row r="13" spans="1:29" ht="47.25" x14ac:dyDescent="0.25">
      <c r="A13" s="61" t="s">
        <v>9</v>
      </c>
      <c r="B13" s="28">
        <f>rozvaha!B11-rozvaha!C11</f>
        <v>242</v>
      </c>
      <c r="C13" s="29">
        <f>rozvaha!B11/rozvaha!C11-1</f>
        <v>3.7936980717980795E-2</v>
      </c>
      <c r="D13" s="26">
        <f>rozvaha!C11-rozvaha!D11</f>
        <v>-799</v>
      </c>
      <c r="E13" s="37">
        <f>rozvaha!C11/rozvaha!D11-1</f>
        <v>-0.11131234327110617</v>
      </c>
      <c r="F13" s="28">
        <f>rozvaha!D11-rozvaha!E11</f>
        <v>7112</v>
      </c>
      <c r="G13" s="29">
        <f>rozvaha!D11/rozvaha!E11-1</f>
        <v>107.75757575757575</v>
      </c>
      <c r="H13" s="34">
        <f>rozvaha!E11-rozvaha!F11</f>
        <v>-1</v>
      </c>
      <c r="I13" s="29">
        <f>rozvaha!E11/rozvaha!F11-1</f>
        <v>-1.4925373134328401E-2</v>
      </c>
      <c r="K13" s="67" t="s">
        <v>42</v>
      </c>
      <c r="L13" s="68">
        <f>rozvaha!I11-rozvaha!J11</f>
        <v>57227</v>
      </c>
      <c r="M13" s="69">
        <f>rozvaha!I11/rozvaha!J11-1</f>
        <v>22.655186064924781</v>
      </c>
      <c r="N13" s="70">
        <f>rozvaha!J11-rozvaha!K11</f>
        <v>-262</v>
      </c>
      <c r="O13" s="71">
        <f>rozvaha!J11/rozvaha!K11-1</f>
        <v>-9.3974175035868024E-2</v>
      </c>
      <c r="P13" s="68">
        <f>rozvaha!K11-rozvaha!L11</f>
        <v>-741</v>
      </c>
      <c r="Q13" s="69">
        <f>rozvaha!K11/rozvaha!L11-1</f>
        <v>-0.20997449702465287</v>
      </c>
      <c r="R13" s="70">
        <f>rozvaha!L11-rozvaha!M11</f>
        <v>-6929</v>
      </c>
      <c r="S13" s="69">
        <f>rozvaha!L11/rozvaha!M11-1</f>
        <v>-0.66255498183209027</v>
      </c>
      <c r="U13" s="119" t="s">
        <v>68</v>
      </c>
      <c r="V13" s="129">
        <f>výsledovka!B11-výsledovka!C11</f>
        <v>138942</v>
      </c>
      <c r="W13" s="115">
        <f>výsledovka!B11/výsledovka!C11-1</f>
        <v>0.59253604677444804</v>
      </c>
      <c r="X13" s="123">
        <f>výsledovka!C11-výsledovka!D11</f>
        <v>-697</v>
      </c>
      <c r="Y13" s="133">
        <f>výsledovka!C11/výsledovka!D11-1</f>
        <v>-2.9636369821076647E-3</v>
      </c>
      <c r="Z13" s="129">
        <f>výsledovka!D11-výsledovka!E11</f>
        <v>11583</v>
      </c>
      <c r="AA13" s="115">
        <f>výsledovka!D11/výsledovka!E11-1</f>
        <v>5.180209390834567E-2</v>
      </c>
      <c r="AB13" s="123">
        <f>výsledovka!E11-výsledovka!F11</f>
        <v>41108</v>
      </c>
      <c r="AC13" s="115">
        <f>výsledovka!E11/výsledovka!F11-1</f>
        <v>0.22525795509964763</v>
      </c>
    </row>
    <row r="14" spans="1:29" ht="94.5" x14ac:dyDescent="0.25">
      <c r="A14" s="62" t="s">
        <v>10</v>
      </c>
      <c r="B14" s="32">
        <f>rozvaha!B12-rozvaha!C12</f>
        <v>-4084</v>
      </c>
      <c r="C14" s="33">
        <f>rozvaha!B12/rozvaha!C12-1</f>
        <v>-1</v>
      </c>
      <c r="D14" s="27">
        <f>rozvaha!C12-rozvaha!D12</f>
        <v>-916</v>
      </c>
      <c r="E14" s="38">
        <f>rozvaha!C12/rozvaha!D12-1</f>
        <v>-0.18320000000000003</v>
      </c>
      <c r="F14" s="30">
        <f>rozvaha!D12-rozvaha!E12</f>
        <v>5000</v>
      </c>
      <c r="G14" s="31"/>
      <c r="H14" s="32">
        <f>rozvaha!E12-rozvaha!F12</f>
        <v>0</v>
      </c>
      <c r="I14" s="33"/>
      <c r="K14" s="61" t="s">
        <v>43</v>
      </c>
      <c r="L14" s="28">
        <f>rozvaha!I12-rozvaha!J12</f>
        <v>59753</v>
      </c>
      <c r="M14" s="29"/>
      <c r="N14" s="23">
        <f>rozvaha!J12-rozvaha!K12</f>
        <v>0</v>
      </c>
      <c r="O14" s="37"/>
      <c r="P14" s="34">
        <f>rozvaha!K12-rozvaha!L12</f>
        <v>0</v>
      </c>
      <c r="Q14" s="29"/>
      <c r="R14" s="26">
        <f>rozvaha!L12-rozvaha!M12</f>
        <v>0</v>
      </c>
      <c r="S14" s="29"/>
      <c r="U14" s="119" t="s">
        <v>69</v>
      </c>
      <c r="V14" s="129">
        <f>výsledovka!B12-výsledovka!C12</f>
        <v>31857</v>
      </c>
      <c r="W14" s="115">
        <f>výsledovka!B12/výsledovka!C12-1</f>
        <v>0.47799600882260274</v>
      </c>
      <c r="X14" s="123">
        <f>výsledovka!C12-výsledovka!D12</f>
        <v>-2058</v>
      </c>
      <c r="Y14" s="133">
        <f>výsledovka!C12/výsledovka!D12-1</f>
        <v>-2.9954151808456397E-2</v>
      </c>
      <c r="Z14" s="129">
        <f>výsledovka!D12-výsledovka!E12</f>
        <v>1080</v>
      </c>
      <c r="AA14" s="115">
        <f>výsledovka!D12/výsledovka!E12-1</f>
        <v>1.5970425138632116E-2</v>
      </c>
      <c r="AB14" s="123">
        <f>výsledovka!E12-výsledovka!F12</f>
        <v>13066</v>
      </c>
      <c r="AC14" s="115">
        <f>výsledovka!E12/výsledovka!F12-1</f>
        <v>0.23948386150772549</v>
      </c>
    </row>
    <row r="15" spans="1:29" ht="48" thickBot="1" x14ac:dyDescent="0.3">
      <c r="A15" s="62" t="s">
        <v>11</v>
      </c>
      <c r="B15" s="30">
        <f>rozvaha!B13-rozvaha!C13</f>
        <v>4326</v>
      </c>
      <c r="C15" s="31">
        <f>rozvaha!B13/rozvaha!C13-1</f>
        <v>1.8849673202614379</v>
      </c>
      <c r="D15" s="27">
        <f>rozvaha!C13-rozvaha!D13</f>
        <v>117</v>
      </c>
      <c r="E15" s="38">
        <f>rozvaha!C13/rozvaha!D13-1</f>
        <v>5.3719008264462742E-2</v>
      </c>
      <c r="F15" s="30">
        <f>rozvaha!D13-rozvaha!E13</f>
        <v>2112</v>
      </c>
      <c r="G15" s="31">
        <f>rozvaha!D13/rozvaha!E13-1</f>
        <v>32</v>
      </c>
      <c r="H15" s="40">
        <f>rozvaha!E13-rozvaha!F13</f>
        <v>-1</v>
      </c>
      <c r="I15" s="31">
        <f>rozvaha!E13/rozvaha!F13-1</f>
        <v>-1.4925373134328401E-2</v>
      </c>
      <c r="K15" s="63" t="s">
        <v>44</v>
      </c>
      <c r="L15" s="64">
        <f>rozvaha!I13-rozvaha!J13</f>
        <v>-2526</v>
      </c>
      <c r="M15" s="36">
        <f>rozvaha!I13/rozvaha!J13-1</f>
        <v>-1</v>
      </c>
      <c r="N15" s="65">
        <f>rozvaha!J13-rozvaha!K13</f>
        <v>-262</v>
      </c>
      <c r="O15" s="66">
        <f>rozvaha!J13/rozvaha!K13-1</f>
        <v>-9.3974175035868024E-2</v>
      </c>
      <c r="P15" s="35">
        <f>rozvaha!K13-rozvaha!L13</f>
        <v>-741</v>
      </c>
      <c r="Q15" s="36">
        <f>rozvaha!K13/rozvaha!L13-1</f>
        <v>-0.20997449702465287</v>
      </c>
      <c r="R15" s="72">
        <f>rozvaha!L13-rozvaha!M13</f>
        <v>-6929</v>
      </c>
      <c r="S15" s="36">
        <f>rozvaha!L13/rozvaha!M13-1</f>
        <v>-0.66255498183209027</v>
      </c>
      <c r="U15" s="119" t="s">
        <v>70</v>
      </c>
      <c r="V15" s="114">
        <f>výsledovka!B13-výsledovka!C13</f>
        <v>209</v>
      </c>
      <c r="W15" s="115">
        <f>výsledovka!B13/výsledovka!C13-1</f>
        <v>0.41716566866267457</v>
      </c>
      <c r="X15" s="124">
        <f>výsledovka!C13-výsledovka!D13</f>
        <v>38</v>
      </c>
      <c r="Y15" s="133">
        <f>výsledovka!C13/výsledovka!D13-1</f>
        <v>8.2073434125270017E-2</v>
      </c>
      <c r="Z15" s="114">
        <f>výsledovka!D13-výsledovka!E13</f>
        <v>-120</v>
      </c>
      <c r="AA15" s="115">
        <f>výsledovka!D13/výsledovka!E13-1</f>
        <v>-0.20583190394511153</v>
      </c>
      <c r="AB15" s="124">
        <f>výsledovka!E13-výsledovka!F13</f>
        <v>-137</v>
      </c>
      <c r="AC15" s="115">
        <f>výsledovka!E13/výsledovka!F13-1</f>
        <v>-0.19027777777777777</v>
      </c>
    </row>
    <row r="16" spans="1:29" ht="47.25" x14ac:dyDescent="0.25">
      <c r="A16" s="61" t="s">
        <v>12</v>
      </c>
      <c r="B16" s="28">
        <f>rozvaha!B14-rozvaha!C14</f>
        <v>13853</v>
      </c>
      <c r="C16" s="29">
        <f>rozvaha!B14/rozvaha!C14-1</f>
        <v>1.0379111410803925</v>
      </c>
      <c r="D16" s="26">
        <f>rozvaha!C14-rozvaha!D14</f>
        <v>428</v>
      </c>
      <c r="E16" s="37">
        <f>rozvaha!C14/rozvaha!D14-1</f>
        <v>3.3129499187243505E-2</v>
      </c>
      <c r="F16" s="28">
        <f>rozvaha!D14-rozvaha!E14</f>
        <v>-597</v>
      </c>
      <c r="G16" s="29">
        <f>rozvaha!D14/rozvaha!E14-1</f>
        <v>-4.4169872743415217E-2</v>
      </c>
      <c r="H16" s="28">
        <f>rozvaha!E14-rozvaha!F14</f>
        <v>7437</v>
      </c>
      <c r="I16" s="29">
        <f>rozvaha!E14/rozvaha!F14-1</f>
        <v>1.2233920052640235</v>
      </c>
      <c r="K16" s="67" t="s">
        <v>45</v>
      </c>
      <c r="L16" s="68">
        <f>rozvaha!I14-rozvaha!J14</f>
        <v>80230</v>
      </c>
      <c r="M16" s="69">
        <f>rozvaha!I14/rozvaha!J14-1</f>
        <v>0.479314155987693</v>
      </c>
      <c r="N16" s="70">
        <f>rozvaha!J14-rozvaha!K14</f>
        <v>14577</v>
      </c>
      <c r="O16" s="71">
        <f>rozvaha!J14/rozvaha!K14-1</f>
        <v>9.5394220197895452E-2</v>
      </c>
      <c r="P16" s="68">
        <f>rozvaha!K14-rozvaha!L14</f>
        <v>10976</v>
      </c>
      <c r="Q16" s="69">
        <f>rozvaha!K14/rozvaha!L14-1</f>
        <v>7.7387331490777811E-2</v>
      </c>
      <c r="R16" s="70">
        <f>rozvaha!L14-rozvaha!M14</f>
        <v>27874</v>
      </c>
      <c r="S16" s="69">
        <f>rozvaha!L14/rozvaha!M14-1</f>
        <v>0.24459888730935964</v>
      </c>
      <c r="U16" s="117" t="s">
        <v>71</v>
      </c>
      <c r="V16" s="127">
        <f>výsledovka!B14-výsledovka!C14</f>
        <v>526</v>
      </c>
      <c r="W16" s="112">
        <f>výsledovka!B14/výsledovka!C14-1</f>
        <v>0.41979249800478846</v>
      </c>
      <c r="X16" s="121">
        <f>výsledovka!C14-výsledovka!D14</f>
        <v>29</v>
      </c>
      <c r="Y16" s="131">
        <f>výsledovka!C14/výsledovka!D14-1</f>
        <v>2.3692810457516256E-2</v>
      </c>
      <c r="Z16" s="127">
        <f>výsledovka!D14-výsledovka!E14</f>
        <v>-50</v>
      </c>
      <c r="AA16" s="112">
        <f>výsledovka!D14/výsledovka!E14-1</f>
        <v>-3.9246467817896424E-2</v>
      </c>
      <c r="AB16" s="121">
        <f>výsledovka!E14-výsledovka!F14</f>
        <v>924</v>
      </c>
      <c r="AC16" s="112">
        <f>výsledovka!E14/výsledovka!F14-1</f>
        <v>2.64</v>
      </c>
    </row>
    <row r="17" spans="1:29" ht="78.75" x14ac:dyDescent="0.25">
      <c r="A17" s="61" t="s">
        <v>13</v>
      </c>
      <c r="B17" s="28">
        <f>rozvaha!B15-rozvaha!C15</f>
        <v>-2150</v>
      </c>
      <c r="C17" s="29">
        <f>rozvaha!B15/rozvaha!C15-1</f>
        <v>-0.12517466231951557</v>
      </c>
      <c r="D17" s="26">
        <f>rozvaha!C15-rozvaha!D15</f>
        <v>-1612</v>
      </c>
      <c r="E17" s="37">
        <f>rozvaha!C15/rozvaha!D15-1</f>
        <v>-8.5799446455184114E-2</v>
      </c>
      <c r="F17" s="28">
        <f>rozvaha!D15-rozvaha!E15</f>
        <v>-1613</v>
      </c>
      <c r="G17" s="29">
        <f>rozvaha!D15/rozvaha!E15-1</f>
        <v>-7.906475172785643E-2</v>
      </c>
      <c r="H17" s="28">
        <f>rozvaha!E15-rozvaha!F15</f>
        <v>13677</v>
      </c>
      <c r="I17" s="29">
        <f>rozvaha!E15/rozvaha!F15-1</f>
        <v>2.0340571088637716</v>
      </c>
      <c r="K17" s="61" t="s">
        <v>46</v>
      </c>
      <c r="L17" s="34">
        <f>rozvaha!I15-rozvaha!J15</f>
        <v>57</v>
      </c>
      <c r="M17" s="29">
        <f>rozvaha!I15/rozvaha!J15-1</f>
        <v>0.5089285714285714</v>
      </c>
      <c r="N17" s="23">
        <f>rozvaha!J15-rozvaha!K15</f>
        <v>112</v>
      </c>
      <c r="O17" s="37"/>
      <c r="P17" s="34">
        <f>rozvaha!K15-rozvaha!L15</f>
        <v>0</v>
      </c>
      <c r="Q17" s="29"/>
      <c r="R17" s="23">
        <f>rozvaha!L15-rozvaha!M15</f>
        <v>0</v>
      </c>
      <c r="S17" s="29"/>
      <c r="U17" s="117" t="s">
        <v>72</v>
      </c>
      <c r="V17" s="127">
        <f>výsledovka!B15-výsledovka!C15</f>
        <v>8195</v>
      </c>
      <c r="W17" s="112">
        <f>výsledovka!B15/výsledovka!C15-1</f>
        <v>0.90005491488193301</v>
      </c>
      <c r="X17" s="121">
        <f>výsledovka!C15-výsledovka!D15</f>
        <v>-747</v>
      </c>
      <c r="Y17" s="131">
        <f>výsledovka!C15/výsledovka!D15-1</f>
        <v>-7.5822168087697928E-2</v>
      </c>
      <c r="Z17" s="127">
        <f>výsledovka!D15-výsledovka!E15</f>
        <v>308</v>
      </c>
      <c r="AA17" s="112">
        <f>výsledovka!D15/výsledovka!E15-1</f>
        <v>3.2271584241408302E-2</v>
      </c>
      <c r="AB17" s="121">
        <f>výsledovka!E15-výsledovka!F15</f>
        <v>2373</v>
      </c>
      <c r="AC17" s="112">
        <f>výsledovka!E15/výsledovka!F15-1</f>
        <v>0.33091619021057039</v>
      </c>
    </row>
    <row r="18" spans="1:29" ht="78.75" x14ac:dyDescent="0.25">
      <c r="A18" s="61" t="s">
        <v>14</v>
      </c>
      <c r="B18" s="34">
        <f>rozvaha!B16-rozvaha!C16</f>
        <v>-3</v>
      </c>
      <c r="C18" s="29">
        <f>rozvaha!B16/rozvaha!C16-1</f>
        <v>-2.8037383177570097E-2</v>
      </c>
      <c r="D18" s="23">
        <f>rozvaha!C16-rozvaha!D16</f>
        <v>-2</v>
      </c>
      <c r="E18" s="37">
        <f>rozvaha!C16/rozvaha!D16-1</f>
        <v>-1.834862385321101E-2</v>
      </c>
      <c r="F18" s="34">
        <f>rozvaha!D16-rozvaha!E16</f>
        <v>-3</v>
      </c>
      <c r="G18" s="29">
        <f>rozvaha!D16/rozvaha!E16-1</f>
        <v>-2.6785714285714302E-2</v>
      </c>
      <c r="H18" s="34">
        <f>rozvaha!E16-rozvaha!F16</f>
        <v>112</v>
      </c>
      <c r="I18" s="29"/>
      <c r="K18" s="61" t="s">
        <v>47</v>
      </c>
      <c r="L18" s="34">
        <f>rozvaha!I16-rozvaha!J16</f>
        <v>923</v>
      </c>
      <c r="M18" s="29">
        <f>rozvaha!I16/rozvaha!J16-1</f>
        <v>13.573529411764707</v>
      </c>
      <c r="N18" s="23">
        <f>rozvaha!J16-rozvaha!K16</f>
        <v>-266</v>
      </c>
      <c r="O18" s="37">
        <f>rozvaha!J16/rozvaha!K16-1</f>
        <v>-0.79640718562874246</v>
      </c>
      <c r="P18" s="28">
        <f>rozvaha!K16-rozvaha!L16</f>
        <v>330</v>
      </c>
      <c r="Q18" s="29">
        <f>rozvaha!K16/rozvaha!L16-1</f>
        <v>82.5</v>
      </c>
      <c r="R18" s="23">
        <f>rozvaha!L16-rozvaha!M16</f>
        <v>-7094</v>
      </c>
      <c r="S18" s="29">
        <f>rozvaha!L16/rozvaha!M16-1</f>
        <v>-0.99943646097492256</v>
      </c>
      <c r="U18" s="118" t="s">
        <v>73</v>
      </c>
      <c r="V18" s="128">
        <f>výsledovka!B16-výsledovka!C16</f>
        <v>2546</v>
      </c>
      <c r="W18" s="113">
        <f>výsledovka!B16/výsledovka!C16-1</f>
        <v>0.18713708195516365</v>
      </c>
      <c r="X18" s="122">
        <f>výsledovka!C16-výsledovka!D16</f>
        <v>8975</v>
      </c>
      <c r="Y18" s="132">
        <f>výsledovka!C16/výsledovka!D16-1</f>
        <v>1.9384449244060473</v>
      </c>
      <c r="Z18" s="128">
        <f>výsledovka!D16-výsledovka!E16</f>
        <v>891</v>
      </c>
      <c r="AA18" s="113">
        <f>výsledovka!D16/výsledovka!E16-1</f>
        <v>0.23829901043059643</v>
      </c>
      <c r="AB18" s="122">
        <f>výsledovka!E16-výsledovka!F16</f>
        <v>-635</v>
      </c>
      <c r="AC18" s="113">
        <f>výsledovka!E16/výsledovka!F16-1</f>
        <v>-0.14517604023776864</v>
      </c>
    </row>
    <row r="19" spans="1:29" ht="111" thickBot="1" x14ac:dyDescent="0.3">
      <c r="A19" s="63" t="s">
        <v>15</v>
      </c>
      <c r="B19" s="64">
        <f>rozvaha!B17-rozvaha!C17</f>
        <v>-31</v>
      </c>
      <c r="C19" s="36">
        <f>rozvaha!B17/rozvaha!C17-1</f>
        <v>-1</v>
      </c>
      <c r="D19" s="72">
        <f>rozvaha!C17-rozvaha!D17</f>
        <v>6</v>
      </c>
      <c r="E19" s="66">
        <f>rozvaha!C17/rozvaha!D17-1</f>
        <v>0.24</v>
      </c>
      <c r="F19" s="64">
        <f>rozvaha!D17-rozvaha!E17</f>
        <v>-5635</v>
      </c>
      <c r="G19" s="36">
        <f>rozvaha!D17/rozvaha!E17-1</f>
        <v>-0.99558303886925792</v>
      </c>
      <c r="H19" s="35">
        <f>rozvaha!E17-rozvaha!F17</f>
        <v>5000</v>
      </c>
      <c r="I19" s="36">
        <f>rozvaha!E17/rozvaha!F17-1</f>
        <v>7.5757575757575761</v>
      </c>
      <c r="K19" s="61" t="s">
        <v>48</v>
      </c>
      <c r="L19" s="28">
        <f>rozvaha!I17-rozvaha!J17</f>
        <v>79935</v>
      </c>
      <c r="M19" s="29">
        <f>rozvaha!I17/rozvaha!J17-1</f>
        <v>0.91071184432393015</v>
      </c>
      <c r="N19" s="26">
        <f>rozvaha!J17-rozvaha!K17</f>
        <v>10613</v>
      </c>
      <c r="O19" s="37">
        <f>rozvaha!J17/rozvaha!K17-1</f>
        <v>0.13754714291268688</v>
      </c>
      <c r="P19" s="28">
        <f>rozvaha!K17-rozvaha!L17</f>
        <v>8625</v>
      </c>
      <c r="Q19" s="29">
        <f>rozvaha!K17/rozvaha!L17-1</f>
        <v>0.12584994309393882</v>
      </c>
      <c r="R19" s="26">
        <f>rozvaha!L17-rozvaha!M17</f>
        <v>25401</v>
      </c>
      <c r="S19" s="29">
        <f>rozvaha!L17/rozvaha!M17-1</f>
        <v>0.588899450536712</v>
      </c>
      <c r="U19" s="117" t="s">
        <v>74</v>
      </c>
      <c r="V19" s="127">
        <f>výsledovka!B17-výsledovka!C17</f>
        <v>675</v>
      </c>
      <c r="W19" s="112">
        <f>výsledovka!B17/výsledovka!C17-1</f>
        <v>5.5998008959681433E-2</v>
      </c>
      <c r="X19" s="121">
        <f>výsledovka!C17-výsledovka!D17</f>
        <v>9521</v>
      </c>
      <c r="Y19" s="131">
        <f>výsledovka!C17/výsledovka!D17-1</f>
        <v>3.7587840505329648</v>
      </c>
      <c r="Z19" s="127">
        <f>výsledovka!D17-výsledovka!E17</f>
        <v>-614</v>
      </c>
      <c r="AA19" s="112">
        <f>výsledovka!D17/výsledovka!E17-1</f>
        <v>-0.19510645058786147</v>
      </c>
      <c r="AB19" s="121">
        <f>výsledovka!E17-výsledovka!F17</f>
        <v>911</v>
      </c>
      <c r="AC19" s="112">
        <f>výsledovka!E17/výsledovka!F17-1</f>
        <v>0.40742397137745967</v>
      </c>
    </row>
    <row r="20" spans="1:29" ht="94.5" x14ac:dyDescent="0.25">
      <c r="A20" s="67" t="s">
        <v>16</v>
      </c>
      <c r="B20" s="68">
        <f>rozvaha!B18-rozvaha!C18</f>
        <v>-42359</v>
      </c>
      <c r="C20" s="69">
        <f>rozvaha!B18/rozvaha!C18-1</f>
        <v>-0.34777504105090307</v>
      </c>
      <c r="D20" s="70">
        <f>rozvaha!C18-rozvaha!D18</f>
        <v>8227</v>
      </c>
      <c r="E20" s="71">
        <f>rozvaha!C18/rozvaha!D18-1</f>
        <v>7.2437991424018078E-2</v>
      </c>
      <c r="F20" s="68">
        <f>rozvaha!D18-rozvaha!E18</f>
        <v>21075</v>
      </c>
      <c r="G20" s="69">
        <f>rozvaha!D18/rozvaha!E18-1</f>
        <v>0.22784276416787397</v>
      </c>
      <c r="H20" s="68">
        <f>rozvaha!E18-rozvaha!F18</f>
        <v>-38982</v>
      </c>
      <c r="I20" s="69">
        <f>rozvaha!E18/rozvaha!F18-1</f>
        <v>-0.29648615759050811</v>
      </c>
      <c r="K20" s="61" t="s">
        <v>49</v>
      </c>
      <c r="L20" s="28">
        <f>rozvaha!I18-rozvaha!J18</f>
        <v>-24985</v>
      </c>
      <c r="M20" s="29">
        <f>rozvaha!I18/rozvaha!J18-1</f>
        <v>-0.86072068347802122</v>
      </c>
      <c r="N20" s="26">
        <f>rozvaha!J18-rozvaha!K18</f>
        <v>-215</v>
      </c>
      <c r="O20" s="37">
        <f>rozvaha!J18/rozvaha!K18-1</f>
        <v>-7.3521868481345454E-3</v>
      </c>
      <c r="P20" s="28">
        <f>rozvaha!K18-rozvaha!L18</f>
        <v>3689</v>
      </c>
      <c r="Q20" s="29">
        <f>rozvaha!K18/rozvaha!L18-1</f>
        <v>0.14436096110198005</v>
      </c>
      <c r="R20" s="26">
        <f>rozvaha!L18-rozvaha!M18</f>
        <v>-8115</v>
      </c>
      <c r="S20" s="29">
        <f>rozvaha!L18/rozvaha!M18-1</f>
        <v>-0.24102289940301169</v>
      </c>
      <c r="U20" s="117" t="s">
        <v>75</v>
      </c>
      <c r="V20" s="127">
        <f>výsledovka!B18-výsledovka!C18</f>
        <v>2397</v>
      </c>
      <c r="W20" s="112">
        <f>výsledovka!B18/výsledovka!C18-1</f>
        <v>-28.2</v>
      </c>
      <c r="X20" s="125">
        <f>výsledovka!C18-výsledovka!D18</f>
        <v>-10</v>
      </c>
      <c r="Y20" s="131">
        <f>výsledovka!C18/výsledovka!D18-1</f>
        <v>0.1333333333333333</v>
      </c>
      <c r="Z20" s="111">
        <f>výsledovka!D18-výsledovka!E18</f>
        <v>-1446</v>
      </c>
      <c r="AA20" s="112">
        <f>výsledovka!D18/výsledovka!E18-1</f>
        <v>-1.0547045951859957</v>
      </c>
      <c r="AB20" s="121">
        <f>výsledovka!E18-výsledovka!F18</f>
        <v>1660</v>
      </c>
      <c r="AC20" s="112">
        <f>výsledovka!E18/výsledovka!F18-1</f>
        <v>-5.7439446366782008</v>
      </c>
    </row>
    <row r="21" spans="1:29" ht="79.5" thickBot="1" x14ac:dyDescent="0.3">
      <c r="A21" s="61" t="s">
        <v>17</v>
      </c>
      <c r="B21" s="34">
        <f>rozvaha!B19-rozvaha!C19</f>
        <v>-42239</v>
      </c>
      <c r="C21" s="29">
        <f>rozvaha!B19/rozvaha!C19-1</f>
        <v>-0.34796971669124366</v>
      </c>
      <c r="D21" s="26">
        <f>rozvaha!C19-rozvaha!D19</f>
        <v>25387</v>
      </c>
      <c r="E21" s="37">
        <f>rozvaha!C19/rozvaha!D19-1</f>
        <v>0.26444791666666667</v>
      </c>
      <c r="F21" s="28">
        <f>rozvaha!D19-rozvaha!E19</f>
        <v>15647</v>
      </c>
      <c r="G21" s="29">
        <f>rozvaha!D19/rozvaha!E19-1</f>
        <v>0.19472826154592848</v>
      </c>
      <c r="H21" s="28">
        <f>rozvaha!E19-rozvaha!F19</f>
        <v>-40028</v>
      </c>
      <c r="I21" s="29">
        <f>rozvaha!E19/rozvaha!F19-1</f>
        <v>-0.33251094441813911</v>
      </c>
      <c r="K21" s="63" t="s">
        <v>50</v>
      </c>
      <c r="L21" s="35">
        <f>rozvaha!I19-rozvaha!J19</f>
        <v>24300</v>
      </c>
      <c r="M21" s="36">
        <f>rozvaha!I19/rozvaha!J19-1</f>
        <v>0.48209503025493494</v>
      </c>
      <c r="N21" s="65">
        <f>rozvaha!J19-rozvaha!K19</f>
        <v>4333</v>
      </c>
      <c r="O21" s="66">
        <f>rozvaha!J19/rozvaha!K19-1</f>
        <v>9.4048445910748457E-2</v>
      </c>
      <c r="P21" s="35">
        <f>rozvaha!K19-rozvaha!L19</f>
        <v>-1668</v>
      </c>
      <c r="Q21" s="36">
        <f>rozvaha!K19/rozvaha!L19-1</f>
        <v>-3.4939254294093058E-2</v>
      </c>
      <c r="R21" s="65">
        <f>rozvaha!L19-rozvaha!M19</f>
        <v>44682</v>
      </c>
      <c r="S21" s="36">
        <f>rozvaha!L19/rozvaha!M19-1</f>
        <v>14.611510791366907</v>
      </c>
      <c r="U21" s="118" t="s">
        <v>76</v>
      </c>
      <c r="V21" s="128">
        <f>výsledovka!B19-výsledovka!C19</f>
        <v>-1532</v>
      </c>
      <c r="W21" s="113">
        <f>výsledovka!B19/výsledovka!C19-1</f>
        <v>-0.43362581375601472</v>
      </c>
      <c r="X21" s="122">
        <f>výsledovka!C19-výsledovka!D19</f>
        <v>-996</v>
      </c>
      <c r="Y21" s="132">
        <f>výsledovka!C19/výsledovka!D19-1</f>
        <v>-0.21991609626849196</v>
      </c>
      <c r="Z21" s="128">
        <f>výsledovka!D19-výsledovka!E19</f>
        <v>2765</v>
      </c>
      <c r="AA21" s="113">
        <f>výsledovka!D19/výsledovka!E19-1</f>
        <v>1.5674603174603177</v>
      </c>
      <c r="AB21" s="122">
        <f>výsledovka!E19-výsledovka!F19</f>
        <v>-1955</v>
      </c>
      <c r="AC21" s="113">
        <f>výsledovka!E19/výsledovka!F19-1</f>
        <v>-0.52567894595321318</v>
      </c>
    </row>
    <row r="22" spans="1:29" ht="48" thickBot="1" x14ac:dyDescent="0.3">
      <c r="A22" s="63" t="s">
        <v>18</v>
      </c>
      <c r="B22" s="64">
        <f>rozvaha!B20-rozvaha!C20</f>
        <v>-120</v>
      </c>
      <c r="C22" s="36">
        <f>rozvaha!B20/rozvaha!C20-1</f>
        <v>-0.29055690072639229</v>
      </c>
      <c r="D22" s="72">
        <f>rozvaha!C20-rozvaha!D20</f>
        <v>-17160</v>
      </c>
      <c r="E22" s="66">
        <f>rozvaha!C20/rozvaha!D20-1</f>
        <v>-0.97649803676094005</v>
      </c>
      <c r="F22" s="35">
        <f>rozvaha!D20-rozvaha!E20</f>
        <v>5427</v>
      </c>
      <c r="G22" s="36">
        <f>rozvaha!D20/rozvaha!E20-1</f>
        <v>0.44681376584883914</v>
      </c>
      <c r="H22" s="35">
        <f>rozvaha!E20-rozvaha!F20</f>
        <v>1047</v>
      </c>
      <c r="I22" s="36">
        <f>rozvaha!E20/rozvaha!F20-1</f>
        <v>9.4332822776826752E-2</v>
      </c>
      <c r="K22" s="73" t="s">
        <v>51</v>
      </c>
      <c r="L22" s="74">
        <f>rozvaha!I20-rozvaha!J20</f>
        <v>216</v>
      </c>
      <c r="M22" s="75">
        <f>rozvaha!I20/rozvaha!J20-1</f>
        <v>0.12661195779601409</v>
      </c>
      <c r="N22" s="76">
        <f>rozvaha!J20-rozvaha!K20</f>
        <v>-135</v>
      </c>
      <c r="O22" s="77">
        <f>rozvaha!J20/rozvaha!K20-1</f>
        <v>-7.3329712112982115E-2</v>
      </c>
      <c r="P22" s="100">
        <f>rozvaha!K20-rozvaha!L20</f>
        <v>925</v>
      </c>
      <c r="Q22" s="75">
        <f>rozvaha!K20/rozvaha!L20-1</f>
        <v>1.0098253275109172</v>
      </c>
      <c r="R22" s="76">
        <f>rozvaha!L20-rozvaha!M20</f>
        <v>678</v>
      </c>
      <c r="S22" s="75">
        <f>rozvaha!L20/rozvaha!M20-1</f>
        <v>2.8487394957983194</v>
      </c>
      <c r="U22" s="134" t="s">
        <v>77</v>
      </c>
      <c r="V22" s="135">
        <f>výsledovka!B20-výsledovka!C20</f>
        <v>3757</v>
      </c>
      <c r="W22" s="136">
        <f>výsledovka!B20/výsledovka!C20-1</f>
        <v>0.71141829199015327</v>
      </c>
      <c r="X22" s="137">
        <f>výsledovka!C20-výsledovka!D20</f>
        <v>-3606</v>
      </c>
      <c r="Y22" s="138">
        <f>výsledovka!C20/výsledovka!D20-1</f>
        <v>-0.40576122426015526</v>
      </c>
      <c r="Z22" s="135">
        <f>výsledovka!D20-výsledovka!E20</f>
        <v>3710</v>
      </c>
      <c r="AA22" s="136">
        <f>výsledovka!D20/výsledovka!E20-1</f>
        <v>0.7166312536217887</v>
      </c>
      <c r="AB22" s="137">
        <f>výsledovka!E20-výsledovka!F20</f>
        <v>1883</v>
      </c>
      <c r="AC22" s="136">
        <f>výsledovka!E20/výsledovka!F20-1</f>
        <v>0.5716454159077109</v>
      </c>
    </row>
    <row r="23" spans="1:29" ht="79.5" thickBot="1" x14ac:dyDescent="0.3">
      <c r="A23" s="73" t="s">
        <v>19</v>
      </c>
      <c r="B23" s="74">
        <f>rozvaha!B21-rozvaha!C21</f>
        <v>260743</v>
      </c>
      <c r="C23" s="75">
        <f>rozvaha!B21/rozvaha!C21-1</f>
        <v>0.78753620649557377</v>
      </c>
      <c r="D23" s="76">
        <f>rozvaha!C21-rozvaha!D21</f>
        <v>17591</v>
      </c>
      <c r="E23" s="77">
        <f>rozvaha!C21/rozvaha!D21-1</f>
        <v>5.6112358690382003E-2</v>
      </c>
      <c r="F23" s="74">
        <f>rozvaha!D21-rozvaha!E21</f>
        <v>-4717</v>
      </c>
      <c r="G23" s="75">
        <f>rozvaha!D21/rozvaha!E21-1</f>
        <v>-1.4823404449221145E-2</v>
      </c>
      <c r="H23" s="74">
        <f>rozvaha!E21-rozvaha!F21</f>
        <v>73212</v>
      </c>
      <c r="I23" s="75">
        <f>rozvaha!E21/rozvaha!F21-1</f>
        <v>0.29882327010910159</v>
      </c>
      <c r="K23" s="95" t="s">
        <v>52</v>
      </c>
      <c r="L23" s="96">
        <f>rozvaha!I21-rozvaha!J21</f>
        <v>216</v>
      </c>
      <c r="M23" s="97">
        <f>rozvaha!I21/rozvaha!J21-1</f>
        <v>0.12661195779601409</v>
      </c>
      <c r="N23" s="98">
        <f>rozvaha!J21-rozvaha!K21</f>
        <v>-135</v>
      </c>
      <c r="O23" s="99">
        <f>rozvaha!J21/rozvaha!K21-1</f>
        <v>-7.3329712112982115E-2</v>
      </c>
      <c r="P23" s="101">
        <f>rozvaha!K21-rozvaha!L21</f>
        <v>925</v>
      </c>
      <c r="Q23" s="97">
        <f>rozvaha!K21/rozvaha!L21-1</f>
        <v>1.0098253275109172</v>
      </c>
      <c r="R23" s="98">
        <f>rozvaha!L21-rozvaha!M21</f>
        <v>678</v>
      </c>
      <c r="S23" s="97">
        <f>rozvaha!L21/rozvaha!M21-1</f>
        <v>2.8487394957983194</v>
      </c>
      <c r="U23" s="73" t="s">
        <v>78</v>
      </c>
      <c r="V23" s="74">
        <f>výsledovka!B21-výsledovka!C21</f>
        <v>41417</v>
      </c>
      <c r="W23" s="75">
        <f>výsledovka!B21/výsledovka!C21-1</f>
        <v>6.8288540807914266</v>
      </c>
      <c r="X23" s="76">
        <f>výsledovka!C21-výsledovka!D21</f>
        <v>-724</v>
      </c>
      <c r="Y23" s="77">
        <f>výsledovka!C21/výsledovka!D21-1</f>
        <v>-0.10664309913094716</v>
      </c>
      <c r="Z23" s="74">
        <f>výsledovka!D21-výsledovka!E21</f>
        <v>-20446</v>
      </c>
      <c r="AA23" s="75">
        <f>výsledovka!D21/výsledovka!E21-1</f>
        <v>-0.75072516981824855</v>
      </c>
      <c r="AB23" s="76">
        <f>výsledovka!E21-výsledovka!F21</f>
        <v>-2772</v>
      </c>
      <c r="AC23" s="75">
        <f>výsledovka!E21/výsledovka!F21-1</f>
        <v>-9.2378445029493106E-2</v>
      </c>
    </row>
    <row r="24" spans="1:29" ht="63" x14ac:dyDescent="0.25">
      <c r="A24" s="67" t="s">
        <v>20</v>
      </c>
      <c r="B24" s="78">
        <f>rozvaha!B22-rozvaha!C22</f>
        <v>62</v>
      </c>
      <c r="C24" s="69">
        <f>rozvaha!B22/rozvaha!C22-1</f>
        <v>15.5</v>
      </c>
      <c r="D24" s="79">
        <f>rozvaha!C22-rozvaha!D22</f>
        <v>0</v>
      </c>
      <c r="E24" s="71">
        <f>rozvaha!C22/rozvaha!D22-1</f>
        <v>0</v>
      </c>
      <c r="F24" s="78">
        <f>rozvaha!D22-rozvaha!E22</f>
        <v>0</v>
      </c>
      <c r="G24" s="69">
        <f>rozvaha!D22/rozvaha!E22-1</f>
        <v>0</v>
      </c>
      <c r="H24" s="78">
        <f>rozvaha!E22-rozvaha!F22</f>
        <v>-365</v>
      </c>
      <c r="I24" s="69">
        <f>rozvaha!E22/rozvaha!F22-1</f>
        <v>-0.98915989159891604</v>
      </c>
      <c r="U24" s="139" t="s">
        <v>79</v>
      </c>
      <c r="V24" s="140">
        <f>výsledovka!B22-výsledovka!C22</f>
        <v>107371</v>
      </c>
      <c r="W24" s="141">
        <f>výsledovka!B22/výsledovka!C22-1</f>
        <v>60.253086419753089</v>
      </c>
      <c r="X24" s="142">
        <f>výsledovka!C22-výsledovka!D22</f>
        <v>-1455</v>
      </c>
      <c r="Y24" s="143">
        <f>výsledovka!C22/výsledovka!D22-1</f>
        <v>-0.44949026876737719</v>
      </c>
      <c r="Z24" s="140">
        <f>výsledovka!D22-výsledovka!E22</f>
        <v>891</v>
      </c>
      <c r="AA24" s="141">
        <f>výsledovka!D22/výsledovka!E22-1</f>
        <v>0.37979539641943738</v>
      </c>
      <c r="AB24" s="142">
        <f>výsledovka!E22-výsledovka!F22</f>
        <v>130</v>
      </c>
      <c r="AC24" s="141">
        <f>výsledovka!E22/výsledovka!F22-1</f>
        <v>5.8664259927797779E-2</v>
      </c>
    </row>
    <row r="25" spans="1:29" ht="63.75" thickBot="1" x14ac:dyDescent="0.3">
      <c r="A25" s="63" t="s">
        <v>21</v>
      </c>
      <c r="B25" s="64">
        <f>rozvaha!B23-rozvaha!C23</f>
        <v>62</v>
      </c>
      <c r="C25" s="36">
        <f>rozvaha!B23/rozvaha!C23-1</f>
        <v>15.5</v>
      </c>
      <c r="D25" s="72">
        <f>rozvaha!C23-rozvaha!D23</f>
        <v>0</v>
      </c>
      <c r="E25" s="66">
        <f>rozvaha!C23/rozvaha!D23-1</f>
        <v>0</v>
      </c>
      <c r="F25" s="64">
        <f>rozvaha!D23-rozvaha!E23</f>
        <v>0</v>
      </c>
      <c r="G25" s="36">
        <f>rozvaha!D23/rozvaha!E23-1</f>
        <v>0</v>
      </c>
      <c r="H25" s="64">
        <f>rozvaha!E23-rozvaha!F23</f>
        <v>-365</v>
      </c>
      <c r="I25" s="36">
        <f>rozvaha!E23/rozvaha!F23-1</f>
        <v>-0.98915989159891604</v>
      </c>
      <c r="U25" s="134" t="s">
        <v>80</v>
      </c>
      <c r="V25" s="135">
        <f>výsledovka!B23-výsledovka!C23</f>
        <v>34615</v>
      </c>
      <c r="W25" s="136">
        <f>výsledovka!B23/výsledovka!C23-1</f>
        <v>29.585470085470085</v>
      </c>
      <c r="X25" s="137">
        <f>výsledovka!C23-výsledovka!D23</f>
        <v>-685</v>
      </c>
      <c r="Y25" s="138">
        <f>výsledovka!C23/výsledovka!D23-1</f>
        <v>-0.3692722371967655</v>
      </c>
      <c r="Z25" s="135">
        <f>výsledovka!D23-výsledovka!E23</f>
        <v>-1898</v>
      </c>
      <c r="AA25" s="136">
        <f>výsledovka!D23/výsledovka!E23-1</f>
        <v>-0.50572875033306686</v>
      </c>
      <c r="AB25" s="137">
        <f>výsledovka!E23-výsledovka!F23</f>
        <v>724</v>
      </c>
      <c r="AC25" s="136">
        <f>výsledovka!E23/výsledovka!F23-1</f>
        <v>0.23902277979531195</v>
      </c>
    </row>
    <row r="26" spans="1:29" ht="79.5" thickBot="1" x14ac:dyDescent="0.3">
      <c r="A26" s="67" t="s">
        <v>22</v>
      </c>
      <c r="B26" s="68">
        <f>rozvaha!B24-rozvaha!C24</f>
        <v>259630</v>
      </c>
      <c r="C26" s="69">
        <f>rozvaha!B24/rozvaha!C24-1</f>
        <v>0.89605141001349442</v>
      </c>
      <c r="D26" s="70">
        <f>rozvaha!C24-rozvaha!D24</f>
        <v>-5298</v>
      </c>
      <c r="E26" s="71">
        <f>rozvaha!C24/rozvaha!D24-1</f>
        <v>-1.7956461173982419E-2</v>
      </c>
      <c r="F26" s="68">
        <f>rozvaha!D24-rozvaha!E24</f>
        <v>12261</v>
      </c>
      <c r="G26" s="69">
        <f>rozvaha!D24/rozvaha!E24-1</f>
        <v>4.335787485943432E-2</v>
      </c>
      <c r="H26" s="68">
        <f>rozvaha!E24-rozvaha!F24</f>
        <v>282786</v>
      </c>
      <c r="I26" s="69"/>
      <c r="U26" s="73" t="s">
        <v>81</v>
      </c>
      <c r="V26" s="74">
        <f>výsledovka!B24-výsledovka!C24</f>
        <v>72902</v>
      </c>
      <c r="W26" s="75">
        <f>výsledovka!B24/výsledovka!C24-1</f>
        <v>119.12091503267973</v>
      </c>
      <c r="X26" s="154">
        <f>výsledovka!C24-výsledovka!D24</f>
        <v>-770</v>
      </c>
      <c r="Y26" s="77">
        <f>výsledovka!C24/výsledovka!D24-1</f>
        <v>-0.55716353111432704</v>
      </c>
      <c r="Z26" s="74">
        <f>výsledovka!D24-výsledovka!E24</f>
        <v>2789</v>
      </c>
      <c r="AA26" s="75">
        <f>výsledovka!D24/výsledovka!E24-1</f>
        <v>-1.9822316986496091</v>
      </c>
      <c r="AB26" s="76">
        <f>výsledovka!E24-výsledovka!F24</f>
        <v>-594</v>
      </c>
      <c r="AC26" s="75">
        <f>výsledovka!E24/výsledovka!F24-1</f>
        <v>0.73062730627306283</v>
      </c>
    </row>
    <row r="27" spans="1:29" ht="63.75" thickBot="1" x14ac:dyDescent="0.3">
      <c r="A27" s="61" t="s">
        <v>23</v>
      </c>
      <c r="B27" s="28">
        <f>rozvaha!B25-rozvaha!C25</f>
        <v>7262</v>
      </c>
      <c r="C27" s="29">
        <f>rozvaha!B25/rozvaha!C25-1</f>
        <v>5.6690085870413736</v>
      </c>
      <c r="D27" s="26">
        <f>rozvaha!C25-rozvaha!D25</f>
        <v>209</v>
      </c>
      <c r="E27" s="37">
        <f>rozvaha!C25/rozvaha!D25-1</f>
        <v>0.19496268656716409</v>
      </c>
      <c r="F27" s="28">
        <f>rozvaha!D25-rozvaha!E25</f>
        <v>-9093</v>
      </c>
      <c r="G27" s="29">
        <f>rozvaha!D25/rozvaha!E25-1</f>
        <v>-0.89454008853910483</v>
      </c>
      <c r="H27" s="28">
        <f>rozvaha!E25-rozvaha!F25</f>
        <v>3136</v>
      </c>
      <c r="I27" s="29">
        <f>rozvaha!E25/rozvaha!F25-1</f>
        <v>0.44615165741926299</v>
      </c>
      <c r="U27" s="155" t="s">
        <v>82</v>
      </c>
      <c r="V27" s="156">
        <f>výsledovka!B25-výsledovka!C25</f>
        <v>7040</v>
      </c>
      <c r="W27" s="157">
        <f>výsledovka!B25/výsledovka!C25-1</f>
        <v>7.1983640081799596</v>
      </c>
      <c r="X27" s="158">
        <f>výsledovka!C25-výsledovka!D25</f>
        <v>-388</v>
      </c>
      <c r="Y27" s="159">
        <f>výsledovka!C25/výsledovka!D25-1</f>
        <v>-0.28404099560761342</v>
      </c>
      <c r="Z27" s="156">
        <f>výsledovka!D25-výsledovka!E25</f>
        <v>-3561</v>
      </c>
      <c r="AA27" s="157">
        <f>výsledovka!D25/výsledovka!E25-1</f>
        <v>-0.72275218185508416</v>
      </c>
      <c r="AB27" s="160">
        <f>výsledovka!E25-výsledovka!F25</f>
        <v>-982</v>
      </c>
      <c r="AC27" s="157">
        <f>výsledovka!E25/výsledovka!F25-1</f>
        <v>-0.16618717211034018</v>
      </c>
    </row>
    <row r="28" spans="1:29" ht="111" thickBot="1" x14ac:dyDescent="0.3">
      <c r="A28" s="62" t="s">
        <v>24</v>
      </c>
      <c r="B28" s="30">
        <f>rozvaha!B26-rozvaha!C26</f>
        <v>5357</v>
      </c>
      <c r="C28" s="31"/>
      <c r="D28" s="25">
        <f>rozvaha!C26-rozvaha!D26</f>
        <v>-114</v>
      </c>
      <c r="E28" s="39">
        <f>rozvaha!C26/rozvaha!D26-1</f>
        <v>-1</v>
      </c>
      <c r="F28" s="40">
        <f>rozvaha!D26-rozvaha!E26</f>
        <v>-7176</v>
      </c>
      <c r="G28" s="31">
        <f>rozvaha!D26/rozvaha!E26-1</f>
        <v>-0.9843621399176955</v>
      </c>
      <c r="H28" s="30">
        <f>rozvaha!E26-rozvaha!F26</f>
        <v>1145</v>
      </c>
      <c r="I28" s="31">
        <f>rozvaha!E26/rozvaha!F26-1</f>
        <v>0.18633034987794961</v>
      </c>
      <c r="U28" s="73" t="s">
        <v>83</v>
      </c>
      <c r="V28" s="74">
        <f>výsledovka!B26-výsledovka!C26</f>
        <v>114319</v>
      </c>
      <c r="W28" s="75">
        <f>výsledovka!B26/výsledovka!C26-1</f>
        <v>17.121311966451998</v>
      </c>
      <c r="X28" s="76">
        <f>výsledovka!C26-výsledovka!D26</f>
        <v>-1494</v>
      </c>
      <c r="Y28" s="77">
        <f>výsledovka!C26/výsledovka!D26-1</f>
        <v>-0.18284175743483044</v>
      </c>
      <c r="Z28" s="74">
        <f>výsledovka!D26-výsledovka!E26</f>
        <v>-17657</v>
      </c>
      <c r="AA28" s="75">
        <f>výsledovka!D26/výsledovka!E26-1</f>
        <v>-0.68363791234319349</v>
      </c>
      <c r="AB28" s="76">
        <f>výsledovka!E26-výsledovka!F26</f>
        <v>-3366</v>
      </c>
      <c r="AC28" s="75">
        <f>výsledovka!E26/výsledovka!F26-1</f>
        <v>-0.11529766390354179</v>
      </c>
    </row>
    <row r="29" spans="1:29" ht="95.25" thickBot="1" x14ac:dyDescent="0.3">
      <c r="A29" s="62" t="s">
        <v>25</v>
      </c>
      <c r="B29" s="30">
        <f>rozvaha!B27-rozvaha!C27</f>
        <v>1725</v>
      </c>
      <c r="C29" s="31"/>
      <c r="D29" s="25">
        <f>rozvaha!C27-rozvaha!D27</f>
        <v>0</v>
      </c>
      <c r="E29" s="39"/>
      <c r="F29" s="32">
        <f>rozvaha!D27-rozvaha!E27</f>
        <v>-2850</v>
      </c>
      <c r="G29" s="33">
        <f>rozvaha!D27/rozvaha!E27-1</f>
        <v>-1</v>
      </c>
      <c r="H29" s="30">
        <f>rozvaha!E27-rozvaha!F27</f>
        <v>2850</v>
      </c>
      <c r="I29" s="31"/>
      <c r="U29" s="161" t="s">
        <v>84</v>
      </c>
      <c r="V29" s="162">
        <f>výsledovka!B27-výsledovka!C27</f>
        <v>107279</v>
      </c>
      <c r="W29" s="163">
        <f>výsledovka!B27/výsledovka!C27-1</f>
        <v>18.824179680645727</v>
      </c>
      <c r="X29" s="164">
        <f>výsledovka!C27-výsledovka!D27</f>
        <v>-1106</v>
      </c>
      <c r="Y29" s="165">
        <f>výsledovka!C27/výsledovka!D27-1</f>
        <v>-0.16252755326965462</v>
      </c>
      <c r="Z29" s="162">
        <f>výsledovka!D27-výsledovka!E27</f>
        <v>-14156</v>
      </c>
      <c r="AA29" s="163">
        <f>výsledovka!D27/výsledovka!E27-1</f>
        <v>-0.6753494585182005</v>
      </c>
      <c r="AB29" s="164">
        <f>výsledovka!E27-výsledovka!F27</f>
        <v>-2773</v>
      </c>
      <c r="AC29" s="163">
        <f>výsledovka!E27/výsledovka!F27-1</f>
        <v>-0.11683660571332266</v>
      </c>
    </row>
    <row r="30" spans="1:29" ht="47.25" x14ac:dyDescent="0.25">
      <c r="A30" s="62" t="s">
        <v>26</v>
      </c>
      <c r="B30" s="30">
        <f>rozvaha!B28-rozvaha!C28</f>
        <v>180</v>
      </c>
      <c r="C30" s="31">
        <f>rozvaha!B28/rozvaha!C28-1</f>
        <v>0.14051522248243553</v>
      </c>
      <c r="D30" s="27">
        <f>rozvaha!C28-rozvaha!D28</f>
        <v>323</v>
      </c>
      <c r="E30" s="38">
        <f>rozvaha!C28/rozvaha!D28-1</f>
        <v>0.33716075156576197</v>
      </c>
      <c r="F30" s="40">
        <f>rozvaha!D28-rozvaha!E28</f>
        <v>933</v>
      </c>
      <c r="G30" s="31">
        <f>rozvaha!D28/rozvaha!E28-1</f>
        <v>37.32</v>
      </c>
      <c r="H30" s="40">
        <f>rozvaha!E28-rozvaha!F28</f>
        <v>-859</v>
      </c>
      <c r="I30" s="31">
        <f>rozvaha!E28/rozvaha!F28-1</f>
        <v>-0.97171945701357465</v>
      </c>
    </row>
    <row r="31" spans="1:29" ht="63" x14ac:dyDescent="0.25">
      <c r="A31" s="61" t="s">
        <v>27</v>
      </c>
      <c r="B31" s="28">
        <f>rozvaha!B29-rozvaha!C29</f>
        <v>252368</v>
      </c>
      <c r="C31" s="29">
        <f>rozvaha!B29/rozvaha!C29-1</f>
        <v>0.87485613655587446</v>
      </c>
      <c r="D31" s="26">
        <f>rozvaha!C29-rozvaha!D29</f>
        <v>-5507</v>
      </c>
      <c r="E31" s="37">
        <f>rozvaha!C29/rozvaha!D29-1</f>
        <v>-1.873288544944296E-2</v>
      </c>
      <c r="F31" s="28">
        <f>rozvaha!D29-rozvaha!E29</f>
        <v>21354</v>
      </c>
      <c r="G31" s="29">
        <f>rozvaha!D29/rozvaha!E29-1</f>
        <v>7.8328522014078139E-2</v>
      </c>
      <c r="H31" s="28">
        <f>rozvaha!E29-rozvaha!F29</f>
        <v>75654</v>
      </c>
      <c r="I31" s="29">
        <f>rozvaha!E29/rozvaha!F29-1</f>
        <v>0.38409479760569032</v>
      </c>
    </row>
    <row r="32" spans="1:29" ht="78.75" x14ac:dyDescent="0.25">
      <c r="A32" s="62" t="s">
        <v>24</v>
      </c>
      <c r="B32" s="30">
        <f>rozvaha!B30-rozvaha!C30</f>
        <v>127527</v>
      </c>
      <c r="C32" s="31">
        <f>rozvaha!B30/rozvaha!C30-1</f>
        <v>0.6117165689726296</v>
      </c>
      <c r="D32" s="27">
        <f>rozvaha!C30-rozvaha!D30</f>
        <v>2137</v>
      </c>
      <c r="E32" s="38">
        <f>rozvaha!C30/rozvaha!D30-1</f>
        <v>1.035684341635279E-2</v>
      </c>
      <c r="F32" s="30">
        <f>rozvaha!D30-rozvaha!E30</f>
        <v>36280</v>
      </c>
      <c r="G32" s="31">
        <f>rozvaha!D30/rozvaha!E30-1</f>
        <v>0.21334023298070637</v>
      </c>
      <c r="H32" s="30">
        <f>rozvaha!E30-rozvaha!F30</f>
        <v>56872</v>
      </c>
      <c r="I32" s="31">
        <f>rozvaha!E30/rozvaha!F30-1</f>
        <v>0.50246940849052435</v>
      </c>
    </row>
    <row r="33" spans="1:9" ht="63" x14ac:dyDescent="0.25">
      <c r="A33" s="62" t="s">
        <v>25</v>
      </c>
      <c r="B33" s="30">
        <f>rozvaha!B31-rozvaha!C31</f>
        <v>117861</v>
      </c>
      <c r="C33" s="31">
        <f>rozvaha!B31/rozvaha!C31-1</f>
        <v>1.8600918517115668</v>
      </c>
      <c r="D33" s="27">
        <f>rozvaha!C31-rozvaha!D31</f>
        <v>-5805</v>
      </c>
      <c r="E33" s="38">
        <f>rozvaha!C31/rozvaha!D31-1</f>
        <v>-8.3926092990978529E-2</v>
      </c>
      <c r="F33" s="30">
        <f>rozvaha!D31-rozvaha!E31</f>
        <v>-8360</v>
      </c>
      <c r="G33" s="31">
        <f>rozvaha!D31/rozvaha!E31-1</f>
        <v>-0.10783200908059021</v>
      </c>
      <c r="H33" s="30">
        <f>rozvaha!E31-rozvaha!F31</f>
        <v>18054</v>
      </c>
      <c r="I33" s="31">
        <f>rozvaha!E31/rozvaha!F31-1</f>
        <v>0.30356122002892016</v>
      </c>
    </row>
    <row r="34" spans="1:9" ht="48" thickBot="1" x14ac:dyDescent="0.3">
      <c r="A34" s="80" t="s">
        <v>26</v>
      </c>
      <c r="B34" s="81">
        <f>rozvaha!B32-rozvaha!C32</f>
        <v>6980</v>
      </c>
      <c r="C34" s="82">
        <f>rozvaha!B32/rozvaha!C32-1</f>
        <v>0.41969815404966626</v>
      </c>
      <c r="D34" s="83">
        <f>rozvaha!C32-rozvaha!D32</f>
        <v>-1839</v>
      </c>
      <c r="E34" s="84">
        <f>rozvaha!C32/rozvaha!D32-1</f>
        <v>-9.9566865186789366E-2</v>
      </c>
      <c r="F34" s="81">
        <f>rozvaha!D32-rozvaha!E32</f>
        <v>-6566</v>
      </c>
      <c r="G34" s="82">
        <f>rozvaha!D32/rozvaha!E32-1</f>
        <v>-0.2622623422271928</v>
      </c>
      <c r="H34" s="81">
        <f>rozvaha!E32-rozvaha!F32</f>
        <v>728</v>
      </c>
      <c r="I34" s="82">
        <f>rozvaha!E32/rozvaha!F32-1</f>
        <v>2.9948987987493902E-2</v>
      </c>
    </row>
    <row r="35" spans="1:9" ht="47.25" x14ac:dyDescent="0.25">
      <c r="A35" s="67" t="s">
        <v>28</v>
      </c>
      <c r="B35" s="68">
        <f>rozvaha!B33-rozvaha!C33</f>
        <v>1051</v>
      </c>
      <c r="C35" s="69">
        <f>rozvaha!B33/rozvaha!C33-1</f>
        <v>2.5427009241786314E-2</v>
      </c>
      <c r="D35" s="70">
        <f>rozvaha!C33-rozvaha!D33</f>
        <v>22889</v>
      </c>
      <c r="E35" s="71">
        <f>rozvaha!C33/rozvaha!D33-1</f>
        <v>1.2409325020330715</v>
      </c>
      <c r="F35" s="68">
        <f>rozvaha!D33-rozvaha!E33</f>
        <v>-16978</v>
      </c>
      <c r="G35" s="69">
        <f>rozvaha!D33/rozvaha!E33-1</f>
        <v>-0.47929311464302859</v>
      </c>
      <c r="H35" s="68">
        <f>rozvaha!E33-rozvaha!F33</f>
        <v>-5213</v>
      </c>
      <c r="I35" s="69">
        <f>rozvaha!E33/rozvaha!F33-1</f>
        <v>-0.12828526429766707</v>
      </c>
    </row>
    <row r="36" spans="1:9" ht="15.75" x14ac:dyDescent="0.25">
      <c r="A36" s="61" t="s">
        <v>29</v>
      </c>
      <c r="B36" s="34">
        <f>rozvaha!B34-rozvaha!C34</f>
        <v>94</v>
      </c>
      <c r="C36" s="29">
        <f>rozvaha!B34/rozvaha!C34-1</f>
        <v>0.13702623906705536</v>
      </c>
      <c r="D36" s="23">
        <f>rozvaha!C34-rozvaha!D34</f>
        <v>209</v>
      </c>
      <c r="E36" s="37">
        <f>rozvaha!C34/rozvaha!D34-1</f>
        <v>0.43815513626834379</v>
      </c>
      <c r="F36" s="34">
        <f>rozvaha!D34-rozvaha!E34</f>
        <v>-902</v>
      </c>
      <c r="G36" s="29">
        <f>rozvaha!D34/rozvaha!E34-1</f>
        <v>-0.65409717186366934</v>
      </c>
      <c r="H36" s="28">
        <f>rozvaha!E34-rozvaha!F34</f>
        <v>229</v>
      </c>
      <c r="I36" s="29">
        <f>rozvaha!E34/rozvaha!F34-1</f>
        <v>0.19913043478260861</v>
      </c>
    </row>
    <row r="37" spans="1:9" ht="16.5" thickBot="1" x14ac:dyDescent="0.3">
      <c r="A37" s="63" t="s">
        <v>30</v>
      </c>
      <c r="B37" s="35">
        <f>rozvaha!B35-rozvaha!C35</f>
        <v>957</v>
      </c>
      <c r="C37" s="36">
        <f>rozvaha!B35/rozvaha!C35-1</f>
        <v>2.354359378075177E-2</v>
      </c>
      <c r="D37" s="65">
        <f>rozvaha!C35-rozvaha!D35</f>
        <v>22680</v>
      </c>
      <c r="E37" s="66">
        <f>rozvaha!C35/rozvaha!D35-1</f>
        <v>1.2622439893143365</v>
      </c>
      <c r="F37" s="35">
        <f>rozvaha!D35-rozvaha!E35</f>
        <v>-16076</v>
      </c>
      <c r="G37" s="36">
        <f>rozvaha!D35/rozvaha!E35-1</f>
        <v>-0.47221243097168375</v>
      </c>
      <c r="H37" s="35">
        <f>rozvaha!E35-rozvaha!F35</f>
        <v>-5442</v>
      </c>
      <c r="I37" s="36">
        <f>rozvaha!E35/rozvaha!F35-1</f>
        <v>-0.13782099984804741</v>
      </c>
    </row>
    <row r="38" spans="1:9" ht="47.25" x14ac:dyDescent="0.25">
      <c r="A38" s="56" t="s">
        <v>31</v>
      </c>
      <c r="B38" s="57">
        <f>rozvaha!B36-rozvaha!C36</f>
        <v>-5639</v>
      </c>
      <c r="C38" s="58">
        <f>rozvaha!B36/rozvaha!C36-1</f>
        <v>-0.47011254689453941</v>
      </c>
      <c r="D38" s="59">
        <f>rozvaha!C36-rozvaha!D36</f>
        <v>-4996</v>
      </c>
      <c r="E38" s="60">
        <f>rozvaha!C36/rozvaha!D36-1</f>
        <v>-0.29403802012830327</v>
      </c>
      <c r="F38" s="57">
        <f>rozvaha!D36-rozvaha!E36</f>
        <v>2985</v>
      </c>
      <c r="G38" s="58">
        <f>rozvaha!D36/rozvaha!E36-1</f>
        <v>0.21312294730829651</v>
      </c>
      <c r="H38" s="57">
        <f>rozvaha!E36-rozvaha!F36</f>
        <v>8807</v>
      </c>
      <c r="I38" s="58">
        <f>rozvaha!E36/rozvaha!F36-1</f>
        <v>1.6939796114637429</v>
      </c>
    </row>
    <row r="39" spans="1:9" ht="48" thickBot="1" x14ac:dyDescent="0.3">
      <c r="A39" s="63" t="s">
        <v>32</v>
      </c>
      <c r="B39" s="35">
        <f>rozvaha!B37-rozvaha!C37</f>
        <v>-5639</v>
      </c>
      <c r="C39" s="36">
        <f>rozvaha!B37/rozvaha!C37-1</f>
        <v>-0.47011254689453941</v>
      </c>
      <c r="D39" s="65">
        <f>rozvaha!C37-rozvaha!D37</f>
        <v>-4996</v>
      </c>
      <c r="E39" s="66">
        <f>rozvaha!C37/rozvaha!D37-1</f>
        <v>-0.29403802012830327</v>
      </c>
      <c r="F39" s="35">
        <f>rozvaha!D37-rozvaha!E37</f>
        <v>2985</v>
      </c>
      <c r="G39" s="36">
        <f>rozvaha!D37/rozvaha!E37-1</f>
        <v>0.21312294730829651</v>
      </c>
      <c r="H39" s="35">
        <f>rozvaha!E37-rozvaha!F37</f>
        <v>8807</v>
      </c>
      <c r="I39" s="36">
        <f>rozvaha!E37/rozvaha!F37-1</f>
        <v>1.6939796114637429</v>
      </c>
    </row>
  </sheetData>
  <mergeCells count="12">
    <mergeCell ref="AB2:AC2"/>
    <mergeCell ref="B2:C2"/>
    <mergeCell ref="D2:E2"/>
    <mergeCell ref="F2:G2"/>
    <mergeCell ref="H2:I2"/>
    <mergeCell ref="L2:M2"/>
    <mergeCell ref="N2:O2"/>
    <mergeCell ref="P2:Q2"/>
    <mergeCell ref="R2:S2"/>
    <mergeCell ref="V2:W2"/>
    <mergeCell ref="X2:Y2"/>
    <mergeCell ref="Z2:AA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E7CF-9A61-4284-9034-0E67D209C7B2}">
  <dimension ref="A1:M37"/>
  <sheetViews>
    <sheetView topLeftCell="A29" zoomScale="80" zoomScaleNormal="80" workbookViewId="0">
      <selection activeCell="H20" sqref="H20:M20"/>
    </sheetView>
  </sheetViews>
  <sheetFormatPr defaultRowHeight="15" x14ac:dyDescent="0.25"/>
  <cols>
    <col min="2" max="6" width="10.7109375" style="173" bestFit="1" customWidth="1"/>
    <col min="9" max="13" width="10.7109375" bestFit="1" customWidth="1"/>
  </cols>
  <sheetData>
    <row r="1" spans="1:13" ht="16.5" thickBot="1" x14ac:dyDescent="0.3">
      <c r="A1" s="1"/>
      <c r="B1" s="2">
        <v>2017</v>
      </c>
      <c r="C1" s="2">
        <v>2016</v>
      </c>
      <c r="D1" s="2">
        <v>2015</v>
      </c>
      <c r="E1" s="2">
        <v>2014</v>
      </c>
      <c r="F1" s="2">
        <v>2013</v>
      </c>
      <c r="H1" s="1"/>
      <c r="I1" s="2">
        <v>2017</v>
      </c>
      <c r="J1" s="2">
        <v>2016</v>
      </c>
      <c r="K1" s="2">
        <v>2015</v>
      </c>
      <c r="L1" s="2">
        <v>2014</v>
      </c>
      <c r="M1" s="2">
        <v>2013</v>
      </c>
    </row>
    <row r="2" spans="1:13" ht="63.75" thickBot="1" x14ac:dyDescent="0.3">
      <c r="A2" s="3" t="s">
        <v>0</v>
      </c>
      <c r="B2" s="166">
        <f>rozvaha!B2/rozvaha!$B$2</f>
        <v>1</v>
      </c>
      <c r="C2" s="166">
        <f>rozvaha!C2/rozvaha!$C$2</f>
        <v>1</v>
      </c>
      <c r="D2" s="166">
        <f>rozvaha!D2/rozvaha!$D$2</f>
        <v>1</v>
      </c>
      <c r="E2" s="166">
        <f>rozvaha!E2/rozvaha!$E$2</f>
        <v>1</v>
      </c>
      <c r="F2" s="166">
        <f>rozvaha!F2/rozvaha!$F$2</f>
        <v>1</v>
      </c>
      <c r="H2" s="3" t="s">
        <v>33</v>
      </c>
      <c r="I2" s="166">
        <f>rozvaha!I2/rozvaha!$I$2</f>
        <v>1</v>
      </c>
      <c r="J2" s="166">
        <f>rozvaha!J2/rozvaha!$J$2</f>
        <v>1</v>
      </c>
      <c r="K2" s="166">
        <f>rozvaha!K2/rozvaha!$K$2</f>
        <v>1</v>
      </c>
      <c r="L2" s="166">
        <f>rozvaha!L2/rozvaha!$L$2</f>
        <v>1</v>
      </c>
      <c r="M2" s="166">
        <f>rozvaha!M2/rozvaha!$M$2</f>
        <v>1</v>
      </c>
    </row>
    <row r="3" spans="1:13" ht="48" thickBot="1" x14ac:dyDescent="0.3">
      <c r="A3" s="6" t="s">
        <v>1</v>
      </c>
      <c r="B3" s="167">
        <f>rozvaha!B3/rozvaha!$B$2</f>
        <v>0.17900949060889496</v>
      </c>
      <c r="C3" s="167">
        <f>rozvaha!C3/rozvaha!$C$2</f>
        <v>0.32008307669135977</v>
      </c>
      <c r="D3" s="167">
        <f>rozvaha!D3/rozvaha!$D$2</f>
        <v>0.31858350515463918</v>
      </c>
      <c r="E3" s="167">
        <f>rozvaha!E3/rozvaha!$E$2</f>
        <v>0.27733790734748898</v>
      </c>
      <c r="F3" s="167">
        <f>rozvaha!F3/rozvaha!$F$2</f>
        <v>0.36902789441430811</v>
      </c>
      <c r="H3" s="6" t="s">
        <v>34</v>
      </c>
      <c r="I3" s="167">
        <f>rozvaha!I3/rozvaha!$I$2</f>
        <v>0.56453682671918637</v>
      </c>
      <c r="J3" s="167">
        <f>rozvaha!J3/rozvaha!$J$2</f>
        <v>0.65062604787215073</v>
      </c>
      <c r="K3" s="167">
        <f>rozvaha!K3/rozvaha!$K$2</f>
        <v>0.66515876288659792</v>
      </c>
      <c r="L3" s="167">
        <f>rozvaha!L3/rozvaha!$L$2</f>
        <v>0.67642081255308728</v>
      </c>
      <c r="M3" s="167">
        <f>rozvaha!M3/rozvaha!$M$2</f>
        <v>0.67551591174460512</v>
      </c>
    </row>
    <row r="4" spans="1:13" ht="48" thickBot="1" x14ac:dyDescent="0.3">
      <c r="A4" s="8" t="s">
        <v>2</v>
      </c>
      <c r="B4" s="168">
        <f>rozvaha!B4/rozvaha!$B$2</f>
        <v>2.7957151582111268E-3</v>
      </c>
      <c r="C4" s="168">
        <f>rozvaha!C4/rozvaha!$C$2</f>
        <v>5.295346357665767E-3</v>
      </c>
      <c r="D4" s="168">
        <f>rozvaha!D4/rozvaha!$D$2</f>
        <v>3.9608247422680412E-3</v>
      </c>
      <c r="E4" s="168">
        <f>rozvaha!E4/rozvaha!$E$2</f>
        <v>5.9890313936859733E-3</v>
      </c>
      <c r="F4" s="168">
        <f>rozvaha!F4/rozvaha!$F$2</f>
        <v>3.3313914927206195E-3</v>
      </c>
      <c r="H4" s="10" t="s">
        <v>35</v>
      </c>
      <c r="I4" s="169">
        <f>rozvaha!I4/rozvaha!$I$2</f>
        <v>9.8337256301338841E-3</v>
      </c>
      <c r="J4" s="169">
        <f>rozvaha!J4/rozvaha!$J$2</f>
        <v>1.4199534675402402E-2</v>
      </c>
      <c r="K4" s="169">
        <f>rozvaha!K4/rozvaha!$K$2</f>
        <v>1.4773195876288659E-2</v>
      </c>
      <c r="L4" s="169">
        <f>rozvaha!L4/rozvaha!$L$2</f>
        <v>1.5329777424041114E-2</v>
      </c>
      <c r="M4" s="169">
        <f>rozvaha!M4/rozvaha!$M$2</f>
        <v>1.7653096479216E-2</v>
      </c>
    </row>
    <row r="5" spans="1:13" ht="32.25" thickBot="1" x14ac:dyDescent="0.3">
      <c r="A5" s="10" t="s">
        <v>3</v>
      </c>
      <c r="B5" s="169">
        <f>rozvaha!B5/rozvaha!$B$2</f>
        <v>2.6749380674293008E-3</v>
      </c>
      <c r="C5" s="169">
        <f>rozvaha!C5/rozvaha!$C$2</f>
        <v>1.4982342239503441E-3</v>
      </c>
      <c r="D5" s="169">
        <f>rozvaha!D5/rozvaha!$D$2</f>
        <v>3.6309278350515465E-3</v>
      </c>
      <c r="E5" s="169">
        <f>rozvaha!E5/rozvaha!$E$2</f>
        <v>5.9890313936859733E-3</v>
      </c>
      <c r="F5" s="169">
        <f>rozvaha!F5/rozvaha!$F$2</f>
        <v>2.8270173076001626E-3</v>
      </c>
      <c r="H5" s="10" t="s">
        <v>36</v>
      </c>
      <c r="I5" s="169"/>
      <c r="J5" s="169">
        <f>rozvaha!J5/rozvaha!$J$2</f>
        <v>2.0174635449490084E-3</v>
      </c>
      <c r="K5" s="169">
        <f>rozvaha!K5/rozvaha!$K$2</f>
        <v>2.0969072164948453E-3</v>
      </c>
      <c r="L5" s="169">
        <f>rozvaha!L5/rozvaha!$L$2</f>
        <v>2.9375833081937822E-3</v>
      </c>
      <c r="M5" s="169">
        <f>rozvaha!M5/rozvaha!$M$2</f>
        <v>1.384507138155655E-3</v>
      </c>
    </row>
    <row r="6" spans="1:13" ht="48" thickBot="1" x14ac:dyDescent="0.3">
      <c r="A6" s="13" t="s">
        <v>4</v>
      </c>
      <c r="B6" s="170">
        <f>rozvaha!B6/rozvaha!$B$2</f>
        <v>2.6749380674293008E-3</v>
      </c>
      <c r="C6" s="170">
        <f>rozvaha!C6/rozvaha!$C$2</f>
        <v>1.4982342239503441E-3</v>
      </c>
      <c r="D6" s="170">
        <f>rozvaha!D6/rozvaha!$D$2</f>
        <v>3.6309278350515465E-3</v>
      </c>
      <c r="E6" s="170">
        <f>rozvaha!E6/rozvaha!$E$2</f>
        <v>5.8823408721129442E-3</v>
      </c>
      <c r="F6" s="170">
        <f>rozvaha!F6/rozvaha!$F$2</f>
        <v>2.3806461537685579E-3</v>
      </c>
      <c r="H6" s="10" t="s">
        <v>37</v>
      </c>
      <c r="I6" s="169">
        <f>rozvaha!I6/rozvaha!$I$2</f>
        <v>9.8817619730584734E-4</v>
      </c>
      <c r="J6" s="169">
        <f>rozvaha!J6/rozvaha!$J$2</f>
        <v>1.426889737095566E-3</v>
      </c>
      <c r="K6" s="169">
        <f>rozvaha!K6/rozvaha!$K$2</f>
        <v>1.4845360824742267E-3</v>
      </c>
      <c r="L6" s="169">
        <f>rozvaha!L6/rozvaha!$L$2</f>
        <v>1.540466119373287E-3</v>
      </c>
      <c r="M6" s="169">
        <f>rozvaha!M6/rozvaha!$M$2</f>
        <v>1.7653096479216001E-3</v>
      </c>
    </row>
    <row r="7" spans="1:13" ht="63.75" thickBot="1" x14ac:dyDescent="0.3">
      <c r="A7" s="13" t="s">
        <v>5</v>
      </c>
      <c r="B7" s="171"/>
      <c r="C7" s="171"/>
      <c r="D7" s="171"/>
      <c r="E7" s="170">
        <f>rozvaha!E7/rozvaha!$E$2</f>
        <v>1.0669052157302863E-4</v>
      </c>
      <c r="F7" s="170">
        <f>rozvaha!F7/rozvaha!$F$2</f>
        <v>4.4637115383160461E-4</v>
      </c>
      <c r="H7" s="10" t="s">
        <v>38</v>
      </c>
      <c r="I7" s="169">
        <f>rozvaha!I7/rozvaha!$I$2</f>
        <v>0.39865635486505219</v>
      </c>
      <c r="J7" s="169">
        <f>rozvaha!J7/rozvaha!$J$2</f>
        <v>0.62168793128733202</v>
      </c>
      <c r="K7" s="169">
        <f>rozvaha!K7/rozvaha!$K$2</f>
        <v>0.63277319587628866</v>
      </c>
      <c r="L7" s="169">
        <f>rozvaha!L7/rozvaha!$L$2</f>
        <v>0.61189453797783866</v>
      </c>
      <c r="M7" s="169">
        <f>rozvaha!M7/rozvaha!$M$2</f>
        <v>0.59485891393106716</v>
      </c>
    </row>
    <row r="8" spans="1:13" ht="79.5" thickBot="1" x14ac:dyDescent="0.3">
      <c r="A8" s="10" t="s">
        <v>6</v>
      </c>
      <c r="B8" s="169">
        <f>rozvaha!B8/rozvaha!$B$2</f>
        <v>1.207770907818258E-4</v>
      </c>
      <c r="C8" s="169">
        <f>rozvaha!C8/rozvaha!$C$2</f>
        <v>2.5565107789628889E-4</v>
      </c>
      <c r="D8" s="169">
        <f>rozvaha!D8/rozvaha!$D$2</f>
        <v>3.2989690721649484E-4</v>
      </c>
      <c r="E8" s="169"/>
      <c r="F8" s="169"/>
      <c r="H8" s="10" t="s">
        <v>39</v>
      </c>
      <c r="I8" s="169">
        <f>rozvaha!I8/rozvaha!$I$2</f>
        <v>0.15505857002669449</v>
      </c>
      <c r="J8" s="169">
        <f>rozvaha!J8/rozvaha!$J$2</f>
        <v>1.1294228627371708E-2</v>
      </c>
      <c r="K8" s="169">
        <f>rozvaha!K8/rozvaha!$K$2</f>
        <v>1.4030927835051546E-2</v>
      </c>
      <c r="L8" s="169">
        <f>rozvaha!L8/rozvaha!$L$2</f>
        <v>4.4718447723640378E-2</v>
      </c>
      <c r="M8" s="169">
        <f>rozvaha!M8/rozvaha!$M$2</f>
        <v>5.9854084548244653E-2</v>
      </c>
    </row>
    <row r="9" spans="1:13" ht="79.5" thickBot="1" x14ac:dyDescent="0.3">
      <c r="A9" s="10" t="s">
        <v>7</v>
      </c>
      <c r="B9" s="169"/>
      <c r="C9" s="169">
        <f>rozvaha!C9/rozvaha!$C$2</f>
        <v>3.5414610558191337E-3</v>
      </c>
      <c r="D9" s="169"/>
      <c r="E9" s="169"/>
      <c r="F9" s="169">
        <f>rozvaha!F9/rozvaha!$F$2</f>
        <v>5.0437418512045719E-4</v>
      </c>
      <c r="H9" s="6" t="s">
        <v>40</v>
      </c>
      <c r="I9" s="167">
        <f>rozvaha!I9/rozvaha!$I$2</f>
        <v>0.43282529182078328</v>
      </c>
      <c r="J9" s="167">
        <f>rozvaha!J9/rozvaha!$J$2</f>
        <v>0.34599301616745343</v>
      </c>
      <c r="K9" s="167">
        <f>rozvaha!K9/rozvaha!$K$2</f>
        <v>0.33104536082474229</v>
      </c>
      <c r="L9" s="167">
        <f>rozvaha!L9/rozvaha!$L$2</f>
        <v>0.32164076758003468</v>
      </c>
      <c r="M9" s="167">
        <f>rozvaha!M9/rozvaha!$M$2</f>
        <v>0.32388388297510157</v>
      </c>
    </row>
    <row r="10" spans="1:13" ht="48" thickBot="1" x14ac:dyDescent="0.3">
      <c r="A10" s="8" t="s">
        <v>8</v>
      </c>
      <c r="B10" s="168">
        <f>rozvaha!B10/rozvaha!$B$2</f>
        <v>6.7183629214331297E-2</v>
      </c>
      <c r="C10" s="168">
        <f>rozvaha!C10/rozvaha!$C$2</f>
        <v>7.3405549808360782E-2</v>
      </c>
      <c r="D10" s="168">
        <f>rozvaha!D10/rozvaha!$D$2</f>
        <v>8.0451546391752574E-2</v>
      </c>
      <c r="E10" s="168">
        <f>rozvaha!E10/rozvaha!$E$2</f>
        <v>8.1566955483379874E-2</v>
      </c>
      <c r="F10" s="168">
        <f>rozvaha!F10/rozvaha!$F$2</f>
        <v>3.4120913623398925E-2</v>
      </c>
      <c r="H10" s="10" t="s">
        <v>41</v>
      </c>
      <c r="I10" s="169">
        <f>rozvaha!I10/rozvaha!$I$2</f>
        <v>1.0972873190917014E-2</v>
      </c>
      <c r="J10" s="169">
        <f>rozvaha!J10/rozvaha!$J$2</f>
        <v>9.2648743346135706E-3</v>
      </c>
      <c r="K10" s="169">
        <f>rozvaha!K10/rozvaha!$K$2</f>
        <v>9.8144329896907214E-3</v>
      </c>
      <c r="L10" s="169">
        <f>rozvaha!L10/rozvaha!$L$2</f>
        <v>1.0246239230109266E-2</v>
      </c>
      <c r="M10" s="169">
        <f>rozvaha!M10/rozvaha!$M$2</f>
        <v>1.0122789895367575E-2</v>
      </c>
    </row>
    <row r="11" spans="1:13" ht="48" thickBot="1" x14ac:dyDescent="0.3">
      <c r="A11" s="10" t="s">
        <v>9</v>
      </c>
      <c r="B11" s="169">
        <f>rozvaha!B11/rozvaha!$B$2</f>
        <v>9.0871036143916877E-3</v>
      </c>
      <c r="C11" s="169">
        <f>rozvaha!C11/rozvaha!$C$2</f>
        <v>1.264184671240641E-2</v>
      </c>
      <c r="D11" s="169">
        <f>rozvaha!D11/rozvaha!$D$2</f>
        <v>1.4800000000000001E-2</v>
      </c>
      <c r="E11" s="169">
        <f>rozvaha!E11/rozvaha!$E$2</f>
        <v>1.3541489276576712E-4</v>
      </c>
      <c r="F11" s="169">
        <f>rozvaha!F11/rozvaha!$F$2</f>
        <v>1.6896535201535315E-4</v>
      </c>
      <c r="H11" s="8" t="s">
        <v>42</v>
      </c>
      <c r="I11" s="168">
        <f>rozvaha!I11/rozvaha!$I$2</f>
        <v>8.2009017107800411E-2</v>
      </c>
      <c r="J11" s="168">
        <f>rozvaha!J11/rozvaha!$J$2</f>
        <v>5.0060048276436104E-3</v>
      </c>
      <c r="K11" s="168">
        <f>rozvaha!K11/rozvaha!$K$2</f>
        <v>5.7484536082474226E-3</v>
      </c>
      <c r="L11" s="168">
        <f>rozvaha!L11/rozvaha!$L$2</f>
        <v>7.5504235212060138E-3</v>
      </c>
      <c r="M11" s="168">
        <f>rozvaha!M11/rozvaha!$M$2</f>
        <v>2.6373726139948706E-2</v>
      </c>
    </row>
    <row r="12" spans="1:13" ht="95.25" thickBot="1" x14ac:dyDescent="0.3">
      <c r="A12" s="13" t="s">
        <v>10</v>
      </c>
      <c r="B12" s="171"/>
      <c r="C12" s="170">
        <f>rozvaha!C12/rozvaha!$C$2</f>
        <v>8.093635675414294E-3</v>
      </c>
      <c r="D12" s="170">
        <f>rozvaha!D12/rozvaha!$D$2</f>
        <v>1.0309278350515464E-2</v>
      </c>
      <c r="E12" s="171"/>
      <c r="F12" s="171"/>
      <c r="H12" s="10" t="s">
        <v>43</v>
      </c>
      <c r="I12" s="169">
        <f>rozvaha!I12/rozvaha!$I$2</f>
        <v>8.2009017107800411E-2</v>
      </c>
      <c r="J12" s="169"/>
      <c r="K12" s="169"/>
      <c r="L12" s="169"/>
      <c r="M12" s="169"/>
    </row>
    <row r="13" spans="1:13" ht="48" thickBot="1" x14ac:dyDescent="0.3">
      <c r="A13" s="13" t="s">
        <v>11</v>
      </c>
      <c r="B13" s="170">
        <f>rozvaha!B13/rozvaha!$B$2</f>
        <v>9.0871036143916877E-3</v>
      </c>
      <c r="C13" s="170">
        <f>rozvaha!C13/rozvaha!$C$2</f>
        <v>4.5482110369921168E-3</v>
      </c>
      <c r="D13" s="170">
        <f>rozvaha!D13/rozvaha!$D$2</f>
        <v>4.4907216494845361E-3</v>
      </c>
      <c r="E13" s="170">
        <f>rozvaha!E13/rozvaha!$E$2</f>
        <v>1.3541489276576712E-4</v>
      </c>
      <c r="F13" s="170">
        <f>rozvaha!F13/rozvaha!$F$2</f>
        <v>1.6896535201535315E-4</v>
      </c>
      <c r="H13" s="10" t="s">
        <v>44</v>
      </c>
      <c r="I13" s="169"/>
      <c r="J13" s="169">
        <f>rozvaha!J13/rozvaha!$J$2</f>
        <v>5.0060048276436104E-3</v>
      </c>
      <c r="K13" s="169">
        <f>rozvaha!K13/rozvaha!$K$2</f>
        <v>5.7484536082474226E-3</v>
      </c>
      <c r="L13" s="169">
        <f>rozvaha!L13/rozvaha!$L$2</f>
        <v>7.5504235212060138E-3</v>
      </c>
      <c r="M13" s="169">
        <f>rozvaha!M13/rozvaha!$M$2</f>
        <v>2.6373726139948706E-2</v>
      </c>
    </row>
    <row r="14" spans="1:13" ht="48" thickBot="1" x14ac:dyDescent="0.3">
      <c r="A14" s="10" t="s">
        <v>12</v>
      </c>
      <c r="B14" s="169">
        <f>rozvaha!B14/rozvaha!$B$2</f>
        <v>3.7331100787109793E-2</v>
      </c>
      <c r="C14" s="169">
        <f>rozvaha!C14/rozvaha!$C$2</f>
        <v>2.6450968501409055E-2</v>
      </c>
      <c r="D14" s="169">
        <f>rozvaha!D14/rozvaha!$D$2</f>
        <v>2.6637113402061856E-2</v>
      </c>
      <c r="E14" s="169">
        <f>rozvaha!E14/rozvaha!$E$2</f>
        <v>2.7731328645789519E-2</v>
      </c>
      <c r="F14" s="169">
        <f>rozvaha!F14/rozvaha!$F$2</f>
        <v>1.5330453356736296E-2</v>
      </c>
      <c r="H14" s="8" t="s">
        <v>45</v>
      </c>
      <c r="I14" s="168">
        <f>rozvaha!I14/rozvaha!$I$2</f>
        <v>0.33984340152206582</v>
      </c>
      <c r="J14" s="168">
        <f>rozvaha!J14/rozvaha!$J$2</f>
        <v>0.33172213700519626</v>
      </c>
      <c r="K14" s="168">
        <f>rozvaha!K14/rozvaha!$K$2</f>
        <v>0.31506804123711341</v>
      </c>
      <c r="L14" s="168">
        <f>rozvaha!L14/rozvaha!$L$2</f>
        <v>0.30345470922632228</v>
      </c>
      <c r="M14" s="168">
        <f>rozvaha!M14/rozvaha!$M$2</f>
        <v>0.28738736693978528</v>
      </c>
    </row>
    <row r="15" spans="1:13" ht="79.5" thickBot="1" x14ac:dyDescent="0.3">
      <c r="A15" s="10" t="s">
        <v>13</v>
      </c>
      <c r="B15" s="169">
        <f>rozvaha!B15/rozvaha!$B$2</f>
        <v>2.0622688250996755E-2</v>
      </c>
      <c r="C15" s="169">
        <f>rozvaha!C15/rozvaha!$C$2</f>
        <v>3.4039247394935336E-2</v>
      </c>
      <c r="D15" s="169">
        <f>rozvaha!D15/rozvaha!$D$2</f>
        <v>3.8738144329896911E-2</v>
      </c>
      <c r="E15" s="169">
        <f>rozvaha!E15/rozvaha!$E$2</f>
        <v>4.1857564050218406E-2</v>
      </c>
      <c r="F15" s="169">
        <f>rozvaha!F15/rozvaha!$F$2</f>
        <v>1.6957060103749769E-2</v>
      </c>
      <c r="H15" s="10" t="s">
        <v>46</v>
      </c>
      <c r="I15" s="169">
        <f>rozvaha!I15/rozvaha!$I$2</f>
        <v>2.3194691297873362E-4</v>
      </c>
      <c r="J15" s="169">
        <f>rozvaha!J15/rozvaha!$J$2</f>
        <v>2.2196062577042137E-4</v>
      </c>
      <c r="K15" s="169"/>
      <c r="L15" s="169"/>
      <c r="M15" s="169"/>
    </row>
    <row r="16" spans="1:13" ht="63.75" thickBot="1" x14ac:dyDescent="0.3">
      <c r="A16" s="10" t="s">
        <v>14</v>
      </c>
      <c r="B16" s="169">
        <f>rozvaha!B16/rozvaha!$B$2</f>
        <v>1.4273656183306686E-4</v>
      </c>
      <c r="C16" s="169">
        <f>rozvaha!C16/rozvaha!$C$2</f>
        <v>2.1205166926281327E-4</v>
      </c>
      <c r="D16" s="169">
        <f>rozvaha!D16/rozvaha!$D$2</f>
        <v>2.2474226804123713E-4</v>
      </c>
      <c r="E16" s="169">
        <f>rozvaha!E16/rozvaha!$E$2</f>
        <v>2.2979496954190782E-4</v>
      </c>
      <c r="F16" s="169"/>
      <c r="H16" s="10" t="s">
        <v>47</v>
      </c>
      <c r="I16" s="169">
        <f>rozvaha!I16/rozvaha!$I$2</f>
        <v>1.3601147382362427E-3</v>
      </c>
      <c r="J16" s="169">
        <f>rozvaha!J16/rozvaha!$J$2</f>
        <v>1.3476180850347013E-4</v>
      </c>
      <c r="K16" s="169">
        <f>rozvaha!K16/rozvaha!$K$2</f>
        <v>6.8865979381443302E-4</v>
      </c>
      <c r="L16" s="175">
        <f>rozvaha!L16/rozvaha!$L$2</f>
        <v>8.5581451076293731E-6</v>
      </c>
      <c r="M16" s="169">
        <f>rozvaha!M16/rozvaha!$M$2</f>
        <v>1.7900239829925026E-2</v>
      </c>
    </row>
    <row r="17" spans="1:13" ht="79.5" thickBot="1" x14ac:dyDescent="0.3">
      <c r="A17" s="10" t="s">
        <v>15</v>
      </c>
      <c r="B17" s="169"/>
      <c r="C17" s="169">
        <f>rozvaha!C17/rozvaha!$C$2</f>
        <v>6.1435530347170203E-5</v>
      </c>
      <c r="D17" s="169">
        <f>rozvaha!D17/rozvaha!$D$2</f>
        <v>5.1546391752577322E-5</v>
      </c>
      <c r="E17" s="169">
        <f>rozvaha!E17/rozvaha!$E$2</f>
        <v>1.1612852925064272E-2</v>
      </c>
      <c r="F17" s="169">
        <f>rozvaha!F17/rozvaha!$F$2</f>
        <v>1.6644348108975087E-3</v>
      </c>
      <c r="H17" s="10" t="s">
        <v>48</v>
      </c>
      <c r="I17" s="169">
        <f>rozvaha!I17/rozvaha!$I$2</f>
        <v>0.23017231322440521</v>
      </c>
      <c r="J17" s="169">
        <f>rozvaha!J17/rozvaha!$J$2</f>
        <v>0.17394578611715558</v>
      </c>
      <c r="K17" s="169">
        <f>rozvaha!K17/rozvaha!$K$2</f>
        <v>0.15909072164948454</v>
      </c>
      <c r="L17" s="169">
        <f>rozvaha!L17/rozvaha!$L$2</f>
        <v>0.14663097920156784</v>
      </c>
      <c r="M17" s="169">
        <f>rozvaha!M17/rozvaha!$M$2</f>
        <v>0.10877585863400339</v>
      </c>
    </row>
    <row r="18" spans="1:13" ht="95.25" thickBot="1" x14ac:dyDescent="0.3">
      <c r="A18" s="8" t="s">
        <v>16</v>
      </c>
      <c r="B18" s="168">
        <f>rozvaha!B18/rozvaha!$B$2</f>
        <v>0.10903014623635253</v>
      </c>
      <c r="C18" s="168">
        <f>rozvaha!C18/rozvaha!$C$2</f>
        <v>0.24138218052533325</v>
      </c>
      <c r="D18" s="168">
        <f>rozvaha!D18/rozvaha!$D$2</f>
        <v>0.23417113402061857</v>
      </c>
      <c r="E18" s="168">
        <f>rozvaha!E18/rozvaha!$E$2</f>
        <v>0.18978192047042314</v>
      </c>
      <c r="F18" s="168">
        <f>rozvaha!F18/rozvaha!$F$2</f>
        <v>0.33157558929818853</v>
      </c>
      <c r="H18" s="10" t="s">
        <v>49</v>
      </c>
      <c r="I18" s="169">
        <f>rozvaha!I18/rozvaha!$I$2</f>
        <v>5.5488838412604737E-3</v>
      </c>
      <c r="J18" s="169">
        <f>rozvaha!J18/rozvaha!$J$2</f>
        <v>5.7527437900569564E-2</v>
      </c>
      <c r="K18" s="169">
        <f>rozvaha!K18/rozvaha!$K$2</f>
        <v>6.0294845360824745E-2</v>
      </c>
      <c r="L18" s="169">
        <f>rozvaha!L18/rozvaha!$L$2</f>
        <v>5.4673710020090242E-2</v>
      </c>
      <c r="M18" s="169">
        <f>rozvaha!M18/rozvaha!$M$2</f>
        <v>8.4908872194103355E-2</v>
      </c>
    </row>
    <row r="19" spans="1:13" ht="79.5" thickBot="1" x14ac:dyDescent="0.3">
      <c r="A19" s="10" t="s">
        <v>17</v>
      </c>
      <c r="B19" s="169">
        <f>rozvaha!B19/rozvaha!$B$2</f>
        <v>0.10862801342272668</v>
      </c>
      <c r="C19" s="169">
        <f>rozvaha!C19/rozvaha!$C$2</f>
        <v>0.24056370071780481</v>
      </c>
      <c r="D19" s="169">
        <f>rozvaha!D19/rozvaha!$D$2</f>
        <v>0.1979381443298969</v>
      </c>
      <c r="E19" s="169">
        <f>rozvaha!E19/rozvaha!$E$2</f>
        <v>0.1648635284607225</v>
      </c>
      <c r="F19" s="169">
        <f>rozvaha!F19/rozvaha!$F$2</f>
        <v>0.30358534389492875</v>
      </c>
      <c r="H19" s="10" t="s">
        <v>50</v>
      </c>
      <c r="I19" s="169">
        <f>rozvaha!I19/rozvaha!$I$2</f>
        <v>0.10253014280518517</v>
      </c>
      <c r="J19" s="169">
        <f>rozvaha!J19/rozvaha!$J$2</f>
        <v>9.989219055319723E-2</v>
      </c>
      <c r="K19" s="169">
        <f>rozvaha!K19/rozvaha!$K$2</f>
        <v>9.4993814432989696E-2</v>
      </c>
      <c r="L19" s="169">
        <f>rozvaha!L19/rozvaha!$L$2</f>
        <v>0.10214146185955655</v>
      </c>
      <c r="M19" s="169">
        <f>rozvaha!M19/rozvaha!$M$2</f>
        <v>7.7118812904917898E-3</v>
      </c>
    </row>
    <row r="20" spans="1:13" ht="48" thickBot="1" x14ac:dyDescent="0.3">
      <c r="A20" s="10" t="s">
        <v>18</v>
      </c>
      <c r="B20" s="169">
        <f>rozvaha!B20/rozvaha!$B$2</f>
        <v>4.0213281362585178E-4</v>
      </c>
      <c r="C20" s="169">
        <f>rozvaha!C20/rozvaha!$C$2</f>
        <v>8.1847980752842878E-4</v>
      </c>
      <c r="D20" s="169">
        <f>rozvaha!D20/rozvaha!$D$2</f>
        <v>3.6232989690721647E-2</v>
      </c>
      <c r="E20" s="169">
        <f>rozvaha!E20/rozvaha!$E$2</f>
        <v>2.492044375050011E-2</v>
      </c>
      <c r="F20" s="169">
        <f>rozvaha!F20/rozvaha!$F$2</f>
        <v>2.799024540325977E-2</v>
      </c>
      <c r="H20" s="6" t="s">
        <v>51</v>
      </c>
      <c r="I20" s="167">
        <f>rozvaha!I20/rozvaha!$I$2</f>
        <v>2.6378814600303314E-3</v>
      </c>
      <c r="J20" s="167">
        <f>rozvaha!J20/rozvaha!$J$2</f>
        <v>3.3809359603958825E-3</v>
      </c>
      <c r="K20" s="167">
        <f>rozvaha!K20/rozvaha!$K$2</f>
        <v>3.7958762886597937E-3</v>
      </c>
      <c r="L20" s="167">
        <f>rozvaha!L20/rozvaha!$L$2</f>
        <v>1.9598152296471261E-3</v>
      </c>
      <c r="M20" s="167">
        <f>rozvaha!M20/rozvaha!$M$2</f>
        <v>6.0020528029334401E-4</v>
      </c>
    </row>
    <row r="21" spans="1:13" ht="48" thickBot="1" x14ac:dyDescent="0.3">
      <c r="A21" s="6" t="s">
        <v>19</v>
      </c>
      <c r="B21" s="167">
        <f>rozvaha!B21/rozvaha!$B$2</f>
        <v>0.81226710951599956</v>
      </c>
      <c r="C21" s="167">
        <f>rozvaha!C21/rozvaha!$C$2</f>
        <v>0.65614533664688834</v>
      </c>
      <c r="D21" s="167">
        <f>rozvaha!D21/rozvaha!$D$2</f>
        <v>0.64638350515463916</v>
      </c>
      <c r="E21" s="167">
        <f>rozvaha!E21/rozvaha!$E$2</f>
        <v>0.6528905950253493</v>
      </c>
      <c r="F21" s="167">
        <f>rozvaha!F21/rozvaha!$F$2</f>
        <v>0.61786089864348559</v>
      </c>
      <c r="H21" s="10" t="s">
        <v>52</v>
      </c>
      <c r="I21" s="169">
        <f>rozvaha!I21/rozvaha!$I$2</f>
        <v>2.6378814600303314E-3</v>
      </c>
      <c r="J21" s="169">
        <f>rozvaha!J21/rozvaha!$J$2</f>
        <v>3.3809359603958825E-3</v>
      </c>
      <c r="K21" s="169">
        <f>rozvaha!K21/rozvaha!$K$2</f>
        <v>3.7958762886597937E-3</v>
      </c>
      <c r="L21" s="169">
        <f>rozvaha!L21/rozvaha!$L$2</f>
        <v>1.9598152296471261E-3</v>
      </c>
      <c r="M21" s="169">
        <f>rozvaha!M21/rozvaha!$M$2</f>
        <v>6.0020528029334401E-4</v>
      </c>
    </row>
    <row r="22" spans="1:13" ht="16.5" thickBot="1" x14ac:dyDescent="0.3">
      <c r="A22" s="8" t="s">
        <v>20</v>
      </c>
      <c r="B22" s="168">
        <f>rozvaha!B22/rozvaha!$B$2</f>
        <v>9.0582818086369339E-5</v>
      </c>
      <c r="C22" s="174">
        <f>rozvaha!C22/rozvaha!$C$2</f>
        <v>7.9271652060864773E-6</v>
      </c>
      <c r="D22" s="174">
        <f>rozvaha!D22/rozvaha!$D$2</f>
        <v>8.2474226804123713E-6</v>
      </c>
      <c r="E22" s="174">
        <f>rozvaha!E22/rozvaha!$E$2</f>
        <v>8.2069631979252791E-6</v>
      </c>
      <c r="F22" s="168">
        <f>rozvaha!F22/rozvaha!$F$2</f>
        <v>9.3057037154724352E-4</v>
      </c>
    </row>
    <row r="23" spans="1:13" ht="16.5" thickBot="1" x14ac:dyDescent="0.3">
      <c r="A23" s="10" t="s">
        <v>21</v>
      </c>
      <c r="B23" s="169">
        <f>rozvaha!B23/rozvaha!$B$2</f>
        <v>9.0582818086369339E-5</v>
      </c>
      <c r="C23" s="175">
        <f>rozvaha!C23/rozvaha!$C$2</f>
        <v>7.9271652060864773E-6</v>
      </c>
      <c r="D23" s="175">
        <f>rozvaha!D23/rozvaha!$D$2</f>
        <v>8.2474226804123713E-6</v>
      </c>
      <c r="E23" s="175">
        <f>rozvaha!E23/rozvaha!$E$2</f>
        <v>8.2069631979252791E-6</v>
      </c>
      <c r="F23" s="169">
        <f>rozvaha!F23/rozvaha!$F$2</f>
        <v>9.3057037154724352E-4</v>
      </c>
    </row>
    <row r="24" spans="1:13" ht="32.25" thickBot="1" x14ac:dyDescent="0.3">
      <c r="A24" s="8" t="s">
        <v>22</v>
      </c>
      <c r="B24" s="168">
        <f>rozvaha!B24/rozvaha!$B$2</f>
        <v>0.75400451541623492</v>
      </c>
      <c r="C24" s="168">
        <f>rozvaha!C24/rozvaha!$C$2</f>
        <v>0.57422204782458763</v>
      </c>
      <c r="D24" s="168">
        <f>rozvaha!D24/rozvaha!$D$2</f>
        <v>0.60834432989690723</v>
      </c>
      <c r="E24" s="168">
        <f>rozvaha!E24/rozvaha!$E$2</f>
        <v>0.5802035737221245</v>
      </c>
      <c r="F24" s="172">
        <f>rozvaha!F24/rozvaha!$F$2</f>
        <v>0</v>
      </c>
    </row>
    <row r="25" spans="1:13" ht="63.75" thickBot="1" x14ac:dyDescent="0.3">
      <c r="A25" s="10" t="s">
        <v>23</v>
      </c>
      <c r="B25" s="169">
        <f>rozvaha!B25/rozvaha!$B$2</f>
        <v>1.1724985074422019E-2</v>
      </c>
      <c r="C25" s="169">
        <f>rozvaha!C25/rozvaha!$C$2</f>
        <v>2.5386746572491946E-3</v>
      </c>
      <c r="D25" s="169">
        <f>rozvaha!D25/rozvaha!$D$2</f>
        <v>2.2103092783505155E-3</v>
      </c>
      <c r="E25" s="169">
        <f>rozvaha!E25/rozvaha!$E$2</f>
        <v>2.0855945226727617E-2</v>
      </c>
      <c r="F25" s="169">
        <f>rozvaha!F25/rozvaha!$F$2</f>
        <v>1.7726230736058467E-2</v>
      </c>
    </row>
    <row r="26" spans="1:13" ht="79.5" thickBot="1" x14ac:dyDescent="0.3">
      <c r="A26" s="13" t="s">
        <v>24</v>
      </c>
      <c r="B26" s="170">
        <f>rozvaha!B26/rozvaha!$B$2</f>
        <v>7.3523054013436449E-3</v>
      </c>
      <c r="C26" s="176"/>
      <c r="D26" s="170">
        <f>rozvaha!D26/rozvaha!$D$2</f>
        <v>2.3505154639175257E-4</v>
      </c>
      <c r="E26" s="170">
        <f>rozvaha!E26/rozvaha!$E$2</f>
        <v>1.4957190428218822E-2</v>
      </c>
      <c r="F26" s="170">
        <f>rozvaha!F26/rozvaha!$F$2</f>
        <v>1.5496896837826046E-2</v>
      </c>
    </row>
    <row r="27" spans="1:13" ht="63.75" thickBot="1" x14ac:dyDescent="0.3">
      <c r="A27" s="13" t="s">
        <v>25</v>
      </c>
      <c r="B27" s="170">
        <f>rozvaha!B27/rozvaha!$B$2</f>
        <v>2.3675054727119262E-3</v>
      </c>
      <c r="C27" s="171"/>
      <c r="D27" s="171"/>
      <c r="E27" s="170">
        <f>rozvaha!E27/rozvaha!$E$2</f>
        <v>5.8474612785217621E-3</v>
      </c>
      <c r="F27" s="171"/>
    </row>
    <row r="28" spans="1:13" ht="48" thickBot="1" x14ac:dyDescent="0.3">
      <c r="A28" s="13" t="s">
        <v>26</v>
      </c>
      <c r="B28" s="170">
        <f>rozvaha!B28/rozvaha!$B$2</f>
        <v>2.0051742003664489E-3</v>
      </c>
      <c r="C28" s="170">
        <f>rozvaha!C28/rozvaha!$C$2</f>
        <v>2.5386746572491946E-3</v>
      </c>
      <c r="D28" s="170">
        <f>rozvaha!D28/rozvaha!$D$2</f>
        <v>1.9752577319587629E-3</v>
      </c>
      <c r="E28" s="170">
        <f>rozvaha!E28/rozvaha!$E$2</f>
        <v>5.1293519987032997E-5</v>
      </c>
      <c r="F28" s="170">
        <f>rozvaha!F28/rozvaha!$F$2</f>
        <v>2.2293338982324207E-3</v>
      </c>
    </row>
    <row r="29" spans="1:13" ht="63.75" thickBot="1" x14ac:dyDescent="0.3">
      <c r="A29" s="10" t="s">
        <v>27</v>
      </c>
      <c r="B29" s="169">
        <f>rozvaha!B29/rozvaha!$B$2</f>
        <v>0.74227953034181293</v>
      </c>
      <c r="C29" s="169">
        <f>rozvaha!C29/rozvaha!$C$2</f>
        <v>0.57168337316733853</v>
      </c>
      <c r="D29" s="169">
        <f>rozvaha!D29/rozvaha!$D$2</f>
        <v>0.6061340206185567</v>
      </c>
      <c r="E29" s="169">
        <f>rozvaha!E29/rozvaha!$E$2</f>
        <v>0.55934762849539688</v>
      </c>
      <c r="F29" s="169">
        <f>rozvaha!F29/rozvaha!$F$2</f>
        <v>0.49672535060310541</v>
      </c>
    </row>
    <row r="30" spans="1:13" ht="79.5" thickBot="1" x14ac:dyDescent="0.3">
      <c r="A30" s="13" t="s">
        <v>24</v>
      </c>
      <c r="B30" s="170">
        <f>rozvaha!B30/rozvaha!$B$2</f>
        <v>0.46115026454300284</v>
      </c>
      <c r="C30" s="170">
        <f>rozvaha!C30/rozvaha!$C$2</f>
        <v>0.41315195979341807</v>
      </c>
      <c r="D30" s="170">
        <f>rozvaha!D30/rozvaha!$D$2</f>
        <v>0.42543711340206186</v>
      </c>
      <c r="E30" s="170">
        <f>rozvaha!E30/rozvaha!$E$2</f>
        <v>0.34891288513739482</v>
      </c>
      <c r="F30" s="170">
        <f>rozvaha!F30/rozvaha!$F$2</f>
        <v>0.28543796071429473</v>
      </c>
    </row>
    <row r="31" spans="1:13" ht="63.75" thickBot="1" x14ac:dyDescent="0.3">
      <c r="A31" s="13" t="s">
        <v>25</v>
      </c>
      <c r="B31" s="170">
        <f>rozvaha!B31/rozvaha!$B$2</f>
        <v>0.24872394886188179</v>
      </c>
      <c r="C31" s="170">
        <f>rozvaha!C31/rozvaha!$C$2</f>
        <v>0.12557224223831437</v>
      </c>
      <c r="D31" s="170">
        <f>rozvaha!D31/rozvaha!$D$2</f>
        <v>0.14261443298969073</v>
      </c>
      <c r="E31" s="170">
        <f>rozvaha!E31/rozvaha!$E$2</f>
        <v>0.15906736070218777</v>
      </c>
      <c r="F31" s="170">
        <f>rozvaha!F31/rozvaha!$F$2</f>
        <v>0.14998575142927034</v>
      </c>
    </row>
    <row r="32" spans="1:13" ht="48" thickBot="1" x14ac:dyDescent="0.3">
      <c r="A32" s="13" t="s">
        <v>26</v>
      </c>
      <c r="B32" s="170">
        <f>rozvaha!B32/rozvaha!$B$2</f>
        <v>3.2405316936928281E-2</v>
      </c>
      <c r="C32" s="170">
        <f>rozvaha!C32/rozvaha!$C$2</f>
        <v>3.295917113560605E-2</v>
      </c>
      <c r="D32" s="170">
        <f>rozvaha!D32/rozvaha!$D$2</f>
        <v>3.8082474226804122E-2</v>
      </c>
      <c r="E32" s="170">
        <f>rozvaha!E32/rozvaha!$E$2</f>
        <v>5.1367382655814323E-2</v>
      </c>
      <c r="F32" s="170">
        <f>rozvaha!F32/rozvaha!$F$2</f>
        <v>6.1301638459540363E-2</v>
      </c>
    </row>
    <row r="33" spans="1:6" ht="48" thickBot="1" x14ac:dyDescent="0.3">
      <c r="A33" s="8" t="s">
        <v>28</v>
      </c>
      <c r="B33" s="168">
        <f>rozvaha!B33/rozvaha!$B$2</f>
        <v>5.8172011281678253E-2</v>
      </c>
      <c r="C33" s="168">
        <f>rozvaha!C33/rozvaha!$C$2</f>
        <v>8.1915361657094621E-2</v>
      </c>
      <c r="D33" s="168">
        <f>rozvaha!D33/rozvaha!$D$2</f>
        <v>3.8030927835051548E-2</v>
      </c>
      <c r="E33" s="168">
        <f>rozvaha!E33/rozvaha!$E$2</f>
        <v>7.2678814340026793E-2</v>
      </c>
      <c r="F33" s="168">
        <f>rozvaha!F33/rozvaha!$F$2</f>
        <v>0.10247874693277449</v>
      </c>
    </row>
    <row r="34" spans="1:6" ht="16.5" thickBot="1" x14ac:dyDescent="0.3">
      <c r="A34" s="10" t="s">
        <v>29</v>
      </c>
      <c r="B34" s="169">
        <f>rozvaha!B34/rozvaha!$B$2</f>
        <v>1.0705242137480013E-3</v>
      </c>
      <c r="C34" s="169">
        <f>rozvaha!C34/rozvaha!$C$2</f>
        <v>1.3595088328438309E-3</v>
      </c>
      <c r="D34" s="169">
        <f>rozvaha!D34/rozvaha!$D$2</f>
        <v>9.8350515463917535E-4</v>
      </c>
      <c r="E34" s="169">
        <f>rozvaha!E34/rozvaha!$E$2</f>
        <v>2.8293505624847402E-3</v>
      </c>
      <c r="F34" s="169">
        <f>rozvaha!F34/rozvaha!$F$2</f>
        <v>2.9001515644426286E-3</v>
      </c>
    </row>
    <row r="35" spans="1:6" ht="16.5" thickBot="1" x14ac:dyDescent="0.3">
      <c r="A35" s="10" t="s">
        <v>30</v>
      </c>
      <c r="B35" s="169">
        <f>rozvaha!B35/rozvaha!$B$2</f>
        <v>5.7101487067930251E-2</v>
      </c>
      <c r="C35" s="169">
        <f>rozvaha!C35/rozvaha!$C$2</f>
        <v>8.055585282425079E-2</v>
      </c>
      <c r="D35" s="169">
        <f>rozvaha!D35/rozvaha!$D$2</f>
        <v>3.7047422680412369E-2</v>
      </c>
      <c r="E35" s="169">
        <f>rozvaha!E35/rozvaha!$E$2</f>
        <v>6.9849463777542059E-2</v>
      </c>
      <c r="F35" s="169">
        <f>rozvaha!F35/rozvaha!$F$2</f>
        <v>9.9578595368331857E-2</v>
      </c>
    </row>
    <row r="36" spans="1:6" ht="48" thickBot="1" x14ac:dyDescent="0.3">
      <c r="A36" s="6" t="s">
        <v>31</v>
      </c>
      <c r="B36" s="167">
        <f>rozvaha!B36/rozvaha!$B$2</f>
        <v>8.7233998751055086E-3</v>
      </c>
      <c r="C36" s="167">
        <f>rozvaha!C36/rozvaha!$C$2</f>
        <v>2.3771586661751824E-2</v>
      </c>
      <c r="D36" s="167">
        <f>rozvaha!D36/rozvaha!$D$2</f>
        <v>3.5032989690721647E-2</v>
      </c>
      <c r="E36" s="167">
        <f>rozvaha!E36/rozvaha!$E$2</f>
        <v>2.8736681637535368E-2</v>
      </c>
      <c r="F36" s="167">
        <f>rozvaha!F36/rozvaha!$F$2</f>
        <v>1.3111206942206284E-2</v>
      </c>
    </row>
    <row r="37" spans="1:6" ht="48" thickBot="1" x14ac:dyDescent="0.3">
      <c r="A37" s="10" t="s">
        <v>32</v>
      </c>
      <c r="B37" s="169">
        <f>rozvaha!B37/rozvaha!$B$2</f>
        <v>8.7233998751055086E-3</v>
      </c>
      <c r="C37" s="169">
        <f>rozvaha!C37/rozvaha!$C$2</f>
        <v>2.3771586661751824E-2</v>
      </c>
      <c r="D37" s="169">
        <f>rozvaha!D37/rozvaha!$D$2</f>
        <v>3.5032989690721647E-2</v>
      </c>
      <c r="E37" s="169">
        <f>rozvaha!E37/rozvaha!$E$2</f>
        <v>2.8736681637535368E-2</v>
      </c>
      <c r="F37" s="169">
        <f>rozvaha!F37/rozvaha!$F$2</f>
        <v>1.3111206942206284E-2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7108-D42A-4748-9E6D-90098CC9E9A8}">
  <dimension ref="A1:N18"/>
  <sheetViews>
    <sheetView zoomScale="80" zoomScaleNormal="80" workbookViewId="0">
      <selection activeCell="X7" sqref="X7"/>
    </sheetView>
  </sheetViews>
  <sheetFormatPr defaultRowHeight="15" x14ac:dyDescent="0.25"/>
  <sheetData>
    <row r="1" spans="1:14" ht="16.5" thickBot="1" x14ac:dyDescent="0.3">
      <c r="A1" s="1"/>
      <c r="B1" s="2">
        <v>2017</v>
      </c>
      <c r="C1" s="2">
        <v>2016</v>
      </c>
      <c r="D1" s="2">
        <v>2015</v>
      </c>
      <c r="E1" s="2">
        <v>2014</v>
      </c>
      <c r="F1" s="2">
        <v>2013</v>
      </c>
      <c r="I1" s="1"/>
      <c r="J1" s="2">
        <v>2017</v>
      </c>
      <c r="K1" s="2">
        <v>2016</v>
      </c>
      <c r="L1" s="2">
        <v>2015</v>
      </c>
      <c r="M1" s="2">
        <v>2014</v>
      </c>
      <c r="N1" s="2">
        <v>2013</v>
      </c>
    </row>
    <row r="2" spans="1:14" ht="63.75" thickBot="1" x14ac:dyDescent="0.3">
      <c r="A2" s="104" t="s">
        <v>60</v>
      </c>
      <c r="B2" s="105">
        <v>49466</v>
      </c>
      <c r="C2" s="105">
        <v>27628</v>
      </c>
      <c r="D2" s="105">
        <v>23192</v>
      </c>
      <c r="E2" s="105">
        <v>21959</v>
      </c>
      <c r="F2" s="105">
        <v>21876</v>
      </c>
      <c r="I2" s="104" t="s">
        <v>60</v>
      </c>
      <c r="J2" s="177">
        <f>B2/SUM($B$2:$B$11)</f>
        <v>2.6365091437821161E-2</v>
      </c>
      <c r="K2" s="177">
        <f>C2/SUM($C$2:$C$11)</f>
        <v>2.6503305718528523E-2</v>
      </c>
      <c r="L2" s="177">
        <f>D2/SUM($D$2:$D$11)</f>
        <v>2.4182162839631552E-2</v>
      </c>
      <c r="M2" s="177">
        <f>E2/SUM($E$2:$E$11)</f>
        <v>2.3919749724409276E-2</v>
      </c>
      <c r="N2" s="177">
        <f>F2/SUM($F$2:$F$11)</f>
        <v>2.8748804104418768E-2</v>
      </c>
    </row>
    <row r="3" spans="1:14" ht="48" thickBot="1" x14ac:dyDescent="0.3">
      <c r="A3" s="104" t="s">
        <v>63</v>
      </c>
      <c r="B3" s="105">
        <v>1267123</v>
      </c>
      <c r="C3" s="105">
        <v>683417</v>
      </c>
      <c r="D3" s="105">
        <v>605868</v>
      </c>
      <c r="E3" s="105">
        <v>575067</v>
      </c>
      <c r="F3" s="105">
        <v>479588</v>
      </c>
      <c r="I3" s="104" t="s">
        <v>63</v>
      </c>
      <c r="J3" s="177">
        <f t="shared" ref="J3:J11" si="0">B3/SUM($B$2:$B$11)</f>
        <v>0.67536921841196507</v>
      </c>
      <c r="K3" s="177">
        <f t="shared" ref="K3:K11" si="1">C3/SUM($C$2:$C$11)</f>
        <v>0.65559612292745073</v>
      </c>
      <c r="L3" s="177">
        <f t="shared" ref="L3:L11" si="2">D3/SUM($D$2:$D$11)</f>
        <v>0.63173502221981248</v>
      </c>
      <c r="M3" s="177">
        <f t="shared" ref="M3:M11" si="3">E3/SUM($E$2:$E$11)</f>
        <v>0.62641553416671392</v>
      </c>
      <c r="N3" s="177">
        <f t="shared" ref="N3:N11" si="4">F3/SUM($F$2:$F$11)</f>
        <v>0.63026062638645042</v>
      </c>
    </row>
    <row r="4" spans="1:14" ht="32.25" thickBot="1" x14ac:dyDescent="0.3">
      <c r="A4" s="104" t="s">
        <v>67</v>
      </c>
      <c r="B4" s="105">
        <v>472643</v>
      </c>
      <c r="C4" s="105">
        <v>301635</v>
      </c>
      <c r="D4" s="105">
        <v>304352</v>
      </c>
      <c r="E4" s="105">
        <v>291809</v>
      </c>
      <c r="F4" s="105">
        <v>237772</v>
      </c>
      <c r="I4" s="104" t="s">
        <v>67</v>
      </c>
      <c r="J4" s="177">
        <f t="shared" si="0"/>
        <v>0.25191598092520334</v>
      </c>
      <c r="K4" s="177">
        <f t="shared" si="1"/>
        <v>0.28935589331143591</v>
      </c>
      <c r="L4" s="177">
        <f t="shared" si="2"/>
        <v>0.31734605142150496</v>
      </c>
      <c r="M4" s="177">
        <f t="shared" si="3"/>
        <v>0.31786503243909769</v>
      </c>
      <c r="N4" s="177">
        <f t="shared" si="4"/>
        <v>0.31247305949514809</v>
      </c>
    </row>
    <row r="5" spans="1:14" ht="32.25" thickBot="1" x14ac:dyDescent="0.3">
      <c r="A5" s="104" t="s">
        <v>71</v>
      </c>
      <c r="B5" s="105">
        <v>1779</v>
      </c>
      <c r="C5" s="105">
        <v>1253</v>
      </c>
      <c r="D5" s="105">
        <v>1224</v>
      </c>
      <c r="E5" s="105">
        <v>1274</v>
      </c>
      <c r="F5" s="106">
        <v>350</v>
      </c>
      <c r="I5" s="104" t="s">
        <v>71</v>
      </c>
      <c r="J5" s="177">
        <f t="shared" si="0"/>
        <v>9.4819669405013236E-4</v>
      </c>
      <c r="K5" s="177">
        <f t="shared" si="1"/>
        <v>1.2019922565989663E-3</v>
      </c>
      <c r="L5" s="177">
        <f t="shared" si="2"/>
        <v>1.2762576455548906E-3</v>
      </c>
      <c r="M5" s="177">
        <f t="shared" si="3"/>
        <v>1.3877572361627314E-3</v>
      </c>
      <c r="N5" s="177">
        <f t="shared" si="4"/>
        <v>4.599598389352061E-4</v>
      </c>
    </row>
    <row r="6" spans="1:14" ht="16.5" thickBot="1" x14ac:dyDescent="0.3">
      <c r="A6" s="104" t="s">
        <v>72</v>
      </c>
      <c r="B6" s="105">
        <v>17300</v>
      </c>
      <c r="C6" s="105">
        <v>9105</v>
      </c>
      <c r="D6" s="105">
        <v>9852</v>
      </c>
      <c r="E6" s="105">
        <v>9544</v>
      </c>
      <c r="F6" s="105">
        <v>7171</v>
      </c>
      <c r="I6" s="104" t="s">
        <v>72</v>
      </c>
      <c r="J6" s="177">
        <f t="shared" si="0"/>
        <v>9.2207997791272003E-3</v>
      </c>
      <c r="K6" s="177">
        <f t="shared" si="1"/>
        <v>8.7343491590850669E-3</v>
      </c>
      <c r="L6" s="177">
        <f t="shared" si="2"/>
        <v>1.0272622813731031E-2</v>
      </c>
      <c r="M6" s="177">
        <f t="shared" si="3"/>
        <v>1.03961970658847E-2</v>
      </c>
      <c r="N6" s="177">
        <f t="shared" si="4"/>
        <v>9.4239200142981795E-3</v>
      </c>
    </row>
    <row r="7" spans="1:14" ht="111" thickBot="1" x14ac:dyDescent="0.3">
      <c r="A7" s="104" t="s">
        <v>74</v>
      </c>
      <c r="B7" s="105">
        <v>12729</v>
      </c>
      <c r="C7" s="105">
        <v>12054</v>
      </c>
      <c r="D7" s="105">
        <v>2533</v>
      </c>
      <c r="E7" s="105">
        <v>3147</v>
      </c>
      <c r="F7" s="105">
        <v>2236</v>
      </c>
      <c r="I7" s="104" t="s">
        <v>74</v>
      </c>
      <c r="J7" s="177">
        <f t="shared" si="0"/>
        <v>6.7844832594514534E-3</v>
      </c>
      <c r="K7" s="177">
        <f t="shared" si="1"/>
        <v>1.1563299809292849E-2</v>
      </c>
      <c r="L7" s="177">
        <f t="shared" si="2"/>
        <v>2.6411442942733151E-3</v>
      </c>
      <c r="M7" s="177">
        <f t="shared" si="3"/>
        <v>3.4280000174286623E-3</v>
      </c>
      <c r="N7" s="177">
        <f t="shared" si="4"/>
        <v>2.9384862853117739E-3</v>
      </c>
    </row>
    <row r="8" spans="1:14" ht="48" thickBot="1" x14ac:dyDescent="0.3">
      <c r="A8" s="104" t="s">
        <v>75</v>
      </c>
      <c r="B8" s="105">
        <v>2312</v>
      </c>
      <c r="C8" s="106">
        <v>-85</v>
      </c>
      <c r="D8" s="106">
        <v>-75</v>
      </c>
      <c r="E8" s="105">
        <v>1371</v>
      </c>
      <c r="F8" s="106">
        <v>-289</v>
      </c>
      <c r="I8" s="104" t="s">
        <v>75</v>
      </c>
      <c r="J8" s="177">
        <f t="shared" si="0"/>
        <v>1.2322826063203519E-3</v>
      </c>
      <c r="K8" s="177">
        <f t="shared" si="1"/>
        <v>-8.1539777981573931E-5</v>
      </c>
      <c r="L8" s="177">
        <f t="shared" si="2"/>
        <v>-7.8202061614883003E-5</v>
      </c>
      <c r="M8" s="177">
        <f t="shared" si="3"/>
        <v>1.4934185013964715E-3</v>
      </c>
      <c r="N8" s="177">
        <f t="shared" si="4"/>
        <v>-3.7979540986364161E-4</v>
      </c>
    </row>
    <row r="9" spans="1:14" ht="48" thickBot="1" x14ac:dyDescent="0.3">
      <c r="A9" s="104" t="s">
        <v>77</v>
      </c>
      <c r="B9" s="105">
        <v>9038</v>
      </c>
      <c r="C9" s="105">
        <v>5281</v>
      </c>
      <c r="D9" s="105">
        <v>8887</v>
      </c>
      <c r="E9" s="105">
        <v>5177</v>
      </c>
      <c r="F9" s="105">
        <v>3294</v>
      </c>
      <c r="I9" s="104" t="s">
        <v>77</v>
      </c>
      <c r="J9" s="177">
        <f t="shared" si="0"/>
        <v>4.817201641835355E-3</v>
      </c>
      <c r="K9" s="177">
        <f t="shared" si="1"/>
        <v>5.0660184414199052E-3</v>
      </c>
      <c r="L9" s="177">
        <f t="shared" si="2"/>
        <v>9.266422954286202E-3</v>
      </c>
      <c r="M9" s="177">
        <f t="shared" si="3"/>
        <v>5.6392615475780693E-3</v>
      </c>
      <c r="N9" s="177">
        <f t="shared" si="4"/>
        <v>4.3288791698644826E-3</v>
      </c>
    </row>
    <row r="10" spans="1:14" ht="63.75" thickBot="1" x14ac:dyDescent="0.3">
      <c r="A10" s="104" t="s">
        <v>80</v>
      </c>
      <c r="B10" s="105">
        <v>35785</v>
      </c>
      <c r="C10" s="105">
        <v>1170</v>
      </c>
      <c r="D10" s="105">
        <v>1855</v>
      </c>
      <c r="E10" s="105">
        <v>3753</v>
      </c>
      <c r="F10" s="105">
        <v>3029</v>
      </c>
      <c r="I10" s="104" t="s">
        <v>80</v>
      </c>
      <c r="J10" s="177">
        <f t="shared" si="0"/>
        <v>1.9073197693414271E-2</v>
      </c>
      <c r="K10" s="177">
        <f t="shared" si="1"/>
        <v>1.1223710616287234E-3</v>
      </c>
      <c r="L10" s="177">
        <f t="shared" si="2"/>
        <v>1.9341976572747729E-3</v>
      </c>
      <c r="M10" s="177">
        <f t="shared" si="3"/>
        <v>4.0881106022909973E-3</v>
      </c>
      <c r="N10" s="177">
        <f t="shared" si="4"/>
        <v>3.9806238632421123E-3</v>
      </c>
    </row>
    <row r="11" spans="1:14" ht="48" thickBot="1" x14ac:dyDescent="0.3">
      <c r="A11" s="104" t="s">
        <v>82</v>
      </c>
      <c r="B11" s="105">
        <v>8018</v>
      </c>
      <c r="C11" s="106">
        <v>978</v>
      </c>
      <c r="D11" s="105">
        <v>1366</v>
      </c>
      <c r="E11" s="105">
        <v>4927</v>
      </c>
      <c r="F11" s="105">
        <v>5909</v>
      </c>
      <c r="I11" s="104" t="s">
        <v>82</v>
      </c>
      <c r="J11" s="177">
        <f t="shared" si="0"/>
        <v>4.2735475508116705E-3</v>
      </c>
      <c r="K11" s="177">
        <f t="shared" si="1"/>
        <v>9.3818709254093297E-4</v>
      </c>
      <c r="L11" s="177">
        <f t="shared" si="2"/>
        <v>1.4243202155457357E-3</v>
      </c>
      <c r="M11" s="177">
        <f t="shared" si="3"/>
        <v>5.3669386990375023E-3</v>
      </c>
      <c r="N11" s="177">
        <f t="shared" si="4"/>
        <v>7.7654362521946659E-3</v>
      </c>
    </row>
    <row r="12" spans="1:14" ht="15.75" thickBot="1" x14ac:dyDescent="0.3"/>
    <row r="13" spans="1:14" ht="16.5" thickBot="1" x14ac:dyDescent="0.3">
      <c r="A13" s="1"/>
      <c r="B13" s="2">
        <v>2017</v>
      </c>
      <c r="C13" s="2">
        <v>2016</v>
      </c>
      <c r="D13" s="2">
        <v>2015</v>
      </c>
      <c r="E13" s="2">
        <v>2014</v>
      </c>
      <c r="F13" s="2">
        <v>2013</v>
      </c>
      <c r="I13" s="1"/>
      <c r="J13" s="2">
        <v>2017</v>
      </c>
      <c r="K13" s="2">
        <v>2016</v>
      </c>
      <c r="L13" s="2">
        <v>2015</v>
      </c>
      <c r="M13" s="2">
        <v>2014</v>
      </c>
      <c r="N13" s="2">
        <v>2013</v>
      </c>
    </row>
    <row r="14" spans="1:14" ht="48" thickBot="1" x14ac:dyDescent="0.3">
      <c r="A14" s="102" t="s">
        <v>59</v>
      </c>
      <c r="B14" s="103">
        <v>62636</v>
      </c>
      <c r="C14" s="103">
        <v>33841</v>
      </c>
      <c r="D14" s="103">
        <v>30005</v>
      </c>
      <c r="E14" s="103">
        <v>28313</v>
      </c>
      <c r="F14" s="103">
        <v>27170</v>
      </c>
      <c r="I14" s="102" t="s">
        <v>59</v>
      </c>
      <c r="J14" s="178">
        <f>B14/SUM($B$14:$B$18)</f>
        <v>3.1490805796809997E-2</v>
      </c>
      <c r="K14" s="178">
        <f>C14/SUM($C$14:$C$18)</f>
        <v>3.2286871443087006E-2</v>
      </c>
      <c r="L14" s="178">
        <f>D14/SUM($D$14:$D$18)</f>
        <v>3.1065611026040031E-2</v>
      </c>
      <c r="M14" s="178">
        <f>E14/SUM($E$14:$E$18)</f>
        <v>3.0154569727849495E-2</v>
      </c>
      <c r="N14" s="178">
        <f>F14/SUM($F$14:$F$18)</f>
        <v>3.4645846005143956E-2</v>
      </c>
    </row>
    <row r="15" spans="1:14" ht="16.5" thickBot="1" x14ac:dyDescent="0.3">
      <c r="A15" s="102" t="s">
        <v>62</v>
      </c>
      <c r="B15" s="103">
        <v>1799084</v>
      </c>
      <c r="C15" s="103">
        <v>995374</v>
      </c>
      <c r="D15" s="103">
        <v>923458</v>
      </c>
      <c r="E15" s="103">
        <v>902767</v>
      </c>
      <c r="F15" s="103">
        <v>746742</v>
      </c>
      <c r="I15" s="102" t="s">
        <v>62</v>
      </c>
      <c r="J15" s="178">
        <f t="shared" ref="J15:J18" si="5">B15/SUM($B$14:$B$18)</f>
        <v>0.90450547378740842</v>
      </c>
      <c r="K15" s="178">
        <f t="shared" ref="K15:K18" si="6">C15/SUM($C$14:$C$18)</f>
        <v>0.94966201872850353</v>
      </c>
      <c r="L15" s="178">
        <f t="shared" ref="L15:L18" si="7">D15/SUM($D$14:$D$18)</f>
        <v>0.95610021752657481</v>
      </c>
      <c r="M15" s="178">
        <f t="shared" ref="M15:M18" si="8">E15/SUM($E$14:$E$18)</f>
        <v>0.96148590575006199</v>
      </c>
      <c r="N15" s="178">
        <f t="shared" ref="N15:N18" si="9">F15/SUM($F$14:$F$18)</f>
        <v>0.95220862486467461</v>
      </c>
    </row>
    <row r="16" spans="1:14" ht="79.5" thickBot="1" x14ac:dyDescent="0.3">
      <c r="A16" s="102" t="s">
        <v>73</v>
      </c>
      <c r="B16" s="103">
        <v>16151</v>
      </c>
      <c r="C16" s="103">
        <v>13605</v>
      </c>
      <c r="D16" s="103">
        <v>4630</v>
      </c>
      <c r="E16" s="103">
        <v>3739</v>
      </c>
      <c r="F16" s="103">
        <v>4374</v>
      </c>
      <c r="I16" s="102" t="s">
        <v>73</v>
      </c>
      <c r="J16" s="178">
        <f t="shared" si="5"/>
        <v>8.1200588227900612E-3</v>
      </c>
      <c r="K16" s="178">
        <f t="shared" si="6"/>
        <v>1.2980198161496372E-2</v>
      </c>
      <c r="L16" s="178">
        <f t="shared" si="7"/>
        <v>4.7936603582924633E-3</v>
      </c>
      <c r="M16" s="178">
        <f t="shared" si="8"/>
        <v>3.9821967369204703E-3</v>
      </c>
      <c r="N16" s="178">
        <f t="shared" si="9"/>
        <v>5.5775094010489393E-3</v>
      </c>
    </row>
    <row r="17" spans="1:14" ht="48" thickBot="1" x14ac:dyDescent="0.3">
      <c r="A17" s="102" t="s">
        <v>76</v>
      </c>
      <c r="B17" s="103">
        <v>2001</v>
      </c>
      <c r="C17" s="103">
        <v>3533</v>
      </c>
      <c r="D17" s="103">
        <v>4529</v>
      </c>
      <c r="E17" s="103">
        <v>1764</v>
      </c>
      <c r="F17" s="103">
        <v>3719</v>
      </c>
      <c r="I17" s="102" t="s">
        <v>76</v>
      </c>
      <c r="J17" s="178">
        <f t="shared" si="5"/>
        <v>1.0060205377006321E-3</v>
      </c>
      <c r="K17" s="178">
        <f t="shared" si="6"/>
        <v>3.3707489970280545E-3</v>
      </c>
      <c r="L17" s="178">
        <f t="shared" si="7"/>
        <v>4.6890902295262556E-3</v>
      </c>
      <c r="M17" s="178">
        <f t="shared" si="8"/>
        <v>1.8787363048750226E-3</v>
      </c>
      <c r="N17" s="178">
        <f t="shared" si="9"/>
        <v>4.7422856567217661E-3</v>
      </c>
    </row>
    <row r="18" spans="1:14" ht="63.75" thickBot="1" x14ac:dyDescent="0.3">
      <c r="A18" s="102" t="s">
        <v>79</v>
      </c>
      <c r="B18" s="103">
        <v>109153</v>
      </c>
      <c r="C18" s="103">
        <v>1782</v>
      </c>
      <c r="D18" s="103">
        <v>3237</v>
      </c>
      <c r="E18" s="103">
        <v>2346</v>
      </c>
      <c r="F18" s="103">
        <v>2216</v>
      </c>
      <c r="I18" s="102" t="s">
        <v>79</v>
      </c>
      <c r="J18" s="178">
        <f t="shared" si="5"/>
        <v>5.4877641055290909E-2</v>
      </c>
      <c r="K18" s="178">
        <f t="shared" si="6"/>
        <v>1.7001626698850815E-3</v>
      </c>
      <c r="L18" s="178">
        <f t="shared" si="7"/>
        <v>3.3514208595664583E-3</v>
      </c>
      <c r="M18" s="178">
        <f t="shared" si="8"/>
        <v>2.4985914802929722E-3</v>
      </c>
      <c r="N18" s="178">
        <f t="shared" si="9"/>
        <v>2.8257340724107106E-3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2459-5BE6-4D58-A421-0040C4374E57}">
  <dimension ref="E3:P16"/>
  <sheetViews>
    <sheetView topLeftCell="B1" workbookViewId="0">
      <selection activeCell="F6" sqref="F6"/>
    </sheetView>
  </sheetViews>
  <sheetFormatPr defaultRowHeight="15" x14ac:dyDescent="0.25"/>
  <cols>
    <col min="5" max="5" width="9.85546875" bestFit="1" customWidth="1"/>
    <col min="6" max="6" width="13.140625" bestFit="1" customWidth="1"/>
  </cols>
  <sheetData>
    <row r="3" spans="5:16" ht="15.75" thickBot="1" x14ac:dyDescent="0.3">
      <c r="E3" s="234" t="s">
        <v>94</v>
      </c>
      <c r="F3" s="234"/>
      <c r="G3" s="234"/>
      <c r="H3" s="234"/>
      <c r="I3" s="234"/>
      <c r="J3" s="234"/>
    </row>
    <row r="4" spans="5:16" ht="16.5" thickBot="1" x14ac:dyDescent="0.3">
      <c r="E4" s="181"/>
      <c r="F4" s="182">
        <v>2017</v>
      </c>
      <c r="G4" s="182">
        <v>2016</v>
      </c>
      <c r="H4" s="182">
        <v>2015</v>
      </c>
      <c r="I4" s="182">
        <v>2014</v>
      </c>
      <c r="J4" s="182">
        <v>2013</v>
      </c>
      <c r="P4" s="180" t="s">
        <v>89</v>
      </c>
    </row>
    <row r="5" spans="5:16" ht="16.5" thickBot="1" x14ac:dyDescent="0.3">
      <c r="E5" s="183" t="s">
        <v>85</v>
      </c>
      <c r="F5" s="184">
        <f>(výsledovka!B26+výsledovka!B23)/rozvaha!B2</f>
        <v>0.21517673943028898</v>
      </c>
      <c r="G5" s="184">
        <f>(výsledovka!C26+výsledovka!C23)/rozvaha!C2</f>
        <v>1.5551116343040147E-2</v>
      </c>
      <c r="H5" s="184">
        <f>(výsledovka!D26+výsledovka!D23)/rozvaha!D2</f>
        <v>2.0672164948453607E-2</v>
      </c>
      <c r="I5" s="184">
        <f>(výsledovka!E26+výsledovka!E23)/rozvaha!E2</f>
        <v>6.0692544589456922E-2</v>
      </c>
      <c r="J5" s="184">
        <f>(výsledovka!F26+výsledovka!F23)/rozvaha!F2</f>
        <v>8.126224683568245E-2</v>
      </c>
    </row>
    <row r="6" spans="5:16" ht="16.5" thickBot="1" x14ac:dyDescent="0.3">
      <c r="E6" s="183" t="s">
        <v>86</v>
      </c>
      <c r="F6" s="184">
        <f>výsledovka!B27/rozvaha!I3</f>
        <v>0.2746651107383366</v>
      </c>
      <c r="G6" s="184">
        <f>výsledovka!C27/rozvaha!J3</f>
        <v>1.7359017002637814E-2</v>
      </c>
      <c r="H6" s="184">
        <f>výsledovka!D27/rozvaha!K3</f>
        <v>2.1094103570343643E-2</v>
      </c>
      <c r="I6" s="184">
        <f>výsledovka!E27/rozvaha!L3</f>
        <v>6.6300177445730385E-2</v>
      </c>
      <c r="J6" s="184">
        <f>výsledovka!F27/rozvaha!M3</f>
        <v>8.8604995837424358E-2</v>
      </c>
    </row>
    <row r="7" spans="5:16" ht="16.5" thickBot="1" x14ac:dyDescent="0.3">
      <c r="E7" s="183" t="s">
        <v>87</v>
      </c>
      <c r="F7" s="184">
        <f>výsledovka!B27/(výsledovka!B2+výsledovka!B5)</f>
        <v>6.0684743140751563E-2</v>
      </c>
      <c r="G7" s="184">
        <f>výsledovka!C27/(výsledovka!C2+výsledovka!C5)</f>
        <v>5.5372298305018872E-3</v>
      </c>
      <c r="H7" s="184">
        <f>výsledovka!D27/(výsledovka!D2+výsledovka!D5)</f>
        <v>7.1371411370970868E-3</v>
      </c>
      <c r="I7" s="184">
        <f>výsledovka!E27/(výsledovka!E2+výsledovka!E5)</f>
        <v>2.2512566052326332E-2</v>
      </c>
      <c r="J7" s="184">
        <f>výsledovka!F27/(výsledovka!F2+výsledovka!F5)</f>
        <v>3.0667569439419468E-2</v>
      </c>
    </row>
    <row r="8" spans="5:16" ht="16.5" thickBot="1" x14ac:dyDescent="0.3">
      <c r="E8" s="183" t="s">
        <v>88</v>
      </c>
      <c r="F8" s="184">
        <f>(výsledovka!B26+výsledovka!B23)/(rozvaha!I3+rozvaha!I10+rozvaha!I11)</f>
        <v>0.32725568696537932</v>
      </c>
      <c r="G8" s="184">
        <f>(výsledovka!C26+výsledovka!C23)/(rozvaha!J3+rozvaha!J10+rozvaha!J11)</f>
        <v>2.3388762544597215E-2</v>
      </c>
      <c r="H8" s="184">
        <f>(výsledovka!D26+výsledovka!D23)/(rozvaha!K3+rozvaha!K10+rozvaha!K11)</f>
        <v>3.036801453884598E-2</v>
      </c>
      <c r="I8" s="184">
        <f>(výsledovka!E26+výsledovka!E23)/(rozvaha!L3+rozvaha!L10+rozvaha!L11)</f>
        <v>9.1166853124008004E-2</v>
      </c>
      <c r="J8" s="184">
        <f>(výsledovka!F26+výsledovka!F23)/(rozvaha!M3+rozvaha!M10+rozvaha!M11)</f>
        <v>0.11413037703437406</v>
      </c>
    </row>
    <row r="10" spans="5:16" x14ac:dyDescent="0.25">
      <c r="E10" s="235" t="s">
        <v>86</v>
      </c>
      <c r="F10" s="235"/>
      <c r="G10" s="235"/>
      <c r="H10" s="235"/>
      <c r="I10" s="235"/>
      <c r="J10" s="235"/>
    </row>
    <row r="11" spans="5:16" ht="15.75" x14ac:dyDescent="0.25">
      <c r="E11" s="195"/>
      <c r="F11" s="194">
        <v>2017</v>
      </c>
      <c r="G11" s="194">
        <v>2016</v>
      </c>
      <c r="H11" s="194">
        <v>2015</v>
      </c>
      <c r="I11" s="194">
        <v>2014</v>
      </c>
      <c r="J11" s="194">
        <v>2013</v>
      </c>
    </row>
    <row r="12" spans="5:16" x14ac:dyDescent="0.25">
      <c r="E12" s="196" t="s">
        <v>94</v>
      </c>
      <c r="F12" s="197">
        <v>0.2746651107383366</v>
      </c>
      <c r="G12" s="197">
        <v>1.7359017002637814E-2</v>
      </c>
      <c r="H12" s="197">
        <v>2.1094103570343643E-2</v>
      </c>
      <c r="I12" s="197">
        <v>6.6300177445730385E-2</v>
      </c>
      <c r="J12" s="197">
        <v>8.8604995837424358E-2</v>
      </c>
    </row>
    <row r="13" spans="5:16" x14ac:dyDescent="0.25">
      <c r="E13" s="196" t="s">
        <v>95</v>
      </c>
      <c r="F13" s="197">
        <f>konkurence!AN33/konkurence!AN5</f>
        <v>0.59683223025077414</v>
      </c>
      <c r="G13" s="197">
        <f>konkurence!AO33/konkurence!AO5</f>
        <v>0.21370369087998853</v>
      </c>
      <c r="H13" s="197">
        <f>konkurence!AP33/konkurence!AP5</f>
        <v>0.15124302869479175</v>
      </c>
      <c r="I13" s="197">
        <f>konkurence!AQ33/konkurence!AQ5</f>
        <v>0.14975106628825194</v>
      </c>
      <c r="J13" s="197">
        <f>konkurence!AR33/konkurence!AR5</f>
        <v>7.2170078370073387E-2</v>
      </c>
    </row>
    <row r="14" spans="5:16" x14ac:dyDescent="0.25">
      <c r="E14" s="196" t="s">
        <v>96</v>
      </c>
      <c r="F14" s="197">
        <f>konkurence!J33/konkurence!J5</f>
        <v>7.9098360655737707E-2</v>
      </c>
      <c r="G14" s="197">
        <f>konkurence!K33/konkurence!K5</f>
        <v>0.20278155223403405</v>
      </c>
      <c r="H14" s="196" t="s">
        <v>99</v>
      </c>
      <c r="I14" s="196" t="s">
        <v>99</v>
      </c>
      <c r="J14" s="196" t="s">
        <v>99</v>
      </c>
    </row>
    <row r="15" spans="5:16" x14ac:dyDescent="0.25">
      <c r="E15" s="196" t="s">
        <v>97</v>
      </c>
      <c r="F15" s="197">
        <f>konkurence!Y33/konkurence!Y5</f>
        <v>-0.23787536651949714</v>
      </c>
      <c r="G15" s="197">
        <f>konkurence!Z33/konkurence!Z5</f>
        <v>4.5109978874114574E-2</v>
      </c>
      <c r="H15" s="197">
        <f>konkurence!AA33/konkurence!AA5</f>
        <v>0.18438922856771173</v>
      </c>
      <c r="I15" s="197">
        <f>konkurence!AB33/konkurence!AB5</f>
        <v>0.19937456123556066</v>
      </c>
      <c r="J15" s="197">
        <f>konkurence!AC33/konkurence!AC5</f>
        <v>0.30839338005461786</v>
      </c>
    </row>
    <row r="16" spans="5:16" x14ac:dyDescent="0.25">
      <c r="E16" s="196" t="s">
        <v>98</v>
      </c>
      <c r="F16" s="197">
        <f>konkurence!BC33/konkurence!BC5</f>
        <v>-9.0901736597993749E-2</v>
      </c>
      <c r="G16" s="197">
        <f>konkurence!BD33/konkurence!BD5</f>
        <v>-7.146783947223749E-2</v>
      </c>
      <c r="H16" s="196" t="s">
        <v>99</v>
      </c>
      <c r="I16" s="196" t="s">
        <v>99</v>
      </c>
      <c r="J16" s="196" t="s">
        <v>99</v>
      </c>
    </row>
  </sheetData>
  <mergeCells count="2">
    <mergeCell ref="E3:J3"/>
    <mergeCell ref="E10:J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8D54-0B9E-4450-A013-740EB7D59BA0}">
  <dimension ref="D3:I15"/>
  <sheetViews>
    <sheetView workbookViewId="0">
      <selection activeCell="N6" sqref="N6"/>
    </sheetView>
  </sheetViews>
  <sheetFormatPr defaultRowHeight="15" x14ac:dyDescent="0.25"/>
  <cols>
    <col min="4" max="4" width="11.42578125" customWidth="1"/>
  </cols>
  <sheetData>
    <row r="3" spans="4:9" ht="15.75" thickBot="1" x14ac:dyDescent="0.3">
      <c r="D3" s="234" t="s">
        <v>94</v>
      </c>
      <c r="E3" s="234"/>
      <c r="F3" s="234"/>
      <c r="G3" s="234"/>
      <c r="H3" s="234"/>
      <c r="I3" s="234"/>
    </row>
    <row r="4" spans="4:9" ht="16.5" thickBot="1" x14ac:dyDescent="0.3">
      <c r="D4" s="181"/>
      <c r="E4" s="182">
        <v>2017</v>
      </c>
      <c r="F4" s="182">
        <v>2016</v>
      </c>
      <c r="G4" s="182">
        <v>2015</v>
      </c>
      <c r="H4" s="182">
        <v>2014</v>
      </c>
      <c r="I4" s="182">
        <v>2013</v>
      </c>
    </row>
    <row r="5" spans="4:9" ht="16.5" thickBot="1" x14ac:dyDescent="0.3">
      <c r="D5" s="183" t="s">
        <v>100</v>
      </c>
      <c r="E5" s="198">
        <f>rozvaha!B21/rozvaha!I14</f>
        <v>2.3901217616057187</v>
      </c>
      <c r="F5" s="198">
        <f>rozvaha!C21/rozvaha!J14</f>
        <v>1.9779968336469815</v>
      </c>
      <c r="G5" s="198">
        <f>rozvaha!D21/rozvaha!K14</f>
        <v>2.051567980733993</v>
      </c>
      <c r="H5" s="198">
        <f>rozvaha!E21/rozvaha!L14</f>
        <v>2.2435910090811664</v>
      </c>
      <c r="I5" s="198">
        <f>rozvaha!F21/rozvaha!M14</f>
        <v>2.1499236560838204</v>
      </c>
    </row>
    <row r="6" spans="4:9" ht="16.5" thickBot="1" x14ac:dyDescent="0.3">
      <c r="D6" s="183" t="s">
        <v>101</v>
      </c>
      <c r="E6" s="198">
        <f>(rozvaha!B21-rozvaha!B22)/rozvaha!I14</f>
        <v>2.3898552187872304</v>
      </c>
      <c r="F6" s="198">
        <f>(rozvaha!C21-rozvaha!C22)/rozvaha!J14</f>
        <v>1.9779729366430683</v>
      </c>
      <c r="G6" s="198">
        <f>(rozvaha!D21-rozvaha!D22)/rozvaha!K14</f>
        <v>2.0515418040940263</v>
      </c>
      <c r="H6" s="198">
        <f>(rozvaha!E21-rozvaha!E22)/rozvaha!L14</f>
        <v>2.2435628067008855</v>
      </c>
      <c r="I6" s="198">
        <f>(rozvaha!F21-rozvaha!F22)/rozvaha!M14</f>
        <v>2.1466856210182699</v>
      </c>
    </row>
    <row r="7" spans="4:9" ht="16.5" thickBot="1" x14ac:dyDescent="0.3">
      <c r="D7" s="183" t="s">
        <v>102</v>
      </c>
      <c r="E7" s="198">
        <f>rozvaha!B33/rozvaha!I14</f>
        <v>0.17117299032772651</v>
      </c>
      <c r="F7" s="198">
        <f>rozvaha!C33/rozvaha!J14</f>
        <v>0.24693968993637422</v>
      </c>
      <c r="G7" s="198">
        <f>rozvaha!D33/rozvaha!K14</f>
        <v>0.120707031045495</v>
      </c>
      <c r="H7" s="198">
        <f>rozvaha!E33/rozvaha!L14</f>
        <v>0.24975322917254217</v>
      </c>
      <c r="I7" s="198">
        <f>rozvaha!F33/rozvaha!M14</f>
        <v>0.35658751469839767</v>
      </c>
    </row>
    <row r="9" spans="4:9" x14ac:dyDescent="0.25">
      <c r="D9" s="235" t="s">
        <v>103</v>
      </c>
      <c r="E9" s="235"/>
      <c r="F9" s="235"/>
      <c r="G9" s="235"/>
      <c r="H9" s="235"/>
      <c r="I9" s="235"/>
    </row>
    <row r="10" spans="4:9" ht="15.75" x14ac:dyDescent="0.25">
      <c r="D10" s="195"/>
      <c r="E10" s="194">
        <v>2017</v>
      </c>
      <c r="F10" s="194">
        <v>2016</v>
      </c>
      <c r="G10" s="194">
        <v>2015</v>
      </c>
      <c r="H10" s="194">
        <v>2014</v>
      </c>
      <c r="I10" s="194">
        <v>2013</v>
      </c>
    </row>
    <row r="11" spans="4:9" x14ac:dyDescent="0.25">
      <c r="D11" s="196" t="s">
        <v>94</v>
      </c>
      <c r="E11" s="199">
        <v>2.3901217616057187</v>
      </c>
      <c r="F11" s="199">
        <v>1.9779968336469815</v>
      </c>
      <c r="G11" s="199">
        <v>2.051567980733993</v>
      </c>
      <c r="H11" s="199">
        <v>2.2435910090811664</v>
      </c>
      <c r="I11" s="199">
        <v>2.1499236560838204</v>
      </c>
    </row>
    <row r="12" spans="4:9" x14ac:dyDescent="0.25">
      <c r="D12" s="196" t="s">
        <v>95</v>
      </c>
      <c r="E12" s="199">
        <f>konkurence!AG9/konkurence!AN9</f>
        <v>1.1155836972856721</v>
      </c>
      <c r="F12" s="199">
        <f>konkurence!AH9/konkurence!AO9</f>
        <v>1.097942391263375</v>
      </c>
      <c r="G12" s="199">
        <f>konkurence!AI9/konkurence!AP9</f>
        <v>1.2070752748017253</v>
      </c>
      <c r="H12" s="199">
        <f>konkurence!AJ9/konkurence!AQ9</f>
        <v>2.0748742667172957</v>
      </c>
      <c r="I12" s="199">
        <f>konkurence!AK9/konkurence!AR9</f>
        <v>0.59674282666962164</v>
      </c>
    </row>
    <row r="13" spans="4:9" x14ac:dyDescent="0.25">
      <c r="D13" s="196" t="s">
        <v>96</v>
      </c>
      <c r="E13" s="199">
        <f>konkurence!C9/konkurence!J9</f>
        <v>0.99526613773645645</v>
      </c>
      <c r="F13" s="199">
        <f>konkurence!D9/konkurence!K9</f>
        <v>0.85179425486341365</v>
      </c>
      <c r="G13" s="200"/>
      <c r="H13" s="200"/>
      <c r="I13" s="200"/>
    </row>
    <row r="14" spans="4:9" x14ac:dyDescent="0.25">
      <c r="D14" s="196" t="s">
        <v>97</v>
      </c>
      <c r="E14" s="199">
        <f>konkurence!R9/konkurence!Y9</f>
        <v>1.0564908612422943</v>
      </c>
      <c r="F14" s="199">
        <f>konkurence!S9/konkurence!Z9</f>
        <v>1.3736338987442511</v>
      </c>
      <c r="G14" s="199">
        <f>konkurence!T9/konkurence!AA9</f>
        <v>2.2473162376667553</v>
      </c>
      <c r="H14" s="199">
        <f>konkurence!U9/konkurence!AB9</f>
        <v>1.4936823787546343</v>
      </c>
      <c r="I14" s="199">
        <f>konkurence!V9/konkurence!AC9</f>
        <v>1.6312773577397532</v>
      </c>
    </row>
    <row r="15" spans="4:9" x14ac:dyDescent="0.25">
      <c r="D15" s="196" t="s">
        <v>98</v>
      </c>
      <c r="E15" s="199">
        <f>konkurence!AV9/konkurence!BC9</f>
        <v>1.3237781099521779</v>
      </c>
      <c r="F15" s="199">
        <f>konkurence!AW9/konkurence!BD9</f>
        <v>1.0275826177465521</v>
      </c>
      <c r="G15" s="200"/>
      <c r="H15" s="200"/>
      <c r="I15" s="200"/>
    </row>
  </sheetData>
  <mergeCells count="2">
    <mergeCell ref="D3:I3"/>
    <mergeCell ref="D9:I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5C96-26F2-482B-B657-0A6E8BBD96F9}">
  <dimension ref="D3:P25"/>
  <sheetViews>
    <sheetView workbookViewId="0">
      <selection activeCell="D3" sqref="D3:I8"/>
    </sheetView>
  </sheetViews>
  <sheetFormatPr defaultRowHeight="15" x14ac:dyDescent="0.25"/>
  <cols>
    <col min="4" max="4" width="11.42578125" customWidth="1"/>
    <col min="9" max="9" width="16.28515625" bestFit="1" customWidth="1"/>
    <col min="10" max="11" width="12.85546875" bestFit="1" customWidth="1"/>
    <col min="12" max="12" width="11.85546875" bestFit="1" customWidth="1"/>
    <col min="13" max="13" width="12.85546875" bestFit="1" customWidth="1"/>
  </cols>
  <sheetData>
    <row r="3" spans="4:16" ht="15.75" thickBot="1" x14ac:dyDescent="0.3">
      <c r="D3" s="234" t="s">
        <v>94</v>
      </c>
      <c r="E3" s="234"/>
      <c r="F3" s="234"/>
      <c r="G3" s="234"/>
      <c r="H3" s="234"/>
      <c r="I3" s="234"/>
    </row>
    <row r="4" spans="4:16" ht="16.5" thickBot="1" x14ac:dyDescent="0.3">
      <c r="D4" s="181"/>
      <c r="E4" s="182">
        <v>2017</v>
      </c>
      <c r="F4" s="182">
        <v>2016</v>
      </c>
      <c r="G4" s="182">
        <v>2015</v>
      </c>
      <c r="H4" s="182">
        <v>2014</v>
      </c>
      <c r="I4" s="182">
        <v>2013</v>
      </c>
    </row>
    <row r="5" spans="4:16" ht="16.5" thickBot="1" x14ac:dyDescent="0.3">
      <c r="D5" s="183" t="s">
        <v>105</v>
      </c>
      <c r="E5" s="198">
        <f>(výsledovka!B2+výsledovka!B5)/rozvaha!B2</f>
        <v>2.5551491528447809</v>
      </c>
      <c r="F5" s="198">
        <f>(výsledovka!C2+výsledovka!C5)/rozvaha!C2</f>
        <v>2.0396893343955735</v>
      </c>
      <c r="G5" s="198">
        <f>(výsledovka!D2+výsledovka!D5)/rozvaha!D2</f>
        <v>1.9659030927835051</v>
      </c>
      <c r="H5" s="198">
        <f>(výsledovka!E2+výsledovka!E5)/rozvaha!E2</f>
        <v>1.9103348235810673</v>
      </c>
      <c r="I5" s="198">
        <f>(výsledovka!F2+výsledovka!F5)/rozvaha!F2</f>
        <v>1.9517061717747162</v>
      </c>
    </row>
    <row r="6" spans="4:16" ht="48" thickBot="1" x14ac:dyDescent="0.3">
      <c r="D6" s="183" t="s">
        <v>104</v>
      </c>
      <c r="E6" s="198">
        <f>rozvaha!B29/((výsledovka!B2+výsledovka!B5)/360)</f>
        <v>104.5812259630879</v>
      </c>
      <c r="F6" s="198">
        <f>rozvaha!C29/((výsledovka!C2+výsledovka!C5)/360)</f>
        <v>100.90066701320909</v>
      </c>
      <c r="G6" s="198">
        <f>rozvaha!D29/((výsledovka!D2+výsledovka!D5)/360)</f>
        <v>110.99644139311123</v>
      </c>
      <c r="H6" s="198">
        <f>rozvaha!E29/((výsledovka!E2+výsledovka!E5)/360)</f>
        <v>105.40830003866478</v>
      </c>
      <c r="I6" s="198">
        <f>rozvaha!F29/((výsledovka!F2+výsledovka!F5)/360)</f>
        <v>91.622975221989066</v>
      </c>
    </row>
    <row r="7" spans="4:16" ht="48" thickBot="1" x14ac:dyDescent="0.3">
      <c r="D7" s="183" t="s">
        <v>106</v>
      </c>
      <c r="E7" s="198">
        <f>rozvaha!B22/((výsledovka!B2+výsledovka!B5)/360)</f>
        <v>1.2762391766753325E-2</v>
      </c>
      <c r="F7" s="201">
        <f>rozvaha!C22/((výsledovka!C2+výsledovka!C5)/360)</f>
        <v>1.3991245755260076E-3</v>
      </c>
      <c r="G7" s="201">
        <f>rozvaha!D22/((výsledovka!D2+výsledovka!D5)/360)</f>
        <v>1.5102840907303169E-3</v>
      </c>
      <c r="H7" s="201">
        <f>rozvaha!E22/((výsledovka!E2+výsledovka!E5)/360)</f>
        <v>1.5465910555483952E-3</v>
      </c>
      <c r="I7" s="198">
        <f>rozvaha!F22/((výsledovka!F2+výsledovka!F5)/360)</f>
        <v>0.17164742244596284</v>
      </c>
    </row>
    <row r="8" spans="4:16" ht="63.75" thickBot="1" x14ac:dyDescent="0.3">
      <c r="D8" s="183" t="s">
        <v>107</v>
      </c>
      <c r="E8" s="198">
        <f>rozvaha!I14/((výsledovka!B2+výsledovka!B5)/360)</f>
        <v>47.881206626130677</v>
      </c>
      <c r="F8" s="201">
        <f>rozvaha!J14/((výsledovka!C2+výsledovka!C5)/360)</f>
        <v>58.548116768605198</v>
      </c>
      <c r="G8" s="201">
        <f>rozvaha!K14/((výsledovka!D2+výsledovka!D5)/360)</f>
        <v>57.695872834079566</v>
      </c>
      <c r="H8" s="201">
        <f>rozvaha!L14/((výsledovka!E2+výsledovka!E5)/360)</f>
        <v>54.839025647635005</v>
      </c>
      <c r="I8" s="198">
        <f>rozvaha!M14/((výsledovka!F2+výsledovka!F5)/360)</f>
        <v>53.00974787831175</v>
      </c>
    </row>
    <row r="11" spans="4:16" x14ac:dyDescent="0.25">
      <c r="D11" s="235" t="s">
        <v>104</v>
      </c>
      <c r="E11" s="235"/>
      <c r="F11" s="235"/>
      <c r="G11" s="235"/>
      <c r="H11" s="235"/>
      <c r="I11" s="235"/>
      <c r="K11" s="235" t="s">
        <v>107</v>
      </c>
      <c r="L11" s="235"/>
      <c r="M11" s="235"/>
      <c r="N11" s="235"/>
      <c r="O11" s="235"/>
      <c r="P11" s="235"/>
    </row>
    <row r="12" spans="4:16" ht="15.75" x14ac:dyDescent="0.25">
      <c r="D12" s="195"/>
      <c r="E12" s="194">
        <v>2017</v>
      </c>
      <c r="F12" s="194">
        <v>2016</v>
      </c>
      <c r="G12" s="194">
        <v>2015</v>
      </c>
      <c r="H12" s="194">
        <v>2014</v>
      </c>
      <c r="I12" s="194">
        <v>2013</v>
      </c>
      <c r="K12" s="195"/>
      <c r="L12" s="194">
        <v>2017</v>
      </c>
      <c r="M12" s="194">
        <v>2016</v>
      </c>
      <c r="N12" s="194">
        <v>2015</v>
      </c>
      <c r="O12" s="194">
        <v>2014</v>
      </c>
      <c r="P12" s="194">
        <v>2013</v>
      </c>
    </row>
    <row r="13" spans="4:16" x14ac:dyDescent="0.25">
      <c r="D13" s="196" t="s">
        <v>94</v>
      </c>
      <c r="E13" s="203">
        <v>104</v>
      </c>
      <c r="F13" s="203">
        <v>101</v>
      </c>
      <c r="G13" s="203">
        <v>111</v>
      </c>
      <c r="H13" s="203">
        <v>105</v>
      </c>
      <c r="I13" s="203">
        <v>92</v>
      </c>
      <c r="K13" s="196" t="s">
        <v>94</v>
      </c>
      <c r="L13" s="199">
        <v>48</v>
      </c>
      <c r="M13" s="199">
        <v>58</v>
      </c>
      <c r="N13" s="199">
        <v>58</v>
      </c>
      <c r="O13" s="199">
        <v>55</v>
      </c>
      <c r="P13" s="199">
        <v>53</v>
      </c>
    </row>
    <row r="14" spans="4:16" x14ac:dyDescent="0.25">
      <c r="D14" s="196" t="s">
        <v>95</v>
      </c>
      <c r="E14" s="203">
        <v>81</v>
      </c>
      <c r="F14" s="203">
        <v>89</v>
      </c>
      <c r="G14" s="203">
        <v>66</v>
      </c>
      <c r="H14" s="203">
        <v>82</v>
      </c>
      <c r="I14" s="203">
        <v>76</v>
      </c>
      <c r="K14" s="196" t="s">
        <v>95</v>
      </c>
      <c r="L14" s="199">
        <v>108</v>
      </c>
      <c r="M14" s="199">
        <v>129</v>
      </c>
      <c r="N14" s="199">
        <v>85</v>
      </c>
      <c r="O14" s="199">
        <v>66</v>
      </c>
      <c r="P14" s="199">
        <v>239</v>
      </c>
    </row>
    <row r="15" spans="4:16" x14ac:dyDescent="0.25">
      <c r="D15" s="196" t="s">
        <v>96</v>
      </c>
      <c r="E15" s="203">
        <v>103</v>
      </c>
      <c r="F15" s="203">
        <v>72</v>
      </c>
      <c r="G15" s="203"/>
      <c r="H15" s="203"/>
      <c r="I15" s="203"/>
      <c r="K15" s="196" t="s">
        <v>96</v>
      </c>
      <c r="L15" s="199">
        <v>111</v>
      </c>
      <c r="M15" s="199">
        <v>134</v>
      </c>
      <c r="N15" s="200"/>
      <c r="O15" s="200"/>
      <c r="P15" s="200"/>
    </row>
    <row r="16" spans="4:16" x14ac:dyDescent="0.25">
      <c r="D16" s="196" t="s">
        <v>97</v>
      </c>
      <c r="E16" s="203">
        <v>77</v>
      </c>
      <c r="F16" s="203">
        <v>91</v>
      </c>
      <c r="G16" s="203">
        <v>70</v>
      </c>
      <c r="H16" s="203">
        <v>65</v>
      </c>
      <c r="I16" s="203">
        <v>64</v>
      </c>
      <c r="K16" s="196" t="s">
        <v>97</v>
      </c>
      <c r="L16" s="199">
        <v>76</v>
      </c>
      <c r="M16" s="199">
        <v>71</v>
      </c>
      <c r="N16" s="199">
        <v>42</v>
      </c>
      <c r="O16" s="199">
        <v>60</v>
      </c>
      <c r="P16" s="199">
        <v>48</v>
      </c>
    </row>
    <row r="17" spans="4:16" x14ac:dyDescent="0.25">
      <c r="D17" s="196" t="s">
        <v>98</v>
      </c>
      <c r="E17" s="203">
        <v>103</v>
      </c>
      <c r="F17" s="203">
        <v>4577</v>
      </c>
      <c r="G17" s="204"/>
      <c r="H17" s="204"/>
      <c r="I17" s="204"/>
      <c r="K17" s="196" t="s">
        <v>98</v>
      </c>
      <c r="L17" s="199">
        <v>12</v>
      </c>
      <c r="M17" s="199">
        <v>0</v>
      </c>
      <c r="N17" s="200"/>
      <c r="O17" s="200"/>
      <c r="P17" s="200"/>
    </row>
    <row r="19" spans="4:16" x14ac:dyDescent="0.25">
      <c r="H19" s="235" t="s">
        <v>108</v>
      </c>
      <c r="I19" s="235"/>
      <c r="J19" s="235"/>
      <c r="K19" s="235"/>
      <c r="L19" s="235"/>
      <c r="M19" s="235"/>
    </row>
    <row r="20" spans="4:16" ht="15.75" x14ac:dyDescent="0.25">
      <c r="H20" s="195"/>
      <c r="I20" s="194">
        <v>2017</v>
      </c>
      <c r="J20" s="194">
        <v>2016</v>
      </c>
      <c r="K20" s="194">
        <v>2015</v>
      </c>
      <c r="L20" s="194">
        <v>2014</v>
      </c>
      <c r="M20" s="194">
        <v>2013</v>
      </c>
    </row>
    <row r="21" spans="4:16" x14ac:dyDescent="0.25">
      <c r="H21" s="196" t="s">
        <v>94</v>
      </c>
      <c r="I21" s="199" t="str">
        <f>E13&amp;" / "&amp;L13</f>
        <v>104 / 48</v>
      </c>
      <c r="J21" s="199" t="str">
        <f t="shared" ref="J21:M21" si="0">F13&amp;" / "&amp;M13</f>
        <v>101 / 58</v>
      </c>
      <c r="K21" s="199" t="str">
        <f t="shared" si="0"/>
        <v>111 / 58</v>
      </c>
      <c r="L21" s="199" t="str">
        <f t="shared" si="0"/>
        <v>105 / 55</v>
      </c>
      <c r="M21" s="199" t="str">
        <f t="shared" si="0"/>
        <v>92 / 53</v>
      </c>
    </row>
    <row r="22" spans="4:16" x14ac:dyDescent="0.25">
      <c r="H22" s="196" t="s">
        <v>95</v>
      </c>
      <c r="I22" s="199" t="str">
        <f t="shared" ref="I22:I25" si="1">E14&amp;" / "&amp;L14</f>
        <v>81 / 108</v>
      </c>
      <c r="J22" s="199" t="str">
        <f t="shared" ref="J22:J25" si="2">F14&amp;" / "&amp;M14</f>
        <v>89 / 129</v>
      </c>
      <c r="K22" s="199" t="str">
        <f t="shared" ref="K22:K24" si="3">G14&amp;" / "&amp;N14</f>
        <v>66 / 85</v>
      </c>
      <c r="L22" s="199" t="str">
        <f t="shared" ref="L22:L24" si="4">H14&amp;" / "&amp;O14</f>
        <v>82 / 66</v>
      </c>
      <c r="M22" s="199" t="str">
        <f t="shared" ref="M22:M24" si="5">I14&amp;" / "&amp;P14</f>
        <v>76 / 239</v>
      </c>
    </row>
    <row r="23" spans="4:16" x14ac:dyDescent="0.25">
      <c r="H23" s="196" t="s">
        <v>96</v>
      </c>
      <c r="I23" s="199" t="str">
        <f t="shared" si="1"/>
        <v>103 / 111</v>
      </c>
      <c r="J23" s="199" t="str">
        <f t="shared" si="2"/>
        <v>72 / 134</v>
      </c>
      <c r="K23" s="199"/>
      <c r="L23" s="199"/>
      <c r="M23" s="199"/>
    </row>
    <row r="24" spans="4:16" x14ac:dyDescent="0.25">
      <c r="H24" s="196" t="s">
        <v>97</v>
      </c>
      <c r="I24" s="199" t="str">
        <f t="shared" si="1"/>
        <v>77 / 76</v>
      </c>
      <c r="J24" s="199" t="str">
        <f t="shared" si="2"/>
        <v>91 / 71</v>
      </c>
      <c r="K24" s="199" t="str">
        <f t="shared" si="3"/>
        <v>70 / 42</v>
      </c>
      <c r="L24" s="199" t="str">
        <f t="shared" si="4"/>
        <v>65 / 60</v>
      </c>
      <c r="M24" s="199" t="str">
        <f t="shared" si="5"/>
        <v>64 / 48</v>
      </c>
    </row>
    <row r="25" spans="4:16" x14ac:dyDescent="0.25">
      <c r="H25" s="196" t="s">
        <v>98</v>
      </c>
      <c r="I25" s="199" t="str">
        <f t="shared" si="1"/>
        <v>103 / 12</v>
      </c>
      <c r="J25" s="199" t="str">
        <f t="shared" si="2"/>
        <v>4577 / 0</v>
      </c>
      <c r="K25" s="199"/>
      <c r="L25" s="199"/>
      <c r="M25" s="199"/>
    </row>
  </sheetData>
  <mergeCells count="4">
    <mergeCell ref="D3:I3"/>
    <mergeCell ref="D11:I11"/>
    <mergeCell ref="K11:P11"/>
    <mergeCell ref="H19:M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konkurence</vt:lpstr>
      <vt:lpstr>rozvaha</vt:lpstr>
      <vt:lpstr>výsledovka</vt:lpstr>
      <vt:lpstr>hor.an</vt:lpstr>
      <vt:lpstr>ver.an_rozv</vt:lpstr>
      <vt:lpstr>ver.an_výsl</vt:lpstr>
      <vt:lpstr>rentabilita</vt:lpstr>
      <vt:lpstr>likvidita</vt:lpstr>
      <vt:lpstr>aktivita</vt:lpstr>
      <vt:lpstr>zadluženost</vt:lpstr>
      <vt:lpstr>produktivita</vt:lpstr>
      <vt:lpstr>EVA</vt:lpstr>
      <vt:lpstr>ČPK</vt:lpstr>
      <vt:lpstr>Alt.index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Rogozhnikov Nikita</dc:creator>
  <cp:lastModifiedBy>Rogozhnikov Nikita</cp:lastModifiedBy>
  <dcterms:created xsi:type="dcterms:W3CDTF">2015-06-05T18:19:34Z</dcterms:created>
  <dcterms:modified xsi:type="dcterms:W3CDTF">2019-08-07T18:11:58Z</dcterms:modified>
</cp:coreProperties>
</file>